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E2E767F-3D6E-4353-A601-F232C63031FD}" xr6:coauthVersionLast="47" xr6:coauthVersionMax="47" xr10:uidLastSave="{00000000-0000-0000-0000-000000000000}"/>
  <bookViews>
    <workbookView xWindow="8700" yWindow="72" windowWidth="11760" windowHeight="12168" xr2:uid="{00000000-000D-0000-FFFF-FFFF00000000}"/>
  </bookViews>
  <sheets>
    <sheet name="Top 300 universities of World(A" sheetId="1" r:id="rId1"/>
    <sheet name="Mô tả rank " sheetId="2" r:id="rId2"/>
  </sheets>
  <calcPr calcId="181029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2" i="1"/>
  <c r="C300" i="1"/>
  <c r="C2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26" i="1"/>
  <c r="V2" i="1"/>
  <c r="T132" i="1"/>
  <c r="T260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26" i="1"/>
  <c r="T26" i="1" s="1"/>
  <c r="S2" i="1"/>
  <c r="T2" i="1" s="1"/>
  <c r="AA2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2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2" i="1"/>
  <c r="AC2" i="1"/>
  <c r="AD2" i="1" s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26" i="1"/>
  <c r="AD26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26" i="1"/>
  <c r="C28" i="1"/>
  <c r="C21" i="1"/>
  <c r="C31" i="1"/>
  <c r="C25" i="1"/>
  <c r="C177" i="1"/>
  <c r="C2" i="1"/>
  <c r="C14" i="1"/>
  <c r="C10" i="1"/>
  <c r="G242" i="1"/>
  <c r="E242" i="1"/>
  <c r="C242" i="1"/>
  <c r="G207" i="1"/>
  <c r="E207" i="1"/>
  <c r="C207" i="1"/>
  <c r="G299" i="1"/>
  <c r="E299" i="1"/>
  <c r="C299" i="1"/>
  <c r="G297" i="1"/>
  <c r="E297" i="1"/>
  <c r="C297" i="1"/>
  <c r="G296" i="1"/>
  <c r="E296" i="1"/>
  <c r="C296" i="1"/>
  <c r="G295" i="1"/>
  <c r="E295" i="1"/>
  <c r="C295" i="1"/>
  <c r="G291" i="1"/>
  <c r="E291" i="1"/>
  <c r="C291" i="1"/>
  <c r="G290" i="1"/>
  <c r="E290" i="1"/>
  <c r="C290" i="1"/>
  <c r="G289" i="1"/>
  <c r="E289" i="1"/>
  <c r="C289" i="1"/>
  <c r="G288" i="1"/>
  <c r="E288" i="1"/>
  <c r="C288" i="1"/>
  <c r="G287" i="1"/>
  <c r="E287" i="1"/>
  <c r="C287" i="1"/>
  <c r="G283" i="1"/>
  <c r="E283" i="1"/>
  <c r="C283" i="1"/>
  <c r="G282" i="1"/>
  <c r="E282" i="1"/>
  <c r="C282" i="1"/>
  <c r="G276" i="1"/>
  <c r="E276" i="1"/>
  <c r="C276" i="1"/>
  <c r="G274" i="1"/>
  <c r="E274" i="1"/>
  <c r="C274" i="1"/>
  <c r="G273" i="1"/>
  <c r="E273" i="1"/>
  <c r="C273" i="1"/>
  <c r="G270" i="1"/>
  <c r="E270" i="1"/>
  <c r="C270" i="1"/>
  <c r="G269" i="1"/>
  <c r="E269" i="1"/>
  <c r="C269" i="1"/>
  <c r="G268" i="1"/>
  <c r="E268" i="1"/>
  <c r="C268" i="1"/>
  <c r="G265" i="1"/>
  <c r="E265" i="1"/>
  <c r="C265" i="1"/>
  <c r="G263" i="1"/>
  <c r="E263" i="1"/>
  <c r="C263" i="1"/>
  <c r="G262" i="1"/>
  <c r="E262" i="1"/>
  <c r="C262" i="1"/>
  <c r="G261" i="1"/>
  <c r="E261" i="1"/>
  <c r="C261" i="1"/>
  <c r="G260" i="1"/>
  <c r="E260" i="1"/>
  <c r="C260" i="1"/>
  <c r="G258" i="1"/>
  <c r="E258" i="1"/>
  <c r="C258" i="1"/>
  <c r="G257" i="1"/>
  <c r="E257" i="1"/>
  <c r="C257" i="1"/>
  <c r="G255" i="1"/>
  <c r="E255" i="1"/>
  <c r="C255" i="1"/>
  <c r="G254" i="1"/>
  <c r="E254" i="1"/>
  <c r="C254" i="1"/>
  <c r="G253" i="1"/>
  <c r="E253" i="1"/>
  <c r="C253" i="1"/>
  <c r="G252" i="1"/>
  <c r="E252" i="1"/>
  <c r="C252" i="1"/>
  <c r="G250" i="1"/>
  <c r="E250" i="1"/>
  <c r="C250" i="1"/>
  <c r="G248" i="1"/>
  <c r="E248" i="1"/>
  <c r="C248" i="1"/>
  <c r="G246" i="1"/>
  <c r="E246" i="1"/>
  <c r="C246" i="1"/>
  <c r="G245" i="1"/>
  <c r="E245" i="1"/>
  <c r="C245" i="1"/>
  <c r="G244" i="1"/>
  <c r="E244" i="1"/>
  <c r="C244" i="1"/>
  <c r="G241" i="1"/>
  <c r="E241" i="1"/>
  <c r="C241" i="1"/>
  <c r="G240" i="1"/>
  <c r="E240" i="1"/>
  <c r="C240" i="1"/>
  <c r="G239" i="1"/>
  <c r="E239" i="1"/>
  <c r="C239" i="1"/>
  <c r="G237" i="1"/>
  <c r="E237" i="1"/>
  <c r="C237" i="1"/>
  <c r="G236" i="1"/>
  <c r="E236" i="1"/>
  <c r="C236" i="1"/>
  <c r="G235" i="1"/>
  <c r="E235" i="1"/>
  <c r="C235" i="1"/>
  <c r="G233" i="1"/>
  <c r="E233" i="1"/>
  <c r="C233" i="1"/>
  <c r="G228" i="1"/>
  <c r="E228" i="1"/>
  <c r="C228" i="1"/>
  <c r="G226" i="1"/>
  <c r="E226" i="1"/>
  <c r="C226" i="1"/>
  <c r="G223" i="1"/>
  <c r="E223" i="1"/>
  <c r="C223" i="1"/>
  <c r="G219" i="1"/>
  <c r="E219" i="1"/>
  <c r="C219" i="1"/>
  <c r="G217" i="1"/>
  <c r="E217" i="1"/>
  <c r="C217" i="1"/>
  <c r="G216" i="1"/>
  <c r="E216" i="1"/>
  <c r="C216" i="1"/>
  <c r="G215" i="1"/>
  <c r="E215" i="1"/>
  <c r="C215" i="1"/>
  <c r="G213" i="1"/>
  <c r="E213" i="1"/>
  <c r="C213" i="1"/>
  <c r="G212" i="1"/>
  <c r="E212" i="1"/>
  <c r="C212" i="1"/>
  <c r="G211" i="1"/>
  <c r="E211" i="1"/>
  <c r="C211" i="1"/>
  <c r="G209" i="1"/>
  <c r="E209" i="1"/>
  <c r="C209" i="1"/>
  <c r="G206" i="1"/>
  <c r="E206" i="1"/>
  <c r="C206" i="1"/>
  <c r="G205" i="1"/>
  <c r="E205" i="1"/>
  <c r="C205" i="1"/>
  <c r="G202" i="1"/>
  <c r="E202" i="1"/>
  <c r="C202" i="1"/>
  <c r="G200" i="1"/>
  <c r="E200" i="1"/>
  <c r="C200" i="1"/>
  <c r="E102" i="1"/>
  <c r="G102" i="1"/>
  <c r="C103" i="1"/>
  <c r="E103" i="1"/>
  <c r="G103" i="1"/>
  <c r="C104" i="1"/>
  <c r="E104" i="1"/>
  <c r="G104" i="1"/>
  <c r="C125" i="1"/>
  <c r="E125" i="1"/>
  <c r="G125" i="1"/>
  <c r="C106" i="1"/>
  <c r="E106" i="1"/>
  <c r="G106" i="1"/>
  <c r="C110" i="1"/>
  <c r="E110" i="1"/>
  <c r="G110" i="1"/>
  <c r="C107" i="1"/>
  <c r="E107" i="1"/>
  <c r="G107" i="1"/>
  <c r="C108" i="1"/>
  <c r="E108" i="1"/>
  <c r="G108" i="1"/>
  <c r="C113" i="1"/>
  <c r="E113" i="1"/>
  <c r="G113" i="1"/>
  <c r="C96" i="1"/>
  <c r="E96" i="1"/>
  <c r="G96" i="1"/>
  <c r="C105" i="1"/>
  <c r="E105" i="1"/>
  <c r="G105" i="1"/>
  <c r="C111" i="1"/>
  <c r="E111" i="1"/>
  <c r="G111" i="1"/>
  <c r="C112" i="1"/>
  <c r="E112" i="1"/>
  <c r="G112" i="1"/>
  <c r="C115" i="1"/>
  <c r="E115" i="1"/>
  <c r="G115" i="1"/>
  <c r="C149" i="1"/>
  <c r="E149" i="1"/>
  <c r="G149" i="1"/>
  <c r="C114" i="1"/>
  <c r="E114" i="1"/>
  <c r="G114" i="1"/>
  <c r="C127" i="1"/>
  <c r="E127" i="1"/>
  <c r="G127" i="1"/>
  <c r="C116" i="1"/>
  <c r="E116" i="1"/>
  <c r="G116" i="1"/>
  <c r="C109" i="1"/>
  <c r="E109" i="1"/>
  <c r="G109" i="1"/>
  <c r="C118" i="1"/>
  <c r="E118" i="1"/>
  <c r="G118" i="1"/>
  <c r="C120" i="1"/>
  <c r="E120" i="1"/>
  <c r="G120" i="1"/>
  <c r="C121" i="1"/>
  <c r="E121" i="1"/>
  <c r="G121" i="1"/>
  <c r="C122" i="1"/>
  <c r="E122" i="1"/>
  <c r="G122" i="1"/>
  <c r="C128" i="1"/>
  <c r="E128" i="1"/>
  <c r="G128" i="1"/>
  <c r="C123" i="1"/>
  <c r="E123" i="1"/>
  <c r="G123" i="1"/>
  <c r="C124" i="1"/>
  <c r="E124" i="1"/>
  <c r="G124" i="1"/>
  <c r="C141" i="1"/>
  <c r="E141" i="1"/>
  <c r="G141" i="1"/>
  <c r="C129" i="1"/>
  <c r="E129" i="1"/>
  <c r="G129" i="1"/>
  <c r="C126" i="1"/>
  <c r="E126" i="1"/>
  <c r="G126" i="1"/>
  <c r="C134" i="1"/>
  <c r="E134" i="1"/>
  <c r="G134" i="1"/>
  <c r="C136" i="1"/>
  <c r="E136" i="1"/>
  <c r="G136" i="1"/>
  <c r="E300" i="1"/>
  <c r="G300" i="1"/>
  <c r="C117" i="1"/>
  <c r="E117" i="1"/>
  <c r="G117" i="1"/>
  <c r="C131" i="1"/>
  <c r="E131" i="1"/>
  <c r="G131" i="1"/>
  <c r="C132" i="1"/>
  <c r="E132" i="1"/>
  <c r="G132" i="1"/>
  <c r="C195" i="1"/>
  <c r="E195" i="1"/>
  <c r="G195" i="1"/>
  <c r="C133" i="1"/>
  <c r="E133" i="1"/>
  <c r="G133" i="1"/>
  <c r="C135" i="1"/>
  <c r="E135" i="1"/>
  <c r="G135" i="1"/>
  <c r="C139" i="1"/>
  <c r="E139" i="1"/>
  <c r="G139" i="1"/>
  <c r="C130" i="1"/>
  <c r="E130" i="1"/>
  <c r="G130" i="1"/>
  <c r="C156" i="1"/>
  <c r="E156" i="1"/>
  <c r="G156" i="1"/>
  <c r="C140" i="1"/>
  <c r="E140" i="1"/>
  <c r="G140" i="1"/>
  <c r="C142" i="1"/>
  <c r="E142" i="1"/>
  <c r="G142" i="1"/>
  <c r="C144" i="1"/>
  <c r="E144" i="1"/>
  <c r="G144" i="1"/>
  <c r="C143" i="1"/>
  <c r="E143" i="1"/>
  <c r="G143" i="1"/>
  <c r="C147" i="1"/>
  <c r="E147" i="1"/>
  <c r="G147" i="1"/>
  <c r="C137" i="1"/>
  <c r="E137" i="1"/>
  <c r="G137" i="1"/>
  <c r="C148" i="1"/>
  <c r="E148" i="1"/>
  <c r="G148" i="1"/>
  <c r="C154" i="1"/>
  <c r="E154" i="1"/>
  <c r="G154" i="1"/>
  <c r="C150" i="1"/>
  <c r="E150" i="1"/>
  <c r="G150" i="1"/>
  <c r="C146" i="1"/>
  <c r="E146" i="1"/>
  <c r="G146" i="1"/>
  <c r="C151" i="1"/>
  <c r="E151" i="1"/>
  <c r="G151" i="1"/>
  <c r="C152" i="1"/>
  <c r="E152" i="1"/>
  <c r="G152" i="1"/>
  <c r="C138" i="1"/>
  <c r="E138" i="1"/>
  <c r="G138" i="1"/>
  <c r="C153" i="1"/>
  <c r="E153" i="1"/>
  <c r="G153" i="1"/>
  <c r="C155" i="1"/>
  <c r="E155" i="1"/>
  <c r="G155" i="1"/>
  <c r="C145" i="1"/>
  <c r="E145" i="1"/>
  <c r="G145" i="1"/>
  <c r="C157" i="1"/>
  <c r="E157" i="1"/>
  <c r="G157" i="1"/>
  <c r="C158" i="1"/>
  <c r="E158" i="1"/>
  <c r="G158" i="1"/>
  <c r="C159" i="1"/>
  <c r="E159" i="1"/>
  <c r="G159" i="1"/>
  <c r="C119" i="1"/>
  <c r="E119" i="1"/>
  <c r="G119" i="1"/>
  <c r="C161" i="1"/>
  <c r="E161" i="1"/>
  <c r="G161" i="1"/>
  <c r="C162" i="1"/>
  <c r="E162" i="1"/>
  <c r="G162" i="1"/>
  <c r="C165" i="1"/>
  <c r="E165" i="1"/>
  <c r="G165" i="1"/>
  <c r="C167" i="1"/>
  <c r="E167" i="1"/>
  <c r="G167" i="1"/>
  <c r="C170" i="1"/>
  <c r="E170" i="1"/>
  <c r="G170" i="1"/>
  <c r="C168" i="1"/>
  <c r="E168" i="1"/>
  <c r="G168" i="1"/>
  <c r="C164" i="1"/>
  <c r="E164" i="1"/>
  <c r="G164" i="1"/>
  <c r="C169" i="1"/>
  <c r="E169" i="1"/>
  <c r="G169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66" i="1"/>
  <c r="E166" i="1"/>
  <c r="G166" i="1"/>
  <c r="C189" i="1"/>
  <c r="E189" i="1"/>
  <c r="G189" i="1"/>
  <c r="C188" i="1"/>
  <c r="E188" i="1"/>
  <c r="G188" i="1"/>
  <c r="C176" i="1"/>
  <c r="E176" i="1"/>
  <c r="G176" i="1"/>
  <c r="E177" i="1"/>
  <c r="G177" i="1"/>
  <c r="C163" i="1"/>
  <c r="E163" i="1"/>
  <c r="G163" i="1"/>
  <c r="C180" i="1"/>
  <c r="E180" i="1"/>
  <c r="G180" i="1"/>
  <c r="C179" i="1"/>
  <c r="E179" i="1"/>
  <c r="G179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75" i="1"/>
  <c r="E175" i="1"/>
  <c r="G175" i="1"/>
  <c r="C178" i="1"/>
  <c r="E178" i="1"/>
  <c r="G178" i="1"/>
  <c r="C185" i="1"/>
  <c r="E185" i="1"/>
  <c r="G185" i="1"/>
  <c r="C186" i="1"/>
  <c r="E186" i="1"/>
  <c r="G186" i="1"/>
  <c r="C160" i="1"/>
  <c r="E160" i="1"/>
  <c r="G160" i="1"/>
  <c r="C187" i="1"/>
  <c r="E187" i="1"/>
  <c r="G187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6" i="1"/>
  <c r="E196" i="1"/>
  <c r="G196" i="1"/>
  <c r="C197" i="1"/>
  <c r="E197" i="1"/>
  <c r="G197" i="1"/>
  <c r="C199" i="1"/>
  <c r="E199" i="1"/>
  <c r="G199" i="1"/>
  <c r="C198" i="1"/>
  <c r="E198" i="1"/>
  <c r="G198" i="1"/>
  <c r="G98" i="1"/>
  <c r="E98" i="1"/>
  <c r="C98" i="1"/>
  <c r="G95" i="1"/>
  <c r="E95" i="1"/>
  <c r="C95" i="1"/>
  <c r="G93" i="1"/>
  <c r="E93" i="1"/>
  <c r="C93" i="1"/>
  <c r="G90" i="1"/>
  <c r="E90" i="1"/>
  <c r="C90" i="1"/>
  <c r="G88" i="1"/>
  <c r="E88" i="1"/>
  <c r="C88" i="1"/>
  <c r="G87" i="1"/>
  <c r="E87" i="1"/>
  <c r="C87" i="1"/>
  <c r="G85" i="1"/>
  <c r="E85" i="1"/>
  <c r="C85" i="1"/>
  <c r="G84" i="1"/>
  <c r="E84" i="1"/>
  <c r="C84" i="1"/>
  <c r="G81" i="1"/>
  <c r="E81" i="1"/>
  <c r="C81" i="1"/>
  <c r="G80" i="1"/>
  <c r="E80" i="1"/>
  <c r="C80" i="1"/>
  <c r="G79" i="1"/>
  <c r="E79" i="1"/>
  <c r="C79" i="1"/>
  <c r="G77" i="1"/>
  <c r="E77" i="1"/>
  <c r="C77" i="1"/>
  <c r="G74" i="1"/>
  <c r="E74" i="1"/>
  <c r="C74" i="1"/>
  <c r="G72" i="1"/>
  <c r="E72" i="1"/>
  <c r="C72" i="1"/>
  <c r="G70" i="1"/>
  <c r="E70" i="1"/>
  <c r="C70" i="1"/>
  <c r="G69" i="1"/>
  <c r="E69" i="1"/>
  <c r="C69" i="1"/>
  <c r="G68" i="1"/>
  <c r="E68" i="1"/>
  <c r="C68" i="1"/>
  <c r="G67" i="1"/>
  <c r="E67" i="1"/>
  <c r="C67" i="1"/>
  <c r="G62" i="1"/>
  <c r="E62" i="1"/>
  <c r="C62" i="1"/>
  <c r="G61" i="1"/>
  <c r="E61" i="1"/>
  <c r="C61" i="1"/>
  <c r="G59" i="1"/>
  <c r="E59" i="1"/>
  <c r="C59" i="1"/>
  <c r="G58" i="1"/>
  <c r="E58" i="1"/>
  <c r="C58" i="1"/>
  <c r="G54" i="1"/>
  <c r="E54" i="1"/>
  <c r="C54" i="1"/>
  <c r="G52" i="1"/>
  <c r="E52" i="1"/>
  <c r="C52" i="1"/>
  <c r="G49" i="1"/>
  <c r="E49" i="1"/>
  <c r="C49" i="1"/>
  <c r="G48" i="1"/>
  <c r="E48" i="1"/>
  <c r="C48" i="1"/>
  <c r="G46" i="1"/>
  <c r="E46" i="1"/>
  <c r="C46" i="1"/>
  <c r="G44" i="1"/>
  <c r="E44" i="1"/>
  <c r="C44" i="1"/>
  <c r="G43" i="1"/>
  <c r="E43" i="1"/>
  <c r="C43" i="1"/>
  <c r="G42" i="1"/>
  <c r="E42" i="1"/>
  <c r="C42" i="1"/>
  <c r="G39" i="1"/>
  <c r="E39" i="1"/>
  <c r="C39" i="1"/>
  <c r="G36" i="1"/>
  <c r="E36" i="1"/>
  <c r="C36" i="1"/>
  <c r="G35" i="1"/>
  <c r="E35" i="1"/>
  <c r="C35" i="1"/>
  <c r="G32" i="1"/>
  <c r="E32" i="1"/>
  <c r="C32" i="1"/>
  <c r="G28" i="1"/>
  <c r="E28" i="1"/>
  <c r="G27" i="1"/>
  <c r="E27" i="1"/>
  <c r="C27" i="1"/>
  <c r="G24" i="1"/>
  <c r="E24" i="1"/>
  <c r="C24" i="1"/>
  <c r="G23" i="1"/>
  <c r="E23" i="1"/>
  <c r="C23" i="1"/>
  <c r="G22" i="1"/>
  <c r="E22" i="1"/>
  <c r="C22" i="1"/>
  <c r="G16" i="1"/>
  <c r="E16" i="1"/>
  <c r="C16" i="1"/>
  <c r="G12" i="1"/>
  <c r="E12" i="1"/>
  <c r="C12" i="1"/>
  <c r="G7" i="1"/>
  <c r="E7" i="1"/>
  <c r="C7" i="1"/>
  <c r="G6" i="1"/>
  <c r="E6" i="1"/>
  <c r="C6" i="1"/>
  <c r="G3" i="1"/>
  <c r="E3" i="1"/>
  <c r="C3" i="1"/>
  <c r="G2" i="1"/>
  <c r="E2" i="1"/>
</calcChain>
</file>

<file path=xl/sharedStrings.xml><?xml version="1.0" encoding="utf-8"?>
<sst xmlns="http://schemas.openxmlformats.org/spreadsheetml/2006/main" count="3702" uniqueCount="1722">
  <si>
    <t>Name</t>
  </si>
  <si>
    <t>world_ranking</t>
  </si>
  <si>
    <t>count_world_ranking</t>
  </si>
  <si>
    <t>region_ranking</t>
  </si>
  <si>
    <t>count_region_ranking</t>
  </si>
  <si>
    <t>country_ranking</t>
  </si>
  <si>
    <t>count_country_ranking</t>
  </si>
  <si>
    <t>region</t>
  </si>
  <si>
    <t>country</t>
  </si>
  <si>
    <t>city\state</t>
  </si>
  <si>
    <t>Control</t>
  </si>
  <si>
    <t>acceptance_rate</t>
  </si>
  <si>
    <t>publication</t>
  </si>
  <si>
    <t>Language</t>
  </si>
  <si>
    <t>Average SAT</t>
  </si>
  <si>
    <t>Average ACT</t>
  </si>
  <si>
    <t>Aid receiving</t>
  </si>
  <si>
    <t>Undergraduates</t>
  </si>
  <si>
    <t>Graduates</t>
  </si>
  <si>
    <t>Highest Degree</t>
  </si>
  <si>
    <t>Citations</t>
  </si>
  <si>
    <t>Average aid awarded</t>
  </si>
  <si>
    <t>Net average cost to attend</t>
  </si>
  <si>
    <t>Top_World_Ranking</t>
  </si>
  <si>
    <t>Harvard University</t>
  </si>
  <si>
    <t>1/14131</t>
  </si>
  <si>
    <t>1/2597</t>
  </si>
  <si>
    <t>1/2496</t>
  </si>
  <si>
    <t>North America</t>
  </si>
  <si>
    <t>United States</t>
  </si>
  <si>
    <t>Massachusetts</t>
  </si>
  <si>
    <t>English</t>
  </si>
  <si>
    <t>Doctoral</t>
  </si>
  <si>
    <t>28,121,045</t>
  </si>
  <si>
    <t xml:space="preserve">$13,910 </t>
  </si>
  <si>
    <t>Top50</t>
  </si>
  <si>
    <t>Stanford University</t>
  </si>
  <si>
    <t>2/14131</t>
  </si>
  <si>
    <t>2/2597</t>
  </si>
  <si>
    <t>2/2496</t>
  </si>
  <si>
    <t>California</t>
  </si>
  <si>
    <t>18,051,589</t>
  </si>
  <si>
    <t>$14,402</t>
  </si>
  <si>
    <t>University of Michigan - Ann Arbor</t>
  </si>
  <si>
    <t>3/14131</t>
  </si>
  <si>
    <t>3/2597</t>
  </si>
  <si>
    <t>0.001155179</t>
  </si>
  <si>
    <t>3/2496</t>
  </si>
  <si>
    <t>0.001201923</t>
  </si>
  <si>
    <t>Europe</t>
  </si>
  <si>
    <t>Germany</t>
  </si>
  <si>
    <t>Thuringia</t>
  </si>
  <si>
    <t>Public</t>
  </si>
  <si>
    <t>14,335,587</t>
  </si>
  <si>
    <t>$21,977</t>
  </si>
  <si>
    <t>University of California - Berkeley</t>
  </si>
  <si>
    <t>4 /14131</t>
  </si>
  <si>
    <t>4 /2597</t>
  </si>
  <si>
    <t>0.001925298</t>
  </si>
  <si>
    <t>4 /2496</t>
  </si>
  <si>
    <t>0.002003205</t>
  </si>
  <si>
    <t>Oklahoma State</t>
  </si>
  <si>
    <t>14,130,676</t>
  </si>
  <si>
    <t>$54,315</t>
  </si>
  <si>
    <t>Massachusetts Institute of Technology</t>
  </si>
  <si>
    <t>5/14131</t>
  </si>
  <si>
    <t>5/2597</t>
  </si>
  <si>
    <t>5/2496</t>
  </si>
  <si>
    <t>Private not-for-profit</t>
  </si>
  <si>
    <t>13,385,463</t>
  </si>
  <si>
    <t>$30,958</t>
  </si>
  <si>
    <t>University of California - Los Angeles</t>
  </si>
  <si>
    <t>10/14131</t>
  </si>
  <si>
    <t>9/2597</t>
  </si>
  <si>
    <t>0.002310358</t>
  </si>
  <si>
    <t>9 /2496</t>
  </si>
  <si>
    <t>0.002403846</t>
  </si>
  <si>
    <t>Kentucky</t>
  </si>
  <si>
    <t>11,607,379</t>
  </si>
  <si>
    <t>$46,458</t>
  </si>
  <si>
    <t>Columbia University</t>
  </si>
  <si>
    <t>6/14131</t>
  </si>
  <si>
    <t>6/2597</t>
  </si>
  <si>
    <t>6/2496</t>
  </si>
  <si>
    <t>New York State</t>
  </si>
  <si>
    <t>11,059,793</t>
  </si>
  <si>
    <t>$12,411</t>
  </si>
  <si>
    <t>University of Cambridge</t>
  </si>
  <si>
    <t>13/14131</t>
  </si>
  <si>
    <t>2/2785</t>
  </si>
  <si>
    <t>0.000359066</t>
  </si>
  <si>
    <t>2/163</t>
  </si>
  <si>
    <t>0.006134969</t>
  </si>
  <si>
    <t>Belgium</t>
  </si>
  <si>
    <t>Brussels</t>
  </si>
  <si>
    <t>11,097,137</t>
  </si>
  <si>
    <t>$29,217</t>
  </si>
  <si>
    <t>University of Washington - Seattle</t>
  </si>
  <si>
    <t>7/14131</t>
  </si>
  <si>
    <t>7/2597</t>
  </si>
  <si>
    <t>0.002695418</t>
  </si>
  <si>
    <t>7/2496</t>
  </si>
  <si>
    <t>0.002804487</t>
  </si>
  <si>
    <t>Asia</t>
  </si>
  <si>
    <t>South Korea</t>
  </si>
  <si>
    <t>Seoul</t>
  </si>
  <si>
    <t>14,250,122</t>
  </si>
  <si>
    <t>$16,605</t>
  </si>
  <si>
    <t>University of Oxford</t>
  </si>
  <si>
    <t>8/14131</t>
  </si>
  <si>
    <t>1/2785</t>
  </si>
  <si>
    <t>0.000718133</t>
  </si>
  <si>
    <t>1/163</t>
  </si>
  <si>
    <t>0.012269939</t>
  </si>
  <si>
    <t>North Carolina</t>
  </si>
  <si>
    <t>11,917,679</t>
  </si>
  <si>
    <t>$9.250</t>
  </si>
  <si>
    <t>Yale University</t>
  </si>
  <si>
    <t>9 /14131</t>
  </si>
  <si>
    <t>8/2597</t>
  </si>
  <si>
    <t>0.003465537</t>
  </si>
  <si>
    <t>8/2496</t>
  </si>
  <si>
    <t>0.003605769</t>
  </si>
  <si>
    <t>China</t>
  </si>
  <si>
    <t>Xi'an</t>
  </si>
  <si>
    <t>11,041,652</t>
  </si>
  <si>
    <t xml:space="preserve">$20,605 </t>
  </si>
  <si>
    <t>Cornell University</t>
  </si>
  <si>
    <t>11/14131</t>
  </si>
  <si>
    <t>10/2597</t>
  </si>
  <si>
    <t>10/2496</t>
  </si>
  <si>
    <t>10,244,414</t>
  </si>
  <si>
    <t>$24,262</t>
  </si>
  <si>
    <t>University of Pennsylvania</t>
  </si>
  <si>
    <t>14 /14131</t>
  </si>
  <si>
    <t>12/2597</t>
  </si>
  <si>
    <t>0.003850597</t>
  </si>
  <si>
    <t>11/2496</t>
  </si>
  <si>
    <t>0.00400641</t>
  </si>
  <si>
    <t>United Kingdom</t>
  </si>
  <si>
    <t>England</t>
  </si>
  <si>
    <t>11,878,311</t>
  </si>
  <si>
    <t>$14,578</t>
  </si>
  <si>
    <t>University of Wisconsin - Madison</t>
  </si>
  <si>
    <t>16/14131</t>
  </si>
  <si>
    <t>14/2597</t>
  </si>
  <si>
    <t>0.005005776</t>
  </si>
  <si>
    <t>13/2496</t>
  </si>
  <si>
    <t>0.005208333</t>
  </si>
  <si>
    <t>Alabama</t>
  </si>
  <si>
    <t>9,482,241</t>
  </si>
  <si>
    <t>$22,358</t>
  </si>
  <si>
    <t>Johns Hopkins University</t>
  </si>
  <si>
    <t>15/14131</t>
  </si>
  <si>
    <t>13/2597</t>
  </si>
  <si>
    <t>12/2496</t>
  </si>
  <si>
    <t>Latin America</t>
  </si>
  <si>
    <t>Maryland</t>
  </si>
  <si>
    <t>11,751,431</t>
  </si>
  <si>
    <t xml:space="preserve">$20,680 </t>
  </si>
  <si>
    <t>University of Toronto</t>
  </si>
  <si>
    <t>12/14131</t>
  </si>
  <si>
    <t>11/2597</t>
  </si>
  <si>
    <t>0.005390836</t>
  </si>
  <si>
    <t>1/101</t>
  </si>
  <si>
    <t>0.00990099</t>
  </si>
  <si>
    <t>Brazil</t>
  </si>
  <si>
    <t>Belo Horizonte</t>
  </si>
  <si>
    <t>12,707,662</t>
  </si>
  <si>
    <t>$11,267</t>
  </si>
  <si>
    <t>University of Minnesota - Twin Cities</t>
  </si>
  <si>
    <t>17/14131</t>
  </si>
  <si>
    <t>15/2597</t>
  </si>
  <si>
    <t>0.005775895</t>
  </si>
  <si>
    <t>14/2496</t>
  </si>
  <si>
    <t>0.005608974</t>
  </si>
  <si>
    <t>Japan</t>
  </si>
  <si>
    <t>Tokyo</t>
  </si>
  <si>
    <t>8,665,488</t>
  </si>
  <si>
    <t xml:space="preserve"> $16,654</t>
  </si>
  <si>
    <t>University of Chile</t>
  </si>
  <si>
    <t>18/14131</t>
  </si>
  <si>
    <t>16/2597</t>
  </si>
  <si>
    <t>0.006160955</t>
  </si>
  <si>
    <t>15/2496</t>
  </si>
  <si>
    <t>0.006009615</t>
  </si>
  <si>
    <t>Colorado</t>
  </si>
  <si>
    <t>Spanish</t>
  </si>
  <si>
    <t>1,058,261</t>
  </si>
  <si>
    <t>$6,300</t>
  </si>
  <si>
    <t>University of Tokyo</t>
  </si>
  <si>
    <t>19/14131</t>
  </si>
  <si>
    <t>1/5830</t>
  </si>
  <si>
    <t>0.000171527</t>
  </si>
  <si>
    <t>1/719</t>
  </si>
  <si>
    <t>0.001390821</t>
  </si>
  <si>
    <t xml:space="preserve"> Tokyo</t>
  </si>
  <si>
    <t>Japanese , English</t>
  </si>
  <si>
    <t>8,629,585</t>
  </si>
  <si>
    <t>$7,000</t>
  </si>
  <si>
    <t>Pennsylvania State University</t>
  </si>
  <si>
    <t>20/14131</t>
  </si>
  <si>
    <t>17/2597</t>
  </si>
  <si>
    <t>16/2496</t>
  </si>
  <si>
    <t>Pennsylvania</t>
  </si>
  <si>
    <t>7,300,912</t>
  </si>
  <si>
    <t>$32,528</t>
  </si>
  <si>
    <t>University of Illinois at Urbana - Champaign</t>
  </si>
  <si>
    <t>23 /14131</t>
  </si>
  <si>
    <t>19/2597</t>
  </si>
  <si>
    <t>0.006546015</t>
  </si>
  <si>
    <t>18/2496</t>
  </si>
  <si>
    <t>0.006410256</t>
  </si>
  <si>
    <t>Campania</t>
  </si>
  <si>
    <t>8,034,733</t>
  </si>
  <si>
    <t xml:space="preserve"> $14,635</t>
  </si>
  <si>
    <t>University College London</t>
  </si>
  <si>
    <t>21/14131</t>
  </si>
  <si>
    <t>29/2597</t>
  </si>
  <si>
    <t>27/2496</t>
  </si>
  <si>
    <t>London</t>
  </si>
  <si>
    <t>8,693,319</t>
  </si>
  <si>
    <t>$25,339</t>
  </si>
  <si>
    <t>Ohio State University</t>
  </si>
  <si>
    <t>22/14131</t>
  </si>
  <si>
    <t>18 /2597</t>
  </si>
  <si>
    <t>17/2496</t>
  </si>
  <si>
    <t>Columbus</t>
  </si>
  <si>
    <t>6,725,241</t>
  </si>
  <si>
    <t>$11,560</t>
  </si>
  <si>
    <t>University of Texas at Austin</t>
  </si>
  <si>
    <t>31/14131</t>
  </si>
  <si>
    <t>27/2597</t>
  </si>
  <si>
    <t>0.008471313</t>
  </si>
  <si>
    <t>25/2496</t>
  </si>
  <si>
    <t>0.008413462</t>
  </si>
  <si>
    <t>Baden-Wurttemberg</t>
  </si>
  <si>
    <t>6,500,532</t>
  </si>
  <si>
    <t>$22,499</t>
  </si>
  <si>
    <t>New York University</t>
  </si>
  <si>
    <t>26/14131</t>
  </si>
  <si>
    <t>22/2597</t>
  </si>
  <si>
    <t>21 /2496</t>
  </si>
  <si>
    <t>6,801,466</t>
  </si>
  <si>
    <t>$50,991</t>
  </si>
  <si>
    <t>University of Chicago</t>
  </si>
  <si>
    <t>16 /2597</t>
  </si>
  <si>
    <t>0.008856373</t>
  </si>
  <si>
    <t>0.008814103</t>
  </si>
  <si>
    <t>Porto</t>
  </si>
  <si>
    <t>8,177,819</t>
  </si>
  <si>
    <t>$33,727</t>
  </si>
  <si>
    <t>Princeton University</t>
  </si>
  <si>
    <t>29/14131</t>
  </si>
  <si>
    <t>25/2597</t>
  </si>
  <si>
    <t>23 /2496</t>
  </si>
  <si>
    <t>New Jersey</t>
  </si>
  <si>
    <t>6,746,169</t>
  </si>
  <si>
    <t>$20,908</t>
  </si>
  <si>
    <t>University of North Carolina at Chapel Hill</t>
  </si>
  <si>
    <t>30/14131</t>
  </si>
  <si>
    <t>26/2597</t>
  </si>
  <si>
    <t>0.009626492</t>
  </si>
  <si>
    <t>24/2496</t>
  </si>
  <si>
    <t>0.009615385</t>
  </si>
  <si>
    <t>Lombardy</t>
  </si>
  <si>
    <t>7,598,640</t>
  </si>
  <si>
    <t>$15,202</t>
  </si>
  <si>
    <t>University of California-San Diego</t>
  </si>
  <si>
    <t>25/14131</t>
  </si>
  <si>
    <t>21/2597</t>
  </si>
  <si>
    <t>0.010011552</t>
  </si>
  <si>
    <t>20/2496</t>
  </si>
  <si>
    <t>0.010016026</t>
  </si>
  <si>
    <t>British Columbia</t>
  </si>
  <si>
    <t>10,584,156</t>
  </si>
  <si>
    <t>University of Southern California</t>
  </si>
  <si>
    <t>24/14131</t>
  </si>
  <si>
    <t>20/2597</t>
  </si>
  <si>
    <t>0.010396611</t>
  </si>
  <si>
    <t>19/2496</t>
  </si>
  <si>
    <t>0.010416667</t>
  </si>
  <si>
    <t>Kansas State</t>
  </si>
  <si>
    <t>6,636,439</t>
  </si>
  <si>
    <t>$26,021</t>
  </si>
  <si>
    <t>Boston University</t>
  </si>
  <si>
    <t>32/14131</t>
  </si>
  <si>
    <t>28/2597</t>
  </si>
  <si>
    <t>26 /2496</t>
  </si>
  <si>
    <t>8,087,746</t>
  </si>
  <si>
    <t>$25,852</t>
  </si>
  <si>
    <t>University of Florida</t>
  </si>
  <si>
    <t>28/14131</t>
  </si>
  <si>
    <t>24/2597</t>
  </si>
  <si>
    <t>0.010781671</t>
  </si>
  <si>
    <t>22/2496</t>
  </si>
  <si>
    <t>0.010817308</t>
  </si>
  <si>
    <t>West Virginia</t>
  </si>
  <si>
    <t>6,306,275</t>
  </si>
  <si>
    <t xml:space="preserve"> $28,658</t>
  </si>
  <si>
    <t>University of British Columbia</t>
  </si>
  <si>
    <t>27/14131</t>
  </si>
  <si>
    <t>23/2597</t>
  </si>
  <si>
    <t>0.011166731</t>
  </si>
  <si>
    <t>2/101</t>
  </si>
  <si>
    <t>0.01980198</t>
  </si>
  <si>
    <t>Canada</t>
  </si>
  <si>
    <t>Lausanne</t>
  </si>
  <si>
    <t>7,792,745</t>
  </si>
  <si>
    <t xml:space="preserve"> $7,245</t>
  </si>
  <si>
    <t>Northwestern University</t>
  </si>
  <si>
    <t>33/14131</t>
  </si>
  <si>
    <t>Illinois</t>
  </si>
  <si>
    <t>6,698,561</t>
  </si>
  <si>
    <t>$29,999</t>
  </si>
  <si>
    <t>Duke University</t>
  </si>
  <si>
    <t>34/14131</t>
  </si>
  <si>
    <t>30/2597</t>
  </si>
  <si>
    <t>28/2496</t>
  </si>
  <si>
    <t>6,356,650</t>
  </si>
  <si>
    <t>$27,297</t>
  </si>
  <si>
    <t>University of California - Davis</t>
  </si>
  <si>
    <t>35/14131</t>
  </si>
  <si>
    <t>31/2597</t>
  </si>
  <si>
    <t>0.011551791</t>
  </si>
  <si>
    <t>29/2496</t>
  </si>
  <si>
    <t>0.011217949</t>
  </si>
  <si>
    <t>Trondheim</t>
  </si>
  <si>
    <t>7,000,255</t>
  </si>
  <si>
    <t>$24,110</t>
  </si>
  <si>
    <t>University of Maryland - College Park</t>
  </si>
  <si>
    <t>42 /14131</t>
  </si>
  <si>
    <t>37/2597</t>
  </si>
  <si>
    <t>0.01232191</t>
  </si>
  <si>
    <t>34 /2496</t>
  </si>
  <si>
    <t>0.012019231</t>
  </si>
  <si>
    <t>Louvain-la-Neuve</t>
  </si>
  <si>
    <t>5,436,629</t>
  </si>
  <si>
    <t>$23,099</t>
  </si>
  <si>
    <t>Rutgers University - New Brunswick</t>
  </si>
  <si>
    <t>37/14131</t>
  </si>
  <si>
    <t>33/2597</t>
  </si>
  <si>
    <t>31 /2496</t>
  </si>
  <si>
    <t>5,262,004</t>
  </si>
  <si>
    <t xml:space="preserve"> $28,245</t>
  </si>
  <si>
    <t>University of Edinburgh</t>
  </si>
  <si>
    <t>38/14131</t>
  </si>
  <si>
    <t>4/2785</t>
  </si>
  <si>
    <t>0.001436266</t>
  </si>
  <si>
    <t>4/163</t>
  </si>
  <si>
    <t>0.024539877</t>
  </si>
  <si>
    <t>Vermont</t>
  </si>
  <si>
    <t>5,431,619</t>
  </si>
  <si>
    <t>$26,801</t>
  </si>
  <si>
    <t>University of Pittsburgh</t>
  </si>
  <si>
    <t>40 /14131</t>
  </si>
  <si>
    <t>35/2597</t>
  </si>
  <si>
    <t>0.01270697</t>
  </si>
  <si>
    <t>33/2496</t>
  </si>
  <si>
    <t>0.012419872</t>
  </si>
  <si>
    <t>7,487,307</t>
  </si>
  <si>
    <t xml:space="preserve"> $15,084</t>
  </si>
  <si>
    <t>Michigan State University</t>
  </si>
  <si>
    <t>39/14131</t>
  </si>
  <si>
    <t>34/2597</t>
  </si>
  <si>
    <t>32 /2496</t>
  </si>
  <si>
    <t>Michigan</t>
  </si>
  <si>
    <t>4,971,291</t>
  </si>
  <si>
    <t xml:space="preserve"> $25,297</t>
  </si>
  <si>
    <t>McGill University</t>
  </si>
  <si>
    <t>41/14131</t>
  </si>
  <si>
    <t>36/2597</t>
  </si>
  <si>
    <t>3/101</t>
  </si>
  <si>
    <t>Quebec State</t>
  </si>
  <si>
    <t>6,618,649</t>
  </si>
  <si>
    <t>$33,618</t>
  </si>
  <si>
    <t>Texas A&amp;M University - College Station</t>
  </si>
  <si>
    <t>44/14131</t>
  </si>
  <si>
    <t>39/2597</t>
  </si>
  <si>
    <t>36/2496</t>
  </si>
  <si>
    <t>Texas</t>
  </si>
  <si>
    <t>4,523,966</t>
  </si>
  <si>
    <t xml:space="preserve"> $39,796</t>
  </si>
  <si>
    <t>Washington University in St Louis</t>
  </si>
  <si>
    <t>49/14131</t>
  </si>
  <si>
    <t>41/2597</t>
  </si>
  <si>
    <t>0.015017328</t>
  </si>
  <si>
    <t>38/2496</t>
  </si>
  <si>
    <t>0.014823718</t>
  </si>
  <si>
    <t>Louisiana</t>
  </si>
  <si>
    <t>7,335,260</t>
  </si>
  <si>
    <t xml:space="preserve">$28,298 </t>
  </si>
  <si>
    <t>Imperial College London</t>
  </si>
  <si>
    <t>45/14131</t>
  </si>
  <si>
    <t>5/5830</t>
  </si>
  <si>
    <t>Bachelor</t>
  </si>
  <si>
    <t>8,026,549</t>
  </si>
  <si>
    <t>$44,046</t>
  </si>
  <si>
    <t>University of California - San Francisco</t>
  </si>
  <si>
    <t>43/14131</t>
  </si>
  <si>
    <t>38/2597</t>
  </si>
  <si>
    <t>0.015402387</t>
  </si>
  <si>
    <t>35/2496</t>
  </si>
  <si>
    <t>0.015224359</t>
  </si>
  <si>
    <t>10,453,694</t>
  </si>
  <si>
    <t>$58,222</t>
  </si>
  <si>
    <t>Carnegie Mellon University</t>
  </si>
  <si>
    <t>46/14131</t>
  </si>
  <si>
    <t>40/2597</t>
  </si>
  <si>
    <t>37/2496</t>
  </si>
  <si>
    <t>4,491,663</t>
  </si>
  <si>
    <t>$37,450</t>
  </si>
  <si>
    <t>Tsinghua University</t>
  </si>
  <si>
    <t>47/14131</t>
  </si>
  <si>
    <t>2/5830</t>
  </si>
  <si>
    <t>1/ 960</t>
  </si>
  <si>
    <t>Beijing</t>
  </si>
  <si>
    <t>Chinese,English</t>
  </si>
  <si>
    <t>4,839,271</t>
  </si>
  <si>
    <t>$5.528</t>
  </si>
  <si>
    <t>University of Sao Paulo</t>
  </si>
  <si>
    <t>51/14131</t>
  </si>
  <si>
    <t>1/1756</t>
  </si>
  <si>
    <t>0.000569476</t>
  </si>
  <si>
    <t>1/198</t>
  </si>
  <si>
    <t>0.005050505</t>
  </si>
  <si>
    <t>Scotland</t>
  </si>
  <si>
    <t>Portuguese</t>
  </si>
  <si>
    <t>4,080,985</t>
  </si>
  <si>
    <t>$29600</t>
  </si>
  <si>
    <t>University of Virginia</t>
  </si>
  <si>
    <t>54/14131</t>
  </si>
  <si>
    <t>44 /2597</t>
  </si>
  <si>
    <t>0.016557566</t>
  </si>
  <si>
    <t>41/2496</t>
  </si>
  <si>
    <t>0.016025641</t>
  </si>
  <si>
    <t>Virginia</t>
  </si>
  <si>
    <t>4,204,938</t>
  </si>
  <si>
    <t>$30,829</t>
  </si>
  <si>
    <t>Purdue University</t>
  </si>
  <si>
    <t>50/14131</t>
  </si>
  <si>
    <t>42/ 2597</t>
  </si>
  <si>
    <t>39/2496</t>
  </si>
  <si>
    <t>Indiana</t>
  </si>
  <si>
    <t>4,147,015</t>
  </si>
  <si>
    <t>$17,862</t>
  </si>
  <si>
    <t>University of Melbourne</t>
  </si>
  <si>
    <t>48/14131</t>
  </si>
  <si>
    <t>1/59</t>
  </si>
  <si>
    <t>0.016949153</t>
  </si>
  <si>
    <t>1/40</t>
  </si>
  <si>
    <t>0.025</t>
  </si>
  <si>
    <t>Oceania</t>
  </si>
  <si>
    <t>Australia</t>
  </si>
  <si>
    <t>Melbourne</t>
  </si>
  <si>
    <t>6,226,895</t>
  </si>
  <si>
    <t>$40000</t>
  </si>
  <si>
    <t>Top100</t>
  </si>
  <si>
    <t>Kyoto University</t>
  </si>
  <si>
    <t>53/14131</t>
  </si>
  <si>
    <t>54/2597</t>
  </si>
  <si>
    <t>50/2496</t>
  </si>
  <si>
    <t>Kyoto</t>
  </si>
  <si>
    <t>Japanese;English</t>
  </si>
  <si>
    <t>6,150,572</t>
  </si>
  <si>
    <t>$23,100</t>
  </si>
  <si>
    <t>University of California - Irvine</t>
  </si>
  <si>
    <t>56/14131</t>
  </si>
  <si>
    <t>45/2597</t>
  </si>
  <si>
    <t>0.017712745</t>
  </si>
  <si>
    <t>42/2496</t>
  </si>
  <si>
    <t>0.017227564</t>
  </si>
  <si>
    <t>Basel</t>
  </si>
  <si>
    <t>4,547,534</t>
  </si>
  <si>
    <t>$20,567</t>
  </si>
  <si>
    <t>University of Munich</t>
  </si>
  <si>
    <t>57/14131</t>
  </si>
  <si>
    <t>12/2785</t>
  </si>
  <si>
    <t>0.002154399</t>
  </si>
  <si>
    <t>1/369</t>
  </si>
  <si>
    <t>0.002710027</t>
  </si>
  <si>
    <t>Manitoba</t>
  </si>
  <si>
    <t xml:space="preserve">German;English </t>
  </si>
  <si>
    <t>3,821,150</t>
  </si>
  <si>
    <t>$9,145</t>
  </si>
  <si>
    <t>University of Colorado Boulder</t>
  </si>
  <si>
    <t>63/14131</t>
  </si>
  <si>
    <t>49/2597</t>
  </si>
  <si>
    <t>0.018097805</t>
  </si>
  <si>
    <t>46/2496</t>
  </si>
  <si>
    <t>0.017628205</t>
  </si>
  <si>
    <t>4,216,305</t>
  </si>
  <si>
    <t xml:space="preserve"> $25,813</t>
  </si>
  <si>
    <t>Arizona State University - Tempe</t>
  </si>
  <si>
    <t>58/14131</t>
  </si>
  <si>
    <t>46/2597</t>
  </si>
  <si>
    <t>43/2496</t>
  </si>
  <si>
    <t>Arizona</t>
  </si>
  <si>
    <t>3,861,089</t>
  </si>
  <si>
    <t>$20,439</t>
  </si>
  <si>
    <t>Swiss Federal Institute of Technology Zurich</t>
  </si>
  <si>
    <t>59/14131</t>
  </si>
  <si>
    <t>7/2,785</t>
  </si>
  <si>
    <t>1/23</t>
  </si>
  <si>
    <t>Switzerland</t>
  </si>
  <si>
    <t>Zurich</t>
  </si>
  <si>
    <t>4,679,395</t>
  </si>
  <si>
    <t>$19865</t>
  </si>
  <si>
    <t>University of Manchester</t>
  </si>
  <si>
    <t>6/2785</t>
  </si>
  <si>
    <t>0.002513465</t>
  </si>
  <si>
    <t>6/163</t>
  </si>
  <si>
    <t>0.036809816</t>
  </si>
  <si>
    <t>5,799,688</t>
  </si>
  <si>
    <t>$28,000</t>
  </si>
  <si>
    <t>Georgia Institute of Technology</t>
  </si>
  <si>
    <t>60/14131</t>
  </si>
  <si>
    <t>47/2597</t>
  </si>
  <si>
    <t>44/2496</t>
  </si>
  <si>
    <t>Georgia</t>
  </si>
  <si>
    <t>4,317,753</t>
  </si>
  <si>
    <t>$22,590</t>
  </si>
  <si>
    <t>North Carolina State University at Raleigh</t>
  </si>
  <si>
    <t>61/14131</t>
  </si>
  <si>
    <t>48/2597</t>
  </si>
  <si>
    <t>45/2496</t>
  </si>
  <si>
    <t>3,225,566</t>
  </si>
  <si>
    <t>$38,542</t>
  </si>
  <si>
    <t>University of Utah</t>
  </si>
  <si>
    <t>52/14131</t>
  </si>
  <si>
    <t>43/2597</t>
  </si>
  <si>
    <t>0.018867925</t>
  </si>
  <si>
    <t>40/2496</t>
  </si>
  <si>
    <t>0.018429487</t>
  </si>
  <si>
    <t>Nova Scotia</t>
  </si>
  <si>
    <t>4,879,988</t>
  </si>
  <si>
    <t>$50,904</t>
  </si>
  <si>
    <t>University of New South Wales</t>
  </si>
  <si>
    <t>62 /14131</t>
  </si>
  <si>
    <t>3/59</t>
  </si>
  <si>
    <t>0.033898305</t>
  </si>
  <si>
    <t>3/40</t>
  </si>
  <si>
    <t>0.05</t>
  </si>
  <si>
    <t>4,619,867</t>
  </si>
  <si>
    <t>$23,000</t>
  </si>
  <si>
    <t>University of Sydney</t>
  </si>
  <si>
    <t>55/14131</t>
  </si>
  <si>
    <t>2/59</t>
  </si>
  <si>
    <t>0.050847458</t>
  </si>
  <si>
    <t>2/40</t>
  </si>
  <si>
    <t>0.075</t>
  </si>
  <si>
    <t>Cape Town</t>
  </si>
  <si>
    <t>5,881,943</t>
  </si>
  <si>
    <t>$26,800</t>
  </si>
  <si>
    <t>University of Rochester</t>
  </si>
  <si>
    <t>84/14131</t>
  </si>
  <si>
    <t>59 /2597</t>
  </si>
  <si>
    <t>0.019252984</t>
  </si>
  <si>
    <t>55/2496</t>
  </si>
  <si>
    <t>0.018830128</t>
  </si>
  <si>
    <t xml:space="preserve"> New York State</t>
  </si>
  <si>
    <t>3,866,558</t>
  </si>
  <si>
    <t>$40,125</t>
  </si>
  <si>
    <t>King's College London</t>
  </si>
  <si>
    <t>66/14131</t>
  </si>
  <si>
    <t>21/2496</t>
  </si>
  <si>
    <t>4,535,591</t>
  </si>
  <si>
    <t>$29,900</t>
  </si>
  <si>
    <t>Peking University</t>
  </si>
  <si>
    <t>67/14131</t>
  </si>
  <si>
    <t>4/5830</t>
  </si>
  <si>
    <t>2/960</t>
  </si>
  <si>
    <t>Chinese;English</t>
  </si>
  <si>
    <t>3,524,601</t>
  </si>
  <si>
    <t>$13.127</t>
  </si>
  <si>
    <t>California Institute of Technology</t>
  </si>
  <si>
    <t>68/14131</t>
  </si>
  <si>
    <t>51/2597</t>
  </si>
  <si>
    <t>48 /2496</t>
  </si>
  <si>
    <t>6,002,147</t>
  </si>
  <si>
    <t>$30,162</t>
  </si>
  <si>
    <t>National University of Singapore</t>
  </si>
  <si>
    <t>69/14131</t>
  </si>
  <si>
    <t>1/8</t>
  </si>
  <si>
    <t>Singapore</t>
  </si>
  <si>
    <t>Singapore City</t>
  </si>
  <si>
    <t>5,239,656</t>
  </si>
  <si>
    <t>$42,400</t>
  </si>
  <si>
    <t>University of Iowa</t>
  </si>
  <si>
    <t>64/14131</t>
  </si>
  <si>
    <t>50/2597</t>
  </si>
  <si>
    <t>0.020023104</t>
  </si>
  <si>
    <t>47 /2496</t>
  </si>
  <si>
    <t>0.01963141</t>
  </si>
  <si>
    <t>Iowa State</t>
  </si>
  <si>
    <t>4,354,922</t>
  </si>
  <si>
    <t xml:space="preserve">$25,832 </t>
  </si>
  <si>
    <t>University of Alberta</t>
  </si>
  <si>
    <t>70/14131</t>
  </si>
  <si>
    <t>52/2597</t>
  </si>
  <si>
    <t>4/101</t>
  </si>
  <si>
    <t>Alberta</t>
  </si>
  <si>
    <t>French;English</t>
  </si>
  <si>
    <t>4,888,315</t>
  </si>
  <si>
    <t xml:space="preserve">$10,000 </t>
  </si>
  <si>
    <t>Utrecht University</t>
  </si>
  <si>
    <t>71/14131</t>
  </si>
  <si>
    <t>10/2785</t>
  </si>
  <si>
    <t>0.003590664</t>
  </si>
  <si>
    <t>2/58</t>
  </si>
  <si>
    <t>0.034482759</t>
  </si>
  <si>
    <t>Dutch;English</t>
  </si>
  <si>
    <t>4,498,927</t>
  </si>
  <si>
    <t>$10,000</t>
  </si>
  <si>
    <t>Catholic University of Leuven</t>
  </si>
  <si>
    <t>65/14131</t>
  </si>
  <si>
    <t>4/59</t>
  </si>
  <si>
    <t>4/40</t>
  </si>
  <si>
    <t>Occupational Therapy</t>
  </si>
  <si>
    <t>5,608,376</t>
  </si>
  <si>
    <t>$31920</t>
  </si>
  <si>
    <t>Vanderbilt University</t>
  </si>
  <si>
    <t>73/14131</t>
  </si>
  <si>
    <t>53/2597</t>
  </si>
  <si>
    <t>0.020793223</t>
  </si>
  <si>
    <t>49/2496</t>
  </si>
  <si>
    <t>0.020432692</t>
  </si>
  <si>
    <t>Tennessee</t>
  </si>
  <si>
    <t>4,485,984</t>
  </si>
  <si>
    <t xml:space="preserve">$27,553 </t>
  </si>
  <si>
    <t>University of Copenhagen</t>
  </si>
  <si>
    <t>72/14131</t>
  </si>
  <si>
    <t>0.003949731</t>
  </si>
  <si>
    <t>1/27</t>
  </si>
  <si>
    <t>0.037037037</t>
  </si>
  <si>
    <t>Denmark</t>
  </si>
  <si>
    <t>North Rhine-Westphalia</t>
  </si>
  <si>
    <t>Danish;English</t>
  </si>
  <si>
    <t>5,254,793</t>
  </si>
  <si>
    <t>$18,470</t>
  </si>
  <si>
    <t>Indiana University - Bloomington</t>
  </si>
  <si>
    <t>74/14131</t>
  </si>
  <si>
    <t>3,211,726</t>
  </si>
  <si>
    <t>$40,480</t>
  </si>
  <si>
    <t>University of Queensland</t>
  </si>
  <si>
    <t>0.06779661</t>
  </si>
  <si>
    <t>0.1</t>
  </si>
  <si>
    <t>Monash University</t>
  </si>
  <si>
    <t>75/14131</t>
  </si>
  <si>
    <t>5/59</t>
  </si>
  <si>
    <t>5/40</t>
  </si>
  <si>
    <t>Publishing</t>
  </si>
  <si>
    <t>4,431,102</t>
  </si>
  <si>
    <t>$0</t>
  </si>
  <si>
    <t>Emory University</t>
  </si>
  <si>
    <t>77/14131</t>
  </si>
  <si>
    <t>55 /2597</t>
  </si>
  <si>
    <t>51/2496</t>
  </si>
  <si>
    <t>5,381,821</t>
  </si>
  <si>
    <t>$28,367</t>
  </si>
  <si>
    <t>Technical University of Munich</t>
  </si>
  <si>
    <t>79/14131</t>
  </si>
  <si>
    <t>Bavaria</t>
  </si>
  <si>
    <t>University of Georgia</t>
  </si>
  <si>
    <t>106/14131</t>
  </si>
  <si>
    <t>64 /2597</t>
  </si>
  <si>
    <t>0.021948402</t>
  </si>
  <si>
    <t>60/2496</t>
  </si>
  <si>
    <t>0.021233974</t>
  </si>
  <si>
    <t>2,467,318</t>
  </si>
  <si>
    <t>$31,120</t>
  </si>
  <si>
    <t>University of Zurich</t>
  </si>
  <si>
    <t>92/14131</t>
  </si>
  <si>
    <t>18/2785</t>
  </si>
  <si>
    <t>0.005385996</t>
  </si>
  <si>
    <t>2/23</t>
  </si>
  <si>
    <t>0.086956522</t>
  </si>
  <si>
    <t>3,961,629</t>
  </si>
  <si>
    <t>$6045</t>
  </si>
  <si>
    <t>Iowa State University</t>
  </si>
  <si>
    <t>82/14131</t>
  </si>
  <si>
    <t>57/2597</t>
  </si>
  <si>
    <t>53/2496</t>
  </si>
  <si>
    <t>2,976,960</t>
  </si>
  <si>
    <t>$17,806</t>
  </si>
  <si>
    <t>Brown University</t>
  </si>
  <si>
    <t>83/14131</t>
  </si>
  <si>
    <t>58/2597</t>
  </si>
  <si>
    <t>54/2496</t>
  </si>
  <si>
    <t>Rhode Island</t>
  </si>
  <si>
    <t>3,384,684</t>
  </si>
  <si>
    <t>$25,028</t>
  </si>
  <si>
    <t>University of California - Santa Barbara</t>
  </si>
  <si>
    <t>59/2597</t>
  </si>
  <si>
    <t>0.022718521</t>
  </si>
  <si>
    <t>0.022035256</t>
  </si>
  <si>
    <t>4,276,303</t>
  </si>
  <si>
    <t>$21,581</t>
  </si>
  <si>
    <t>Osaka University</t>
  </si>
  <si>
    <t>86/14131</t>
  </si>
  <si>
    <t>6/5,830</t>
  </si>
  <si>
    <t>3/719</t>
  </si>
  <si>
    <t>Suita</t>
  </si>
  <si>
    <t>Japanese</t>
  </si>
  <si>
    <t>4,732,776</t>
  </si>
  <si>
    <t>$11.179</t>
  </si>
  <si>
    <t>Australian National University</t>
  </si>
  <si>
    <t>87/14131</t>
  </si>
  <si>
    <t>6/59</t>
  </si>
  <si>
    <t>6/40</t>
  </si>
  <si>
    <t>Canberra</t>
  </si>
  <si>
    <t>3,739,396</t>
  </si>
  <si>
    <t>$34,000</t>
  </si>
  <si>
    <t>University of Helsinki</t>
  </si>
  <si>
    <t>80/14131</t>
  </si>
  <si>
    <t>13/2785</t>
  </si>
  <si>
    <t>0.006104129</t>
  </si>
  <si>
    <t>1/36</t>
  </si>
  <si>
    <t>0.027777778</t>
  </si>
  <si>
    <t>Finland</t>
  </si>
  <si>
    <t xml:space="preserve"> Helsinki</t>
  </si>
  <si>
    <t>Finnish;Swedish;English</t>
  </si>
  <si>
    <t>4,302,929</t>
  </si>
  <si>
    <t xml:space="preserve">$18.000 </t>
  </si>
  <si>
    <t>National Autonomous University of Mexico</t>
  </si>
  <si>
    <t>89/14131</t>
  </si>
  <si>
    <t>2/1,756</t>
  </si>
  <si>
    <t>1/538</t>
  </si>
  <si>
    <t>Mexico</t>
  </si>
  <si>
    <t>Mexico City</t>
  </si>
  <si>
    <t>1,742,726</t>
  </si>
  <si>
    <t>$28,470</t>
  </si>
  <si>
    <t>University of Massachusetts - Amherst</t>
  </si>
  <si>
    <t>109 /14131</t>
  </si>
  <si>
    <t>66 /2597</t>
  </si>
  <si>
    <t>0.023488641</t>
  </si>
  <si>
    <t>61/2496</t>
  </si>
  <si>
    <t>0.022836538</t>
  </si>
  <si>
    <t>2,613,778</t>
  </si>
  <si>
    <t>$35000</t>
  </si>
  <si>
    <t>University of Glasgow</t>
  </si>
  <si>
    <t>88/14131</t>
  </si>
  <si>
    <t>16/2785</t>
  </si>
  <si>
    <t>0.006463196</t>
  </si>
  <si>
    <t>8/163</t>
  </si>
  <si>
    <t>0.049079755</t>
  </si>
  <si>
    <t>3,473,868</t>
  </si>
  <si>
    <t>4$8,960</t>
  </si>
  <si>
    <t>Lund University</t>
  </si>
  <si>
    <t>91/14131</t>
  </si>
  <si>
    <t>19/2785</t>
  </si>
  <si>
    <t>1/39</t>
  </si>
  <si>
    <t>Sweden</t>
  </si>
  <si>
    <t>Skane County</t>
  </si>
  <si>
    <t>Swedish;English</t>
  </si>
  <si>
    <t>4,672,517</t>
  </si>
  <si>
    <t>$25,246</t>
  </si>
  <si>
    <t>University of Vienna</t>
  </si>
  <si>
    <t>97/14131</t>
  </si>
  <si>
    <t>22/2785</t>
  </si>
  <si>
    <t>0.006822262</t>
  </si>
  <si>
    <t>1/71</t>
  </si>
  <si>
    <t>0.014084507</t>
  </si>
  <si>
    <t>Austria</t>
  </si>
  <si>
    <t>Vienna</t>
  </si>
  <si>
    <t>German</t>
  </si>
  <si>
    <t>2,515,710</t>
  </si>
  <si>
    <t>$28,220</t>
  </si>
  <si>
    <t>Heidelberg University - Germany</t>
  </si>
  <si>
    <t>93/14131</t>
  </si>
  <si>
    <t>3/369</t>
  </si>
  <si>
    <t>3,207,022</t>
  </si>
  <si>
    <t>$32,900</t>
  </si>
  <si>
    <t>Virginia Polytechnic Institute and State University</t>
  </si>
  <si>
    <t>90/14131</t>
  </si>
  <si>
    <t>60/2597</t>
  </si>
  <si>
    <t>0.02425876</t>
  </si>
  <si>
    <t>56/2496</t>
  </si>
  <si>
    <t>0.023637821</t>
  </si>
  <si>
    <t>2,757,056</t>
  </si>
  <si>
    <t xml:space="preserve"> $18,449</t>
  </si>
  <si>
    <t>Tufts University</t>
  </si>
  <si>
    <t>96/14131</t>
  </si>
  <si>
    <t>61/2597</t>
  </si>
  <si>
    <t>57/2496</t>
  </si>
  <si>
    <t>3,076,588</t>
  </si>
  <si>
    <t>$31,630</t>
  </si>
  <si>
    <t>University of Oslo</t>
  </si>
  <si>
    <t>95/14131</t>
  </si>
  <si>
    <t>21/2785</t>
  </si>
  <si>
    <t>0.007540395</t>
  </si>
  <si>
    <t>1/29</t>
  </si>
  <si>
    <t>Norway</t>
  </si>
  <si>
    <t>Oslo</t>
  </si>
  <si>
    <t>Norwegian;English</t>
  </si>
  <si>
    <t>3,322,577</t>
  </si>
  <si>
    <t>$20,100</t>
  </si>
  <si>
    <t>University of Bologna</t>
  </si>
  <si>
    <t>98/14131</t>
  </si>
  <si>
    <t>0.007899461</t>
  </si>
  <si>
    <t>1/88</t>
  </si>
  <si>
    <t>0.011363636</t>
  </si>
  <si>
    <t>Spain</t>
  </si>
  <si>
    <t>Cerdanyola del Valles</t>
  </si>
  <si>
    <t>University of Bristol</t>
  </si>
  <si>
    <t>99/14131</t>
  </si>
  <si>
    <t>24/2785</t>
  </si>
  <si>
    <t>0.008258528</t>
  </si>
  <si>
    <t>10/163</t>
  </si>
  <si>
    <t>0.055214724</t>
  </si>
  <si>
    <t>4,368,505</t>
  </si>
  <si>
    <t>$37350</t>
  </si>
  <si>
    <t>University of Miami</t>
  </si>
  <si>
    <t>100/14131</t>
  </si>
  <si>
    <t>Nanjing</t>
  </si>
  <si>
    <t>University of Birmingham</t>
  </si>
  <si>
    <t>101/14131</t>
  </si>
  <si>
    <t>Top150</t>
  </si>
  <si>
    <t>University of Kentucky</t>
  </si>
  <si>
    <t>102/14131</t>
  </si>
  <si>
    <t>65/2597</t>
  </si>
  <si>
    <t>University of Illinois at Chicago</t>
  </si>
  <si>
    <t>103/14131</t>
  </si>
  <si>
    <t>62/2496</t>
  </si>
  <si>
    <t>Nagoya</t>
  </si>
  <si>
    <t>Tel Aviv University</t>
  </si>
  <si>
    <t>Israel</t>
  </si>
  <si>
    <t>Tel Aviv</t>
  </si>
  <si>
    <t>University of Montreal</t>
  </si>
  <si>
    <t>105/14131</t>
  </si>
  <si>
    <t>67/2597</t>
  </si>
  <si>
    <t>5/101</t>
  </si>
  <si>
    <t>Sapporo</t>
  </si>
  <si>
    <t>Uppsala University</t>
  </si>
  <si>
    <t>26/2785</t>
  </si>
  <si>
    <t>2/39</t>
  </si>
  <si>
    <t>Wales</t>
  </si>
  <si>
    <t>Shanghai Jiao Tong University</t>
  </si>
  <si>
    <t>107/14131</t>
  </si>
  <si>
    <t>Shanghai</t>
  </si>
  <si>
    <t>University of Barcelona</t>
  </si>
  <si>
    <t>27/2785</t>
  </si>
  <si>
    <t>1/75</t>
  </si>
  <si>
    <t>University of Leeds</t>
  </si>
  <si>
    <t>108/14131</t>
  </si>
  <si>
    <t>28/2785</t>
  </si>
  <si>
    <t>11/163</t>
  </si>
  <si>
    <t>Utah</t>
  </si>
  <si>
    <t>Zhejiang University</t>
  </si>
  <si>
    <t>7/5830</t>
  </si>
  <si>
    <t>3/960</t>
  </si>
  <si>
    <t>Case Western Reserve University</t>
  </si>
  <si>
    <t>111/14131</t>
  </si>
  <si>
    <t>126/2597</t>
  </si>
  <si>
    <t>16/101</t>
  </si>
  <si>
    <t>Ohio</t>
  </si>
  <si>
    <t>Oregon State University</t>
  </si>
  <si>
    <t>112/14131</t>
  </si>
  <si>
    <t>10/5830</t>
  </si>
  <si>
    <t>4/719</t>
  </si>
  <si>
    <t>Oregon</t>
  </si>
  <si>
    <t>University of Missouri - Columbia</t>
  </si>
  <si>
    <t>69/2597</t>
  </si>
  <si>
    <t>64/2496</t>
  </si>
  <si>
    <t>Netherlands</t>
  </si>
  <si>
    <t>Rotterdam</t>
  </si>
  <si>
    <t>University of Kansas</t>
  </si>
  <si>
    <t>113/14131</t>
  </si>
  <si>
    <t>70/2597</t>
  </si>
  <si>
    <t>65/2496</t>
  </si>
  <si>
    <t>Colorado State University - Fort Collins</t>
  </si>
  <si>
    <t>114/14131</t>
  </si>
  <si>
    <t>University of Nottingham</t>
  </si>
  <si>
    <t>115/14131</t>
  </si>
  <si>
    <t>29/2785</t>
  </si>
  <si>
    <t>12/163</t>
  </si>
  <si>
    <t>Tohoku University</t>
  </si>
  <si>
    <t>116/14131</t>
  </si>
  <si>
    <t>Sendai</t>
  </si>
  <si>
    <t>University of Waterloo</t>
  </si>
  <si>
    <t>117/14131</t>
  </si>
  <si>
    <t>71/2597</t>
  </si>
  <si>
    <t>6/101</t>
  </si>
  <si>
    <t>George Washington University</t>
  </si>
  <si>
    <t>118/14131</t>
  </si>
  <si>
    <t>13/5830</t>
  </si>
  <si>
    <t>1/193</t>
  </si>
  <si>
    <t>Washington</t>
  </si>
  <si>
    <t>Sapienza University of Rome</t>
  </si>
  <si>
    <t>120/14131</t>
  </si>
  <si>
    <t>Italy</t>
  </si>
  <si>
    <t>Lazio</t>
  </si>
  <si>
    <t>Georgetown University</t>
  </si>
  <si>
    <t>121/14131</t>
  </si>
  <si>
    <t>33/5830</t>
  </si>
  <si>
    <t>16/960</t>
  </si>
  <si>
    <t>Karolinska Institute</t>
  </si>
  <si>
    <t>122/14131</t>
  </si>
  <si>
    <t>78/2597</t>
  </si>
  <si>
    <t>8/101</t>
  </si>
  <si>
    <t>Stockholm</t>
  </si>
  <si>
    <t>University of Connecticut</t>
  </si>
  <si>
    <t>73/2597</t>
  </si>
  <si>
    <t>67/2496</t>
  </si>
  <si>
    <t>Ontario</t>
  </si>
  <si>
    <t>Ghent University</t>
  </si>
  <si>
    <t>123/14131</t>
  </si>
  <si>
    <t>99/2597</t>
  </si>
  <si>
    <t>88/2496</t>
  </si>
  <si>
    <t>Ghent</t>
  </si>
  <si>
    <t>Federal Institute of Technology Lausanne</t>
  </si>
  <si>
    <t>124/14131</t>
  </si>
  <si>
    <t>University of Milan</t>
  </si>
  <si>
    <t>32/2785</t>
  </si>
  <si>
    <t>3/88</t>
  </si>
  <si>
    <t>Fukuoka</t>
  </si>
  <si>
    <t>University of Nebraska - Lincoln</t>
  </si>
  <si>
    <t>126/14131</t>
  </si>
  <si>
    <t>75/2597</t>
  </si>
  <si>
    <t>69/2496</t>
  </si>
  <si>
    <t>Delft University of Technology</t>
  </si>
  <si>
    <t>15/5830</t>
  </si>
  <si>
    <t>5/719</t>
  </si>
  <si>
    <t>Delft</t>
  </si>
  <si>
    <t>University of Hong Kong</t>
  </si>
  <si>
    <t>127/14131</t>
  </si>
  <si>
    <t>12/5830</t>
  </si>
  <si>
    <t>5/960</t>
  </si>
  <si>
    <t>New Zealand</t>
  </si>
  <si>
    <t>Auckland</t>
  </si>
  <si>
    <t>University of Bonn</t>
  </si>
  <si>
    <t>128/14131</t>
  </si>
  <si>
    <t>33/2785</t>
  </si>
  <si>
    <t>4/369</t>
  </si>
  <si>
    <t>University of Gottingen</t>
  </si>
  <si>
    <t>130/14131</t>
  </si>
  <si>
    <t>34/2785</t>
  </si>
  <si>
    <t>5/369</t>
  </si>
  <si>
    <t>Bern</t>
  </si>
  <si>
    <t>University of Calgary</t>
  </si>
  <si>
    <t>131/14131</t>
  </si>
  <si>
    <t>77/2597</t>
  </si>
  <si>
    <t>New Mexico</t>
  </si>
  <si>
    <t>McMaster University</t>
  </si>
  <si>
    <t>1/67</t>
  </si>
  <si>
    <t>Simon Fraser University</t>
  </si>
  <si>
    <t>132/14131</t>
  </si>
  <si>
    <t>University of Hamburg</t>
  </si>
  <si>
    <t>133/14131</t>
  </si>
  <si>
    <t>35/2785</t>
  </si>
  <si>
    <t>6/369</t>
  </si>
  <si>
    <t>Geneva</t>
  </si>
  <si>
    <t>Chinese University of Hong Kong</t>
  </si>
  <si>
    <t>Hong Kong</t>
  </si>
  <si>
    <t>Free University of Berlin</t>
  </si>
  <si>
    <t>134/14131</t>
  </si>
  <si>
    <t>6/1756</t>
  </si>
  <si>
    <t>4/198</t>
  </si>
  <si>
    <t>Berlin</t>
  </si>
  <si>
    <t>Western University</t>
  </si>
  <si>
    <t>79/2597</t>
  </si>
  <si>
    <t>9/101</t>
  </si>
  <si>
    <t>Amsterdam</t>
  </si>
  <si>
    <t>University of Sheffield</t>
  </si>
  <si>
    <t>137/14131</t>
  </si>
  <si>
    <t>36/2785</t>
  </si>
  <si>
    <t>13/163</t>
  </si>
  <si>
    <t>University of Tennessee - Knoxville</t>
  </si>
  <si>
    <t>138/14131</t>
  </si>
  <si>
    <t>82/2597</t>
  </si>
  <si>
    <t>73/2496</t>
  </si>
  <si>
    <t>National Taiwan University</t>
  </si>
  <si>
    <t>139/14131</t>
  </si>
  <si>
    <t>Taiwan</t>
  </si>
  <si>
    <t>Taipei</t>
  </si>
  <si>
    <t>University of Warwick</t>
  </si>
  <si>
    <t>37/2785</t>
  </si>
  <si>
    <t>14/163</t>
  </si>
  <si>
    <t>Florida State University</t>
  </si>
  <si>
    <t>144/14131</t>
  </si>
  <si>
    <t>10/369</t>
  </si>
  <si>
    <t>Florida</t>
  </si>
  <si>
    <t>University of Tubingen</t>
  </si>
  <si>
    <t>146/14131</t>
  </si>
  <si>
    <t>41/2785</t>
  </si>
  <si>
    <t>7/369</t>
  </si>
  <si>
    <t>Humboldt University of Berlin</t>
  </si>
  <si>
    <t>147/14131</t>
  </si>
  <si>
    <t>72/2597</t>
  </si>
  <si>
    <t>University of Southampton</t>
  </si>
  <si>
    <t>42/2785</t>
  </si>
  <si>
    <t>15/163</t>
  </si>
  <si>
    <t>Seoul National University</t>
  </si>
  <si>
    <t>148/14131</t>
  </si>
  <si>
    <t>University of Notre Dame</t>
  </si>
  <si>
    <t>149/14131</t>
  </si>
  <si>
    <t>85/2597</t>
  </si>
  <si>
    <t>75/2496</t>
  </si>
  <si>
    <t>Complutense University of Madrid</t>
  </si>
  <si>
    <t>150/14131</t>
  </si>
  <si>
    <t>Madrid</t>
  </si>
  <si>
    <t>University of Padua</t>
  </si>
  <si>
    <t>151/14131</t>
  </si>
  <si>
    <t>45/2785</t>
  </si>
  <si>
    <t>4/88</t>
  </si>
  <si>
    <t>Aarhus</t>
  </si>
  <si>
    <t>Top200</t>
  </si>
  <si>
    <t>Hebrew University of Jerusalem</t>
  </si>
  <si>
    <t>Jerusalem</t>
  </si>
  <si>
    <t>Aarhus University</t>
  </si>
  <si>
    <t>152/14131</t>
  </si>
  <si>
    <t>91/2597</t>
  </si>
  <si>
    <t>Veneto</t>
  </si>
  <si>
    <t>University of South Florida</t>
  </si>
  <si>
    <t>154/14131</t>
  </si>
  <si>
    <t>86/2597</t>
  </si>
  <si>
    <t>76/2496</t>
  </si>
  <si>
    <t>University of Freiburg</t>
  </si>
  <si>
    <t>155/14131</t>
  </si>
  <si>
    <t>48/2785</t>
  </si>
  <si>
    <t>London School of Economics and Political Science</t>
  </si>
  <si>
    <t>17/163</t>
  </si>
  <si>
    <t>Washington State University</t>
  </si>
  <si>
    <t>156/14131</t>
  </si>
  <si>
    <t>87/2597</t>
  </si>
  <si>
    <t>77/2496</t>
  </si>
  <si>
    <t>Keio University</t>
  </si>
  <si>
    <t>157/14131</t>
  </si>
  <si>
    <t>Hokkaido University</t>
  </si>
  <si>
    <t>158/14131</t>
  </si>
  <si>
    <t>8/369</t>
  </si>
  <si>
    <t>Newcastle University</t>
  </si>
  <si>
    <t>159/14131</t>
  </si>
  <si>
    <t>University of Groningen</t>
  </si>
  <si>
    <t>161/14131</t>
  </si>
  <si>
    <t>50/2785</t>
  </si>
  <si>
    <t>4/58</t>
  </si>
  <si>
    <t>0.068965517</t>
  </si>
  <si>
    <t>Dartmouth College</t>
  </si>
  <si>
    <t>92/2597</t>
  </si>
  <si>
    <t>81/2496</t>
  </si>
  <si>
    <t>New Hampshire</t>
  </si>
  <si>
    <t>Leiden University</t>
  </si>
  <si>
    <t>162/14131</t>
  </si>
  <si>
    <t>80/2597</t>
  </si>
  <si>
    <t>Leiden</t>
  </si>
  <si>
    <t>Fudan University</t>
  </si>
  <si>
    <t>165/14131</t>
  </si>
  <si>
    <t>2/75</t>
  </si>
  <si>
    <t>University of Adelaide</t>
  </si>
  <si>
    <t>167/14131</t>
  </si>
  <si>
    <t>76/2597</t>
  </si>
  <si>
    <t>Adelaide</t>
  </si>
  <si>
    <t>University of Geneva</t>
  </si>
  <si>
    <t>168/14131</t>
  </si>
  <si>
    <t>54/2785</t>
  </si>
  <si>
    <t>4/23</t>
  </si>
  <si>
    <t>Hamburg State</t>
  </si>
  <si>
    <t>RWTH Aachen University</t>
  </si>
  <si>
    <t>116/2597</t>
  </si>
  <si>
    <t>University of New Mexico</t>
  </si>
  <si>
    <t>170/14131</t>
  </si>
  <si>
    <t>90/2597</t>
  </si>
  <si>
    <t>80/2496</t>
  </si>
  <si>
    <t>University of Bern</t>
  </si>
  <si>
    <t>171/14131</t>
  </si>
  <si>
    <t>56/2785</t>
  </si>
  <si>
    <t>5/23</t>
  </si>
  <si>
    <t>Lower Saxony</t>
  </si>
  <si>
    <t>University at Buffalo</t>
  </si>
  <si>
    <t>95/2597</t>
  </si>
  <si>
    <t>84/2496</t>
  </si>
  <si>
    <t>Charles University</t>
  </si>
  <si>
    <t>172/14131</t>
  </si>
  <si>
    <t>Czech Republic</t>
  </si>
  <si>
    <t>Prague</t>
  </si>
  <si>
    <t>Kyushu University</t>
  </si>
  <si>
    <t>173/14131</t>
  </si>
  <si>
    <t>Rice University</t>
  </si>
  <si>
    <t>174/14131</t>
  </si>
  <si>
    <t>University of Auckland</t>
  </si>
  <si>
    <t>7/59</t>
  </si>
  <si>
    <t>University of Oregon</t>
  </si>
  <si>
    <t>175/14131</t>
  </si>
  <si>
    <t>82/2496</t>
  </si>
  <si>
    <t>University of California - Santa Cruz</t>
  </si>
  <si>
    <t>176/14131</t>
  </si>
  <si>
    <t>93/2597</t>
  </si>
  <si>
    <t>83/2496</t>
  </si>
  <si>
    <t>Temple University</t>
  </si>
  <si>
    <t>Louisiana State University and Agricultural &amp; Mechanical College</t>
  </si>
  <si>
    <t>177/1431</t>
  </si>
  <si>
    <t>University of Ottawa</t>
  </si>
  <si>
    <t>179/14131</t>
  </si>
  <si>
    <t>94/2597</t>
  </si>
  <si>
    <t>11/101</t>
  </si>
  <si>
    <t>Connecticut</t>
  </si>
  <si>
    <t>University of Gothenburg</t>
  </si>
  <si>
    <t>180/14131</t>
  </si>
  <si>
    <t>57/2785</t>
  </si>
  <si>
    <t>4/39</t>
  </si>
  <si>
    <t>University of Liverpool</t>
  </si>
  <si>
    <t>59/2785</t>
  </si>
  <si>
    <t>18/163</t>
  </si>
  <si>
    <t>University of Erlangen Nuremberg</t>
  </si>
  <si>
    <t>181/14131</t>
  </si>
  <si>
    <t>58/2785</t>
  </si>
  <si>
    <t>12/369</t>
  </si>
  <si>
    <t>Moscow State University</t>
  </si>
  <si>
    <t>182/14131</t>
  </si>
  <si>
    <t>5/58</t>
  </si>
  <si>
    <t>Russia</t>
  </si>
  <si>
    <t>Moscow</t>
  </si>
  <si>
    <t>University of Alabama at Birmingham</t>
  </si>
  <si>
    <t>183/14131</t>
  </si>
  <si>
    <t>Nanyang Technological University</t>
  </si>
  <si>
    <t>184/14131</t>
  </si>
  <si>
    <t>16/163</t>
  </si>
  <si>
    <t>University of Western Australia</t>
  </si>
  <si>
    <t>9/59</t>
  </si>
  <si>
    <t>8/40</t>
  </si>
  <si>
    <t>University of Cologne</t>
  </si>
  <si>
    <t>185/14131</t>
  </si>
  <si>
    <t>61/2785</t>
  </si>
  <si>
    <t>13/369</t>
  </si>
  <si>
    <t>University of Munster</t>
  </si>
  <si>
    <t>186/14131</t>
  </si>
  <si>
    <t>62/2785</t>
  </si>
  <si>
    <t>14/369</t>
  </si>
  <si>
    <t>Radboud University</t>
  </si>
  <si>
    <t>187/14131</t>
  </si>
  <si>
    <t>Gelderland</t>
  </si>
  <si>
    <t>University of Cincinnati</t>
  </si>
  <si>
    <t>188/14131</t>
  </si>
  <si>
    <t>96/2597</t>
  </si>
  <si>
    <t>85/2496</t>
  </si>
  <si>
    <t>University of Science and Technology of China</t>
  </si>
  <si>
    <t>20/5830</t>
  </si>
  <si>
    <t>7/960</t>
  </si>
  <si>
    <t>University of South Carolina - Columbia</t>
  </si>
  <si>
    <t>191/14131</t>
  </si>
  <si>
    <t>97/2597</t>
  </si>
  <si>
    <t>86/2496</t>
  </si>
  <si>
    <t>Brigham Young University - Provo</t>
  </si>
  <si>
    <t>Karlsruhe Institute of Technology</t>
  </si>
  <si>
    <t>192/14131</t>
  </si>
  <si>
    <t>University of Delaware</t>
  </si>
  <si>
    <t>193/14131</t>
  </si>
  <si>
    <t>100/2597</t>
  </si>
  <si>
    <t>89/2496</t>
  </si>
  <si>
    <t>Nagoya University</t>
  </si>
  <si>
    <t>194/14131</t>
  </si>
  <si>
    <t>Wayne State University</t>
  </si>
  <si>
    <t>Barcelona</t>
  </si>
  <si>
    <t>Laval University</t>
  </si>
  <si>
    <t>197/14131</t>
  </si>
  <si>
    <t>University of Leipzig</t>
  </si>
  <si>
    <t>67/2785</t>
  </si>
  <si>
    <t>15/369</t>
  </si>
  <si>
    <t>University of Houston</t>
  </si>
  <si>
    <t>198/14131</t>
  </si>
  <si>
    <t>103/2597</t>
  </si>
  <si>
    <t>91/2496</t>
  </si>
  <si>
    <t>University of York</t>
  </si>
  <si>
    <t>199/14131</t>
  </si>
  <si>
    <t>21/163</t>
  </si>
  <si>
    <t>0.128834356</t>
  </si>
  <si>
    <t>Stony Brook University</t>
  </si>
  <si>
    <t>200/14131</t>
  </si>
  <si>
    <t>88/2597</t>
  </si>
  <si>
    <t>1/32</t>
  </si>
  <si>
    <t>Wageningen University</t>
  </si>
  <si>
    <t>201/14131</t>
  </si>
  <si>
    <t>65/2785</t>
  </si>
  <si>
    <t>7/58</t>
  </si>
  <si>
    <t>0.120689655</t>
  </si>
  <si>
    <t>Top250</t>
  </si>
  <si>
    <t>Nanjing University</t>
  </si>
  <si>
    <t>202/14131</t>
  </si>
  <si>
    <t>78/2496</t>
  </si>
  <si>
    <t>University of Liege</t>
  </si>
  <si>
    <t>204/14131</t>
  </si>
  <si>
    <t>3/63</t>
  </si>
  <si>
    <t>0.047619048</t>
  </si>
  <si>
    <t>Huazhong University of Science and Technology</t>
  </si>
  <si>
    <t>205/14131</t>
  </si>
  <si>
    <t>108/2597</t>
  </si>
  <si>
    <t>14/101</t>
  </si>
  <si>
    <t>Wuhan</t>
  </si>
  <si>
    <t>Stockholm University</t>
  </si>
  <si>
    <t>206/14131</t>
  </si>
  <si>
    <t>1/385</t>
  </si>
  <si>
    <t>University of California - Riverside</t>
  </si>
  <si>
    <t>208/14131</t>
  </si>
  <si>
    <t>105/2597</t>
  </si>
  <si>
    <t>93/2496</t>
  </si>
  <si>
    <t>0.037259615</t>
  </si>
  <si>
    <t>Technical University of Denmark</t>
  </si>
  <si>
    <t>209/14131</t>
  </si>
  <si>
    <t>32/2597</t>
  </si>
  <si>
    <t>3/23</t>
  </si>
  <si>
    <t>University of Exeter</t>
  </si>
  <si>
    <t>210/14131</t>
  </si>
  <si>
    <t>71/2785</t>
  </si>
  <si>
    <t>Free University Amsterdam</t>
  </si>
  <si>
    <t>211/14131</t>
  </si>
  <si>
    <t>7/163</t>
  </si>
  <si>
    <t>University of Amsterdam</t>
  </si>
  <si>
    <t>18/5830</t>
  </si>
  <si>
    <t>7/719</t>
  </si>
  <si>
    <t>Dresden University of Technology</t>
  </si>
  <si>
    <t>212/14131</t>
  </si>
  <si>
    <t>3/1756</t>
  </si>
  <si>
    <t>2/198</t>
  </si>
  <si>
    <t>Saxony</t>
  </si>
  <si>
    <t>Wuhan University</t>
  </si>
  <si>
    <t>213/14131</t>
  </si>
  <si>
    <t>24/5830</t>
  </si>
  <si>
    <t>10/960</t>
  </si>
  <si>
    <t>Technical University of Berlin</t>
  </si>
  <si>
    <t>214/14131</t>
  </si>
  <si>
    <t>66/2496</t>
  </si>
  <si>
    <t>Cardiff University</t>
  </si>
  <si>
    <t>215/14131</t>
  </si>
  <si>
    <t>2/1756</t>
  </si>
  <si>
    <t>Autonomous University of Barcelona</t>
  </si>
  <si>
    <t>216/14131</t>
  </si>
  <si>
    <t>Emilia-Romagna</t>
  </si>
  <si>
    <t>York University</t>
  </si>
  <si>
    <t>217/14131</t>
  </si>
  <si>
    <t>106/2597</t>
  </si>
  <si>
    <t>0.040816327</t>
  </si>
  <si>
    <t>13/101</t>
  </si>
  <si>
    <t>0.128712871</t>
  </si>
  <si>
    <t>Northeastern University</t>
  </si>
  <si>
    <t>218/14131</t>
  </si>
  <si>
    <t>30/5830</t>
  </si>
  <si>
    <t>3/32</t>
  </si>
  <si>
    <t>University of Turin</t>
  </si>
  <si>
    <t>219/14131</t>
  </si>
  <si>
    <t>77/2785</t>
  </si>
  <si>
    <t>5/88</t>
  </si>
  <si>
    <t>0.056818182</t>
  </si>
  <si>
    <t>University of Tsukuba</t>
  </si>
  <si>
    <t>220/14131</t>
  </si>
  <si>
    <t>25/5830</t>
  </si>
  <si>
    <t>9/719</t>
  </si>
  <si>
    <t>0.012517385</t>
  </si>
  <si>
    <t>University of Wurzburg</t>
  </si>
  <si>
    <t>221/14131</t>
  </si>
  <si>
    <t>78/2785</t>
  </si>
  <si>
    <t>19/369</t>
  </si>
  <si>
    <t>0.051490515</t>
  </si>
  <si>
    <t>Dalhousie University</t>
  </si>
  <si>
    <t>222/14131</t>
  </si>
  <si>
    <t>68/2597</t>
  </si>
  <si>
    <t>University of Bergen</t>
  </si>
  <si>
    <t>223/14131</t>
  </si>
  <si>
    <t>79/2785</t>
  </si>
  <si>
    <t>2/29</t>
  </si>
  <si>
    <t>University of Texas MD Anderson Cancer Center</t>
  </si>
  <si>
    <t>224/14131</t>
  </si>
  <si>
    <t>109/2597</t>
  </si>
  <si>
    <t>95/2496</t>
  </si>
  <si>
    <t>0.038060897</t>
  </si>
  <si>
    <t>Tulane University of Louisiana</t>
  </si>
  <si>
    <t>225/14131</t>
  </si>
  <si>
    <t>119/2597</t>
  </si>
  <si>
    <t>104/2496</t>
  </si>
  <si>
    <t>University of Oklahoma - Norman</t>
  </si>
  <si>
    <t>226/14131</t>
  </si>
  <si>
    <t>111/2597</t>
  </si>
  <si>
    <t>97/2496</t>
  </si>
  <si>
    <t>0.038862179</t>
  </si>
  <si>
    <t>KTH Royal Institute of Technology</t>
  </si>
  <si>
    <t>227/14131</t>
  </si>
  <si>
    <t>32/2496</t>
  </si>
  <si>
    <t>University of Manitoba</t>
  </si>
  <si>
    <t>228/14131</t>
  </si>
  <si>
    <t>112/2597</t>
  </si>
  <si>
    <t>15/101</t>
  </si>
  <si>
    <t>0.148514851</t>
  </si>
  <si>
    <t>University of Basel</t>
  </si>
  <si>
    <t>229/14131</t>
  </si>
  <si>
    <t>81/2785</t>
  </si>
  <si>
    <t>6/23</t>
  </si>
  <si>
    <t>0.260869565</t>
  </si>
  <si>
    <t>University of Pisa</t>
  </si>
  <si>
    <t>230/14131</t>
  </si>
  <si>
    <t>82/2785</t>
  </si>
  <si>
    <t>6/88</t>
  </si>
  <si>
    <t>0.068181818</t>
  </si>
  <si>
    <t>University of Central Florida</t>
  </si>
  <si>
    <t>231/14131</t>
  </si>
  <si>
    <t>113/2597</t>
  </si>
  <si>
    <t>98/2496</t>
  </si>
  <si>
    <t>0.039262821</t>
  </si>
  <si>
    <t>Durham University</t>
  </si>
  <si>
    <t>232/14131</t>
  </si>
  <si>
    <t>1/144</t>
  </si>
  <si>
    <t>Virginia Commonwealth University</t>
  </si>
  <si>
    <t>233/14131</t>
  </si>
  <si>
    <t>114/2597</t>
  </si>
  <si>
    <t>99/2496</t>
  </si>
  <si>
    <t>0.039663462</t>
  </si>
  <si>
    <t>Baylor College of Medicine</t>
  </si>
  <si>
    <t>234/14131</t>
  </si>
  <si>
    <t>6/5830</t>
  </si>
  <si>
    <t>Houston</t>
  </si>
  <si>
    <t>George Mason University</t>
  </si>
  <si>
    <t>236/14131</t>
  </si>
  <si>
    <t>2/88</t>
  </si>
  <si>
    <t>Auburn University</t>
  </si>
  <si>
    <t>237/14131</t>
  </si>
  <si>
    <t>63/2496</t>
  </si>
  <si>
    <t>Wisconsin</t>
  </si>
  <si>
    <t>University of Valencia</t>
  </si>
  <si>
    <t>238/14131</t>
  </si>
  <si>
    <t>85/2785</t>
  </si>
  <si>
    <t>4/75</t>
  </si>
  <si>
    <t>0.053333333</t>
  </si>
  <si>
    <t>Federal University of Rio de Janeiro</t>
  </si>
  <si>
    <t>239/14131</t>
  </si>
  <si>
    <t>48/2496</t>
  </si>
  <si>
    <t>Rio de Janeiro</t>
  </si>
  <si>
    <t>Federico II University of Naples</t>
  </si>
  <si>
    <t>240/14131</t>
  </si>
  <si>
    <t>16/5830</t>
  </si>
  <si>
    <t>6/719</t>
  </si>
  <si>
    <t>Norwegian University of Science and Technology</t>
  </si>
  <si>
    <t>241/14131</t>
  </si>
  <si>
    <t>102/2597</t>
  </si>
  <si>
    <t>12/101</t>
  </si>
  <si>
    <t>University of Florence</t>
  </si>
  <si>
    <t>244/14131</t>
  </si>
  <si>
    <t>89/2785</t>
  </si>
  <si>
    <t>8/88</t>
  </si>
  <si>
    <t>0.090909091</t>
  </si>
  <si>
    <t>Polytechnic University of Milan</t>
  </si>
  <si>
    <t>245/14131</t>
  </si>
  <si>
    <t>27/5830</t>
  </si>
  <si>
    <t>11/960</t>
  </si>
  <si>
    <t>Erasmus University Rotterdam</t>
  </si>
  <si>
    <t>246/14131</t>
  </si>
  <si>
    <t>98/2597</t>
  </si>
  <si>
    <t>22/369</t>
  </si>
  <si>
    <t>Drexel University</t>
  </si>
  <si>
    <t>247/14131</t>
  </si>
  <si>
    <t>18/59</t>
  </si>
  <si>
    <t>16/40</t>
  </si>
  <si>
    <t>University of Leicester</t>
  </si>
  <si>
    <t>248/14131</t>
  </si>
  <si>
    <t>92/2785</t>
  </si>
  <si>
    <t>24/163</t>
  </si>
  <si>
    <t>0.147239264</t>
  </si>
  <si>
    <t>Tokyo Institute of Technology</t>
  </si>
  <si>
    <t>249/14131</t>
  </si>
  <si>
    <t>62/2597</t>
  </si>
  <si>
    <t>University of Lausanne</t>
  </si>
  <si>
    <t>250/14131</t>
  </si>
  <si>
    <t>93/2785</t>
  </si>
  <si>
    <t>7/23</t>
  </si>
  <si>
    <t>0.304347826</t>
  </si>
  <si>
    <t>Hong Kong Polytechnic University</t>
  </si>
  <si>
    <t>251/14131</t>
  </si>
  <si>
    <t>Top300</t>
  </si>
  <si>
    <t>University of Porto</t>
  </si>
  <si>
    <t>252/14131</t>
  </si>
  <si>
    <t>94/2785</t>
  </si>
  <si>
    <t>2/95</t>
  </si>
  <si>
    <t>0.021052632</t>
  </si>
  <si>
    <t>Johannes Gutenberg University Mainz</t>
  </si>
  <si>
    <t>253/14131</t>
  </si>
  <si>
    <t>Rhineland-Palatinate</t>
  </si>
  <si>
    <t>Sun Yat - Sen University</t>
  </si>
  <si>
    <t>254/14131</t>
  </si>
  <si>
    <t>Guangzhou</t>
  </si>
  <si>
    <t>State University of Campinas</t>
  </si>
  <si>
    <t>255/14131</t>
  </si>
  <si>
    <t>Campinas</t>
  </si>
  <si>
    <t>Queensland University of Technology</t>
  </si>
  <si>
    <t>256/14131</t>
  </si>
  <si>
    <t>117/2597</t>
  </si>
  <si>
    <t>102/2496</t>
  </si>
  <si>
    <t>Brisbane</t>
  </si>
  <si>
    <t>University of Sussex</t>
  </si>
  <si>
    <t>257/14131</t>
  </si>
  <si>
    <t>96/2785</t>
  </si>
  <si>
    <t>25/163</t>
  </si>
  <si>
    <t>0.153374233</t>
  </si>
  <si>
    <t>Ruhr University Bochum</t>
  </si>
  <si>
    <t>258/14131</t>
  </si>
  <si>
    <t>17/5830</t>
  </si>
  <si>
    <t>6/960</t>
  </si>
  <si>
    <t>Kiel University</t>
  </si>
  <si>
    <t>259/14131</t>
  </si>
  <si>
    <t>26/369</t>
  </si>
  <si>
    <t>Kiel</t>
  </si>
  <si>
    <t>University of Cape Town</t>
  </si>
  <si>
    <t>260/14131</t>
  </si>
  <si>
    <t>1/1104</t>
  </si>
  <si>
    <t>1/26</t>
  </si>
  <si>
    <t>0.038461538</t>
  </si>
  <si>
    <t>University of Alabama</t>
  </si>
  <si>
    <t>261/14131</t>
  </si>
  <si>
    <t>National and Kapodistrian University of Athens</t>
  </si>
  <si>
    <t>262/14131</t>
  </si>
  <si>
    <t>Greece</t>
  </si>
  <si>
    <t>Athens</t>
  </si>
  <si>
    <t>University of Aberdeen</t>
  </si>
  <si>
    <t>263/14131</t>
  </si>
  <si>
    <t>3/29</t>
  </si>
  <si>
    <t>Kansas State University</t>
  </si>
  <si>
    <t>264/14131</t>
  </si>
  <si>
    <t>104/2597</t>
  </si>
  <si>
    <t>92/2496</t>
  </si>
  <si>
    <t>University of Vermont</t>
  </si>
  <si>
    <t>266/14131</t>
  </si>
  <si>
    <t>121/2597</t>
  </si>
  <si>
    <t>106/2496</t>
  </si>
  <si>
    <t>0.042467949</t>
  </si>
  <si>
    <t>Clemson University</t>
  </si>
  <si>
    <t>267/14131</t>
  </si>
  <si>
    <t>29/163</t>
  </si>
  <si>
    <t>South Carolina</t>
  </si>
  <si>
    <t>University of St Andrews</t>
  </si>
  <si>
    <t>269/14131</t>
  </si>
  <si>
    <t>102/2785</t>
  </si>
  <si>
    <t>27/163</t>
  </si>
  <si>
    <t>0.165644172</t>
  </si>
  <si>
    <t>Technion - Israel Institute of Technology</t>
  </si>
  <si>
    <t>271/14131</t>
  </si>
  <si>
    <t>14/5830</t>
  </si>
  <si>
    <t>2/32</t>
  </si>
  <si>
    <t>Haifa</t>
  </si>
  <si>
    <t>Boston College</t>
  </si>
  <si>
    <t>272/14131</t>
  </si>
  <si>
    <t>Catholic University of Louvain</t>
  </si>
  <si>
    <t>273/14131</t>
  </si>
  <si>
    <t>University of Stuttgart</t>
  </si>
  <si>
    <t>274/14131</t>
  </si>
  <si>
    <t>104/2785</t>
  </si>
  <si>
    <t>24/369</t>
  </si>
  <si>
    <t>0.06504065</t>
  </si>
  <si>
    <t>West Virginia University</t>
  </si>
  <si>
    <t>275/14131</t>
  </si>
  <si>
    <t>125/2597</t>
  </si>
  <si>
    <t>110/2496</t>
  </si>
  <si>
    <t>0.044070513</t>
  </si>
  <si>
    <t>Federal University of Rio Grande do Sul</t>
  </si>
  <si>
    <t>276/14131</t>
  </si>
  <si>
    <t>Porto Alegre</t>
  </si>
  <si>
    <t>Queen's University</t>
  </si>
  <si>
    <t>278/14131</t>
  </si>
  <si>
    <t>11/5830</t>
  </si>
  <si>
    <t>Xi'an Jiaotong University</t>
  </si>
  <si>
    <t>279/14131</t>
  </si>
  <si>
    <t>31/5830</t>
  </si>
  <si>
    <t>14/960</t>
  </si>
  <si>
    <t>0.014583333</t>
  </si>
  <si>
    <t>Shandong University</t>
  </si>
  <si>
    <t>281/14131</t>
  </si>
  <si>
    <t>Jinan</t>
  </si>
  <si>
    <t>University of Reading</t>
  </si>
  <si>
    <t>283/14131</t>
  </si>
  <si>
    <t>106/2785</t>
  </si>
  <si>
    <t>28/163</t>
  </si>
  <si>
    <t>0.171779141</t>
  </si>
  <si>
    <t>University of Granada</t>
  </si>
  <si>
    <t>284/14131</t>
  </si>
  <si>
    <t>107/2785</t>
  </si>
  <si>
    <t>5/75</t>
  </si>
  <si>
    <t>0.066666667</t>
  </si>
  <si>
    <t>Waseda University</t>
  </si>
  <si>
    <t>285/14131</t>
  </si>
  <si>
    <t>34/5830</t>
  </si>
  <si>
    <t>11/719</t>
  </si>
  <si>
    <t>0.015299026</t>
  </si>
  <si>
    <t>University of Victoria</t>
  </si>
  <si>
    <t>287/14131</t>
  </si>
  <si>
    <t>128/2597</t>
  </si>
  <si>
    <t>18/101</t>
  </si>
  <si>
    <t>0.178217822</t>
  </si>
  <si>
    <t>University of Warsaw</t>
  </si>
  <si>
    <t>288/14131</t>
  </si>
  <si>
    <t>108/2785</t>
  </si>
  <si>
    <t>1/127</t>
  </si>
  <si>
    <t>0.007874016</t>
  </si>
  <si>
    <t>Queen's University Belfast</t>
  </si>
  <si>
    <t>290/14131</t>
  </si>
  <si>
    <t>107/2597</t>
  </si>
  <si>
    <t>94/2496</t>
  </si>
  <si>
    <t>Northern Ireland</t>
  </si>
  <si>
    <t>University of Buenos Aires</t>
  </si>
  <si>
    <t>7/1756</t>
  </si>
  <si>
    <t>Umea University</t>
  </si>
  <si>
    <t>292/14131</t>
  </si>
  <si>
    <t>21/5830</t>
  </si>
  <si>
    <t>8/719</t>
  </si>
  <si>
    <t>Vasterbotten</t>
  </si>
  <si>
    <t>Yonsei University</t>
  </si>
  <si>
    <t>293/14131</t>
  </si>
  <si>
    <t>36/5830</t>
  </si>
  <si>
    <t>2/193</t>
  </si>
  <si>
    <t>0.010362694</t>
  </si>
  <si>
    <t>University of Otago</t>
  </si>
  <si>
    <t>294/14131</t>
  </si>
  <si>
    <t>12/59</t>
  </si>
  <si>
    <t>2/8</t>
  </si>
  <si>
    <t>0.25</t>
  </si>
  <si>
    <t>Wake Forest University</t>
  </si>
  <si>
    <t>298/14131</t>
  </si>
  <si>
    <t>131/2597</t>
  </si>
  <si>
    <t>112/2496</t>
  </si>
  <si>
    <t>0.044871795</t>
  </si>
  <si>
    <t>Georgia State University</t>
  </si>
  <si>
    <t>301/14131</t>
  </si>
  <si>
    <t>Top350</t>
  </si>
  <si>
    <t>Trinity College Dublin, University of Dublin</t>
  </si>
  <si>
    <t>303/14131</t>
  </si>
  <si>
    <t>132/2597</t>
  </si>
  <si>
    <t>113/2496</t>
  </si>
  <si>
    <t>Ireland</t>
  </si>
  <si>
    <t>Dublin</t>
  </si>
  <si>
    <t>Federal University of Minas Gerais</t>
  </si>
  <si>
    <t>305/14131</t>
  </si>
  <si>
    <t>Rensselaer Polytechnic Institute</t>
  </si>
  <si>
    <t>309/14131</t>
  </si>
  <si>
    <t>Friedrich Schiller University of Jena</t>
  </si>
  <si>
    <t>310/14131</t>
  </si>
  <si>
    <t>7/88</t>
  </si>
  <si>
    <t>University of London</t>
  </si>
  <si>
    <t>317/14131</t>
  </si>
  <si>
    <t>120/2785</t>
  </si>
  <si>
    <t>0.043087971</t>
  </si>
  <si>
    <t>31/163</t>
  </si>
  <si>
    <t>0.190184049</t>
  </si>
  <si>
    <t>University of East Anglia</t>
  </si>
  <si>
    <t>325/14131</t>
  </si>
  <si>
    <t>125/2785</t>
  </si>
  <si>
    <t>32/163</t>
  </si>
  <si>
    <t>0.196319018</t>
  </si>
  <si>
    <t>University of Louisville</t>
  </si>
  <si>
    <t>328/14131</t>
  </si>
  <si>
    <t>139/2597</t>
  </si>
  <si>
    <t>120/2496</t>
  </si>
  <si>
    <t>0.048076923</t>
  </si>
  <si>
    <t>Oklahoma State University</t>
  </si>
  <si>
    <t>342/14131</t>
  </si>
  <si>
    <t>RMIT University</t>
  </si>
  <si>
    <t>356/14131</t>
  </si>
  <si>
    <t>Top400</t>
  </si>
  <si>
    <t>Free University of Brussels</t>
  </si>
  <si>
    <t>397/14131</t>
  </si>
  <si>
    <t>26/2496</t>
  </si>
  <si>
    <t>University of Maryland, Baltimore</t>
  </si>
  <si>
    <t>500/14131</t>
  </si>
  <si>
    <t>185/2597</t>
  </si>
  <si>
    <t>0.071236042</t>
  </si>
  <si>
    <t>161/2496</t>
  </si>
  <si>
    <t>0.064503205</t>
  </si>
  <si>
    <t>Top500</t>
  </si>
  <si>
    <t>Normal Superior School</t>
  </si>
  <si>
    <t>522/14131</t>
  </si>
  <si>
    <t>8/1756</t>
  </si>
  <si>
    <t>5/198</t>
  </si>
  <si>
    <t>France</t>
  </si>
  <si>
    <t>Paris</t>
  </si>
  <si>
    <t>Top550</t>
  </si>
  <si>
    <t>Queen Mary University of London</t>
  </si>
  <si>
    <t>207/14131</t>
  </si>
  <si>
    <t>University College Dublin</t>
  </si>
  <si>
    <t>242/14131</t>
  </si>
  <si>
    <t>2/63</t>
  </si>
  <si>
    <t>German; English</t>
  </si>
  <si>
    <t>16/369</t>
  </si>
  <si>
    <t>64/2785</t>
  </si>
  <si>
    <t>French</t>
  </si>
  <si>
    <t>90/2496</t>
  </si>
  <si>
    <t>101/2597</t>
  </si>
  <si>
    <t>196/14131</t>
  </si>
  <si>
    <t>Japanese; English</t>
  </si>
  <si>
    <t>Delaware</t>
  </si>
  <si>
    <t>Columbia</t>
  </si>
  <si>
    <t>87/2496</t>
  </si>
  <si>
    <t>190/14131</t>
  </si>
  <si>
    <t>Chinese; English</t>
  </si>
  <si>
    <t>Hefei</t>
  </si>
  <si>
    <t>160/14131</t>
  </si>
  <si>
    <t>Dutch; English</t>
  </si>
  <si>
    <t>6/58</t>
  </si>
  <si>
    <t>60/2785</t>
  </si>
  <si>
    <t>11/369</t>
  </si>
  <si>
    <t>55/2785</t>
  </si>
  <si>
    <t>178/14131</t>
  </si>
  <si>
    <t>Master</t>
  </si>
  <si>
    <t>19/5830</t>
  </si>
  <si>
    <t>Russian; English</t>
  </si>
  <si>
    <t>Swedish; English</t>
  </si>
  <si>
    <t>Gothenburg</t>
  </si>
  <si>
    <t>French; English</t>
  </si>
  <si>
    <t>89/2597</t>
  </si>
  <si>
    <t>163/14131</t>
  </si>
  <si>
    <t>189/14131</t>
  </si>
  <si>
    <t>166/14131</t>
  </si>
  <si>
    <t>Czech; English; German; Frech</t>
  </si>
  <si>
    <t>52/2785</t>
  </si>
  <si>
    <t>169/14131</t>
  </si>
  <si>
    <t>79/2496</t>
  </si>
  <si>
    <t>164/14131</t>
  </si>
  <si>
    <t>51/2785</t>
  </si>
  <si>
    <t xml:space="preserve">French </t>
  </si>
  <si>
    <t>53/2785</t>
  </si>
  <si>
    <t>7/40</t>
  </si>
  <si>
    <t>8/59</t>
  </si>
  <si>
    <t>Groningen</t>
  </si>
  <si>
    <t>3/58</t>
  </si>
  <si>
    <t>119/14131</t>
  </si>
  <si>
    <t>49/2785</t>
  </si>
  <si>
    <t>83/2597</t>
  </si>
  <si>
    <t>145/14131</t>
  </si>
  <si>
    <t>9/369</t>
  </si>
  <si>
    <t>47/2785</t>
  </si>
  <si>
    <t>153/14131</t>
  </si>
  <si>
    <t>71/2496</t>
  </si>
  <si>
    <t>Danish; English</t>
  </si>
  <si>
    <t>2/27</t>
  </si>
  <si>
    <t>46/2785</t>
  </si>
  <si>
    <t>Hebrew; English</t>
  </si>
  <si>
    <t>Italian</t>
  </si>
  <si>
    <t>43/2785</t>
  </si>
  <si>
    <t>Korean; English</t>
  </si>
  <si>
    <t>38/2785</t>
  </si>
  <si>
    <t>136/14131</t>
  </si>
  <si>
    <t>44/2785</t>
  </si>
  <si>
    <t>143/14131</t>
  </si>
  <si>
    <t>72/2496</t>
  </si>
  <si>
    <t>40/2785</t>
  </si>
  <si>
    <t>141/14131</t>
  </si>
  <si>
    <t xml:space="preserve">Chinese </t>
  </si>
  <si>
    <t>10/101</t>
  </si>
  <si>
    <t>81/2597</t>
  </si>
  <si>
    <t xml:space="preserve">German </t>
  </si>
  <si>
    <t>63/2785</t>
  </si>
  <si>
    <t>195/14131</t>
  </si>
  <si>
    <t>Calgary</t>
  </si>
  <si>
    <t>7/101</t>
  </si>
  <si>
    <t>142/14131</t>
  </si>
  <si>
    <t>Bonn</t>
  </si>
  <si>
    <t>135/14131</t>
  </si>
  <si>
    <t xml:space="preserve">Dutch </t>
  </si>
  <si>
    <t>Lincoln</t>
  </si>
  <si>
    <t>70/2496</t>
  </si>
  <si>
    <t>129/14131</t>
  </si>
  <si>
    <t xml:space="preserve">Italian </t>
  </si>
  <si>
    <t>Milan</t>
  </si>
  <si>
    <t>39/2785</t>
  </si>
  <si>
    <t>140/14131</t>
  </si>
  <si>
    <t>31/2785</t>
  </si>
  <si>
    <t xml:space="preserve">Swedish </t>
  </si>
  <si>
    <t>3/39</t>
  </si>
  <si>
    <t>30/2785</t>
  </si>
  <si>
    <t>74/2597</t>
  </si>
  <si>
    <t>Italian; English</t>
  </si>
  <si>
    <t>74/2496</t>
  </si>
  <si>
    <t>84/2597</t>
  </si>
  <si>
    <t>Hangzhou</t>
  </si>
  <si>
    <t>9/163</t>
  </si>
  <si>
    <t>20/2785</t>
  </si>
  <si>
    <t>94/14131</t>
  </si>
  <si>
    <t>Catalan; Spanish</t>
  </si>
  <si>
    <t>4/960</t>
  </si>
  <si>
    <t>9/5830</t>
  </si>
  <si>
    <t>Uppsala</t>
  </si>
  <si>
    <t>104/14131</t>
  </si>
  <si>
    <t>Montreal</t>
  </si>
  <si>
    <t>110/14131</t>
  </si>
  <si>
    <t>8/5830</t>
  </si>
  <si>
    <t>Chicago</t>
  </si>
  <si>
    <t>68/2496</t>
  </si>
  <si>
    <t>125/14131</t>
  </si>
  <si>
    <t>58/2496</t>
  </si>
  <si>
    <t>25/2785</t>
  </si>
  <si>
    <t>59/2496</t>
  </si>
  <si>
    <t>63/2597</t>
  </si>
  <si>
    <t>Spanish;Catalan</t>
  </si>
  <si>
    <t>German;English</t>
  </si>
  <si>
    <t>Norwegian</t>
  </si>
  <si>
    <t>Italian;English</t>
  </si>
  <si>
    <t>Greek</t>
  </si>
  <si>
    <t>Hebrew</t>
  </si>
  <si>
    <t>Chinese</t>
  </si>
  <si>
    <t>Chinese and English</t>
  </si>
  <si>
    <t>Polish</t>
  </si>
  <si>
    <t>Korean;English</t>
  </si>
  <si>
    <t>203/14131</t>
  </si>
  <si>
    <t>66/2785</t>
  </si>
  <si>
    <t>19/163</t>
  </si>
  <si>
    <t>0.116564417</t>
  </si>
  <si>
    <t>Piedmont</t>
  </si>
  <si>
    <t>Tsukuba</t>
  </si>
  <si>
    <t>Bergen</t>
  </si>
  <si>
    <t>Valencia</t>
  </si>
  <si>
    <t>Tuscany</t>
  </si>
  <si>
    <t>Portugal</t>
  </si>
  <si>
    <t>Africa</t>
  </si>
  <si>
    <t>South Africa</t>
  </si>
  <si>
    <t>103/2785</t>
  </si>
  <si>
    <t>Granada</t>
  </si>
  <si>
    <t>Poland</t>
  </si>
  <si>
    <t>Warsaw</t>
  </si>
  <si>
    <t>Argentina</t>
  </si>
  <si>
    <t>Buenos Aires</t>
  </si>
  <si>
    <t>Otago</t>
  </si>
  <si>
    <t>Chile</t>
  </si>
  <si>
    <t>Santiago</t>
  </si>
  <si>
    <t>Average aid awarded1</t>
  </si>
  <si>
    <t>Citations1</t>
  </si>
  <si>
    <t>Net average cost to attend1</t>
  </si>
  <si>
    <t>Undergraduates1</t>
  </si>
  <si>
    <t>Graduates1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</si>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</sst>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1" fillId="2" borderId="0" xfId="0" applyFont="1" applyFill="1"/>
    <xf numFmtId="2" fontId="0" fillId="0" borderId="0" xfId="0" applyNumberFormat="1"/>
    <xf numFmtId="0" fontId="0" fillId="3" borderId="0" xfId="0" applyFill="1"/>
    <xf numFmtId="164" fontId="0" fillId="0" borderId="0" xfId="0" applyNumberFormat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 applyAlignment="1">
      <alignment horizontal="right"/>
    </xf>
    <xf numFmtId="2" fontId="0" fillId="4" borderId="0" xfId="0" applyNumberFormat="1" applyFill="1" applyAlignment="1">
      <alignment wrapText="1"/>
    </xf>
    <xf numFmtId="2" fontId="0" fillId="4" borderId="0" xfId="0" applyNumberFormat="1" applyFill="1"/>
    <xf numFmtId="3" fontId="0" fillId="4" borderId="0" xfId="0" applyNumberFormat="1" applyFill="1"/>
    <xf numFmtId="49" fontId="0" fillId="4" borderId="0" xfId="0" applyNumberFormat="1" applyFill="1" applyAlignment="1">
      <alignment horizontal="right"/>
    </xf>
    <xf numFmtId="0" fontId="11" fillId="4" borderId="0" xfId="0" applyFont="1" applyFill="1"/>
    <xf numFmtId="0" fontId="11" fillId="4" borderId="0" xfId="0" applyFont="1" applyFill="1" applyAlignment="1">
      <alignment horizontal="right"/>
    </xf>
    <xf numFmtId="0" fontId="11" fillId="4" borderId="0" xfId="0" quotePrefix="1" applyFont="1" applyFill="1" applyAlignment="1">
      <alignment horizontal="right"/>
    </xf>
    <xf numFmtId="2" fontId="11" fillId="4" borderId="0" xfId="0" applyNumberFormat="1" applyFont="1" applyFill="1"/>
    <xf numFmtId="3" fontId="11" fillId="4" borderId="0" xfId="0" applyNumberFormat="1" applyFont="1" applyFill="1"/>
    <xf numFmtId="49" fontId="11" fillId="4" borderId="0" xfId="0" applyNumberFormat="1" applyFont="1" applyFill="1" applyAlignment="1">
      <alignment horizontal="right"/>
    </xf>
    <xf numFmtId="17" fontId="0" fillId="4" borderId="0" xfId="0" quotePrefix="1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16" fontId="0" fillId="4" borderId="0" xfId="0" quotePrefix="1" applyNumberFormat="1" applyFill="1" applyAlignment="1">
      <alignment horizontal="right"/>
    </xf>
    <xf numFmtId="0" fontId="0" fillId="4" borderId="0" xfId="0" quotePrefix="1" applyFill="1" applyAlignment="1">
      <alignment horizontal="right" wrapText="1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3" fillId="4" borderId="0" xfId="0" applyFont="1" applyFill="1"/>
    <xf numFmtId="0" fontId="10" fillId="4" borderId="0" xfId="0" quotePrefix="1" applyFont="1" applyFill="1" applyAlignment="1">
      <alignment horizontal="right"/>
    </xf>
    <xf numFmtId="17" fontId="10" fillId="4" borderId="0" xfId="0" quotePrefix="1" applyNumberFormat="1" applyFont="1" applyFill="1" applyAlignment="1">
      <alignment horizontal="right"/>
    </xf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2" fontId="12" fillId="0" borderId="1" xfId="0" applyNumberFormat="1" applyFont="1" applyBorder="1"/>
    <xf numFmtId="164" fontId="12" fillId="0" borderId="0" xfId="0" applyNumberFormat="1" applyFont="1" applyAlignment="1">
      <alignment horizontal="right"/>
    </xf>
    <xf numFmtId="0" fontId="9" fillId="4" borderId="0" xfId="0" applyFont="1" applyFill="1"/>
    <xf numFmtId="0" fontId="9" fillId="4" borderId="0" xfId="0" applyFont="1" applyFill="1" applyAlignment="1">
      <alignment horizontal="right"/>
    </xf>
    <xf numFmtId="0" fontId="8" fillId="4" borderId="0" xfId="0" applyFont="1" applyFill="1"/>
    <xf numFmtId="0" fontId="8" fillId="0" borderId="0" xfId="0" applyFont="1"/>
    <xf numFmtId="0" fontId="7" fillId="4" borderId="0" xfId="0" applyFont="1" applyFill="1"/>
    <xf numFmtId="2" fontId="7" fillId="4" borderId="0" xfId="0" applyNumberFormat="1" applyFont="1" applyFill="1" applyAlignment="1">
      <alignment horizontal="right"/>
    </xf>
    <xf numFmtId="0" fontId="6" fillId="4" borderId="0" xfId="0" applyFont="1" applyFill="1"/>
    <xf numFmtId="0" fontId="5" fillId="4" borderId="0" xfId="0" applyFont="1" applyFill="1" applyAlignment="1">
      <alignment horizontal="right"/>
    </xf>
    <xf numFmtId="0" fontId="5" fillId="0" borderId="0" xfId="0" applyFont="1"/>
    <xf numFmtId="3" fontId="0" fillId="0" borderId="0" xfId="0" applyNumberFormat="1" applyAlignment="1">
      <alignment horizontal="right"/>
    </xf>
    <xf numFmtId="3" fontId="11" fillId="4" borderId="0" xfId="0" applyNumberFormat="1" applyFont="1" applyFill="1" applyAlignment="1">
      <alignment horizontal="right"/>
    </xf>
    <xf numFmtId="3" fontId="12" fillId="0" borderId="0" xfId="0" applyNumberFormat="1" applyFont="1" applyAlignment="1">
      <alignment horizontal="right"/>
    </xf>
    <xf numFmtId="3" fontId="0" fillId="4" borderId="0" xfId="0" applyNumberFormat="1" applyFill="1" applyAlignment="1">
      <alignment horizontal="right" wrapText="1"/>
    </xf>
    <xf numFmtId="2" fontId="10" fillId="4" borderId="0" xfId="0" applyNumberFormat="1" applyFont="1" applyFill="1"/>
    <xf numFmtId="2" fontId="8" fillId="4" borderId="0" xfId="0" applyNumberFormat="1" applyFont="1" applyFill="1"/>
    <xf numFmtId="2" fontId="0" fillId="0" borderId="0" xfId="0" applyNumberFormat="1" applyAlignment="1">
      <alignment horizontal="right"/>
    </xf>
    <xf numFmtId="2" fontId="0" fillId="4" borderId="0" xfId="0" applyNumberFormat="1" applyFill="1" applyAlignment="1">
      <alignment horizontal="right"/>
    </xf>
    <xf numFmtId="2" fontId="11" fillId="4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3" fillId="4" borderId="0" xfId="0" applyNumberFormat="1" applyFont="1" applyFill="1"/>
    <xf numFmtId="2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rank.org/geo/virginia-st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1"/>
  <sheetViews>
    <sheetView tabSelected="1" topLeftCell="AD1" zoomScale="85" zoomScaleNormal="85" workbookViewId="0">
      <pane ySplit="1" topLeftCell="A278" activePane="bottomLeft" state="frozen"/>
      <selection activeCell="G1" sqref="G1"/>
      <selection pane="bottomLeft" activeCell="AF2" sqref="AF2:AF300"/>
    </sheetView>
  </sheetViews>
  <sheetFormatPr defaultColWidth="9" defaultRowHeight="14.4"/>
  <cols>
    <col min="1" max="1" width="54.33203125" customWidth="1"/>
    <col min="2" max="2" width="14.33203125" style="1" customWidth="1"/>
    <col min="3" max="3" width="20.88671875" customWidth="1"/>
    <col min="4" max="4" width="14.88671875" style="1" customWidth="1"/>
    <col min="5" max="5" width="21.5546875" customWidth="1"/>
    <col min="6" max="6" width="16.33203125" style="1" customWidth="1"/>
    <col min="7" max="7" width="20" customWidth="1"/>
    <col min="8" max="8" width="14" customWidth="1"/>
    <col min="9" max="9" width="15.109375" customWidth="1"/>
    <col min="10" max="10" width="20.6640625" customWidth="1"/>
    <col min="11" max="11" width="23.33203125" style="4" customWidth="1"/>
    <col min="12" max="12" width="16.33203125" style="4" customWidth="1"/>
    <col min="13" max="13" width="11.33203125" customWidth="1"/>
    <col min="14" max="14" width="22.109375" style="5" customWidth="1"/>
    <col min="15" max="15" width="11.88671875" customWidth="1"/>
    <col min="16" max="16" width="13.109375" customWidth="1"/>
    <col min="17" max="17" width="12.109375" style="4" customWidth="1"/>
    <col min="18" max="20" width="15.33203125" customWidth="1"/>
    <col min="21" max="22" width="14.33203125" customWidth="1"/>
    <col min="23" max="23" width="16.109375" style="1" bestFit="1" customWidth="1"/>
    <col min="24" max="25" width="16.33203125" style="48" customWidth="1"/>
    <col min="26" max="27" width="21.109375" style="42" customWidth="1"/>
    <col min="28" max="30" width="23.44140625" style="42" customWidth="1"/>
    <col min="31" max="31" width="19.88671875" customWidth="1"/>
    <col min="32" max="32" width="12.88671875" bestFit="1" customWidth="1"/>
    <col min="33" max="33" width="24.6640625" customWidth="1"/>
    <col min="34" max="34" width="27.88671875" customWidth="1"/>
  </cols>
  <sheetData>
    <row r="1" spans="1:34">
      <c r="A1" s="29" t="s">
        <v>0</v>
      </c>
      <c r="B1" s="30" t="s">
        <v>1</v>
      </c>
      <c r="C1" s="29" t="s">
        <v>2</v>
      </c>
      <c r="D1" s="30" t="s">
        <v>3</v>
      </c>
      <c r="E1" s="29" t="s">
        <v>4</v>
      </c>
      <c r="F1" s="30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31" t="s">
        <v>10</v>
      </c>
      <c r="L1" s="31" t="s">
        <v>11</v>
      </c>
      <c r="M1" s="29" t="s">
        <v>12</v>
      </c>
      <c r="N1" t="s">
        <v>13</v>
      </c>
      <c r="O1" s="41" t="s">
        <v>14</v>
      </c>
      <c r="P1" t="s">
        <v>15</v>
      </c>
      <c r="Q1" s="4" t="s">
        <v>16</v>
      </c>
      <c r="R1" t="s">
        <v>17</v>
      </c>
      <c r="T1" t="s">
        <v>1719</v>
      </c>
      <c r="U1" t="s">
        <v>18</v>
      </c>
      <c r="V1" t="s">
        <v>1720</v>
      </c>
      <c r="W1" s="1" t="s">
        <v>19</v>
      </c>
      <c r="X1" s="53" t="s">
        <v>20</v>
      </c>
      <c r="Y1" s="55" t="s">
        <v>1717</v>
      </c>
      <c r="Z1" s="51" t="s">
        <v>21</v>
      </c>
      <c r="AA1" s="56" t="s">
        <v>1716</v>
      </c>
      <c r="AB1" s="44" t="s">
        <v>22</v>
      </c>
      <c r="AC1" s="44"/>
      <c r="AD1" s="44" t="s">
        <v>1718</v>
      </c>
      <c r="AE1" s="29" t="s">
        <v>23</v>
      </c>
      <c r="AF1" s="4" t="s">
        <v>1721</v>
      </c>
      <c r="AG1" s="6"/>
      <c r="AH1" s="32"/>
    </row>
    <row r="2" spans="1:34" s="2" customFormat="1">
      <c r="A2" s="7" t="s">
        <v>24</v>
      </c>
      <c r="B2" s="8" t="s">
        <v>25</v>
      </c>
      <c r="C2" s="7">
        <f>1/14131</f>
        <v>7.0766400113226235E-5</v>
      </c>
      <c r="D2" s="9" t="s">
        <v>26</v>
      </c>
      <c r="E2" s="7">
        <f>1/2597</f>
        <v>3.850596842510589E-4</v>
      </c>
      <c r="F2" s="9" t="s">
        <v>27</v>
      </c>
      <c r="G2" s="7">
        <f>2/2496</f>
        <v>8.0128205128205125E-4</v>
      </c>
      <c r="H2" s="7" t="s">
        <v>28</v>
      </c>
      <c r="I2" s="7" t="s">
        <v>29</v>
      </c>
      <c r="J2" s="7" t="s">
        <v>30</v>
      </c>
      <c r="K2" s="11" t="s">
        <v>68</v>
      </c>
      <c r="L2" s="11">
        <v>0.04</v>
      </c>
      <c r="M2" s="12">
        <v>485642</v>
      </c>
      <c r="N2" s="7" t="s">
        <v>31</v>
      </c>
      <c r="O2" s="7">
        <v>1530</v>
      </c>
      <c r="P2" s="7">
        <v>35</v>
      </c>
      <c r="Q2" s="11">
        <v>0.73</v>
      </c>
      <c r="R2" s="7">
        <v>9.5790000000000006</v>
      </c>
      <c r="S2" s="8" t="str">
        <f t="shared" ref="S2:S65" si="0">SUBSTITUTE(R2, ",", "")</f>
        <v>9.579</v>
      </c>
      <c r="T2" s="8" t="str">
        <f t="shared" ref="T2:T65" si="1">SUBSTITUTE(S2, ".", "")</f>
        <v>9579</v>
      </c>
      <c r="U2" s="7">
        <v>21.765999999999998</v>
      </c>
      <c r="V2" s="8" t="str">
        <f t="shared" ref="V2:V33" si="2">SUBSTITUTE(U2, ".", "")</f>
        <v>21766</v>
      </c>
      <c r="W2" s="8" t="s">
        <v>32</v>
      </c>
      <c r="X2" s="49" t="s">
        <v>33</v>
      </c>
      <c r="Y2" s="21" t="str">
        <f t="shared" ref="Y2:Y65" si="3">SUBSTITUTE(X2, ",", "")</f>
        <v>28121045</v>
      </c>
      <c r="Z2" s="21">
        <v>59840</v>
      </c>
      <c r="AA2" s="52" t="str">
        <f t="shared" ref="AA2:AA65" si="4">SUBSTITUTE(Z2, ",", "")</f>
        <v>59840</v>
      </c>
      <c r="AB2" s="21" t="s">
        <v>34</v>
      </c>
      <c r="AC2" s="21" t="str">
        <f t="shared" ref="AC2" si="5">SUBSTITUTE(AB2, ",", "")</f>
        <v xml:space="preserve">$13910 </v>
      </c>
      <c r="AD2" s="21" t="str">
        <f t="shared" ref="AD2:AD65" si="6">SUBSTITUTE(AC2, "$", "")</f>
        <v xml:space="preserve">13910 </v>
      </c>
      <c r="AE2" s="7" t="s">
        <v>35</v>
      </c>
      <c r="AF2" s="2" t="str">
        <f>IF(OR(AE2="TOP50", AE2="Top100", AE2="Top150"),"Top Cao","Top Thấp")</f>
        <v>Top Cao</v>
      </c>
    </row>
    <row r="3" spans="1:34" s="2" customFormat="1">
      <c r="A3" s="7" t="s">
        <v>36</v>
      </c>
      <c r="B3" s="8" t="s">
        <v>37</v>
      </c>
      <c r="C3" s="7">
        <f>2/14131</f>
        <v>1.4153280022645247E-4</v>
      </c>
      <c r="D3" s="9" t="s">
        <v>38</v>
      </c>
      <c r="E3" s="7">
        <f>91/2597</f>
        <v>3.5040431266846361E-2</v>
      </c>
      <c r="F3" s="9" t="s">
        <v>39</v>
      </c>
      <c r="G3" s="7">
        <f>80/2496</f>
        <v>3.2051282051282048E-2</v>
      </c>
      <c r="H3" s="7" t="s">
        <v>28</v>
      </c>
      <c r="I3" s="7" t="s">
        <v>29</v>
      </c>
      <c r="J3" s="7" t="s">
        <v>40</v>
      </c>
      <c r="K3" s="11" t="s">
        <v>68</v>
      </c>
      <c r="L3" s="11">
        <v>0.04</v>
      </c>
      <c r="M3" s="12">
        <v>349414</v>
      </c>
      <c r="N3" s="7" t="s">
        <v>31</v>
      </c>
      <c r="O3" s="7">
        <v>1520</v>
      </c>
      <c r="P3" s="7">
        <v>35</v>
      </c>
      <c r="Q3" s="10">
        <v>0.74</v>
      </c>
      <c r="R3" s="7">
        <v>7.6449999999999996</v>
      </c>
      <c r="S3" s="8" t="str">
        <f t="shared" si="0"/>
        <v>7.645</v>
      </c>
      <c r="T3" s="8" t="str">
        <f t="shared" si="1"/>
        <v>7645</v>
      </c>
      <c r="U3" s="7">
        <v>10.035</v>
      </c>
      <c r="V3" s="8" t="str">
        <f t="shared" si="2"/>
        <v>10035</v>
      </c>
      <c r="W3" s="8" t="s">
        <v>32</v>
      </c>
      <c r="X3" s="49" t="s">
        <v>41</v>
      </c>
      <c r="Y3" s="21" t="str">
        <f t="shared" si="3"/>
        <v>18051589</v>
      </c>
      <c r="Z3" s="21">
        <v>56211</v>
      </c>
      <c r="AA3" s="52" t="str">
        <f t="shared" si="4"/>
        <v>56211</v>
      </c>
      <c r="AB3" s="21" t="s">
        <v>42</v>
      </c>
      <c r="AC3" s="21" t="str">
        <f t="shared" ref="AC3:AC66" si="7">SUBSTITUTE(AB3, ",", "")</f>
        <v>$14402</v>
      </c>
      <c r="AD3" s="21" t="str">
        <f t="shared" si="6"/>
        <v>14402</v>
      </c>
      <c r="AE3" s="7" t="s">
        <v>35</v>
      </c>
      <c r="AF3" s="2" t="str">
        <f t="shared" ref="AF3:AF66" si="8">IF(OR(AE3="TOP50", AE3="Top100", AE3="Top150"),"Top Cao","Top Thấp")</f>
        <v>Top Cao</v>
      </c>
    </row>
    <row r="4" spans="1:34" s="2" customFormat="1">
      <c r="A4" s="7" t="s">
        <v>43</v>
      </c>
      <c r="B4" s="8" t="s">
        <v>44</v>
      </c>
      <c r="C4" s="8">
        <v>2.1229899999999999E-4</v>
      </c>
      <c r="D4" s="13" t="s">
        <v>45</v>
      </c>
      <c r="E4" s="13" t="s">
        <v>46</v>
      </c>
      <c r="F4" s="13" t="s">
        <v>47</v>
      </c>
      <c r="G4" s="13" t="s">
        <v>48</v>
      </c>
      <c r="H4" s="7" t="s">
        <v>49</v>
      </c>
      <c r="I4" s="7" t="s">
        <v>50</v>
      </c>
      <c r="J4" s="7" t="s">
        <v>51</v>
      </c>
      <c r="K4" s="7" t="s">
        <v>52</v>
      </c>
      <c r="L4" s="7">
        <v>0.2</v>
      </c>
      <c r="M4" s="12">
        <v>371773</v>
      </c>
      <c r="N4" s="7" t="s">
        <v>31</v>
      </c>
      <c r="O4" s="7">
        <v>1530</v>
      </c>
      <c r="P4" s="7">
        <v>34</v>
      </c>
      <c r="Q4" s="11">
        <v>0.7</v>
      </c>
      <c r="R4" s="7">
        <v>32.281999999999996</v>
      </c>
      <c r="S4" s="8" t="str">
        <f t="shared" si="0"/>
        <v>32.282</v>
      </c>
      <c r="T4" s="8" t="str">
        <f t="shared" si="1"/>
        <v>32282</v>
      </c>
      <c r="U4" s="7">
        <v>17.995999999999999</v>
      </c>
      <c r="V4" s="8" t="str">
        <f t="shared" si="2"/>
        <v>17996</v>
      </c>
      <c r="W4" s="8" t="s">
        <v>32</v>
      </c>
      <c r="X4" s="49" t="s">
        <v>53</v>
      </c>
      <c r="Y4" s="21" t="str">
        <f t="shared" si="3"/>
        <v>14335587</v>
      </c>
      <c r="Z4" s="21">
        <v>16326</v>
      </c>
      <c r="AA4" s="52" t="str">
        <f t="shared" si="4"/>
        <v>16326</v>
      </c>
      <c r="AB4" s="21" t="s">
        <v>54</v>
      </c>
      <c r="AC4" s="21" t="str">
        <f t="shared" si="7"/>
        <v>$21977</v>
      </c>
      <c r="AD4" s="21" t="str">
        <f t="shared" si="6"/>
        <v>21977</v>
      </c>
      <c r="AE4" s="7" t="s">
        <v>35</v>
      </c>
      <c r="AF4" s="2" t="str">
        <f t="shared" si="8"/>
        <v>Top Cao</v>
      </c>
    </row>
    <row r="5" spans="1:34" s="2" customFormat="1">
      <c r="A5" s="7" t="s">
        <v>55</v>
      </c>
      <c r="B5" s="8" t="s">
        <v>56</v>
      </c>
      <c r="C5" s="8">
        <v>3.53832E-4</v>
      </c>
      <c r="D5" s="13" t="s">
        <v>57</v>
      </c>
      <c r="E5" s="13" t="s">
        <v>58</v>
      </c>
      <c r="F5" s="13" t="s">
        <v>59</v>
      </c>
      <c r="G5" s="13" t="s">
        <v>60</v>
      </c>
      <c r="H5" s="7" t="s">
        <v>28</v>
      </c>
      <c r="I5" s="7" t="s">
        <v>29</v>
      </c>
      <c r="J5" s="7" t="s">
        <v>61</v>
      </c>
      <c r="K5" s="7" t="s">
        <v>52</v>
      </c>
      <c r="L5" s="7">
        <v>0.14000000000000001</v>
      </c>
      <c r="M5" s="7">
        <v>241635</v>
      </c>
      <c r="N5" s="7" t="s">
        <v>31</v>
      </c>
      <c r="O5" s="7">
        <v>1530</v>
      </c>
      <c r="P5" s="7">
        <v>35</v>
      </c>
      <c r="Q5" s="11">
        <v>0.61</v>
      </c>
      <c r="R5" s="7">
        <v>31.814</v>
      </c>
      <c r="S5" s="8" t="str">
        <f t="shared" si="0"/>
        <v>31.814</v>
      </c>
      <c r="T5" s="8" t="str">
        <f t="shared" si="1"/>
        <v>31814</v>
      </c>
      <c r="U5" s="7">
        <v>13.222</v>
      </c>
      <c r="V5" s="8" t="str">
        <f t="shared" si="2"/>
        <v>13222</v>
      </c>
      <c r="W5" s="8" t="s">
        <v>32</v>
      </c>
      <c r="X5" s="49" t="s">
        <v>62</v>
      </c>
      <c r="Y5" s="21" t="str">
        <f t="shared" si="3"/>
        <v>14130676</v>
      </c>
      <c r="Z5" s="21">
        <v>21406</v>
      </c>
      <c r="AA5" s="52" t="str">
        <f t="shared" si="4"/>
        <v>21406</v>
      </c>
      <c r="AB5" s="21" t="s">
        <v>63</v>
      </c>
      <c r="AC5" s="21" t="str">
        <f t="shared" si="7"/>
        <v>$54315</v>
      </c>
      <c r="AD5" s="21" t="str">
        <f t="shared" si="6"/>
        <v>54315</v>
      </c>
      <c r="AE5" s="7" t="s">
        <v>35</v>
      </c>
      <c r="AF5" s="2" t="str">
        <f t="shared" si="8"/>
        <v>Top Cao</v>
      </c>
    </row>
    <row r="6" spans="1:34" s="2" customFormat="1">
      <c r="A6" s="24" t="s">
        <v>64</v>
      </c>
      <c r="B6" s="8" t="s">
        <v>65</v>
      </c>
      <c r="C6" s="7">
        <f>5/14131</f>
        <v>3.5383200056613118E-4</v>
      </c>
      <c r="D6" s="9" t="s">
        <v>66</v>
      </c>
      <c r="E6" s="7">
        <f>7/2597</f>
        <v>2.6954177897574125E-3</v>
      </c>
      <c r="F6" s="13" t="s">
        <v>67</v>
      </c>
      <c r="G6" s="7">
        <f>1/23</f>
        <v>4.3478260869565216E-2</v>
      </c>
      <c r="H6" s="7" t="s">
        <v>28</v>
      </c>
      <c r="I6" s="7" t="s">
        <v>29</v>
      </c>
      <c r="J6" s="7" t="s">
        <v>30</v>
      </c>
      <c r="K6" s="11" t="s">
        <v>68</v>
      </c>
      <c r="L6" s="11">
        <v>0.04</v>
      </c>
      <c r="M6" s="12">
        <v>236151</v>
      </c>
      <c r="N6" s="7" t="s">
        <v>31</v>
      </c>
      <c r="O6" s="7">
        <v>1525</v>
      </c>
      <c r="P6" s="7">
        <v>36</v>
      </c>
      <c r="Q6" s="11">
        <v>1</v>
      </c>
      <c r="R6" s="7">
        <v>4.6379999999999999</v>
      </c>
      <c r="S6" s="8" t="str">
        <f t="shared" si="0"/>
        <v>4.638</v>
      </c>
      <c r="T6" s="8" t="str">
        <f t="shared" si="1"/>
        <v>4638</v>
      </c>
      <c r="U6" s="7">
        <v>7.2960000000000003</v>
      </c>
      <c r="V6" s="8" t="str">
        <f t="shared" si="2"/>
        <v>7296</v>
      </c>
      <c r="W6" s="8" t="s">
        <v>32</v>
      </c>
      <c r="X6" s="49" t="s">
        <v>69</v>
      </c>
      <c r="Y6" s="21" t="str">
        <f t="shared" si="3"/>
        <v>13385463</v>
      </c>
      <c r="Z6" s="21">
        <v>32562</v>
      </c>
      <c r="AA6" s="52" t="str">
        <f t="shared" si="4"/>
        <v>32562</v>
      </c>
      <c r="AB6" s="21" t="s">
        <v>70</v>
      </c>
      <c r="AC6" s="21" t="str">
        <f t="shared" si="7"/>
        <v>$30958</v>
      </c>
      <c r="AD6" s="21" t="str">
        <f t="shared" si="6"/>
        <v>30958</v>
      </c>
      <c r="AE6" s="7" t="s">
        <v>35</v>
      </c>
      <c r="AF6" s="2" t="str">
        <f t="shared" si="8"/>
        <v>Top Cao</v>
      </c>
    </row>
    <row r="7" spans="1:34" s="2" customFormat="1">
      <c r="A7" s="7" t="s">
        <v>80</v>
      </c>
      <c r="B7" s="8" t="s">
        <v>81</v>
      </c>
      <c r="C7" s="7">
        <f>6/14131</f>
        <v>4.2459840067935747E-4</v>
      </c>
      <c r="D7" s="9" t="s">
        <v>82</v>
      </c>
      <c r="E7" s="7">
        <f>61/2597</f>
        <v>2.3488640739314594E-2</v>
      </c>
      <c r="F7" s="13" t="s">
        <v>83</v>
      </c>
      <c r="G7" s="7">
        <f>6/58</f>
        <v>0.10344827586206896</v>
      </c>
      <c r="H7" s="7" t="s">
        <v>28</v>
      </c>
      <c r="I7" s="7" t="s">
        <v>29</v>
      </c>
      <c r="J7" s="7" t="s">
        <v>84</v>
      </c>
      <c r="K7" s="46" t="s">
        <v>68</v>
      </c>
      <c r="L7" s="11">
        <v>0.04</v>
      </c>
      <c r="M7" s="12">
        <v>261854</v>
      </c>
      <c r="N7" s="7" t="s">
        <v>31</v>
      </c>
      <c r="O7" s="7">
        <v>1520</v>
      </c>
      <c r="P7" s="7">
        <v>35</v>
      </c>
      <c r="Q7" s="11">
        <v>0.57999999999999996</v>
      </c>
      <c r="R7" s="7">
        <v>8.8320000000000007</v>
      </c>
      <c r="S7" s="8" t="str">
        <f t="shared" si="0"/>
        <v>8.832</v>
      </c>
      <c r="T7" s="8" t="str">
        <f t="shared" si="1"/>
        <v>8832</v>
      </c>
      <c r="U7" s="7">
        <v>24.943999999999999</v>
      </c>
      <c r="V7" s="8" t="str">
        <f t="shared" si="2"/>
        <v>24944</v>
      </c>
      <c r="W7" s="8" t="s">
        <v>32</v>
      </c>
      <c r="X7" s="49" t="s">
        <v>85</v>
      </c>
      <c r="Y7" s="21" t="str">
        <f t="shared" si="3"/>
        <v>11059793</v>
      </c>
      <c r="Z7" s="21">
        <v>57726</v>
      </c>
      <c r="AA7" s="52" t="str">
        <f t="shared" si="4"/>
        <v>57726</v>
      </c>
      <c r="AB7" s="21" t="s">
        <v>86</v>
      </c>
      <c r="AC7" s="21" t="str">
        <f t="shared" si="7"/>
        <v>$12411</v>
      </c>
      <c r="AD7" s="21" t="str">
        <f t="shared" si="6"/>
        <v>12411</v>
      </c>
      <c r="AE7" s="7" t="s">
        <v>35</v>
      </c>
      <c r="AF7" s="2" t="str">
        <f t="shared" si="8"/>
        <v>Top Cao</v>
      </c>
    </row>
    <row r="8" spans="1:34" s="2" customFormat="1">
      <c r="A8" s="35" t="s">
        <v>97</v>
      </c>
      <c r="B8" s="8" t="s">
        <v>98</v>
      </c>
      <c r="C8" s="8">
        <v>5.6613099999999999E-4</v>
      </c>
      <c r="D8" s="13" t="s">
        <v>99</v>
      </c>
      <c r="E8" s="13" t="s">
        <v>100</v>
      </c>
      <c r="F8" s="13" t="s">
        <v>101</v>
      </c>
      <c r="G8" s="13" t="s">
        <v>102</v>
      </c>
      <c r="H8" s="7" t="s">
        <v>103</v>
      </c>
      <c r="I8" s="7" t="s">
        <v>104</v>
      </c>
      <c r="J8" s="7" t="s">
        <v>105</v>
      </c>
      <c r="K8" s="7" t="s">
        <v>52</v>
      </c>
      <c r="L8" s="7">
        <v>0.53</v>
      </c>
      <c r="M8" s="7">
        <v>270033</v>
      </c>
      <c r="N8" s="7" t="s">
        <v>31</v>
      </c>
      <c r="O8" s="7">
        <v>580</v>
      </c>
      <c r="P8" s="7">
        <v>22</v>
      </c>
      <c r="Q8" s="11">
        <v>0.54</v>
      </c>
      <c r="R8" s="7">
        <v>36.201000000000001</v>
      </c>
      <c r="S8" s="8" t="str">
        <f t="shared" si="0"/>
        <v>36.201</v>
      </c>
      <c r="T8" s="8" t="str">
        <f t="shared" si="1"/>
        <v>36201</v>
      </c>
      <c r="U8" s="7">
        <v>16.233000000000001</v>
      </c>
      <c r="V8" s="8" t="str">
        <f t="shared" si="2"/>
        <v>16233</v>
      </c>
      <c r="W8" s="8" t="s">
        <v>32</v>
      </c>
      <c r="X8" s="49" t="s">
        <v>106</v>
      </c>
      <c r="Y8" s="21" t="str">
        <f t="shared" si="3"/>
        <v>14250122</v>
      </c>
      <c r="Z8" s="21">
        <v>22325</v>
      </c>
      <c r="AA8" s="52" t="str">
        <f t="shared" si="4"/>
        <v>22325</v>
      </c>
      <c r="AB8" s="21" t="s">
        <v>107</v>
      </c>
      <c r="AC8" s="21" t="str">
        <f t="shared" si="7"/>
        <v>$16605</v>
      </c>
      <c r="AD8" s="21" t="str">
        <f t="shared" si="6"/>
        <v>16605</v>
      </c>
      <c r="AE8" s="7" t="s">
        <v>35</v>
      </c>
      <c r="AF8" s="2" t="str">
        <f t="shared" si="8"/>
        <v>Top Cao</v>
      </c>
    </row>
    <row r="9" spans="1:34" s="2" customFormat="1">
      <c r="A9" s="7" t="s">
        <v>108</v>
      </c>
      <c r="B9" s="8" t="s">
        <v>109</v>
      </c>
      <c r="C9" s="8">
        <v>7.0766399999999999E-4</v>
      </c>
      <c r="D9" s="13" t="s">
        <v>110</v>
      </c>
      <c r="E9" s="13" t="s">
        <v>111</v>
      </c>
      <c r="F9" s="13" t="s">
        <v>112</v>
      </c>
      <c r="G9" s="13" t="s">
        <v>113</v>
      </c>
      <c r="H9" s="7" t="s">
        <v>28</v>
      </c>
      <c r="I9" s="7" t="s">
        <v>29</v>
      </c>
      <c r="J9" s="7" t="s">
        <v>114</v>
      </c>
      <c r="K9" s="7" t="s">
        <v>52</v>
      </c>
      <c r="L9" s="7">
        <v>0.19</v>
      </c>
      <c r="M9" s="7">
        <v>297.28500000000003</v>
      </c>
      <c r="N9" s="7" t="s">
        <v>31</v>
      </c>
      <c r="O9" s="7">
        <v>1470</v>
      </c>
      <c r="P9" s="7">
        <v>0</v>
      </c>
      <c r="Q9" s="11">
        <v>0.5</v>
      </c>
      <c r="R9" s="7">
        <v>36540</v>
      </c>
      <c r="S9" s="8" t="str">
        <f t="shared" si="0"/>
        <v>36540</v>
      </c>
      <c r="T9" s="8" t="str">
        <f t="shared" si="1"/>
        <v>36540</v>
      </c>
      <c r="U9" s="7">
        <v>18.201000000000001</v>
      </c>
      <c r="V9" s="8" t="str">
        <f t="shared" si="2"/>
        <v>18201</v>
      </c>
      <c r="W9" s="8" t="s">
        <v>32</v>
      </c>
      <c r="X9" s="49" t="s">
        <v>115</v>
      </c>
      <c r="Y9" s="21" t="str">
        <f t="shared" si="3"/>
        <v>11917679</v>
      </c>
      <c r="Z9" s="21">
        <v>0</v>
      </c>
      <c r="AA9" s="52" t="str">
        <f t="shared" si="4"/>
        <v>0</v>
      </c>
      <c r="AB9" s="21" t="s">
        <v>116</v>
      </c>
      <c r="AC9" s="21" t="str">
        <f t="shared" si="7"/>
        <v>$9.250</v>
      </c>
      <c r="AD9" s="21" t="str">
        <f t="shared" si="6"/>
        <v>9.250</v>
      </c>
      <c r="AE9" s="7" t="s">
        <v>35</v>
      </c>
      <c r="AF9" s="2" t="str">
        <f t="shared" si="8"/>
        <v>Top Cao</v>
      </c>
    </row>
    <row r="10" spans="1:34" s="2" customFormat="1">
      <c r="A10" s="7" t="s">
        <v>71</v>
      </c>
      <c r="B10" s="8" t="s">
        <v>72</v>
      </c>
      <c r="C10" s="8">
        <f>10/14131</f>
        <v>7.0766400113226235E-4</v>
      </c>
      <c r="D10" s="13" t="s">
        <v>73</v>
      </c>
      <c r="E10" s="13" t="s">
        <v>74</v>
      </c>
      <c r="F10" s="13" t="s">
        <v>75</v>
      </c>
      <c r="G10" s="13" t="s">
        <v>76</v>
      </c>
      <c r="H10" s="7" t="s">
        <v>28</v>
      </c>
      <c r="I10" s="7" t="s">
        <v>29</v>
      </c>
      <c r="J10" s="7" t="s">
        <v>77</v>
      </c>
      <c r="K10" s="7" t="s">
        <v>52</v>
      </c>
      <c r="L10" s="7">
        <v>0.11</v>
      </c>
      <c r="M10" s="7">
        <v>247701</v>
      </c>
      <c r="N10" s="7" t="s">
        <v>31</v>
      </c>
      <c r="O10" s="7">
        <v>1460</v>
      </c>
      <c r="P10" s="7">
        <v>36</v>
      </c>
      <c r="Q10" s="11">
        <v>0.56000000000000005</v>
      </c>
      <c r="R10" s="7">
        <v>32.122</v>
      </c>
      <c r="S10" s="8" t="str">
        <f t="shared" si="0"/>
        <v>32.122</v>
      </c>
      <c r="T10" s="8" t="str">
        <f t="shared" si="1"/>
        <v>32122</v>
      </c>
      <c r="U10" s="7">
        <v>13.994</v>
      </c>
      <c r="V10" s="8" t="str">
        <f t="shared" si="2"/>
        <v>13994</v>
      </c>
      <c r="W10" s="8" t="s">
        <v>32</v>
      </c>
      <c r="X10" s="49" t="s">
        <v>78</v>
      </c>
      <c r="Y10" s="21" t="str">
        <f t="shared" si="3"/>
        <v>11607379</v>
      </c>
      <c r="Z10" s="21">
        <v>17592</v>
      </c>
      <c r="AA10" s="52" t="str">
        <f t="shared" si="4"/>
        <v>17592</v>
      </c>
      <c r="AB10" s="21" t="s">
        <v>79</v>
      </c>
      <c r="AC10" s="21" t="str">
        <f t="shared" si="7"/>
        <v>$46458</v>
      </c>
      <c r="AD10" s="21" t="str">
        <f t="shared" si="6"/>
        <v>46458</v>
      </c>
      <c r="AE10" s="7" t="s">
        <v>35</v>
      </c>
      <c r="AF10" s="2" t="str">
        <f t="shared" si="8"/>
        <v>Top Cao</v>
      </c>
    </row>
    <row r="11" spans="1:34" s="2" customFormat="1">
      <c r="A11" s="7" t="s">
        <v>117</v>
      </c>
      <c r="B11" s="8" t="s">
        <v>118</v>
      </c>
      <c r="C11" s="8">
        <v>7.7842999999999999E-4</v>
      </c>
      <c r="D11" s="13" t="s">
        <v>119</v>
      </c>
      <c r="E11" s="13" t="s">
        <v>120</v>
      </c>
      <c r="F11" s="13" t="s">
        <v>121</v>
      </c>
      <c r="G11" s="13" t="s">
        <v>122</v>
      </c>
      <c r="H11" s="7" t="s">
        <v>103</v>
      </c>
      <c r="I11" s="7" t="s">
        <v>123</v>
      </c>
      <c r="J11" s="7" t="s">
        <v>124</v>
      </c>
      <c r="K11" s="7" t="s">
        <v>52</v>
      </c>
      <c r="L11" s="7">
        <v>0.05</v>
      </c>
      <c r="M11" s="7">
        <v>198095</v>
      </c>
      <c r="N11" s="7" t="s">
        <v>31</v>
      </c>
      <c r="O11" s="7">
        <v>1530</v>
      </c>
      <c r="P11" s="7">
        <v>34</v>
      </c>
      <c r="Q11" s="11">
        <v>0.66</v>
      </c>
      <c r="R11" s="7">
        <v>6.5359999999999996</v>
      </c>
      <c r="S11" s="8" t="str">
        <f t="shared" si="0"/>
        <v>6.536</v>
      </c>
      <c r="T11" s="8" t="str">
        <f t="shared" si="1"/>
        <v>6536</v>
      </c>
      <c r="U11" s="7">
        <v>8.0310000000000006</v>
      </c>
      <c r="V11" s="8" t="str">
        <f t="shared" si="2"/>
        <v>8031</v>
      </c>
      <c r="W11" s="8" t="s">
        <v>32</v>
      </c>
      <c r="X11" s="49" t="s">
        <v>125</v>
      </c>
      <c r="Y11" s="21" t="str">
        <f t="shared" si="3"/>
        <v>11041652</v>
      </c>
      <c r="Z11" s="21">
        <v>58715</v>
      </c>
      <c r="AA11" s="52" t="str">
        <f t="shared" si="4"/>
        <v>58715</v>
      </c>
      <c r="AB11" s="21" t="s">
        <v>126</v>
      </c>
      <c r="AC11" s="21" t="str">
        <f t="shared" si="7"/>
        <v xml:space="preserve">$20605 </v>
      </c>
      <c r="AD11" s="21" t="str">
        <f t="shared" si="6"/>
        <v xml:space="preserve">20605 </v>
      </c>
      <c r="AE11" s="7" t="s">
        <v>35</v>
      </c>
      <c r="AF11" s="2" t="str">
        <f t="shared" si="8"/>
        <v>Top Cao</v>
      </c>
    </row>
    <row r="12" spans="1:34" s="2" customFormat="1">
      <c r="A12" s="7" t="s">
        <v>127</v>
      </c>
      <c r="B12" s="8" t="s">
        <v>128</v>
      </c>
      <c r="C12" s="7">
        <f>11/14131</f>
        <v>7.7843040124548864E-4</v>
      </c>
      <c r="D12" s="9" t="s">
        <v>129</v>
      </c>
      <c r="E12" s="7">
        <f>134/2597</f>
        <v>5.1597997689641892E-2</v>
      </c>
      <c r="F12" s="9" t="s">
        <v>130</v>
      </c>
      <c r="G12" s="7">
        <f>115/2496</f>
        <v>4.6073717948717952E-2</v>
      </c>
      <c r="H12" s="7" t="s">
        <v>28</v>
      </c>
      <c r="I12" s="7" t="s">
        <v>29</v>
      </c>
      <c r="J12" s="7" t="s">
        <v>84</v>
      </c>
      <c r="K12" s="54" t="s">
        <v>68</v>
      </c>
      <c r="L12" s="11">
        <v>0.09</v>
      </c>
      <c r="M12" s="12">
        <v>244111</v>
      </c>
      <c r="N12" s="7" t="s">
        <v>31</v>
      </c>
      <c r="O12" s="7">
        <v>1505</v>
      </c>
      <c r="P12" s="7">
        <v>34</v>
      </c>
      <c r="Q12" s="11">
        <v>0.57999999999999996</v>
      </c>
      <c r="R12" s="7">
        <v>15.503</v>
      </c>
      <c r="S12" s="8" t="str">
        <f t="shared" si="0"/>
        <v>15.503</v>
      </c>
      <c r="T12" s="8" t="str">
        <f t="shared" si="1"/>
        <v>15503</v>
      </c>
      <c r="U12" s="7">
        <v>10.079000000000001</v>
      </c>
      <c r="V12" s="8" t="str">
        <f t="shared" si="2"/>
        <v>10079</v>
      </c>
      <c r="W12" s="8" t="s">
        <v>32</v>
      </c>
      <c r="X12" s="49" t="s">
        <v>131</v>
      </c>
      <c r="Y12" s="21" t="str">
        <f t="shared" si="3"/>
        <v>10244414</v>
      </c>
      <c r="Z12" s="21">
        <v>52674</v>
      </c>
      <c r="AA12" s="52" t="str">
        <f t="shared" si="4"/>
        <v>52674</v>
      </c>
      <c r="AB12" s="21" t="s">
        <v>132</v>
      </c>
      <c r="AC12" s="21" t="str">
        <f t="shared" si="7"/>
        <v>$24262</v>
      </c>
      <c r="AD12" s="21" t="str">
        <f t="shared" si="6"/>
        <v>24262</v>
      </c>
      <c r="AE12" s="7" t="s">
        <v>35</v>
      </c>
      <c r="AF12" s="2" t="str">
        <f t="shared" si="8"/>
        <v>Top Cao</v>
      </c>
    </row>
    <row r="13" spans="1:34" s="2" customFormat="1">
      <c r="A13" s="7" t="s">
        <v>133</v>
      </c>
      <c r="B13" s="8" t="s">
        <v>134</v>
      </c>
      <c r="C13" s="8">
        <v>8.4919699999999999E-4</v>
      </c>
      <c r="D13" s="13" t="s">
        <v>135</v>
      </c>
      <c r="E13" s="13" t="s">
        <v>136</v>
      </c>
      <c r="F13" s="13" t="s">
        <v>137</v>
      </c>
      <c r="G13" s="13" t="s">
        <v>138</v>
      </c>
      <c r="H13" s="7" t="s">
        <v>49</v>
      </c>
      <c r="I13" s="7" t="s">
        <v>139</v>
      </c>
      <c r="J13" s="7" t="s">
        <v>140</v>
      </c>
      <c r="K13" s="54" t="s">
        <v>68</v>
      </c>
      <c r="L13" s="7">
        <v>0.2</v>
      </c>
      <c r="M13" s="7">
        <v>232058</v>
      </c>
      <c r="N13" s="7" t="s">
        <v>31</v>
      </c>
      <c r="O13" s="7">
        <v>1525</v>
      </c>
      <c r="P13" s="7">
        <v>34</v>
      </c>
      <c r="Q13" s="11">
        <v>0.63</v>
      </c>
      <c r="R13" s="7">
        <v>11.292</v>
      </c>
      <c r="S13" s="8" t="str">
        <f t="shared" si="0"/>
        <v>11.292</v>
      </c>
      <c r="T13" s="8" t="str">
        <f t="shared" si="1"/>
        <v>11292</v>
      </c>
      <c r="U13" s="7">
        <v>16.745999999999999</v>
      </c>
      <c r="V13" s="8" t="str">
        <f t="shared" si="2"/>
        <v>16746</v>
      </c>
      <c r="W13" s="8" t="s">
        <v>32</v>
      </c>
      <c r="X13" s="49" t="s">
        <v>141</v>
      </c>
      <c r="Y13" s="21" t="str">
        <f t="shared" si="3"/>
        <v>11878311</v>
      </c>
      <c r="Z13" s="21">
        <v>50778</v>
      </c>
      <c r="AA13" s="52" t="str">
        <f t="shared" si="4"/>
        <v>50778</v>
      </c>
      <c r="AB13" s="21" t="s">
        <v>142</v>
      </c>
      <c r="AC13" s="21" t="str">
        <f t="shared" si="7"/>
        <v>$14578</v>
      </c>
      <c r="AD13" s="21" t="str">
        <f t="shared" si="6"/>
        <v>14578</v>
      </c>
      <c r="AE13" s="7" t="s">
        <v>35</v>
      </c>
      <c r="AF13" s="2" t="str">
        <f t="shared" si="8"/>
        <v>Top Cao</v>
      </c>
    </row>
    <row r="14" spans="1:34" s="2" customFormat="1">
      <c r="A14" s="7" t="s">
        <v>87</v>
      </c>
      <c r="B14" s="8" t="s">
        <v>88</v>
      </c>
      <c r="C14" s="8">
        <f>13/14131</f>
        <v>9.1996320147194111E-4</v>
      </c>
      <c r="D14" s="13" t="s">
        <v>89</v>
      </c>
      <c r="E14" s="13" t="s">
        <v>90</v>
      </c>
      <c r="F14" s="13" t="s">
        <v>91</v>
      </c>
      <c r="G14" s="13" t="s">
        <v>92</v>
      </c>
      <c r="H14" s="7" t="s">
        <v>49</v>
      </c>
      <c r="I14" s="7" t="s">
        <v>139</v>
      </c>
      <c r="J14" s="7" t="s">
        <v>94</v>
      </c>
      <c r="K14" s="7" t="s">
        <v>52</v>
      </c>
      <c r="L14" s="7">
        <v>0.21</v>
      </c>
      <c r="M14" s="7">
        <v>260850</v>
      </c>
      <c r="N14" s="7" t="s">
        <v>31</v>
      </c>
      <c r="O14" s="7">
        <v>0</v>
      </c>
      <c r="P14" s="7">
        <v>0</v>
      </c>
      <c r="Q14" s="11">
        <v>0.61</v>
      </c>
      <c r="R14" s="12">
        <v>18000</v>
      </c>
      <c r="S14" s="8" t="str">
        <f t="shared" si="0"/>
        <v>18000</v>
      </c>
      <c r="T14" s="8" t="str">
        <f t="shared" si="1"/>
        <v>18000</v>
      </c>
      <c r="U14" s="7">
        <v>18.448</v>
      </c>
      <c r="V14" s="8" t="str">
        <f t="shared" si="2"/>
        <v>18448</v>
      </c>
      <c r="W14" s="8" t="s">
        <v>32</v>
      </c>
      <c r="X14" s="49" t="s">
        <v>95</v>
      </c>
      <c r="Y14" s="21" t="str">
        <f t="shared" si="3"/>
        <v>11097137</v>
      </c>
      <c r="Z14" s="21">
        <v>13362</v>
      </c>
      <c r="AA14" s="52" t="str">
        <f t="shared" si="4"/>
        <v>13362</v>
      </c>
      <c r="AB14" s="21" t="s">
        <v>96</v>
      </c>
      <c r="AC14" s="21" t="str">
        <f t="shared" si="7"/>
        <v>$29217</v>
      </c>
      <c r="AD14" s="21" t="str">
        <f t="shared" si="6"/>
        <v>29217</v>
      </c>
      <c r="AE14" s="7" t="s">
        <v>35</v>
      </c>
      <c r="AF14" s="2" t="str">
        <f t="shared" si="8"/>
        <v>Top Cao</v>
      </c>
    </row>
    <row r="15" spans="1:34" s="2" customFormat="1">
      <c r="A15" s="7" t="s">
        <v>143</v>
      </c>
      <c r="B15" s="8" t="s">
        <v>144</v>
      </c>
      <c r="C15" s="8">
        <v>1.0614960000000001E-3</v>
      </c>
      <c r="D15" s="13" t="s">
        <v>145</v>
      </c>
      <c r="E15" s="13" t="s">
        <v>146</v>
      </c>
      <c r="F15" s="13" t="s">
        <v>147</v>
      </c>
      <c r="G15" s="13" t="s">
        <v>148</v>
      </c>
      <c r="H15" s="7" t="s">
        <v>28</v>
      </c>
      <c r="I15" s="7" t="s">
        <v>29</v>
      </c>
      <c r="J15" s="7" t="s">
        <v>149</v>
      </c>
      <c r="K15" s="7" t="s">
        <v>52</v>
      </c>
      <c r="L15" s="7">
        <v>0.6</v>
      </c>
      <c r="M15" s="7">
        <v>209504</v>
      </c>
      <c r="N15" s="7" t="s">
        <v>31</v>
      </c>
      <c r="O15" s="7">
        <v>1410</v>
      </c>
      <c r="P15" s="7">
        <v>29</v>
      </c>
      <c r="Q15" s="11">
        <v>0.64</v>
      </c>
      <c r="R15" s="7">
        <v>34.561</v>
      </c>
      <c r="S15" s="8" t="str">
        <f t="shared" si="0"/>
        <v>34.561</v>
      </c>
      <c r="T15" s="8" t="str">
        <f t="shared" si="1"/>
        <v>34561</v>
      </c>
      <c r="U15" s="7">
        <v>12.455</v>
      </c>
      <c r="V15" s="8" t="str">
        <f t="shared" si="2"/>
        <v>12455</v>
      </c>
      <c r="W15" s="8" t="s">
        <v>32</v>
      </c>
      <c r="X15" s="49" t="s">
        <v>150</v>
      </c>
      <c r="Y15" s="21" t="str">
        <f t="shared" si="3"/>
        <v>9482241</v>
      </c>
      <c r="Z15" s="21">
        <v>10932</v>
      </c>
      <c r="AA15" s="52" t="str">
        <f t="shared" si="4"/>
        <v>10932</v>
      </c>
      <c r="AB15" s="21" t="s">
        <v>151</v>
      </c>
      <c r="AC15" s="21" t="str">
        <f t="shared" si="7"/>
        <v>$22358</v>
      </c>
      <c r="AD15" s="21" t="str">
        <f t="shared" si="6"/>
        <v>22358</v>
      </c>
      <c r="AE15" s="7" t="s">
        <v>35</v>
      </c>
      <c r="AF15" s="2" t="str">
        <f t="shared" si="8"/>
        <v>Top Cao</v>
      </c>
    </row>
    <row r="16" spans="1:34" s="2" customFormat="1">
      <c r="A16" s="7" t="s">
        <v>152</v>
      </c>
      <c r="B16" s="8" t="s">
        <v>153</v>
      </c>
      <c r="C16" s="7">
        <f>15/14131</f>
        <v>1.0614960016983937E-3</v>
      </c>
      <c r="D16" s="9" t="s">
        <v>154</v>
      </c>
      <c r="E16" s="7">
        <f>18/2597</f>
        <v>6.9310743165190607E-3</v>
      </c>
      <c r="F16" s="9" t="s">
        <v>155</v>
      </c>
      <c r="G16" s="7">
        <f>17/2496</f>
        <v>6.810897435897436E-3</v>
      </c>
      <c r="H16" s="7" t="s">
        <v>28</v>
      </c>
      <c r="I16" s="7" t="s">
        <v>29</v>
      </c>
      <c r="J16" s="7" t="s">
        <v>157</v>
      </c>
      <c r="K16" s="7" t="s">
        <v>52</v>
      </c>
      <c r="L16" s="11">
        <v>0.08</v>
      </c>
      <c r="M16" s="12">
        <v>371.16300000000001</v>
      </c>
      <c r="N16" s="7" t="s">
        <v>31</v>
      </c>
      <c r="O16" s="7">
        <v>1485</v>
      </c>
      <c r="P16" s="7">
        <v>35</v>
      </c>
      <c r="Q16" s="11">
        <v>0.71</v>
      </c>
      <c r="R16" s="7">
        <v>6.1319999999999997</v>
      </c>
      <c r="S16" s="8" t="str">
        <f t="shared" si="0"/>
        <v>6.132</v>
      </c>
      <c r="T16" s="8" t="str">
        <f t="shared" si="1"/>
        <v>6132</v>
      </c>
      <c r="U16" s="7">
        <v>25.917000000000002</v>
      </c>
      <c r="V16" s="8" t="str">
        <f t="shared" si="2"/>
        <v>25917</v>
      </c>
      <c r="W16" s="8" t="s">
        <v>32</v>
      </c>
      <c r="X16" s="49" t="s">
        <v>158</v>
      </c>
      <c r="Y16" s="21" t="str">
        <f t="shared" si="3"/>
        <v>11751431</v>
      </c>
      <c r="Z16" s="21">
        <v>45373</v>
      </c>
      <c r="AA16" s="52" t="str">
        <f t="shared" si="4"/>
        <v>45373</v>
      </c>
      <c r="AB16" s="21" t="s">
        <v>159</v>
      </c>
      <c r="AC16" s="21" t="str">
        <f t="shared" si="7"/>
        <v xml:space="preserve">$20680 </v>
      </c>
      <c r="AD16" s="21" t="str">
        <f t="shared" si="6"/>
        <v xml:space="preserve">20680 </v>
      </c>
      <c r="AE16" s="7" t="s">
        <v>35</v>
      </c>
      <c r="AF16" s="2" t="str">
        <f t="shared" si="8"/>
        <v>Top Cao</v>
      </c>
    </row>
    <row r="17" spans="1:32" s="2" customFormat="1">
      <c r="A17" s="7" t="s">
        <v>160</v>
      </c>
      <c r="B17" s="8" t="s">
        <v>161</v>
      </c>
      <c r="C17" s="8">
        <v>1.132262E-3</v>
      </c>
      <c r="D17" s="13" t="s">
        <v>162</v>
      </c>
      <c r="E17" s="13" t="s">
        <v>163</v>
      </c>
      <c r="F17" s="13" t="s">
        <v>164</v>
      </c>
      <c r="G17" s="13" t="s">
        <v>165</v>
      </c>
      <c r="H17" s="7" t="s">
        <v>156</v>
      </c>
      <c r="I17" s="7" t="s">
        <v>166</v>
      </c>
      <c r="J17" s="7" t="s">
        <v>167</v>
      </c>
      <c r="K17" s="7" t="s">
        <v>52</v>
      </c>
      <c r="L17" s="7">
        <v>0.43</v>
      </c>
      <c r="M17" s="7">
        <v>261987</v>
      </c>
      <c r="N17" s="7" t="s">
        <v>31</v>
      </c>
      <c r="O17" s="7">
        <v>0</v>
      </c>
      <c r="P17" s="7">
        <v>0</v>
      </c>
      <c r="Q17" s="11">
        <v>0.84</v>
      </c>
      <c r="R17" s="7">
        <v>70000</v>
      </c>
      <c r="S17" s="8" t="str">
        <f t="shared" si="0"/>
        <v>70000</v>
      </c>
      <c r="T17" s="8" t="str">
        <f t="shared" si="1"/>
        <v>70000</v>
      </c>
      <c r="U17" s="7">
        <v>25.651</v>
      </c>
      <c r="V17" s="8" t="str">
        <f t="shared" si="2"/>
        <v>25651</v>
      </c>
      <c r="W17" s="8" t="s">
        <v>32</v>
      </c>
      <c r="X17" s="49" t="s">
        <v>168</v>
      </c>
      <c r="Y17" s="21" t="str">
        <f t="shared" si="3"/>
        <v>12707662</v>
      </c>
      <c r="Z17" s="21">
        <v>5000</v>
      </c>
      <c r="AA17" s="52" t="str">
        <f t="shared" si="4"/>
        <v>5000</v>
      </c>
      <c r="AB17" s="21" t="s">
        <v>169</v>
      </c>
      <c r="AC17" s="21" t="str">
        <f t="shared" si="7"/>
        <v>$11267</v>
      </c>
      <c r="AD17" s="21" t="str">
        <f t="shared" si="6"/>
        <v>11267</v>
      </c>
      <c r="AE17" s="7" t="s">
        <v>35</v>
      </c>
      <c r="AF17" s="2" t="str">
        <f t="shared" si="8"/>
        <v>Top Cao</v>
      </c>
    </row>
    <row r="18" spans="1:32" s="2" customFormat="1">
      <c r="A18" s="7" t="s">
        <v>170</v>
      </c>
      <c r="B18" s="8" t="s">
        <v>171</v>
      </c>
      <c r="C18" s="8">
        <v>1.203029E-3</v>
      </c>
      <c r="D18" s="13" t="s">
        <v>172</v>
      </c>
      <c r="E18" s="13" t="s">
        <v>173</v>
      </c>
      <c r="F18" s="13" t="s">
        <v>174</v>
      </c>
      <c r="G18" s="13" t="s">
        <v>175</v>
      </c>
      <c r="H18" s="7" t="s">
        <v>103</v>
      </c>
      <c r="I18" s="7" t="s">
        <v>176</v>
      </c>
      <c r="J18" s="7" t="s">
        <v>177</v>
      </c>
      <c r="K18" s="7" t="s">
        <v>52</v>
      </c>
      <c r="L18" s="7">
        <v>0.73</v>
      </c>
      <c r="M18" s="7">
        <v>227099</v>
      </c>
      <c r="N18" s="7" t="s">
        <v>31</v>
      </c>
      <c r="O18" s="7">
        <v>1400</v>
      </c>
      <c r="P18" s="7">
        <v>30</v>
      </c>
      <c r="Q18" s="11">
        <v>0.82</v>
      </c>
      <c r="R18" s="7">
        <v>36.209000000000003</v>
      </c>
      <c r="S18" s="8" t="str">
        <f t="shared" si="0"/>
        <v>36.209</v>
      </c>
      <c r="T18" s="8" t="str">
        <f t="shared" si="1"/>
        <v>36209</v>
      </c>
      <c r="U18" s="7">
        <v>16.167000000000002</v>
      </c>
      <c r="V18" s="8" t="str">
        <f t="shared" si="2"/>
        <v>16167</v>
      </c>
      <c r="W18" s="8" t="s">
        <v>32</v>
      </c>
      <c r="X18" s="49" t="s">
        <v>178</v>
      </c>
      <c r="Y18" s="21" t="str">
        <f t="shared" si="3"/>
        <v>8665488</v>
      </c>
      <c r="Z18" s="21">
        <v>10362</v>
      </c>
      <c r="AA18" s="52" t="str">
        <f t="shared" si="4"/>
        <v>10362</v>
      </c>
      <c r="AB18" s="21" t="s">
        <v>179</v>
      </c>
      <c r="AC18" s="21" t="str">
        <f t="shared" si="7"/>
        <v xml:space="preserve"> $16654</v>
      </c>
      <c r="AD18" s="21" t="str">
        <f t="shared" si="6"/>
        <v xml:space="preserve"> 16654</v>
      </c>
      <c r="AE18" s="7" t="s">
        <v>35</v>
      </c>
      <c r="AF18" s="2" t="str">
        <f t="shared" si="8"/>
        <v>Top Cao</v>
      </c>
    </row>
    <row r="19" spans="1:32" s="2" customFormat="1">
      <c r="A19" s="39" t="s">
        <v>180</v>
      </c>
      <c r="B19" s="8" t="s">
        <v>181</v>
      </c>
      <c r="C19" s="8">
        <v>1.2737950000000001E-3</v>
      </c>
      <c r="D19" s="13" t="s">
        <v>182</v>
      </c>
      <c r="E19" s="13" t="s">
        <v>183</v>
      </c>
      <c r="F19" s="13" t="s">
        <v>184</v>
      </c>
      <c r="G19" s="13" t="s">
        <v>185</v>
      </c>
      <c r="H19" s="39" t="s">
        <v>156</v>
      </c>
      <c r="I19" s="39" t="s">
        <v>1714</v>
      </c>
      <c r="J19" s="39" t="s">
        <v>1715</v>
      </c>
      <c r="K19" s="7" t="s">
        <v>52</v>
      </c>
      <c r="L19" s="7">
        <v>0.5</v>
      </c>
      <c r="M19" s="12">
        <v>75412</v>
      </c>
      <c r="N19" s="7" t="s">
        <v>187</v>
      </c>
      <c r="O19" s="7">
        <v>0</v>
      </c>
      <c r="P19" s="7">
        <v>0</v>
      </c>
      <c r="Q19" s="11">
        <v>0.82</v>
      </c>
      <c r="R19" s="12">
        <v>34819</v>
      </c>
      <c r="S19" s="8" t="str">
        <f t="shared" si="0"/>
        <v>34819</v>
      </c>
      <c r="T19" s="8" t="str">
        <f t="shared" si="1"/>
        <v>34819</v>
      </c>
      <c r="U19" s="12">
        <v>8960</v>
      </c>
      <c r="V19" s="8" t="str">
        <f t="shared" si="2"/>
        <v>8960</v>
      </c>
      <c r="W19" s="8" t="s">
        <v>32</v>
      </c>
      <c r="X19" s="49" t="s">
        <v>188</v>
      </c>
      <c r="Y19" s="21" t="str">
        <f t="shared" si="3"/>
        <v>1058261</v>
      </c>
      <c r="Z19" s="21">
        <v>2300</v>
      </c>
      <c r="AA19" s="52" t="str">
        <f t="shared" si="4"/>
        <v>2300</v>
      </c>
      <c r="AB19" s="21" t="s">
        <v>189</v>
      </c>
      <c r="AC19" s="21" t="str">
        <f t="shared" si="7"/>
        <v>$6300</v>
      </c>
      <c r="AD19" s="21" t="str">
        <f t="shared" si="6"/>
        <v>6300</v>
      </c>
      <c r="AE19" s="7" t="s">
        <v>35</v>
      </c>
      <c r="AF19" s="2" t="str">
        <f t="shared" si="8"/>
        <v>Top Cao</v>
      </c>
    </row>
    <row r="20" spans="1:32" s="2" customFormat="1">
      <c r="A20" s="35" t="s">
        <v>190</v>
      </c>
      <c r="B20" s="8" t="s">
        <v>191</v>
      </c>
      <c r="C20" s="8">
        <v>1.2737950000000001E-3</v>
      </c>
      <c r="D20" s="13" t="s">
        <v>192</v>
      </c>
      <c r="E20" s="13" t="s">
        <v>193</v>
      </c>
      <c r="F20" s="13" t="s">
        <v>194</v>
      </c>
      <c r="G20" s="13" t="s">
        <v>195</v>
      </c>
      <c r="H20" s="7" t="s">
        <v>103</v>
      </c>
      <c r="I20" s="7" t="s">
        <v>176</v>
      </c>
      <c r="J20" s="7" t="s">
        <v>196</v>
      </c>
      <c r="K20" s="7" t="s">
        <v>52</v>
      </c>
      <c r="L20" s="7">
        <v>0.35</v>
      </c>
      <c r="M20" s="7">
        <v>309445</v>
      </c>
      <c r="N20" s="7" t="s">
        <v>197</v>
      </c>
      <c r="O20" s="7">
        <v>0</v>
      </c>
      <c r="P20" s="7">
        <v>0</v>
      </c>
      <c r="Q20" s="11">
        <v>0.8</v>
      </c>
      <c r="R20" s="7">
        <v>29000</v>
      </c>
      <c r="S20" s="8" t="str">
        <f t="shared" si="0"/>
        <v>29000</v>
      </c>
      <c r="T20" s="8" t="str">
        <f t="shared" si="1"/>
        <v>29000</v>
      </c>
      <c r="U20" s="7">
        <v>8560</v>
      </c>
      <c r="V20" s="8" t="str">
        <f t="shared" si="2"/>
        <v>8560</v>
      </c>
      <c r="W20" s="8" t="s">
        <v>32</v>
      </c>
      <c r="X20" s="49" t="s">
        <v>198</v>
      </c>
      <c r="Y20" s="21" t="str">
        <f t="shared" si="3"/>
        <v>8629585</v>
      </c>
      <c r="Z20" s="21">
        <v>1000</v>
      </c>
      <c r="AA20" s="52" t="str">
        <f t="shared" si="4"/>
        <v>1000</v>
      </c>
      <c r="AB20" s="21" t="s">
        <v>199</v>
      </c>
      <c r="AC20" s="21" t="str">
        <f t="shared" si="7"/>
        <v>$7000</v>
      </c>
      <c r="AD20" s="21" t="str">
        <f t="shared" si="6"/>
        <v>7000</v>
      </c>
      <c r="AE20" s="7" t="s">
        <v>35</v>
      </c>
      <c r="AF20" s="2" t="str">
        <f t="shared" si="8"/>
        <v>Top Cao</v>
      </c>
    </row>
    <row r="21" spans="1:32" s="2" customFormat="1">
      <c r="A21" s="14" t="s">
        <v>245</v>
      </c>
      <c r="B21" s="15" t="s">
        <v>181</v>
      </c>
      <c r="C21" s="15">
        <f>18/14131</f>
        <v>1.2737952020380723E-3</v>
      </c>
      <c r="D21" s="19" t="s">
        <v>246</v>
      </c>
      <c r="E21" s="19" t="s">
        <v>247</v>
      </c>
      <c r="F21" s="19" t="s">
        <v>184</v>
      </c>
      <c r="G21" s="19" t="s">
        <v>248</v>
      </c>
      <c r="H21" s="14" t="s">
        <v>28</v>
      </c>
      <c r="I21" s="14" t="s">
        <v>29</v>
      </c>
      <c r="J21" s="14" t="s">
        <v>312</v>
      </c>
      <c r="K21" s="46" t="s">
        <v>68</v>
      </c>
      <c r="L21" s="14">
        <v>0.06</v>
      </c>
      <c r="M21" s="14">
        <v>148394</v>
      </c>
      <c r="N21" s="7" t="s">
        <v>31</v>
      </c>
      <c r="O21" s="14">
        <v>1545</v>
      </c>
      <c r="P21" s="14">
        <v>34</v>
      </c>
      <c r="Q21" s="17">
        <v>0.57999999999999996</v>
      </c>
      <c r="R21" s="14">
        <v>7.6360000000000001</v>
      </c>
      <c r="S21" s="8" t="str">
        <f t="shared" si="0"/>
        <v>7.636</v>
      </c>
      <c r="T21" s="8" t="str">
        <f t="shared" si="1"/>
        <v>7636</v>
      </c>
      <c r="U21" s="14">
        <v>11.196</v>
      </c>
      <c r="V21" s="8" t="str">
        <f t="shared" si="2"/>
        <v>11196</v>
      </c>
      <c r="W21" s="15" t="s">
        <v>32</v>
      </c>
      <c r="X21" s="50" t="s">
        <v>250</v>
      </c>
      <c r="Y21" s="21" t="str">
        <f t="shared" si="3"/>
        <v>8177819</v>
      </c>
      <c r="Z21" s="43">
        <v>48412</v>
      </c>
      <c r="AA21" s="52" t="str">
        <f t="shared" si="4"/>
        <v>48412</v>
      </c>
      <c r="AB21" s="43" t="s">
        <v>251</v>
      </c>
      <c r="AC21" s="21" t="str">
        <f t="shared" si="7"/>
        <v>$33727</v>
      </c>
      <c r="AD21" s="21" t="str">
        <f t="shared" si="6"/>
        <v>33727</v>
      </c>
      <c r="AE21" s="14" t="s">
        <v>35</v>
      </c>
      <c r="AF21" s="2" t="str">
        <f t="shared" si="8"/>
        <v>Top Cao</v>
      </c>
    </row>
    <row r="22" spans="1:32" s="2" customFormat="1">
      <c r="A22" s="7" t="s">
        <v>200</v>
      </c>
      <c r="B22" s="8" t="s">
        <v>201</v>
      </c>
      <c r="C22" s="7">
        <f>20/14131</f>
        <v>1.4153280022645247E-3</v>
      </c>
      <c r="D22" s="9" t="s">
        <v>202</v>
      </c>
      <c r="E22" s="7">
        <f>26/5830</f>
        <v>4.4596912521440825E-3</v>
      </c>
      <c r="F22" s="9" t="s">
        <v>203</v>
      </c>
      <c r="G22" s="7">
        <f>10/719</f>
        <v>1.3908205841446454E-2</v>
      </c>
      <c r="H22" s="7" t="s">
        <v>28</v>
      </c>
      <c r="I22" s="7" t="s">
        <v>29</v>
      </c>
      <c r="J22" s="7" t="s">
        <v>204</v>
      </c>
      <c r="K22" s="11" t="s">
        <v>52</v>
      </c>
      <c r="L22" s="11">
        <v>0.55000000000000004</v>
      </c>
      <c r="M22" s="12">
        <v>238222</v>
      </c>
      <c r="N22" s="7" t="s">
        <v>31</v>
      </c>
      <c r="O22" s="7">
        <v>1265</v>
      </c>
      <c r="P22" s="7">
        <v>28</v>
      </c>
      <c r="Q22" s="11">
        <v>0.73</v>
      </c>
      <c r="R22" s="7">
        <v>73000</v>
      </c>
      <c r="S22" s="8" t="str">
        <f t="shared" si="0"/>
        <v>73000</v>
      </c>
      <c r="T22" s="8" t="str">
        <f t="shared" si="1"/>
        <v>73000</v>
      </c>
      <c r="U22" s="7">
        <v>50015</v>
      </c>
      <c r="V22" s="8" t="str">
        <f t="shared" si="2"/>
        <v>50015</v>
      </c>
      <c r="W22" s="8" t="s">
        <v>32</v>
      </c>
      <c r="X22" s="49" t="s">
        <v>205</v>
      </c>
      <c r="Y22" s="21" t="str">
        <f t="shared" si="3"/>
        <v>7300912</v>
      </c>
      <c r="Z22" s="21">
        <v>8719</v>
      </c>
      <c r="AA22" s="52" t="str">
        <f t="shared" si="4"/>
        <v>8719</v>
      </c>
      <c r="AB22" s="21" t="s">
        <v>206</v>
      </c>
      <c r="AC22" s="21" t="str">
        <f t="shared" si="7"/>
        <v>$32528</v>
      </c>
      <c r="AD22" s="21" t="str">
        <f t="shared" si="6"/>
        <v>32528</v>
      </c>
      <c r="AE22" s="7" t="s">
        <v>35</v>
      </c>
      <c r="AF22" s="2" t="str">
        <f t="shared" si="8"/>
        <v>Top Cao</v>
      </c>
    </row>
    <row r="23" spans="1:32" s="2" customFormat="1">
      <c r="A23" s="37" t="s">
        <v>216</v>
      </c>
      <c r="B23" s="8" t="s">
        <v>217</v>
      </c>
      <c r="C23" s="7">
        <f>21/14131</f>
        <v>1.486094402377751E-3</v>
      </c>
      <c r="D23" s="9" t="s">
        <v>218</v>
      </c>
      <c r="E23" s="7">
        <f>29/2597</f>
        <v>1.1166730843280709E-2</v>
      </c>
      <c r="F23" s="9" t="s">
        <v>219</v>
      </c>
      <c r="G23" s="7">
        <f>27/2496</f>
        <v>1.0817307692307692E-2</v>
      </c>
      <c r="H23" s="7" t="s">
        <v>49</v>
      </c>
      <c r="I23" s="7" t="s">
        <v>139</v>
      </c>
      <c r="J23" s="7" t="s">
        <v>220</v>
      </c>
      <c r="K23" s="11" t="s">
        <v>52</v>
      </c>
      <c r="L23" s="11">
        <v>0.28000000000000003</v>
      </c>
      <c r="M23" s="12">
        <v>234591</v>
      </c>
      <c r="N23" s="7" t="s">
        <v>31</v>
      </c>
      <c r="O23" s="7">
        <v>1490</v>
      </c>
      <c r="P23" s="7">
        <v>32</v>
      </c>
      <c r="Q23" s="11">
        <v>0.67</v>
      </c>
      <c r="R23" s="7">
        <v>40000</v>
      </c>
      <c r="S23" s="8" t="str">
        <f t="shared" si="0"/>
        <v>40000</v>
      </c>
      <c r="T23" s="8" t="str">
        <f t="shared" si="1"/>
        <v>40000</v>
      </c>
      <c r="U23" s="7">
        <v>35000</v>
      </c>
      <c r="V23" s="8" t="str">
        <f t="shared" si="2"/>
        <v>35000</v>
      </c>
      <c r="W23" s="8" t="s">
        <v>32</v>
      </c>
      <c r="X23" s="49" t="s">
        <v>221</v>
      </c>
      <c r="Y23" s="21" t="str">
        <f t="shared" si="3"/>
        <v>8693319</v>
      </c>
      <c r="Z23" s="21">
        <v>33254</v>
      </c>
      <c r="AA23" s="52" t="str">
        <f t="shared" si="4"/>
        <v>33254</v>
      </c>
      <c r="AB23" s="21" t="s">
        <v>222</v>
      </c>
      <c r="AC23" s="21" t="str">
        <f t="shared" si="7"/>
        <v>$25339</v>
      </c>
      <c r="AD23" s="21" t="str">
        <f t="shared" si="6"/>
        <v>25339</v>
      </c>
      <c r="AE23" s="7" t="s">
        <v>35</v>
      </c>
      <c r="AF23" s="2" t="str">
        <f t="shared" si="8"/>
        <v>Top Cao</v>
      </c>
    </row>
    <row r="24" spans="1:32" s="2" customFormat="1">
      <c r="A24" s="7" t="s">
        <v>223</v>
      </c>
      <c r="B24" s="8" t="s">
        <v>224</v>
      </c>
      <c r="C24" s="7">
        <f>22/14131</f>
        <v>1.5568608024909773E-3</v>
      </c>
      <c r="D24" s="9" t="s">
        <v>225</v>
      </c>
      <c r="E24" s="7">
        <f>93/2597</f>
        <v>3.5810550635348479E-2</v>
      </c>
      <c r="F24" s="9" t="s">
        <v>226</v>
      </c>
      <c r="G24" s="7">
        <f>82/2496</f>
        <v>3.2852564102564104E-2</v>
      </c>
      <c r="H24" s="7" t="s">
        <v>28</v>
      </c>
      <c r="I24" s="7" t="s">
        <v>29</v>
      </c>
      <c r="J24" s="7" t="s">
        <v>227</v>
      </c>
      <c r="K24" s="11" t="s">
        <v>52</v>
      </c>
      <c r="L24" s="11">
        <v>0.56999999999999995</v>
      </c>
      <c r="M24" s="12">
        <v>267222</v>
      </c>
      <c r="N24" s="7" t="s">
        <v>31</v>
      </c>
      <c r="O24" s="7">
        <v>1345</v>
      </c>
      <c r="P24" s="7">
        <v>29</v>
      </c>
      <c r="Q24" s="11">
        <v>0.83</v>
      </c>
      <c r="R24" s="7">
        <v>47.106000000000002</v>
      </c>
      <c r="S24" s="8" t="str">
        <f t="shared" si="0"/>
        <v>47.106</v>
      </c>
      <c r="T24" s="8" t="str">
        <f t="shared" si="1"/>
        <v>47106</v>
      </c>
      <c r="U24" s="7">
        <v>14.571</v>
      </c>
      <c r="V24" s="8" t="str">
        <f t="shared" si="2"/>
        <v>14571</v>
      </c>
      <c r="W24" s="8" t="s">
        <v>32</v>
      </c>
      <c r="X24" s="49" t="s">
        <v>228</v>
      </c>
      <c r="Y24" s="21" t="str">
        <f t="shared" si="3"/>
        <v>6725241</v>
      </c>
      <c r="Z24" s="21">
        <v>11830</v>
      </c>
      <c r="AA24" s="52" t="str">
        <f t="shared" si="4"/>
        <v>11830</v>
      </c>
      <c r="AB24" s="21" t="s">
        <v>229</v>
      </c>
      <c r="AC24" s="21" t="str">
        <f t="shared" si="7"/>
        <v>$11560</v>
      </c>
      <c r="AD24" s="21" t="str">
        <f t="shared" si="6"/>
        <v>11560</v>
      </c>
      <c r="AE24" s="7" t="s">
        <v>35</v>
      </c>
      <c r="AF24" s="2" t="str">
        <f t="shared" si="8"/>
        <v>Top Cao</v>
      </c>
    </row>
    <row r="25" spans="1:32" s="2" customFormat="1">
      <c r="A25" s="7" t="s">
        <v>207</v>
      </c>
      <c r="B25" s="8" t="s">
        <v>208</v>
      </c>
      <c r="C25" s="8">
        <f>23/14131</f>
        <v>1.6276272026042036E-3</v>
      </c>
      <c r="D25" s="13" t="s">
        <v>209</v>
      </c>
      <c r="E25" s="13" t="s">
        <v>210</v>
      </c>
      <c r="F25" s="13" t="s">
        <v>211</v>
      </c>
      <c r="G25" s="13" t="s">
        <v>212</v>
      </c>
      <c r="H25" s="7" t="s">
        <v>28</v>
      </c>
      <c r="I25" s="7" t="s">
        <v>29</v>
      </c>
      <c r="J25" s="7" t="s">
        <v>213</v>
      </c>
      <c r="K25" s="11" t="s">
        <v>52</v>
      </c>
      <c r="L25" s="7">
        <v>0.6</v>
      </c>
      <c r="M25" s="7">
        <v>202516</v>
      </c>
      <c r="N25" s="7" t="s">
        <v>31</v>
      </c>
      <c r="O25" s="7">
        <v>1415</v>
      </c>
      <c r="P25" s="7">
        <v>32</v>
      </c>
      <c r="Q25" s="11">
        <v>0.85</v>
      </c>
      <c r="R25" s="7">
        <v>34.779000000000003</v>
      </c>
      <c r="S25" s="8" t="str">
        <f t="shared" si="0"/>
        <v>34.779</v>
      </c>
      <c r="T25" s="8" t="str">
        <f t="shared" si="1"/>
        <v>34779</v>
      </c>
      <c r="U25" s="7">
        <v>21.827999999999999</v>
      </c>
      <c r="V25" s="8" t="str">
        <f t="shared" si="2"/>
        <v>21828</v>
      </c>
      <c r="W25" s="8" t="s">
        <v>32</v>
      </c>
      <c r="X25" s="49" t="s">
        <v>214</v>
      </c>
      <c r="Y25" s="21" t="str">
        <f t="shared" si="3"/>
        <v>8034733</v>
      </c>
      <c r="Z25" s="21">
        <v>11212</v>
      </c>
      <c r="AA25" s="52" t="str">
        <f t="shared" si="4"/>
        <v>11212</v>
      </c>
      <c r="AB25" s="21" t="s">
        <v>215</v>
      </c>
      <c r="AC25" s="21" t="str">
        <f t="shared" si="7"/>
        <v xml:space="preserve"> $14635</v>
      </c>
      <c r="AD25" s="21" t="str">
        <f t="shared" si="6"/>
        <v xml:space="preserve"> 14635</v>
      </c>
      <c r="AE25" s="7" t="s">
        <v>35</v>
      </c>
      <c r="AF25" s="2" t="str">
        <f t="shared" si="8"/>
        <v>Top Cao</v>
      </c>
    </row>
    <row r="26" spans="1:32" s="3" customFormat="1">
      <c r="A26" s="14" t="s">
        <v>268</v>
      </c>
      <c r="B26" s="15" t="s">
        <v>269</v>
      </c>
      <c r="C26" s="15">
        <f>25/14131</f>
        <v>1.7691600028306559E-3</v>
      </c>
      <c r="D26" s="19" t="s">
        <v>270</v>
      </c>
      <c r="E26" s="19" t="s">
        <v>271</v>
      </c>
      <c r="F26" s="19" t="s">
        <v>272</v>
      </c>
      <c r="G26" s="19" t="s">
        <v>273</v>
      </c>
      <c r="H26" s="14" t="s">
        <v>28</v>
      </c>
      <c r="I26" s="14" t="s">
        <v>29</v>
      </c>
      <c r="J26" s="14" t="s">
        <v>274</v>
      </c>
      <c r="K26" s="14" t="s">
        <v>52</v>
      </c>
      <c r="L26" s="14">
        <v>0.34</v>
      </c>
      <c r="M26" s="14">
        <v>179956</v>
      </c>
      <c r="N26" s="7" t="s">
        <v>31</v>
      </c>
      <c r="O26" s="14">
        <v>1360</v>
      </c>
      <c r="P26" s="14">
        <v>29</v>
      </c>
      <c r="Q26" s="17">
        <v>0.54</v>
      </c>
      <c r="R26" s="14">
        <v>33.343000000000004</v>
      </c>
      <c r="S26" s="8" t="str">
        <f t="shared" si="0"/>
        <v>33.343</v>
      </c>
      <c r="T26" s="8" t="str">
        <f t="shared" si="1"/>
        <v>33343</v>
      </c>
      <c r="U26" s="14">
        <v>8.5419999999999998</v>
      </c>
      <c r="V26" s="8" t="str">
        <f t="shared" si="2"/>
        <v>8542</v>
      </c>
      <c r="W26" s="15" t="s">
        <v>32</v>
      </c>
      <c r="X26" s="50" t="s">
        <v>275</v>
      </c>
      <c r="Y26" s="21" t="str">
        <f t="shared" si="3"/>
        <v>10584156</v>
      </c>
      <c r="Z26" s="43">
        <v>18083</v>
      </c>
      <c r="AA26" s="52" t="str">
        <f t="shared" si="4"/>
        <v>18083</v>
      </c>
      <c r="AB26" s="43">
        <v>11176</v>
      </c>
      <c r="AC26" s="21" t="str">
        <f t="shared" si="7"/>
        <v>11176</v>
      </c>
      <c r="AD26" s="21" t="str">
        <f t="shared" si="6"/>
        <v>11176</v>
      </c>
      <c r="AE26" s="14" t="s">
        <v>35</v>
      </c>
      <c r="AF26" s="2" t="str">
        <f t="shared" si="8"/>
        <v>Top Cao</v>
      </c>
    </row>
    <row r="27" spans="1:32" s="3" customFormat="1">
      <c r="A27" s="14" t="s">
        <v>239</v>
      </c>
      <c r="B27" s="15" t="s">
        <v>240</v>
      </c>
      <c r="C27" s="14">
        <f>26/14131</f>
        <v>1.8399264029438822E-3</v>
      </c>
      <c r="D27" s="16" t="s">
        <v>241</v>
      </c>
      <c r="E27" s="14">
        <f>70/2597</f>
        <v>2.6954177897574125E-2</v>
      </c>
      <c r="F27" s="16" t="s">
        <v>242</v>
      </c>
      <c r="G27" s="14">
        <f>3/27</f>
        <v>0.1111111111111111</v>
      </c>
      <c r="H27" s="14" t="s">
        <v>28</v>
      </c>
      <c r="I27" s="14" t="s">
        <v>29</v>
      </c>
      <c r="J27" s="14" t="s">
        <v>84</v>
      </c>
      <c r="K27" s="46" t="s">
        <v>68</v>
      </c>
      <c r="L27" s="17">
        <v>0.13</v>
      </c>
      <c r="M27" s="18">
        <v>180929</v>
      </c>
      <c r="N27" s="7" t="s">
        <v>31</v>
      </c>
      <c r="O27" s="14">
        <v>1510</v>
      </c>
      <c r="P27" s="14">
        <v>34</v>
      </c>
      <c r="Q27" s="17">
        <v>0.78</v>
      </c>
      <c r="R27" s="14">
        <v>28.771999999999998</v>
      </c>
      <c r="S27" s="8" t="str">
        <f t="shared" si="0"/>
        <v>28.772</v>
      </c>
      <c r="T27" s="8" t="str">
        <f t="shared" si="1"/>
        <v>28772</v>
      </c>
      <c r="U27" s="14">
        <v>29.454000000000001</v>
      </c>
      <c r="V27" s="8" t="str">
        <f t="shared" si="2"/>
        <v>29454</v>
      </c>
      <c r="W27" s="15" t="s">
        <v>32</v>
      </c>
      <c r="X27" s="50" t="s">
        <v>243</v>
      </c>
      <c r="Y27" s="21" t="str">
        <f t="shared" si="3"/>
        <v>6801466</v>
      </c>
      <c r="Z27" s="43">
        <v>25047</v>
      </c>
      <c r="AA27" s="52" t="str">
        <f t="shared" si="4"/>
        <v>25047</v>
      </c>
      <c r="AB27" s="43" t="s">
        <v>244</v>
      </c>
      <c r="AC27" s="21" t="str">
        <f t="shared" si="7"/>
        <v>$50991</v>
      </c>
      <c r="AD27" s="21" t="str">
        <f t="shared" si="6"/>
        <v>50991</v>
      </c>
      <c r="AE27" s="14" t="s">
        <v>35</v>
      </c>
      <c r="AF27" s="2" t="str">
        <f t="shared" si="8"/>
        <v>Top Cao</v>
      </c>
    </row>
    <row r="28" spans="1:32" s="3" customFormat="1">
      <c r="A28" s="14" t="s">
        <v>252</v>
      </c>
      <c r="B28" s="15" t="s">
        <v>253</v>
      </c>
      <c r="C28" s="14">
        <f>29/14131</f>
        <v>2.0522256032835611E-3</v>
      </c>
      <c r="D28" s="16" t="s">
        <v>254</v>
      </c>
      <c r="E28" s="14">
        <f>114/2597</f>
        <v>4.3896804004620718E-2</v>
      </c>
      <c r="F28" s="19" t="s">
        <v>255</v>
      </c>
      <c r="G28" s="14">
        <f>2/32</f>
        <v>6.25E-2</v>
      </c>
      <c r="H28" s="14" t="s">
        <v>28</v>
      </c>
      <c r="I28" s="14" t="s">
        <v>29</v>
      </c>
      <c r="J28" s="14" t="s">
        <v>256</v>
      </c>
      <c r="K28" s="46" t="s">
        <v>68</v>
      </c>
      <c r="L28" s="17">
        <v>0.04</v>
      </c>
      <c r="M28" s="18">
        <v>135884</v>
      </c>
      <c r="N28" s="7" t="s">
        <v>31</v>
      </c>
      <c r="O28" s="14">
        <v>1515</v>
      </c>
      <c r="P28" s="14">
        <v>34</v>
      </c>
      <c r="Q28" s="17">
        <v>0.66</v>
      </c>
      <c r="R28" s="14">
        <v>5.3209999999999997</v>
      </c>
      <c r="S28" s="8" t="str">
        <f t="shared" si="0"/>
        <v>5.321</v>
      </c>
      <c r="T28" s="8" t="str">
        <f t="shared" si="1"/>
        <v>5321</v>
      </c>
      <c r="U28" s="14">
        <v>3.157</v>
      </c>
      <c r="V28" s="8" t="str">
        <f t="shared" si="2"/>
        <v>3157</v>
      </c>
      <c r="W28" s="15" t="s">
        <v>32</v>
      </c>
      <c r="X28" s="50" t="s">
        <v>257</v>
      </c>
      <c r="Y28" s="21" t="str">
        <f t="shared" si="3"/>
        <v>6746169</v>
      </c>
      <c r="Z28" s="43">
        <v>47136</v>
      </c>
      <c r="AA28" s="52" t="str">
        <f t="shared" si="4"/>
        <v>47136</v>
      </c>
      <c r="AB28" s="43" t="s">
        <v>258</v>
      </c>
      <c r="AC28" s="21" t="str">
        <f t="shared" si="7"/>
        <v>$20908</v>
      </c>
      <c r="AD28" s="21" t="str">
        <f t="shared" si="6"/>
        <v>20908</v>
      </c>
      <c r="AE28" s="14" t="s">
        <v>35</v>
      </c>
      <c r="AF28" s="2" t="str">
        <f t="shared" si="8"/>
        <v>Top Cao</v>
      </c>
    </row>
    <row r="29" spans="1:32" s="3" customFormat="1">
      <c r="A29" s="14" t="s">
        <v>259</v>
      </c>
      <c r="B29" s="15" t="s">
        <v>260</v>
      </c>
      <c r="C29" s="15">
        <v>2.0522259999999999E-3</v>
      </c>
      <c r="D29" s="19" t="s">
        <v>261</v>
      </c>
      <c r="E29" s="19" t="s">
        <v>262</v>
      </c>
      <c r="F29" s="19" t="s">
        <v>263</v>
      </c>
      <c r="G29" s="19" t="s">
        <v>264</v>
      </c>
      <c r="H29" s="14" t="s">
        <v>28</v>
      </c>
      <c r="I29" s="14" t="s">
        <v>29</v>
      </c>
      <c r="J29" s="14" t="s">
        <v>265</v>
      </c>
      <c r="K29" s="14" t="s">
        <v>52</v>
      </c>
      <c r="L29" s="14">
        <v>0.2</v>
      </c>
      <c r="M29" s="14">
        <v>164047</v>
      </c>
      <c r="N29" s="7" t="s">
        <v>31</v>
      </c>
      <c r="O29" s="14">
        <v>1260</v>
      </c>
      <c r="P29" s="14">
        <v>25</v>
      </c>
      <c r="Q29" s="17">
        <v>0.6</v>
      </c>
      <c r="R29" s="14">
        <v>19.844999999999999</v>
      </c>
      <c r="S29" s="8" t="str">
        <f t="shared" si="0"/>
        <v>19.845</v>
      </c>
      <c r="T29" s="8" t="str">
        <f t="shared" si="1"/>
        <v>19845</v>
      </c>
      <c r="U29" s="14">
        <v>11.795999999999999</v>
      </c>
      <c r="V29" s="8" t="str">
        <f t="shared" si="2"/>
        <v>11796</v>
      </c>
      <c r="W29" s="15" t="s">
        <v>32</v>
      </c>
      <c r="X29" s="50" t="s">
        <v>266</v>
      </c>
      <c r="Y29" s="21" t="str">
        <f t="shared" si="3"/>
        <v>7598640</v>
      </c>
      <c r="Z29" s="43">
        <v>16076</v>
      </c>
      <c r="AA29" s="52" t="str">
        <f t="shared" si="4"/>
        <v>16076</v>
      </c>
      <c r="AB29" s="43" t="s">
        <v>267</v>
      </c>
      <c r="AC29" s="21" t="str">
        <f t="shared" si="7"/>
        <v>$15202</v>
      </c>
      <c r="AD29" s="21" t="str">
        <f t="shared" si="6"/>
        <v>15202</v>
      </c>
      <c r="AE29" s="14" t="s">
        <v>35</v>
      </c>
      <c r="AF29" s="2" t="str">
        <f t="shared" si="8"/>
        <v>Top Cao</v>
      </c>
    </row>
    <row r="30" spans="1:32" s="3" customFormat="1">
      <c r="A30" s="14" t="s">
        <v>276</v>
      </c>
      <c r="B30" s="15" t="s">
        <v>277</v>
      </c>
      <c r="C30" s="15">
        <v>2.1937580000000001E-3</v>
      </c>
      <c r="D30" s="19" t="s">
        <v>278</v>
      </c>
      <c r="E30" s="19" t="s">
        <v>279</v>
      </c>
      <c r="F30" s="19" t="s">
        <v>280</v>
      </c>
      <c r="G30" s="19" t="s">
        <v>281</v>
      </c>
      <c r="H30" s="14" t="s">
        <v>28</v>
      </c>
      <c r="I30" s="14" t="s">
        <v>29</v>
      </c>
      <c r="J30" s="14" t="s">
        <v>282</v>
      </c>
      <c r="K30" s="46" t="s">
        <v>68</v>
      </c>
      <c r="L30" s="14">
        <v>0.13</v>
      </c>
      <c r="M30" s="14">
        <v>193.958</v>
      </c>
      <c r="N30" s="7" t="s">
        <v>31</v>
      </c>
      <c r="O30" s="14">
        <v>1475</v>
      </c>
      <c r="P30" s="14">
        <v>34</v>
      </c>
      <c r="Q30" s="17">
        <v>0.76</v>
      </c>
      <c r="R30" s="14">
        <v>20.79</v>
      </c>
      <c r="S30" s="8" t="str">
        <f t="shared" si="0"/>
        <v>20.79</v>
      </c>
      <c r="T30" s="8" t="str">
        <f t="shared" si="1"/>
        <v>2079</v>
      </c>
      <c r="U30" s="14">
        <v>28.527999999999999</v>
      </c>
      <c r="V30" s="8" t="str">
        <f t="shared" si="2"/>
        <v>28528</v>
      </c>
      <c r="W30" s="15" t="s">
        <v>32</v>
      </c>
      <c r="X30" s="50" t="s">
        <v>283</v>
      </c>
      <c r="Y30" s="21" t="str">
        <f t="shared" si="3"/>
        <v>6636439</v>
      </c>
      <c r="Z30" s="43">
        <v>40690</v>
      </c>
      <c r="AA30" s="52" t="str">
        <f t="shared" si="4"/>
        <v>40690</v>
      </c>
      <c r="AB30" s="43" t="s">
        <v>284</v>
      </c>
      <c r="AC30" s="21" t="str">
        <f t="shared" si="7"/>
        <v>$26021</v>
      </c>
      <c r="AD30" s="21" t="str">
        <f t="shared" si="6"/>
        <v>26021</v>
      </c>
      <c r="AE30" s="14" t="s">
        <v>35</v>
      </c>
      <c r="AF30" s="2" t="str">
        <f t="shared" si="8"/>
        <v>Top Cao</v>
      </c>
    </row>
    <row r="31" spans="1:32" s="3" customFormat="1">
      <c r="A31" s="7" t="s">
        <v>230</v>
      </c>
      <c r="B31" s="8" t="s">
        <v>231</v>
      </c>
      <c r="C31" s="8">
        <f>31/14131</f>
        <v>2.1937584035100132E-3</v>
      </c>
      <c r="D31" s="13" t="s">
        <v>232</v>
      </c>
      <c r="E31" s="13" t="s">
        <v>233</v>
      </c>
      <c r="F31" s="13" t="s">
        <v>234</v>
      </c>
      <c r="G31" s="13" t="s">
        <v>235</v>
      </c>
      <c r="H31" s="7" t="s">
        <v>28</v>
      </c>
      <c r="I31" s="7" t="s">
        <v>29</v>
      </c>
      <c r="J31" s="7" t="s">
        <v>236</v>
      </c>
      <c r="K31" s="7" t="s">
        <v>52</v>
      </c>
      <c r="L31" s="7">
        <v>0.28999999999999998</v>
      </c>
      <c r="M31" s="7">
        <v>194.245</v>
      </c>
      <c r="N31" s="7" t="s">
        <v>31</v>
      </c>
      <c r="O31" s="7">
        <v>1365</v>
      </c>
      <c r="P31" s="7">
        <v>30</v>
      </c>
      <c r="Q31" s="11">
        <v>0.71</v>
      </c>
      <c r="R31" s="7">
        <v>40.915999999999997</v>
      </c>
      <c r="S31" s="8" t="str">
        <f t="shared" si="0"/>
        <v>40.916</v>
      </c>
      <c r="T31" s="8" t="str">
        <f t="shared" si="1"/>
        <v>40916</v>
      </c>
      <c r="U31" s="7">
        <v>11.074999999999999</v>
      </c>
      <c r="V31" s="8" t="str">
        <f t="shared" si="2"/>
        <v>11075</v>
      </c>
      <c r="W31" s="8" t="s">
        <v>32</v>
      </c>
      <c r="X31" s="49" t="s">
        <v>237</v>
      </c>
      <c r="Y31" s="21" t="str">
        <f t="shared" si="3"/>
        <v>6500532</v>
      </c>
      <c r="Z31" s="21">
        <v>12725</v>
      </c>
      <c r="AA31" s="52" t="str">
        <f t="shared" si="4"/>
        <v>12725</v>
      </c>
      <c r="AB31" s="21" t="s">
        <v>238</v>
      </c>
      <c r="AC31" s="21" t="str">
        <f t="shared" si="7"/>
        <v>$22499</v>
      </c>
      <c r="AD31" s="21" t="str">
        <f t="shared" si="6"/>
        <v>22499</v>
      </c>
      <c r="AE31" s="7" t="s">
        <v>35</v>
      </c>
      <c r="AF31" s="2" t="str">
        <f t="shared" si="8"/>
        <v>Top Cao</v>
      </c>
    </row>
    <row r="32" spans="1:32" s="3" customFormat="1">
      <c r="A32" s="14" t="s">
        <v>285</v>
      </c>
      <c r="B32" s="15" t="s">
        <v>286</v>
      </c>
      <c r="C32" s="14">
        <f>32/14131</f>
        <v>2.2645248036232395E-3</v>
      </c>
      <c r="D32" s="16" t="s">
        <v>287</v>
      </c>
      <c r="E32" s="14">
        <f>17/2597</f>
        <v>6.5460146322680011E-3</v>
      </c>
      <c r="F32" s="16" t="s">
        <v>288</v>
      </c>
      <c r="G32" s="14">
        <f>16/2496</f>
        <v>6.41025641025641E-3</v>
      </c>
      <c r="H32" s="14" t="s">
        <v>28</v>
      </c>
      <c r="I32" s="14" t="s">
        <v>29</v>
      </c>
      <c r="J32" s="14" t="s">
        <v>30</v>
      </c>
      <c r="K32" s="46" t="s">
        <v>68</v>
      </c>
      <c r="L32" s="17">
        <v>0.19</v>
      </c>
      <c r="M32" s="18">
        <v>196755</v>
      </c>
      <c r="N32" s="7" t="s">
        <v>31</v>
      </c>
      <c r="O32" s="14">
        <v>1440</v>
      </c>
      <c r="P32" s="14">
        <v>33</v>
      </c>
      <c r="Q32" s="17">
        <v>0.57999999999999996</v>
      </c>
      <c r="R32" s="14">
        <v>18.228999999999999</v>
      </c>
      <c r="S32" s="8" t="str">
        <f t="shared" si="0"/>
        <v>18.229</v>
      </c>
      <c r="T32" s="8" t="str">
        <f t="shared" si="1"/>
        <v>18229</v>
      </c>
      <c r="U32" s="14">
        <v>17.875</v>
      </c>
      <c r="V32" s="8" t="str">
        <f t="shared" si="2"/>
        <v>17875</v>
      </c>
      <c r="W32" s="15" t="s">
        <v>32</v>
      </c>
      <c r="X32" s="50" t="s">
        <v>289</v>
      </c>
      <c r="Y32" s="21" t="str">
        <f t="shared" si="3"/>
        <v>8087746</v>
      </c>
      <c r="Z32" s="43">
        <v>50486</v>
      </c>
      <c r="AA32" s="52" t="str">
        <f t="shared" si="4"/>
        <v>50486</v>
      </c>
      <c r="AB32" s="43" t="s">
        <v>290</v>
      </c>
      <c r="AC32" s="21" t="str">
        <f t="shared" si="7"/>
        <v>$25852</v>
      </c>
      <c r="AD32" s="21" t="str">
        <f t="shared" si="6"/>
        <v>25852</v>
      </c>
      <c r="AE32" s="14" t="s">
        <v>35</v>
      </c>
      <c r="AF32" s="2" t="str">
        <f t="shared" si="8"/>
        <v>Top Cao</v>
      </c>
    </row>
    <row r="33" spans="1:32" s="3" customFormat="1">
      <c r="A33" s="14" t="s">
        <v>291</v>
      </c>
      <c r="B33" s="15" t="s">
        <v>292</v>
      </c>
      <c r="C33" s="15">
        <v>2.2645249999999999E-3</v>
      </c>
      <c r="D33" s="19" t="s">
        <v>293</v>
      </c>
      <c r="E33" s="19" t="s">
        <v>294</v>
      </c>
      <c r="F33" s="19" t="s">
        <v>295</v>
      </c>
      <c r="G33" s="19" t="s">
        <v>296</v>
      </c>
      <c r="H33" s="14" t="s">
        <v>28</v>
      </c>
      <c r="I33" s="14" t="s">
        <v>29</v>
      </c>
      <c r="J33" s="14" t="s">
        <v>297</v>
      </c>
      <c r="K33" s="14" t="s">
        <v>52</v>
      </c>
      <c r="L33" s="14">
        <v>0.3</v>
      </c>
      <c r="M33" s="14">
        <v>174050</v>
      </c>
      <c r="N33" s="7" t="s">
        <v>31</v>
      </c>
      <c r="O33" s="14">
        <v>1385</v>
      </c>
      <c r="P33" s="14">
        <v>31</v>
      </c>
      <c r="Q33" s="17">
        <v>0.94</v>
      </c>
      <c r="R33" s="14">
        <v>34.875999999999998</v>
      </c>
      <c r="S33" s="8" t="str">
        <f t="shared" si="0"/>
        <v>34.876</v>
      </c>
      <c r="T33" s="8" t="str">
        <f t="shared" si="1"/>
        <v>34876</v>
      </c>
      <c r="U33" s="14">
        <v>20.905000000000001</v>
      </c>
      <c r="V33" s="8" t="str">
        <f t="shared" si="2"/>
        <v>20905</v>
      </c>
      <c r="W33" s="15" t="s">
        <v>32</v>
      </c>
      <c r="X33" s="50" t="s">
        <v>298</v>
      </c>
      <c r="Y33" s="21" t="str">
        <f t="shared" si="3"/>
        <v>6306275</v>
      </c>
      <c r="Z33" s="43">
        <v>12758</v>
      </c>
      <c r="AA33" s="52" t="str">
        <f t="shared" si="4"/>
        <v>12758</v>
      </c>
      <c r="AB33" s="43" t="s">
        <v>299</v>
      </c>
      <c r="AC33" s="21" t="str">
        <f t="shared" si="7"/>
        <v xml:space="preserve"> $28658</v>
      </c>
      <c r="AD33" s="21" t="str">
        <f t="shared" si="6"/>
        <v xml:space="preserve"> 28658</v>
      </c>
      <c r="AE33" s="14" t="s">
        <v>35</v>
      </c>
      <c r="AF33" s="2" t="str">
        <f t="shared" si="8"/>
        <v>Top Cao</v>
      </c>
    </row>
    <row r="34" spans="1:32" s="2" customFormat="1">
      <c r="A34" s="35" t="s">
        <v>300</v>
      </c>
      <c r="B34" s="8" t="s">
        <v>301</v>
      </c>
      <c r="C34" s="8">
        <v>2.3352910000000002E-3</v>
      </c>
      <c r="D34" s="13" t="s">
        <v>302</v>
      </c>
      <c r="E34" s="13" t="s">
        <v>303</v>
      </c>
      <c r="F34" s="13" t="s">
        <v>304</v>
      </c>
      <c r="G34" s="13" t="s">
        <v>305</v>
      </c>
      <c r="H34" s="7" t="s">
        <v>28</v>
      </c>
      <c r="I34" s="7" t="s">
        <v>306</v>
      </c>
      <c r="J34" s="7" t="s">
        <v>274</v>
      </c>
      <c r="K34" s="46" t="s">
        <v>68</v>
      </c>
      <c r="L34" s="7">
        <v>0.71</v>
      </c>
      <c r="M34" s="7">
        <v>184212</v>
      </c>
      <c r="N34" s="7" t="s">
        <v>31</v>
      </c>
      <c r="O34" s="7">
        <v>1350</v>
      </c>
      <c r="P34" s="7">
        <v>36</v>
      </c>
      <c r="Q34" s="11">
        <v>0.76</v>
      </c>
      <c r="R34" s="7">
        <v>18.206</v>
      </c>
      <c r="S34" s="8" t="str">
        <f t="shared" si="0"/>
        <v>18.206</v>
      </c>
      <c r="T34" s="8" t="str">
        <f t="shared" si="1"/>
        <v>18206</v>
      </c>
      <c r="U34" s="7">
        <v>9.5809999999999995</v>
      </c>
      <c r="V34" s="8" t="str">
        <f t="shared" ref="V34:V53" si="9">SUBSTITUTE(U34, ".", "")</f>
        <v>9581</v>
      </c>
      <c r="W34" s="8" t="s">
        <v>32</v>
      </c>
      <c r="X34" s="49" t="s">
        <v>308</v>
      </c>
      <c r="Y34" s="21" t="str">
        <f t="shared" si="3"/>
        <v>7792745</v>
      </c>
      <c r="Z34" s="21">
        <v>2051</v>
      </c>
      <c r="AA34" s="52" t="str">
        <f t="shared" si="4"/>
        <v>2051</v>
      </c>
      <c r="AB34" s="21" t="s">
        <v>309</v>
      </c>
      <c r="AC34" s="21" t="str">
        <f t="shared" si="7"/>
        <v xml:space="preserve"> $7245</v>
      </c>
      <c r="AD34" s="21" t="str">
        <f t="shared" si="6"/>
        <v xml:space="preserve"> 7245</v>
      </c>
      <c r="AE34" s="7" t="s">
        <v>35</v>
      </c>
      <c r="AF34" s="2" t="str">
        <f t="shared" si="8"/>
        <v>Top Cao</v>
      </c>
    </row>
    <row r="35" spans="1:32" s="2" customFormat="1">
      <c r="A35" s="7" t="s">
        <v>310</v>
      </c>
      <c r="B35" s="8" t="s">
        <v>311</v>
      </c>
      <c r="C35" s="7">
        <f>33/14131</f>
        <v>2.3352912037364658E-3</v>
      </c>
      <c r="D35" s="9" t="s">
        <v>218</v>
      </c>
      <c r="E35" s="7">
        <f>8/5830</f>
        <v>1.3722126929674098E-3</v>
      </c>
      <c r="F35" s="9" t="s">
        <v>219</v>
      </c>
      <c r="G35" s="7">
        <f>1/32</f>
        <v>3.125E-2</v>
      </c>
      <c r="H35" s="7" t="s">
        <v>28</v>
      </c>
      <c r="I35" s="7" t="s">
        <v>29</v>
      </c>
      <c r="J35" s="7" t="s">
        <v>312</v>
      </c>
      <c r="K35" s="46" t="s">
        <v>68</v>
      </c>
      <c r="L35" s="11">
        <v>7.0000000000000007E-2</v>
      </c>
      <c r="M35" s="12">
        <v>162562</v>
      </c>
      <c r="N35" s="7" t="s">
        <v>31</v>
      </c>
      <c r="O35" s="7">
        <v>1520</v>
      </c>
      <c r="P35" s="7">
        <v>35</v>
      </c>
      <c r="Q35" s="11">
        <v>0.66</v>
      </c>
      <c r="R35" s="7">
        <v>8.8469999999999995</v>
      </c>
      <c r="S35" s="8" t="str">
        <f t="shared" si="0"/>
        <v>8.847</v>
      </c>
      <c r="T35" s="8" t="str">
        <f t="shared" si="1"/>
        <v>8847</v>
      </c>
      <c r="U35" s="7">
        <v>14.561999999999999</v>
      </c>
      <c r="V35" s="8" t="str">
        <f t="shared" si="9"/>
        <v>14562</v>
      </c>
      <c r="W35" s="8" t="s">
        <v>32</v>
      </c>
      <c r="X35" s="49" t="s">
        <v>313</v>
      </c>
      <c r="Y35" s="21" t="str">
        <f t="shared" si="3"/>
        <v>6698561</v>
      </c>
      <c r="Z35" s="21">
        <v>51087</v>
      </c>
      <c r="AA35" s="52" t="str">
        <f t="shared" si="4"/>
        <v>51087</v>
      </c>
      <c r="AB35" s="21" t="s">
        <v>314</v>
      </c>
      <c r="AC35" s="21" t="str">
        <f t="shared" si="7"/>
        <v>$29999</v>
      </c>
      <c r="AD35" s="21" t="str">
        <f t="shared" si="6"/>
        <v>29999</v>
      </c>
      <c r="AE35" s="7" t="s">
        <v>35</v>
      </c>
      <c r="AF35" s="2" t="str">
        <f t="shared" si="8"/>
        <v>Top Cao</v>
      </c>
    </row>
    <row r="36" spans="1:32" s="2" customFormat="1">
      <c r="A36" s="7" t="s">
        <v>315</v>
      </c>
      <c r="B36" s="8" t="s">
        <v>316</v>
      </c>
      <c r="C36" s="7">
        <f>34/14131</f>
        <v>2.4060576038496921E-3</v>
      </c>
      <c r="D36" s="8" t="s">
        <v>317</v>
      </c>
      <c r="E36" s="7">
        <f>97/2597</f>
        <v>3.7350789372352713E-2</v>
      </c>
      <c r="F36" s="9" t="s">
        <v>318</v>
      </c>
      <c r="G36" s="7">
        <f>21/369</f>
        <v>5.6910569105691054E-2</v>
      </c>
      <c r="H36" s="7" t="s">
        <v>28</v>
      </c>
      <c r="I36" s="7" t="s">
        <v>29</v>
      </c>
      <c r="J36" s="7" t="s">
        <v>114</v>
      </c>
      <c r="K36" s="46" t="s">
        <v>68</v>
      </c>
      <c r="L36" s="11">
        <v>0.06</v>
      </c>
      <c r="M36" s="12">
        <v>164412</v>
      </c>
      <c r="N36" s="7" t="s">
        <v>31</v>
      </c>
      <c r="O36" s="7">
        <v>1513</v>
      </c>
      <c r="P36" s="7">
        <v>34</v>
      </c>
      <c r="Q36" s="11">
        <v>0.61</v>
      </c>
      <c r="R36" s="7">
        <v>6.883</v>
      </c>
      <c r="S36" s="8" t="str">
        <f t="shared" si="0"/>
        <v>6.883</v>
      </c>
      <c r="T36" s="8" t="str">
        <f t="shared" si="1"/>
        <v>6883</v>
      </c>
      <c r="U36" s="7">
        <v>10.737</v>
      </c>
      <c r="V36" s="8" t="str">
        <f t="shared" si="9"/>
        <v>10737</v>
      </c>
      <c r="W36" s="8" t="s">
        <v>32</v>
      </c>
      <c r="X36" s="49" t="s">
        <v>319</v>
      </c>
      <c r="Y36" s="21" t="str">
        <f t="shared" si="3"/>
        <v>6356650</v>
      </c>
      <c r="Z36" s="21">
        <v>50731</v>
      </c>
      <c r="AA36" s="52" t="str">
        <f t="shared" si="4"/>
        <v>50731</v>
      </c>
      <c r="AB36" s="21" t="s">
        <v>320</v>
      </c>
      <c r="AC36" s="21" t="str">
        <f t="shared" si="7"/>
        <v>$27297</v>
      </c>
      <c r="AD36" s="21" t="str">
        <f t="shared" si="6"/>
        <v>27297</v>
      </c>
      <c r="AE36" s="7" t="s">
        <v>35</v>
      </c>
      <c r="AF36" s="2" t="str">
        <f t="shared" si="8"/>
        <v>Top Cao</v>
      </c>
    </row>
    <row r="37" spans="1:32" s="2" customFormat="1">
      <c r="A37" s="7" t="s">
        <v>321</v>
      </c>
      <c r="B37" s="8" t="s">
        <v>322</v>
      </c>
      <c r="C37" s="8">
        <v>2.406058E-3</v>
      </c>
      <c r="D37" s="13" t="s">
        <v>323</v>
      </c>
      <c r="E37" s="13" t="s">
        <v>324</v>
      </c>
      <c r="F37" s="13" t="s">
        <v>325</v>
      </c>
      <c r="G37" s="13" t="s">
        <v>326</v>
      </c>
      <c r="H37" s="7" t="s">
        <v>28</v>
      </c>
      <c r="I37" s="7" t="s">
        <v>29</v>
      </c>
      <c r="J37" s="7" t="s">
        <v>327</v>
      </c>
      <c r="K37" s="7" t="s">
        <v>52</v>
      </c>
      <c r="L37" s="7">
        <v>0.49</v>
      </c>
      <c r="M37" s="7">
        <v>202703</v>
      </c>
      <c r="N37" s="7" t="s">
        <v>31</v>
      </c>
      <c r="O37" s="7">
        <v>1280</v>
      </c>
      <c r="P37" s="7">
        <v>28</v>
      </c>
      <c r="Q37" s="11">
        <v>0.65</v>
      </c>
      <c r="R37" s="7">
        <v>31.657</v>
      </c>
      <c r="S37" s="8" t="str">
        <f t="shared" si="0"/>
        <v>31.657</v>
      </c>
      <c r="T37" s="8" t="str">
        <f t="shared" si="1"/>
        <v>31657</v>
      </c>
      <c r="U37" s="7">
        <v>8.3930000000000007</v>
      </c>
      <c r="V37" s="8" t="str">
        <f t="shared" si="9"/>
        <v>8393</v>
      </c>
      <c r="W37" s="8" t="s">
        <v>32</v>
      </c>
      <c r="X37" s="49" t="s">
        <v>328</v>
      </c>
      <c r="Y37" s="21" t="str">
        <f t="shared" si="3"/>
        <v>7000255</v>
      </c>
      <c r="Z37" s="21">
        <v>17628</v>
      </c>
      <c r="AA37" s="52" t="str">
        <f t="shared" si="4"/>
        <v>17628</v>
      </c>
      <c r="AB37" s="21" t="s">
        <v>329</v>
      </c>
      <c r="AC37" s="21" t="str">
        <f t="shared" si="7"/>
        <v>$24110</v>
      </c>
      <c r="AD37" s="21" t="str">
        <f t="shared" si="6"/>
        <v>24110</v>
      </c>
      <c r="AE37" s="7" t="s">
        <v>35</v>
      </c>
      <c r="AF37" s="2" t="str">
        <f t="shared" si="8"/>
        <v>Top Cao</v>
      </c>
    </row>
    <row r="38" spans="1:32" s="2" customFormat="1">
      <c r="A38" s="7" t="s">
        <v>330</v>
      </c>
      <c r="B38" s="8" t="s">
        <v>331</v>
      </c>
      <c r="C38" s="8">
        <v>2.5475900000000002E-3</v>
      </c>
      <c r="D38" s="13" t="s">
        <v>332</v>
      </c>
      <c r="E38" s="13" t="s">
        <v>333</v>
      </c>
      <c r="F38" s="13" t="s">
        <v>334</v>
      </c>
      <c r="G38" s="13" t="s">
        <v>335</v>
      </c>
      <c r="H38" s="7" t="s">
        <v>28</v>
      </c>
      <c r="I38" s="7" t="s">
        <v>29</v>
      </c>
      <c r="J38" s="7" t="s">
        <v>336</v>
      </c>
      <c r="K38" s="7" t="s">
        <v>52</v>
      </c>
      <c r="L38" s="7">
        <v>0.52</v>
      </c>
      <c r="M38" s="7">
        <v>140073</v>
      </c>
      <c r="N38" s="7" t="s">
        <v>31</v>
      </c>
      <c r="O38" s="7">
        <v>1420</v>
      </c>
      <c r="P38" s="7">
        <v>32</v>
      </c>
      <c r="Q38" s="11">
        <v>0.68</v>
      </c>
      <c r="R38" s="7">
        <v>30.922000000000001</v>
      </c>
      <c r="S38" s="8" t="str">
        <f t="shared" si="0"/>
        <v>30.922</v>
      </c>
      <c r="T38" s="8" t="str">
        <f t="shared" si="1"/>
        <v>30922</v>
      </c>
      <c r="U38" s="7">
        <v>10350</v>
      </c>
      <c r="V38" s="8" t="str">
        <f t="shared" si="9"/>
        <v>10350</v>
      </c>
      <c r="W38" s="8" t="s">
        <v>32</v>
      </c>
      <c r="X38" s="49" t="s">
        <v>337</v>
      </c>
      <c r="Y38" s="21" t="str">
        <f t="shared" si="3"/>
        <v>5436629</v>
      </c>
      <c r="Z38" s="21">
        <v>10645</v>
      </c>
      <c r="AA38" s="52" t="str">
        <f t="shared" si="4"/>
        <v>10645</v>
      </c>
      <c r="AB38" s="21" t="s">
        <v>338</v>
      </c>
      <c r="AC38" s="21" t="str">
        <f t="shared" si="7"/>
        <v>$23099</v>
      </c>
      <c r="AD38" s="21" t="str">
        <f t="shared" si="6"/>
        <v>23099</v>
      </c>
      <c r="AE38" s="7" t="s">
        <v>35</v>
      </c>
      <c r="AF38" s="2" t="str">
        <f t="shared" si="8"/>
        <v>Top Cao</v>
      </c>
    </row>
    <row r="39" spans="1:32" s="2" customFormat="1">
      <c r="A39" s="7" t="s">
        <v>339</v>
      </c>
      <c r="B39" s="8" t="s">
        <v>340</v>
      </c>
      <c r="C39" s="7">
        <f>37/14131</f>
        <v>2.618356804189371E-3</v>
      </c>
      <c r="D39" s="9" t="s">
        <v>341</v>
      </c>
      <c r="E39" s="7">
        <f>110/2597</f>
        <v>4.2356565267616483E-2</v>
      </c>
      <c r="F39" s="13" t="s">
        <v>342</v>
      </c>
      <c r="G39" s="7">
        <f>7/39</f>
        <v>0.17948717948717949</v>
      </c>
      <c r="H39" s="7" t="s">
        <v>28</v>
      </c>
      <c r="I39" s="7" t="s">
        <v>29</v>
      </c>
      <c r="J39" s="7" t="s">
        <v>256</v>
      </c>
      <c r="K39" s="7" t="s">
        <v>52</v>
      </c>
      <c r="L39" s="11">
        <v>0.68</v>
      </c>
      <c r="M39" s="12">
        <v>167260</v>
      </c>
      <c r="N39" s="7" t="s">
        <v>31</v>
      </c>
      <c r="O39" s="7">
        <v>1355</v>
      </c>
      <c r="P39" s="7">
        <v>30</v>
      </c>
      <c r="Q39" s="11">
        <v>0.69</v>
      </c>
      <c r="R39" s="7">
        <v>36.152000000000001</v>
      </c>
      <c r="S39" s="8" t="str">
        <f t="shared" si="0"/>
        <v>36.152</v>
      </c>
      <c r="T39" s="8" t="str">
        <f t="shared" si="1"/>
        <v>36152</v>
      </c>
      <c r="U39" s="7">
        <v>14.651999999999999</v>
      </c>
      <c r="V39" s="8" t="str">
        <f t="shared" si="9"/>
        <v>14652</v>
      </c>
      <c r="W39" s="8" t="s">
        <v>32</v>
      </c>
      <c r="X39" s="49" t="s">
        <v>343</v>
      </c>
      <c r="Y39" s="21" t="str">
        <f t="shared" si="3"/>
        <v>5262004</v>
      </c>
      <c r="Z39" s="21">
        <v>10835</v>
      </c>
      <c r="AA39" s="52" t="str">
        <f t="shared" si="4"/>
        <v>10835</v>
      </c>
      <c r="AB39" s="21" t="s">
        <v>344</v>
      </c>
      <c r="AC39" s="21" t="str">
        <f t="shared" si="7"/>
        <v xml:space="preserve"> $28245</v>
      </c>
      <c r="AD39" s="21" t="str">
        <f t="shared" si="6"/>
        <v xml:space="preserve"> 28245</v>
      </c>
      <c r="AE39" s="7" t="s">
        <v>35</v>
      </c>
      <c r="AF39" s="2" t="str">
        <f t="shared" si="8"/>
        <v>Top Cao</v>
      </c>
    </row>
    <row r="40" spans="1:32" s="2" customFormat="1">
      <c r="A40" s="7" t="s">
        <v>345</v>
      </c>
      <c r="B40" s="8" t="s">
        <v>346</v>
      </c>
      <c r="C40" s="8">
        <v>2.618357E-3</v>
      </c>
      <c r="D40" s="13" t="s">
        <v>347</v>
      </c>
      <c r="E40" s="13" t="s">
        <v>348</v>
      </c>
      <c r="F40" s="13" t="s">
        <v>349</v>
      </c>
      <c r="G40" s="13" t="s">
        <v>350</v>
      </c>
      <c r="H40" s="7" t="s">
        <v>49</v>
      </c>
      <c r="I40" s="7" t="s">
        <v>139</v>
      </c>
      <c r="J40" s="7" t="s">
        <v>351</v>
      </c>
      <c r="K40" s="7" t="s">
        <v>52</v>
      </c>
      <c r="L40" s="7">
        <v>0.51</v>
      </c>
      <c r="M40" s="7">
        <v>142627</v>
      </c>
      <c r="N40" s="7" t="s">
        <v>31</v>
      </c>
      <c r="O40" s="7">
        <v>1290</v>
      </c>
      <c r="P40" s="7">
        <v>27</v>
      </c>
      <c r="Q40" s="11">
        <v>0.7</v>
      </c>
      <c r="R40" s="7">
        <v>35.152000000000001</v>
      </c>
      <c r="S40" s="8" t="str">
        <f t="shared" si="0"/>
        <v>35.152</v>
      </c>
      <c r="T40" s="8" t="str">
        <f t="shared" si="1"/>
        <v>35152</v>
      </c>
      <c r="U40" s="7">
        <v>14.637</v>
      </c>
      <c r="V40" s="8" t="str">
        <f t="shared" si="9"/>
        <v>14637</v>
      </c>
      <c r="W40" s="8" t="s">
        <v>32</v>
      </c>
      <c r="X40" s="49" t="s">
        <v>352</v>
      </c>
      <c r="Y40" s="21" t="str">
        <f t="shared" si="3"/>
        <v>5431619</v>
      </c>
      <c r="Z40" s="21">
        <v>15000</v>
      </c>
      <c r="AA40" s="52" t="str">
        <f t="shared" si="4"/>
        <v>15000</v>
      </c>
      <c r="AB40" s="21" t="s">
        <v>353</v>
      </c>
      <c r="AC40" s="21" t="str">
        <f t="shared" si="7"/>
        <v>$26801</v>
      </c>
      <c r="AD40" s="21" t="str">
        <f t="shared" si="6"/>
        <v>26801</v>
      </c>
      <c r="AE40" s="7" t="s">
        <v>35</v>
      </c>
      <c r="AF40" s="2" t="str">
        <f t="shared" si="8"/>
        <v>Top Cao</v>
      </c>
    </row>
    <row r="41" spans="1:32" s="2" customFormat="1">
      <c r="A41" s="7" t="s">
        <v>354</v>
      </c>
      <c r="B41" s="8" t="s">
        <v>355</v>
      </c>
      <c r="C41" s="8">
        <v>2.6891229999999999E-3</v>
      </c>
      <c r="D41" s="13" t="s">
        <v>356</v>
      </c>
      <c r="E41" s="13" t="s">
        <v>357</v>
      </c>
      <c r="F41" s="13" t="s">
        <v>358</v>
      </c>
      <c r="G41" s="13" t="s">
        <v>359</v>
      </c>
      <c r="H41" s="7" t="s">
        <v>28</v>
      </c>
      <c r="I41" s="7" t="s">
        <v>29</v>
      </c>
      <c r="J41" s="7" t="s">
        <v>204</v>
      </c>
      <c r="K41" s="7" t="s">
        <v>52</v>
      </c>
      <c r="L41" s="7">
        <v>0.67</v>
      </c>
      <c r="M41" s="7">
        <v>176141</v>
      </c>
      <c r="N41" s="7" t="s">
        <v>31</v>
      </c>
      <c r="O41" s="7">
        <v>1360</v>
      </c>
      <c r="P41" s="7">
        <v>31</v>
      </c>
      <c r="Q41" s="11">
        <v>0.78</v>
      </c>
      <c r="R41" s="7">
        <v>23.885000000000002</v>
      </c>
      <c r="S41" s="8" t="str">
        <f t="shared" si="0"/>
        <v>23.885</v>
      </c>
      <c r="T41" s="8" t="str">
        <f t="shared" si="1"/>
        <v>23885</v>
      </c>
      <c r="U41" s="7">
        <v>9.3450000000000006</v>
      </c>
      <c r="V41" s="8" t="str">
        <f t="shared" si="9"/>
        <v>9345</v>
      </c>
      <c r="W41" s="8" t="s">
        <v>32</v>
      </c>
      <c r="X41" s="49" t="s">
        <v>360</v>
      </c>
      <c r="Y41" s="21" t="str">
        <f t="shared" si="3"/>
        <v>7487307</v>
      </c>
      <c r="Z41" s="21">
        <v>12822</v>
      </c>
      <c r="AA41" s="52" t="str">
        <f t="shared" si="4"/>
        <v>12822</v>
      </c>
      <c r="AB41" s="21" t="s">
        <v>361</v>
      </c>
      <c r="AC41" s="21" t="str">
        <f t="shared" si="7"/>
        <v xml:space="preserve"> $15084</v>
      </c>
      <c r="AD41" s="21" t="str">
        <f t="shared" si="6"/>
        <v xml:space="preserve"> 15084</v>
      </c>
      <c r="AE41" s="7" t="s">
        <v>35</v>
      </c>
      <c r="AF41" s="2" t="str">
        <f t="shared" si="8"/>
        <v>Top Cao</v>
      </c>
    </row>
    <row r="42" spans="1:32" s="2" customFormat="1">
      <c r="A42" s="7" t="s">
        <v>362</v>
      </c>
      <c r="B42" s="8" t="s">
        <v>363</v>
      </c>
      <c r="C42" s="7">
        <f>39/14131</f>
        <v>2.7598896044158236E-3</v>
      </c>
      <c r="D42" s="9" t="s">
        <v>364</v>
      </c>
      <c r="E42" s="7">
        <f>74/2597</f>
        <v>2.849441663457836E-2</v>
      </c>
      <c r="F42" s="9" t="s">
        <v>365</v>
      </c>
      <c r="G42" s="7">
        <f>18/369</f>
        <v>4.878048780487805E-2</v>
      </c>
      <c r="H42" s="7" t="s">
        <v>28</v>
      </c>
      <c r="I42" s="7" t="s">
        <v>29</v>
      </c>
      <c r="J42" s="7" t="s">
        <v>366</v>
      </c>
      <c r="K42" s="11" t="s">
        <v>52</v>
      </c>
      <c r="L42" s="11">
        <v>0.83</v>
      </c>
      <c r="M42" s="12">
        <v>160395</v>
      </c>
      <c r="N42" s="7" t="s">
        <v>31</v>
      </c>
      <c r="O42" s="7">
        <v>1210</v>
      </c>
      <c r="P42" s="7">
        <v>26</v>
      </c>
      <c r="Q42" s="11">
        <v>0.72</v>
      </c>
      <c r="R42" s="7">
        <v>38.573999999999998</v>
      </c>
      <c r="S42" s="8" t="str">
        <f t="shared" si="0"/>
        <v>38.574</v>
      </c>
      <c r="T42" s="8" t="str">
        <f t="shared" si="1"/>
        <v>38574</v>
      </c>
      <c r="U42" s="7">
        <v>11.085000000000001</v>
      </c>
      <c r="V42" s="8" t="str">
        <f t="shared" si="9"/>
        <v>11085</v>
      </c>
      <c r="W42" s="8" t="s">
        <v>32</v>
      </c>
      <c r="X42" s="49" t="s">
        <v>367</v>
      </c>
      <c r="Y42" s="21" t="str">
        <f t="shared" si="3"/>
        <v>4971291</v>
      </c>
      <c r="Z42" s="21">
        <v>12822</v>
      </c>
      <c r="AA42" s="52" t="str">
        <f t="shared" si="4"/>
        <v>12822</v>
      </c>
      <c r="AB42" s="21" t="s">
        <v>368</v>
      </c>
      <c r="AC42" s="21" t="str">
        <f t="shared" si="7"/>
        <v xml:space="preserve"> $25297</v>
      </c>
      <c r="AD42" s="21" t="str">
        <f t="shared" si="6"/>
        <v xml:space="preserve"> 25297</v>
      </c>
      <c r="AE42" s="7" t="s">
        <v>35</v>
      </c>
      <c r="AF42" s="2" t="str">
        <f t="shared" si="8"/>
        <v>Top Cao</v>
      </c>
    </row>
    <row r="43" spans="1:32" s="2" customFormat="1">
      <c r="A43" s="7" t="s">
        <v>369</v>
      </c>
      <c r="B43" s="8" t="s">
        <v>370</v>
      </c>
      <c r="C43" s="7">
        <f>41/14131</f>
        <v>2.9014224046422757E-3</v>
      </c>
      <c r="D43" s="8" t="s">
        <v>371</v>
      </c>
      <c r="E43" s="7">
        <f>103/2597</f>
        <v>3.9661147477859066E-2</v>
      </c>
      <c r="F43" s="9" t="s">
        <v>372</v>
      </c>
      <c r="G43" s="7">
        <f>4/63</f>
        <v>6.3492063492063489E-2</v>
      </c>
      <c r="H43" s="7" t="s">
        <v>28</v>
      </c>
      <c r="I43" s="7" t="s">
        <v>306</v>
      </c>
      <c r="J43" s="7" t="s">
        <v>373</v>
      </c>
      <c r="K43" s="46" t="s">
        <v>68</v>
      </c>
      <c r="L43" s="11">
        <v>0.47</v>
      </c>
      <c r="M43" s="12">
        <v>198741</v>
      </c>
      <c r="N43" s="7" t="s">
        <v>31</v>
      </c>
      <c r="O43" s="7">
        <v>1000</v>
      </c>
      <c r="P43" s="7">
        <v>33</v>
      </c>
      <c r="Q43" s="11">
        <v>0.75</v>
      </c>
      <c r="R43" s="7">
        <v>28880</v>
      </c>
      <c r="S43" s="8" t="str">
        <f t="shared" si="0"/>
        <v>28880</v>
      </c>
      <c r="T43" s="8" t="str">
        <f t="shared" si="1"/>
        <v>28880</v>
      </c>
      <c r="U43" s="12">
        <v>39500</v>
      </c>
      <c r="V43" s="8" t="str">
        <f t="shared" si="9"/>
        <v>39500</v>
      </c>
      <c r="W43" s="8" t="s">
        <v>32</v>
      </c>
      <c r="X43" s="49" t="s">
        <v>374</v>
      </c>
      <c r="Y43" s="21" t="str">
        <f t="shared" si="3"/>
        <v>6618649</v>
      </c>
      <c r="Z43" s="21">
        <v>14000</v>
      </c>
      <c r="AA43" s="52" t="str">
        <f t="shared" si="4"/>
        <v>14000</v>
      </c>
      <c r="AB43" s="21" t="s">
        <v>375</v>
      </c>
      <c r="AC43" s="21" t="str">
        <f t="shared" si="7"/>
        <v>$33618</v>
      </c>
      <c r="AD43" s="21" t="str">
        <f t="shared" si="6"/>
        <v>33618</v>
      </c>
      <c r="AE43" s="7" t="s">
        <v>35</v>
      </c>
      <c r="AF43" s="2" t="str">
        <f t="shared" si="8"/>
        <v>Top Cao</v>
      </c>
    </row>
    <row r="44" spans="1:32" s="2" customFormat="1">
      <c r="A44" s="7" t="s">
        <v>376</v>
      </c>
      <c r="B44" s="8" t="s">
        <v>377</v>
      </c>
      <c r="C44" s="7">
        <f>44/14131</f>
        <v>3.1137216049819546E-3</v>
      </c>
      <c r="D44" s="9" t="s">
        <v>378</v>
      </c>
      <c r="E44" s="7">
        <f>100/2597</f>
        <v>3.850596842510589E-2</v>
      </c>
      <c r="F44" s="9" t="s">
        <v>379</v>
      </c>
      <c r="G44" s="7">
        <f>26/163</f>
        <v>0.15950920245398773</v>
      </c>
      <c r="H44" s="7" t="s">
        <v>28</v>
      </c>
      <c r="I44" s="7" t="s">
        <v>29</v>
      </c>
      <c r="J44" s="7" t="s">
        <v>380</v>
      </c>
      <c r="K44" s="11" t="s">
        <v>52</v>
      </c>
      <c r="L44" s="11">
        <v>0.64</v>
      </c>
      <c r="M44" s="12">
        <v>160923</v>
      </c>
      <c r="N44" s="7" t="s">
        <v>31</v>
      </c>
      <c r="O44" s="7">
        <v>1260</v>
      </c>
      <c r="P44" s="7">
        <v>28</v>
      </c>
      <c r="Q44" s="11">
        <v>0.78</v>
      </c>
      <c r="R44" s="7">
        <v>56.722999999999999</v>
      </c>
      <c r="S44" s="8" t="str">
        <f t="shared" si="0"/>
        <v>56.723</v>
      </c>
      <c r="T44" s="8" t="str">
        <f t="shared" si="1"/>
        <v>56723</v>
      </c>
      <c r="U44" s="7">
        <v>15.807</v>
      </c>
      <c r="V44" s="8" t="str">
        <f t="shared" si="9"/>
        <v>15807</v>
      </c>
      <c r="W44" s="8" t="s">
        <v>32</v>
      </c>
      <c r="X44" s="49" t="s">
        <v>381</v>
      </c>
      <c r="Y44" s="21" t="str">
        <f t="shared" si="3"/>
        <v>4523966</v>
      </c>
      <c r="Z44" s="21">
        <v>10877</v>
      </c>
      <c r="AA44" s="52" t="str">
        <f t="shared" si="4"/>
        <v>10877</v>
      </c>
      <c r="AB44" s="21" t="s">
        <v>382</v>
      </c>
      <c r="AC44" s="21" t="str">
        <f t="shared" si="7"/>
        <v xml:space="preserve"> $39796</v>
      </c>
      <c r="AD44" s="21" t="str">
        <f t="shared" si="6"/>
        <v xml:space="preserve"> 39796</v>
      </c>
      <c r="AE44" s="7" t="s">
        <v>35</v>
      </c>
      <c r="AF44" s="2" t="str">
        <f t="shared" si="8"/>
        <v>Top Cao</v>
      </c>
    </row>
    <row r="45" spans="1:32" s="2" customFormat="1">
      <c r="A45" s="7" t="s">
        <v>383</v>
      </c>
      <c r="B45" s="8" t="s">
        <v>384</v>
      </c>
      <c r="C45" s="8">
        <v>3.1137220000000002E-3</v>
      </c>
      <c r="D45" s="13" t="s">
        <v>385</v>
      </c>
      <c r="E45" s="13" t="s">
        <v>386</v>
      </c>
      <c r="F45" s="13" t="s">
        <v>387</v>
      </c>
      <c r="G45" s="13" t="s">
        <v>388</v>
      </c>
      <c r="H45" s="7" t="s">
        <v>28</v>
      </c>
      <c r="I45" s="7" t="s">
        <v>29</v>
      </c>
      <c r="J45" s="7" t="s">
        <v>389</v>
      </c>
      <c r="K45" s="46" t="s">
        <v>68</v>
      </c>
      <c r="L45" s="7">
        <v>0.13</v>
      </c>
      <c r="M45" s="7">
        <v>147171</v>
      </c>
      <c r="N45" s="7" t="s">
        <v>31</v>
      </c>
      <c r="O45" s="7">
        <v>1530</v>
      </c>
      <c r="P45" s="7">
        <v>34</v>
      </c>
      <c r="Q45" s="11">
        <v>0.53</v>
      </c>
      <c r="R45" s="7">
        <v>8.0340000000000007</v>
      </c>
      <c r="S45" s="8" t="str">
        <f t="shared" si="0"/>
        <v>8.034</v>
      </c>
      <c r="T45" s="8" t="str">
        <f t="shared" si="1"/>
        <v>8034</v>
      </c>
      <c r="U45" s="7">
        <v>8.9390000000000001</v>
      </c>
      <c r="V45" s="8" t="str">
        <f t="shared" si="9"/>
        <v>8939</v>
      </c>
      <c r="W45" s="8" t="s">
        <v>32</v>
      </c>
      <c r="X45" s="49" t="s">
        <v>390</v>
      </c>
      <c r="Y45" s="21" t="str">
        <f t="shared" si="3"/>
        <v>7335260</v>
      </c>
      <c r="Z45" s="21">
        <v>51288</v>
      </c>
      <c r="AA45" s="52" t="str">
        <f t="shared" si="4"/>
        <v>51288</v>
      </c>
      <c r="AB45" s="21" t="s">
        <v>391</v>
      </c>
      <c r="AC45" s="21" t="str">
        <f t="shared" si="7"/>
        <v xml:space="preserve">$28298 </v>
      </c>
      <c r="AD45" s="21" t="str">
        <f t="shared" si="6"/>
        <v xml:space="preserve">28298 </v>
      </c>
      <c r="AE45" s="7" t="s">
        <v>35</v>
      </c>
      <c r="AF45" s="2" t="str">
        <f t="shared" si="8"/>
        <v>Top Cao</v>
      </c>
    </row>
    <row r="46" spans="1:32" s="2" customFormat="1">
      <c r="A46" s="7" t="s">
        <v>392</v>
      </c>
      <c r="B46" s="8" t="s">
        <v>393</v>
      </c>
      <c r="C46" s="7">
        <f>45/14131</f>
        <v>3.1844880050951809E-3</v>
      </c>
      <c r="D46" s="9" t="s">
        <v>394</v>
      </c>
      <c r="E46" s="7">
        <f>5/5830</f>
        <v>8.576329331046312E-4</v>
      </c>
      <c r="F46" s="9" t="s">
        <v>112</v>
      </c>
      <c r="G46" s="7">
        <f>1/193</f>
        <v>5.1813471502590676E-3</v>
      </c>
      <c r="H46" s="7" t="s">
        <v>49</v>
      </c>
      <c r="I46" s="7" t="s">
        <v>139</v>
      </c>
      <c r="J46" s="7" t="s">
        <v>220</v>
      </c>
      <c r="K46" s="7" t="s">
        <v>52</v>
      </c>
      <c r="L46" s="11">
        <v>0.15</v>
      </c>
      <c r="M46" s="12">
        <v>225700</v>
      </c>
      <c r="N46" s="7" t="s">
        <v>31</v>
      </c>
      <c r="O46" s="7">
        <v>1350</v>
      </c>
      <c r="P46" s="7">
        <v>31</v>
      </c>
      <c r="Q46" s="11">
        <v>0.69</v>
      </c>
      <c r="R46" s="7">
        <v>20000</v>
      </c>
      <c r="S46" s="8" t="str">
        <f t="shared" si="0"/>
        <v>20000</v>
      </c>
      <c r="T46" s="8" t="str">
        <f t="shared" si="1"/>
        <v>20000</v>
      </c>
      <c r="U46" s="7">
        <v>15857</v>
      </c>
      <c r="V46" s="8" t="str">
        <f t="shared" si="9"/>
        <v>15857</v>
      </c>
      <c r="W46" s="8" t="s">
        <v>395</v>
      </c>
      <c r="X46" s="49" t="s">
        <v>396</v>
      </c>
      <c r="Y46" s="21" t="str">
        <f t="shared" si="3"/>
        <v>8026549</v>
      </c>
      <c r="Z46" s="21">
        <v>13547</v>
      </c>
      <c r="AA46" s="52" t="str">
        <f t="shared" si="4"/>
        <v>13547</v>
      </c>
      <c r="AB46" s="21" t="s">
        <v>397</v>
      </c>
      <c r="AC46" s="21" t="str">
        <f t="shared" si="7"/>
        <v>$44046</v>
      </c>
      <c r="AD46" s="21" t="str">
        <f t="shared" si="6"/>
        <v>44046</v>
      </c>
      <c r="AE46" s="7" t="s">
        <v>35</v>
      </c>
      <c r="AF46" s="2" t="str">
        <f t="shared" si="8"/>
        <v>Top Cao</v>
      </c>
    </row>
    <row r="47" spans="1:32" s="2" customFormat="1">
      <c r="A47" s="7" t="s">
        <v>398</v>
      </c>
      <c r="B47" s="8" t="s">
        <v>399</v>
      </c>
      <c r="C47" s="8">
        <v>3.255254E-3</v>
      </c>
      <c r="D47" s="13" t="s">
        <v>400</v>
      </c>
      <c r="E47" s="13" t="s">
        <v>401</v>
      </c>
      <c r="F47" s="13" t="s">
        <v>402</v>
      </c>
      <c r="G47" s="13" t="s">
        <v>403</v>
      </c>
      <c r="H47" s="7" t="s">
        <v>28</v>
      </c>
      <c r="I47" s="7" t="s">
        <v>29</v>
      </c>
      <c r="J47" s="7" t="s">
        <v>140</v>
      </c>
      <c r="K47" s="7" t="s">
        <v>52</v>
      </c>
      <c r="L47" s="7">
        <v>0.18</v>
      </c>
      <c r="M47" s="7">
        <v>160816</v>
      </c>
      <c r="N47" s="7" t="s">
        <v>31</v>
      </c>
      <c r="O47" s="7">
        <v>1233</v>
      </c>
      <c r="P47" s="7">
        <v>26</v>
      </c>
      <c r="Q47" s="11">
        <v>0.97</v>
      </c>
      <c r="R47" s="7">
        <v>4.1509999999999998</v>
      </c>
      <c r="S47" s="8" t="str">
        <f t="shared" si="0"/>
        <v>4.151</v>
      </c>
      <c r="T47" s="8" t="str">
        <f t="shared" si="1"/>
        <v>4151</v>
      </c>
      <c r="U47" s="7">
        <v>3.165</v>
      </c>
      <c r="V47" s="8" t="str">
        <f t="shared" si="9"/>
        <v>3165</v>
      </c>
      <c r="W47" s="8" t="s">
        <v>32</v>
      </c>
      <c r="X47" s="49" t="s">
        <v>404</v>
      </c>
      <c r="Y47" s="21" t="str">
        <f t="shared" si="3"/>
        <v>10453694</v>
      </c>
      <c r="Z47" s="21">
        <v>39400</v>
      </c>
      <c r="AA47" s="52" t="str">
        <f t="shared" si="4"/>
        <v>39400</v>
      </c>
      <c r="AB47" s="21" t="s">
        <v>405</v>
      </c>
      <c r="AC47" s="21" t="str">
        <f t="shared" si="7"/>
        <v>$58222</v>
      </c>
      <c r="AD47" s="21" t="str">
        <f t="shared" si="6"/>
        <v>58222</v>
      </c>
      <c r="AE47" s="7" t="s">
        <v>35</v>
      </c>
      <c r="AF47" s="2" t="str">
        <f t="shared" si="8"/>
        <v>Top Cao</v>
      </c>
    </row>
    <row r="48" spans="1:32" s="2" customFormat="1">
      <c r="A48" s="7" t="s">
        <v>406</v>
      </c>
      <c r="B48" s="8" t="s">
        <v>407</v>
      </c>
      <c r="C48" s="7">
        <f>46/14131</f>
        <v>3.2552544052084072E-3</v>
      </c>
      <c r="D48" s="9" t="s">
        <v>408</v>
      </c>
      <c r="E48" s="7">
        <f>69/2597</f>
        <v>2.6569118213323067E-2</v>
      </c>
      <c r="F48" s="9" t="s">
        <v>409</v>
      </c>
      <c r="G48" s="7">
        <f>20/163</f>
        <v>0.12269938650306748</v>
      </c>
      <c r="H48" s="7" t="s">
        <v>28</v>
      </c>
      <c r="I48" s="7" t="s">
        <v>29</v>
      </c>
      <c r="J48" s="7" t="s">
        <v>204</v>
      </c>
      <c r="K48" s="46" t="s">
        <v>68</v>
      </c>
      <c r="L48" s="11">
        <v>0.14000000000000001</v>
      </c>
      <c r="M48" s="12">
        <v>110823</v>
      </c>
      <c r="N48" s="7" t="s">
        <v>31</v>
      </c>
      <c r="O48" s="7">
        <v>1520</v>
      </c>
      <c r="P48" s="7">
        <v>34</v>
      </c>
      <c r="Q48" s="11">
        <v>0.59</v>
      </c>
      <c r="R48" s="7">
        <v>6.9320000000000004</v>
      </c>
      <c r="S48" s="8" t="str">
        <f t="shared" si="0"/>
        <v>6.932</v>
      </c>
      <c r="T48" s="8" t="str">
        <f t="shared" si="1"/>
        <v>6932</v>
      </c>
      <c r="U48" s="7">
        <v>8.125</v>
      </c>
      <c r="V48" s="8" t="str">
        <f t="shared" si="9"/>
        <v>8125</v>
      </c>
      <c r="W48" s="8" t="s">
        <v>32</v>
      </c>
      <c r="X48" s="49" t="s">
        <v>410</v>
      </c>
      <c r="Y48" s="21" t="str">
        <f t="shared" si="3"/>
        <v>4491663</v>
      </c>
      <c r="Z48" s="21">
        <v>39421</v>
      </c>
      <c r="AA48" s="52" t="str">
        <f t="shared" si="4"/>
        <v>39421</v>
      </c>
      <c r="AB48" s="21" t="s">
        <v>411</v>
      </c>
      <c r="AC48" s="21" t="str">
        <f t="shared" si="7"/>
        <v>$37450</v>
      </c>
      <c r="AD48" s="21" t="str">
        <f t="shared" si="6"/>
        <v>37450</v>
      </c>
      <c r="AE48" s="7" t="s">
        <v>35</v>
      </c>
      <c r="AF48" s="2" t="str">
        <f t="shared" si="8"/>
        <v>Top Cao</v>
      </c>
    </row>
    <row r="49" spans="1:32" s="2" customFormat="1">
      <c r="A49" s="7" t="s">
        <v>412</v>
      </c>
      <c r="B49" s="8" t="s">
        <v>413</v>
      </c>
      <c r="C49" s="7">
        <f>47/14131</f>
        <v>3.3260208053216334E-3</v>
      </c>
      <c r="D49" s="20" t="s">
        <v>414</v>
      </c>
      <c r="E49" s="7">
        <f>83/2597</f>
        <v>3.1959953792837892E-2</v>
      </c>
      <c r="F49" s="9" t="s">
        <v>415</v>
      </c>
      <c r="G49" s="7">
        <f>23/163</f>
        <v>0.1411042944785276</v>
      </c>
      <c r="H49" s="7" t="s">
        <v>103</v>
      </c>
      <c r="I49" s="7" t="s">
        <v>123</v>
      </c>
      <c r="J49" s="7" t="s">
        <v>416</v>
      </c>
      <c r="K49" s="7" t="s">
        <v>52</v>
      </c>
      <c r="L49" s="11">
        <v>0.3</v>
      </c>
      <c r="M49" s="12">
        <v>242510</v>
      </c>
      <c r="N49" s="7" t="s">
        <v>417</v>
      </c>
      <c r="O49" s="7">
        <v>1500</v>
      </c>
      <c r="P49" s="7">
        <v>0</v>
      </c>
      <c r="Q49" s="11">
        <v>0.8</v>
      </c>
      <c r="R49" s="7">
        <v>400</v>
      </c>
      <c r="S49" s="8" t="str">
        <f t="shared" si="0"/>
        <v>400</v>
      </c>
      <c r="T49" s="8" t="str">
        <f t="shared" si="1"/>
        <v>400</v>
      </c>
      <c r="U49" s="7">
        <v>200</v>
      </c>
      <c r="V49" s="8" t="str">
        <f t="shared" si="9"/>
        <v>200</v>
      </c>
      <c r="W49" s="8" t="s">
        <v>395</v>
      </c>
      <c r="X49" s="49" t="s">
        <v>418</v>
      </c>
      <c r="Y49" s="21" t="str">
        <f t="shared" si="3"/>
        <v>4839271</v>
      </c>
      <c r="Z49" s="21">
        <v>1000</v>
      </c>
      <c r="AA49" s="52" t="str">
        <f t="shared" si="4"/>
        <v>1000</v>
      </c>
      <c r="AB49" s="21" t="s">
        <v>419</v>
      </c>
      <c r="AC49" s="21" t="str">
        <f t="shared" si="7"/>
        <v>$5.528</v>
      </c>
      <c r="AD49" s="21" t="str">
        <f t="shared" si="6"/>
        <v>5.528</v>
      </c>
      <c r="AE49" s="7" t="s">
        <v>35</v>
      </c>
      <c r="AF49" s="2" t="str">
        <f t="shared" si="8"/>
        <v>Top Cao</v>
      </c>
    </row>
    <row r="50" spans="1:32" s="2" customFormat="1">
      <c r="A50" s="7" t="s">
        <v>420</v>
      </c>
      <c r="B50" s="8" t="s">
        <v>421</v>
      </c>
      <c r="C50" s="8">
        <v>3.3967870000000001E-3</v>
      </c>
      <c r="D50" s="13" t="s">
        <v>422</v>
      </c>
      <c r="E50" s="13" t="s">
        <v>423</v>
      </c>
      <c r="F50" s="13" t="s">
        <v>424</v>
      </c>
      <c r="G50" s="13" t="s">
        <v>425</v>
      </c>
      <c r="H50" s="7" t="s">
        <v>49</v>
      </c>
      <c r="I50" s="7" t="s">
        <v>139</v>
      </c>
      <c r="J50" s="7" t="s">
        <v>426</v>
      </c>
      <c r="K50" s="7" t="s">
        <v>52</v>
      </c>
      <c r="L50" s="7">
        <v>0.09</v>
      </c>
      <c r="M50" s="7">
        <v>261797</v>
      </c>
      <c r="N50" s="7" t="s">
        <v>427</v>
      </c>
      <c r="O50" s="7">
        <v>1153</v>
      </c>
      <c r="P50" s="7">
        <v>28</v>
      </c>
      <c r="Q50" s="11">
        <v>0.55000000000000004</v>
      </c>
      <c r="R50" s="7">
        <v>9140</v>
      </c>
      <c r="S50" s="8" t="str">
        <f t="shared" si="0"/>
        <v>9140</v>
      </c>
      <c r="T50" s="8" t="str">
        <f t="shared" si="1"/>
        <v>9140</v>
      </c>
      <c r="U50" s="7">
        <v>10021</v>
      </c>
      <c r="V50" s="8" t="str">
        <f t="shared" si="9"/>
        <v>10021</v>
      </c>
      <c r="W50" s="8" t="s">
        <v>32</v>
      </c>
      <c r="X50" s="49" t="s">
        <v>428</v>
      </c>
      <c r="Y50" s="21" t="str">
        <f t="shared" si="3"/>
        <v>4080985</v>
      </c>
      <c r="Z50" s="21">
        <v>45251</v>
      </c>
      <c r="AA50" s="52" t="str">
        <f t="shared" si="4"/>
        <v>45251</v>
      </c>
      <c r="AB50" s="45" t="s">
        <v>429</v>
      </c>
      <c r="AC50" s="21" t="str">
        <f t="shared" si="7"/>
        <v>$29600</v>
      </c>
      <c r="AD50" s="21" t="str">
        <f t="shared" si="6"/>
        <v>29600</v>
      </c>
      <c r="AE50" s="7" t="s">
        <v>35</v>
      </c>
      <c r="AF50" s="2" t="str">
        <f t="shared" si="8"/>
        <v>Top Cao</v>
      </c>
    </row>
    <row r="51" spans="1:32" s="2" customFormat="1">
      <c r="A51" s="7" t="s">
        <v>430</v>
      </c>
      <c r="B51" s="8" t="s">
        <v>431</v>
      </c>
      <c r="C51" s="8">
        <v>3.5383200000000002E-3</v>
      </c>
      <c r="D51" s="13" t="s">
        <v>432</v>
      </c>
      <c r="E51" s="13" t="s">
        <v>433</v>
      </c>
      <c r="F51" s="13" t="s">
        <v>434</v>
      </c>
      <c r="G51" s="13" t="s">
        <v>435</v>
      </c>
      <c r="H51" s="7" t="s">
        <v>28</v>
      </c>
      <c r="I51" s="7" t="s">
        <v>29</v>
      </c>
      <c r="J51" s="7" t="s">
        <v>436</v>
      </c>
      <c r="K51" s="7" t="s">
        <v>52</v>
      </c>
      <c r="L51" s="7">
        <v>0.21</v>
      </c>
      <c r="M51" s="7">
        <v>103343</v>
      </c>
      <c r="N51" s="7" t="s">
        <v>31</v>
      </c>
      <c r="O51" s="7">
        <v>1440</v>
      </c>
      <c r="P51" s="7">
        <v>34</v>
      </c>
      <c r="Q51" s="11">
        <v>0.63</v>
      </c>
      <c r="R51" s="7">
        <v>17.294</v>
      </c>
      <c r="S51" s="8" t="str">
        <f t="shared" si="0"/>
        <v>17.294</v>
      </c>
      <c r="T51" s="8" t="str">
        <f t="shared" si="1"/>
        <v>17294</v>
      </c>
      <c r="U51" s="7">
        <v>8.7110000000000003</v>
      </c>
      <c r="V51" s="8" t="str">
        <f t="shared" si="9"/>
        <v>8711</v>
      </c>
      <c r="W51" s="8" t="s">
        <v>32</v>
      </c>
      <c r="X51" s="49" t="s">
        <v>437</v>
      </c>
      <c r="Y51" s="21" t="str">
        <f t="shared" si="3"/>
        <v>4204938</v>
      </c>
      <c r="Z51" s="21">
        <v>19612</v>
      </c>
      <c r="AA51" s="52" t="str">
        <f t="shared" si="4"/>
        <v>19612</v>
      </c>
      <c r="AB51" s="21" t="s">
        <v>438</v>
      </c>
      <c r="AC51" s="21" t="str">
        <f t="shared" si="7"/>
        <v>$30829</v>
      </c>
      <c r="AD51" s="21" t="str">
        <f t="shared" si="6"/>
        <v>30829</v>
      </c>
      <c r="AE51" s="7" t="s">
        <v>35</v>
      </c>
      <c r="AF51" s="2" t="str">
        <f t="shared" si="8"/>
        <v>Top Cao</v>
      </c>
    </row>
    <row r="52" spans="1:32" s="2" customFormat="1">
      <c r="A52" s="7" t="s">
        <v>439</v>
      </c>
      <c r="B52" s="8" t="s">
        <v>440</v>
      </c>
      <c r="C52" s="7">
        <f>50/14131</f>
        <v>3.5383200056613119E-3</v>
      </c>
      <c r="D52" s="9" t="s">
        <v>441</v>
      </c>
      <c r="E52" s="7">
        <f>2/5830</f>
        <v>3.4305317324185246E-4</v>
      </c>
      <c r="F52" s="9" t="s">
        <v>442</v>
      </c>
      <c r="G52" s="7">
        <f>1/960</f>
        <v>1.0416666666666667E-3</v>
      </c>
      <c r="H52" s="7" t="s">
        <v>28</v>
      </c>
      <c r="I52" s="7" t="s">
        <v>29</v>
      </c>
      <c r="J52" s="7" t="s">
        <v>443</v>
      </c>
      <c r="K52" s="7" t="s">
        <v>52</v>
      </c>
      <c r="L52" s="11">
        <v>0.69</v>
      </c>
      <c r="M52" s="12">
        <v>136182</v>
      </c>
      <c r="N52" s="7" t="s">
        <v>31</v>
      </c>
      <c r="O52" s="7">
        <v>1310</v>
      </c>
      <c r="P52" s="7">
        <v>30</v>
      </c>
      <c r="Q52" s="11">
        <v>0.69</v>
      </c>
      <c r="R52" s="7">
        <v>37.805999999999997</v>
      </c>
      <c r="S52" s="8" t="str">
        <f t="shared" si="0"/>
        <v>37.806</v>
      </c>
      <c r="T52" s="8" t="str">
        <f t="shared" si="1"/>
        <v>37806</v>
      </c>
      <c r="U52" s="7">
        <v>12.538</v>
      </c>
      <c r="V52" s="8" t="str">
        <f t="shared" si="9"/>
        <v>12538</v>
      </c>
      <c r="W52" s="8" t="s">
        <v>32</v>
      </c>
      <c r="X52" s="49" t="s">
        <v>444</v>
      </c>
      <c r="Y52" s="21" t="str">
        <f t="shared" si="3"/>
        <v>4147015</v>
      </c>
      <c r="Z52" s="21">
        <v>7324</v>
      </c>
      <c r="AA52" s="52" t="str">
        <f t="shared" si="4"/>
        <v>7324</v>
      </c>
      <c r="AB52" s="21" t="s">
        <v>445</v>
      </c>
      <c r="AC52" s="21" t="str">
        <f t="shared" si="7"/>
        <v>$17862</v>
      </c>
      <c r="AD52" s="21" t="str">
        <f t="shared" si="6"/>
        <v>17862</v>
      </c>
      <c r="AE52" s="7" t="s">
        <v>35</v>
      </c>
      <c r="AF52" s="2" t="str">
        <f t="shared" si="8"/>
        <v>Top Cao</v>
      </c>
    </row>
    <row r="53" spans="1:32" s="2" customFormat="1">
      <c r="A53" s="7" t="s">
        <v>446</v>
      </c>
      <c r="B53" s="8" t="s">
        <v>447</v>
      </c>
      <c r="C53" s="8">
        <v>3.7506190000000002E-3</v>
      </c>
      <c r="D53" s="13" t="s">
        <v>448</v>
      </c>
      <c r="E53" s="13" t="s">
        <v>449</v>
      </c>
      <c r="F53" s="13" t="s">
        <v>450</v>
      </c>
      <c r="G53" s="13" t="s">
        <v>451</v>
      </c>
      <c r="H53" s="7" t="s">
        <v>452</v>
      </c>
      <c r="I53" s="7" t="s">
        <v>453</v>
      </c>
      <c r="J53" s="7" t="s">
        <v>454</v>
      </c>
      <c r="K53" s="7" t="s">
        <v>52</v>
      </c>
      <c r="L53" s="7">
        <v>0.75</v>
      </c>
      <c r="M53" s="7">
        <v>155134</v>
      </c>
      <c r="N53" s="7" t="s">
        <v>31</v>
      </c>
      <c r="O53" s="7">
        <v>1330</v>
      </c>
      <c r="P53" s="7">
        <v>28</v>
      </c>
      <c r="Q53" s="11">
        <v>0.77</v>
      </c>
      <c r="R53" s="7">
        <v>50645</v>
      </c>
      <c r="S53" s="8" t="str">
        <f t="shared" si="0"/>
        <v>50645</v>
      </c>
      <c r="T53" s="8" t="str">
        <f t="shared" si="1"/>
        <v>50645</v>
      </c>
      <c r="U53" s="7">
        <v>26125</v>
      </c>
      <c r="V53" s="8" t="str">
        <f t="shared" si="9"/>
        <v>26125</v>
      </c>
      <c r="W53" s="8" t="s">
        <v>32</v>
      </c>
      <c r="X53" s="49" t="s">
        <v>455</v>
      </c>
      <c r="Y53" s="21" t="str">
        <f t="shared" si="3"/>
        <v>6226895</v>
      </c>
      <c r="Z53" s="21">
        <v>21645</v>
      </c>
      <c r="AA53" s="52" t="str">
        <f t="shared" si="4"/>
        <v>21645</v>
      </c>
      <c r="AB53" s="21" t="s">
        <v>456</v>
      </c>
      <c r="AC53" s="21" t="str">
        <f t="shared" si="7"/>
        <v>$40000</v>
      </c>
      <c r="AD53" s="21" t="str">
        <f t="shared" si="6"/>
        <v>40000</v>
      </c>
      <c r="AE53" s="7" t="s">
        <v>457</v>
      </c>
      <c r="AF53" s="2" t="str">
        <f t="shared" si="8"/>
        <v>Top Cao</v>
      </c>
    </row>
    <row r="54" spans="1:32" s="2" customFormat="1">
      <c r="A54" s="7" t="s">
        <v>458</v>
      </c>
      <c r="B54" s="8" t="s">
        <v>459</v>
      </c>
      <c r="C54" s="7">
        <f>53/14131</f>
        <v>3.7506192060009907E-3</v>
      </c>
      <c r="D54" s="9" t="s">
        <v>460</v>
      </c>
      <c r="E54" s="7">
        <f>54/2597</f>
        <v>2.0793222949557183E-2</v>
      </c>
      <c r="F54" s="9" t="s">
        <v>461</v>
      </c>
      <c r="G54" s="7">
        <f>50/2496</f>
        <v>2.0032051282051284E-2</v>
      </c>
      <c r="H54" s="7" t="s">
        <v>103</v>
      </c>
      <c r="I54" s="7" t="s">
        <v>176</v>
      </c>
      <c r="J54" s="7" t="s">
        <v>462</v>
      </c>
      <c r="K54" s="7" t="s">
        <v>52</v>
      </c>
      <c r="L54" s="11">
        <v>0.11</v>
      </c>
      <c r="M54" s="12">
        <v>249138</v>
      </c>
      <c r="N54" s="7" t="s">
        <v>463</v>
      </c>
      <c r="O54" s="7">
        <v>0</v>
      </c>
      <c r="P54" s="7">
        <v>0</v>
      </c>
      <c r="Q54" s="11">
        <v>0.92</v>
      </c>
      <c r="R54" s="7">
        <v>22.454999999999998</v>
      </c>
      <c r="S54" s="8" t="str">
        <f t="shared" si="0"/>
        <v>22.455</v>
      </c>
      <c r="T54" s="8" t="str">
        <f t="shared" si="1"/>
        <v>22455</v>
      </c>
      <c r="U54" s="7">
        <v>0</v>
      </c>
      <c r="V54" s="8">
        <v>0</v>
      </c>
      <c r="W54" s="8" t="s">
        <v>395</v>
      </c>
      <c r="X54" s="49" t="s">
        <v>464</v>
      </c>
      <c r="Y54" s="21" t="str">
        <f t="shared" si="3"/>
        <v>6150572</v>
      </c>
      <c r="Z54" s="21">
        <v>11155</v>
      </c>
      <c r="AA54" s="52" t="str">
        <f t="shared" si="4"/>
        <v>11155</v>
      </c>
      <c r="AB54" s="21" t="s">
        <v>465</v>
      </c>
      <c r="AC54" s="21" t="str">
        <f t="shared" si="7"/>
        <v>$23100</v>
      </c>
      <c r="AD54" s="21" t="str">
        <f t="shared" si="6"/>
        <v>23100</v>
      </c>
      <c r="AE54" s="7" t="s">
        <v>457</v>
      </c>
      <c r="AF54" s="2" t="str">
        <f t="shared" si="8"/>
        <v>Top Cao</v>
      </c>
    </row>
    <row r="55" spans="1:32" s="2" customFormat="1">
      <c r="A55" s="7" t="s">
        <v>466</v>
      </c>
      <c r="B55" s="8" t="s">
        <v>467</v>
      </c>
      <c r="C55" s="8">
        <v>3.9629180000000002E-3</v>
      </c>
      <c r="D55" s="13" t="s">
        <v>468</v>
      </c>
      <c r="E55" s="13" t="s">
        <v>469</v>
      </c>
      <c r="F55" s="13" t="s">
        <v>470</v>
      </c>
      <c r="G55" s="13" t="s">
        <v>471</v>
      </c>
      <c r="H55" s="7" t="s">
        <v>28</v>
      </c>
      <c r="I55" s="7" t="s">
        <v>29</v>
      </c>
      <c r="J55" s="7" t="s">
        <v>472</v>
      </c>
      <c r="K55" s="7" t="s">
        <v>52</v>
      </c>
      <c r="L55" s="7">
        <v>0.28999999999999998</v>
      </c>
      <c r="M55" s="7">
        <v>101320</v>
      </c>
      <c r="N55" s="7" t="s">
        <v>31</v>
      </c>
      <c r="O55" s="7">
        <v>1440</v>
      </c>
      <c r="P55" s="7">
        <v>31</v>
      </c>
      <c r="Q55" s="11">
        <v>0.79</v>
      </c>
      <c r="R55" s="7">
        <v>29.449000000000002</v>
      </c>
      <c r="S55" s="8" t="str">
        <f t="shared" si="0"/>
        <v>29.449</v>
      </c>
      <c r="T55" s="8" t="str">
        <f t="shared" si="1"/>
        <v>29449</v>
      </c>
      <c r="U55" s="7">
        <v>7.056</v>
      </c>
      <c r="V55" s="8" t="str">
        <f t="shared" ref="V55:V118" si="10">SUBSTITUTE(U55, ".", "")</f>
        <v>7056</v>
      </c>
      <c r="W55" s="8" t="s">
        <v>32</v>
      </c>
      <c r="X55" s="49" t="s">
        <v>473</v>
      </c>
      <c r="Y55" s="21" t="str">
        <f t="shared" si="3"/>
        <v>4547534</v>
      </c>
      <c r="Z55" s="21">
        <v>16868</v>
      </c>
      <c r="AA55" s="52" t="str">
        <f t="shared" si="4"/>
        <v>16868</v>
      </c>
      <c r="AB55" s="21" t="s">
        <v>474</v>
      </c>
      <c r="AC55" s="21" t="str">
        <f t="shared" si="7"/>
        <v>$20567</v>
      </c>
      <c r="AD55" s="21" t="str">
        <f t="shared" si="6"/>
        <v>20567</v>
      </c>
      <c r="AE55" s="7" t="s">
        <v>457</v>
      </c>
      <c r="AF55" s="2" t="str">
        <f t="shared" si="8"/>
        <v>Top Cao</v>
      </c>
    </row>
    <row r="56" spans="1:32" s="2" customFormat="1">
      <c r="A56" s="7" t="s">
        <v>475</v>
      </c>
      <c r="B56" s="8" t="s">
        <v>476</v>
      </c>
      <c r="C56" s="8">
        <v>4.0336850000000004E-3</v>
      </c>
      <c r="D56" s="13" t="s">
        <v>477</v>
      </c>
      <c r="E56" s="13" t="s">
        <v>478</v>
      </c>
      <c r="F56" s="13" t="s">
        <v>479</v>
      </c>
      <c r="G56" s="13" t="s">
        <v>480</v>
      </c>
      <c r="H56" s="7" t="s">
        <v>49</v>
      </c>
      <c r="I56" s="35" t="s">
        <v>50</v>
      </c>
      <c r="J56" s="7" t="s">
        <v>481</v>
      </c>
      <c r="K56" s="7" t="s">
        <v>52</v>
      </c>
      <c r="L56" s="7">
        <v>0.08</v>
      </c>
      <c r="M56" s="7">
        <v>145451</v>
      </c>
      <c r="N56" s="7" t="s">
        <v>482</v>
      </c>
      <c r="O56" s="7">
        <v>0</v>
      </c>
      <c r="P56" s="7">
        <v>0</v>
      </c>
      <c r="Q56" s="11">
        <v>0.56000000000000005</v>
      </c>
      <c r="R56" s="7">
        <v>44000</v>
      </c>
      <c r="S56" s="8" t="str">
        <f t="shared" si="0"/>
        <v>44000</v>
      </c>
      <c r="T56" s="8" t="str">
        <f t="shared" si="1"/>
        <v>44000</v>
      </c>
      <c r="U56" s="7">
        <v>12211</v>
      </c>
      <c r="V56" s="8" t="str">
        <f t="shared" si="10"/>
        <v>12211</v>
      </c>
      <c r="W56" s="8" t="s">
        <v>32</v>
      </c>
      <c r="X56" s="49" t="s">
        <v>483</v>
      </c>
      <c r="Y56" s="21" t="str">
        <f t="shared" si="3"/>
        <v>3821150</v>
      </c>
      <c r="Z56" s="21">
        <v>2534</v>
      </c>
      <c r="AA56" s="52" t="str">
        <f t="shared" si="4"/>
        <v>2534</v>
      </c>
      <c r="AB56" s="21" t="s">
        <v>484</v>
      </c>
      <c r="AC56" s="21" t="str">
        <f t="shared" si="7"/>
        <v>$9145</v>
      </c>
      <c r="AD56" s="21" t="str">
        <f t="shared" si="6"/>
        <v>9145</v>
      </c>
      <c r="AE56" s="7" t="s">
        <v>457</v>
      </c>
      <c r="AF56" s="2" t="str">
        <f t="shared" si="8"/>
        <v>Top Cao</v>
      </c>
    </row>
    <row r="57" spans="1:32" s="2" customFormat="1">
      <c r="A57" s="7" t="s">
        <v>485</v>
      </c>
      <c r="B57" s="8" t="s">
        <v>486</v>
      </c>
      <c r="C57" s="8">
        <v>4.1044510000000003E-3</v>
      </c>
      <c r="D57" s="13" t="s">
        <v>487</v>
      </c>
      <c r="E57" s="13" t="s">
        <v>488</v>
      </c>
      <c r="F57" s="13" t="s">
        <v>489</v>
      </c>
      <c r="G57" s="13" t="s">
        <v>490</v>
      </c>
      <c r="H57" s="7" t="s">
        <v>28</v>
      </c>
      <c r="I57" s="7" t="s">
        <v>29</v>
      </c>
      <c r="J57" s="7" t="s">
        <v>186</v>
      </c>
      <c r="K57" s="7" t="s">
        <v>52</v>
      </c>
      <c r="L57" s="7">
        <v>0.84</v>
      </c>
      <c r="M57" s="7">
        <v>104806</v>
      </c>
      <c r="N57" s="7" t="s">
        <v>31</v>
      </c>
      <c r="O57" s="7">
        <v>1280</v>
      </c>
      <c r="P57" s="7">
        <v>28</v>
      </c>
      <c r="Q57" s="11">
        <v>0.65</v>
      </c>
      <c r="R57" s="7">
        <v>30.885999999999999</v>
      </c>
      <c r="S57" s="8" t="str">
        <f t="shared" si="0"/>
        <v>30.886</v>
      </c>
      <c r="T57" s="8" t="str">
        <f t="shared" si="1"/>
        <v>30886</v>
      </c>
      <c r="U57" s="7">
        <v>8.1140000000000008</v>
      </c>
      <c r="V57" s="8" t="str">
        <f t="shared" si="10"/>
        <v>8114</v>
      </c>
      <c r="W57" s="8" t="s">
        <v>32</v>
      </c>
      <c r="X57" s="49" t="s">
        <v>491</v>
      </c>
      <c r="Y57" s="21" t="str">
        <f t="shared" si="3"/>
        <v>4216305</v>
      </c>
      <c r="Z57" s="21">
        <v>9214</v>
      </c>
      <c r="AA57" s="52" t="str">
        <f t="shared" si="4"/>
        <v>9214</v>
      </c>
      <c r="AB57" s="21" t="s">
        <v>492</v>
      </c>
      <c r="AC57" s="21" t="str">
        <f t="shared" si="7"/>
        <v xml:space="preserve"> $25813</v>
      </c>
      <c r="AD57" s="21" t="str">
        <f t="shared" si="6"/>
        <v xml:space="preserve"> 25813</v>
      </c>
      <c r="AE57" s="7" t="s">
        <v>457</v>
      </c>
      <c r="AF57" s="2" t="str">
        <f t="shared" si="8"/>
        <v>Top Cao</v>
      </c>
    </row>
    <row r="58" spans="1:32" s="2" customFormat="1">
      <c r="A58" s="7" t="s">
        <v>493</v>
      </c>
      <c r="B58" s="8" t="s">
        <v>494</v>
      </c>
      <c r="C58" s="7">
        <f>58/14131</f>
        <v>4.1044512065671222E-3</v>
      </c>
      <c r="D58" s="9" t="s">
        <v>495</v>
      </c>
      <c r="E58" s="7">
        <f>144/2597</f>
        <v>5.5448594532152486E-2</v>
      </c>
      <c r="F58" s="9" t="s">
        <v>496</v>
      </c>
      <c r="G58" s="7">
        <f>124/2496</f>
        <v>4.9679487179487176E-2</v>
      </c>
      <c r="H58" s="7" t="s">
        <v>28</v>
      </c>
      <c r="I58" s="7" t="s">
        <v>29</v>
      </c>
      <c r="J58" s="7" t="s">
        <v>497</v>
      </c>
      <c r="K58" s="7" t="s">
        <v>52</v>
      </c>
      <c r="L58" s="11">
        <v>0.88</v>
      </c>
      <c r="M58" s="12">
        <v>129794</v>
      </c>
      <c r="N58" s="7" t="s">
        <v>31</v>
      </c>
      <c r="O58" s="7">
        <v>1240</v>
      </c>
      <c r="P58" s="7">
        <v>28</v>
      </c>
      <c r="Q58" s="11">
        <v>0.92</v>
      </c>
      <c r="R58" s="7">
        <v>64.715999999999994</v>
      </c>
      <c r="S58" s="8" t="str">
        <f t="shared" si="0"/>
        <v>64.716</v>
      </c>
      <c r="T58" s="8" t="str">
        <f t="shared" si="1"/>
        <v>64716</v>
      </c>
      <c r="U58" s="7">
        <v>13.164999999999999</v>
      </c>
      <c r="V58" s="8" t="str">
        <f t="shared" si="10"/>
        <v>13165</v>
      </c>
      <c r="W58" s="8" t="s">
        <v>32</v>
      </c>
      <c r="X58" s="49" t="s">
        <v>498</v>
      </c>
      <c r="Y58" s="21" t="str">
        <f t="shared" si="3"/>
        <v>3861089</v>
      </c>
      <c r="Z58" s="21">
        <v>12201</v>
      </c>
      <c r="AA58" s="52" t="str">
        <f t="shared" si="4"/>
        <v>12201</v>
      </c>
      <c r="AB58" s="21" t="s">
        <v>499</v>
      </c>
      <c r="AC58" s="21" t="str">
        <f t="shared" si="7"/>
        <v>$20439</v>
      </c>
      <c r="AD58" s="21" t="str">
        <f t="shared" si="6"/>
        <v>20439</v>
      </c>
      <c r="AE58" s="7" t="s">
        <v>457</v>
      </c>
      <c r="AF58" s="2" t="str">
        <f t="shared" si="8"/>
        <v>Top Cao</v>
      </c>
    </row>
    <row r="59" spans="1:32" s="2" customFormat="1">
      <c r="A59" s="14" t="s">
        <v>500</v>
      </c>
      <c r="B59" s="8" t="s">
        <v>501</v>
      </c>
      <c r="C59" s="7">
        <f>59/14131</f>
        <v>4.1752176066803485E-3</v>
      </c>
      <c r="D59" s="9" t="s">
        <v>502</v>
      </c>
      <c r="E59" s="7">
        <f>19/5830</f>
        <v>3.2590051457975985E-3</v>
      </c>
      <c r="F59" s="9" t="s">
        <v>503</v>
      </c>
      <c r="G59" s="7">
        <f>2/193</f>
        <v>1.0362694300518135E-2</v>
      </c>
      <c r="H59" s="7" t="s">
        <v>49</v>
      </c>
      <c r="I59" s="7" t="s">
        <v>504</v>
      </c>
      <c r="J59" s="7" t="s">
        <v>505</v>
      </c>
      <c r="K59" s="7" t="s">
        <v>52</v>
      </c>
      <c r="L59" s="11">
        <v>0.27</v>
      </c>
      <c r="M59" s="12">
        <v>130033</v>
      </c>
      <c r="N59" s="7" t="s">
        <v>482</v>
      </c>
      <c r="O59" s="7">
        <v>0</v>
      </c>
      <c r="P59" s="7">
        <v>0</v>
      </c>
      <c r="Q59" s="11">
        <v>0.8</v>
      </c>
      <c r="R59" s="7">
        <v>23420</v>
      </c>
      <c r="S59" s="8" t="str">
        <f t="shared" si="0"/>
        <v>23420</v>
      </c>
      <c r="T59" s="8" t="str">
        <f t="shared" si="1"/>
        <v>23420</v>
      </c>
      <c r="U59" s="7">
        <v>6600</v>
      </c>
      <c r="V59" s="8" t="str">
        <f t="shared" si="10"/>
        <v>6600</v>
      </c>
      <c r="W59" s="8" t="s">
        <v>32</v>
      </c>
      <c r="X59" s="49" t="s">
        <v>506</v>
      </c>
      <c r="Y59" s="21" t="str">
        <f t="shared" si="3"/>
        <v>4679395</v>
      </c>
      <c r="Z59" s="21">
        <v>7700</v>
      </c>
      <c r="AA59" s="52" t="str">
        <f t="shared" si="4"/>
        <v>7700</v>
      </c>
      <c r="AB59" s="21" t="s">
        <v>507</v>
      </c>
      <c r="AC59" s="21" t="str">
        <f t="shared" si="7"/>
        <v>$19865</v>
      </c>
      <c r="AD59" s="21" t="str">
        <f t="shared" si="6"/>
        <v>19865</v>
      </c>
      <c r="AE59" s="7" t="s">
        <v>457</v>
      </c>
      <c r="AF59" s="2" t="str">
        <f t="shared" si="8"/>
        <v>Top Cao</v>
      </c>
    </row>
    <row r="60" spans="1:32" s="2" customFormat="1">
      <c r="A60" s="14" t="s">
        <v>508</v>
      </c>
      <c r="B60" s="8" t="s">
        <v>476</v>
      </c>
      <c r="C60" s="8">
        <v>4.2459840000000004E-3</v>
      </c>
      <c r="D60" s="13" t="s">
        <v>509</v>
      </c>
      <c r="E60" s="13" t="s">
        <v>510</v>
      </c>
      <c r="F60" s="13" t="s">
        <v>511</v>
      </c>
      <c r="G60" s="13" t="s">
        <v>512</v>
      </c>
      <c r="H60" s="7" t="s">
        <v>49</v>
      </c>
      <c r="I60" s="7" t="s">
        <v>139</v>
      </c>
      <c r="J60" s="7" t="s">
        <v>140</v>
      </c>
      <c r="K60" s="7" t="s">
        <v>52</v>
      </c>
      <c r="L60" s="7">
        <v>0.27</v>
      </c>
      <c r="M60" s="7">
        <v>151596</v>
      </c>
      <c r="N60" s="7" t="s">
        <v>31</v>
      </c>
      <c r="O60" s="7">
        <v>1070</v>
      </c>
      <c r="P60" s="7">
        <v>24</v>
      </c>
      <c r="Q60" s="11">
        <v>0.54</v>
      </c>
      <c r="R60" s="7">
        <v>19900</v>
      </c>
      <c r="S60" s="8" t="str">
        <f t="shared" si="0"/>
        <v>19900</v>
      </c>
      <c r="T60" s="8" t="str">
        <f t="shared" si="1"/>
        <v>19900</v>
      </c>
      <c r="U60" s="7">
        <v>12522</v>
      </c>
      <c r="V60" s="8" t="str">
        <f t="shared" si="10"/>
        <v>12522</v>
      </c>
      <c r="W60" s="8" t="s">
        <v>32</v>
      </c>
      <c r="X60" s="49" t="s">
        <v>513</v>
      </c>
      <c r="Y60" s="21" t="str">
        <f t="shared" si="3"/>
        <v>5799688</v>
      </c>
      <c r="Z60" s="21">
        <v>9250</v>
      </c>
      <c r="AA60" s="52" t="str">
        <f t="shared" si="4"/>
        <v>9250</v>
      </c>
      <c r="AB60" s="21" t="s">
        <v>514</v>
      </c>
      <c r="AC60" s="21" t="str">
        <f t="shared" si="7"/>
        <v>$28000</v>
      </c>
      <c r="AD60" s="21" t="str">
        <f t="shared" si="6"/>
        <v>28000</v>
      </c>
      <c r="AE60" s="7" t="s">
        <v>457</v>
      </c>
      <c r="AF60" s="2" t="str">
        <f t="shared" si="8"/>
        <v>Top Cao</v>
      </c>
    </row>
    <row r="61" spans="1:32" s="2" customFormat="1">
      <c r="A61" s="7" t="s">
        <v>515</v>
      </c>
      <c r="B61" s="8" t="s">
        <v>516</v>
      </c>
      <c r="C61" s="7">
        <f>60/14131</f>
        <v>4.2459840067935748E-3</v>
      </c>
      <c r="D61" s="9" t="s">
        <v>517</v>
      </c>
      <c r="E61" s="7">
        <f>9/5830</f>
        <v>1.5437392795883361E-3</v>
      </c>
      <c r="F61" s="9" t="s">
        <v>518</v>
      </c>
      <c r="G61" s="7">
        <f>4/960</f>
        <v>4.1666666666666666E-3</v>
      </c>
      <c r="H61" s="7" t="s">
        <v>28</v>
      </c>
      <c r="I61" s="7" t="s">
        <v>29</v>
      </c>
      <c r="J61" s="7" t="s">
        <v>519</v>
      </c>
      <c r="K61" s="7" t="s">
        <v>52</v>
      </c>
      <c r="L61" s="11">
        <v>0.16</v>
      </c>
      <c r="M61" s="12">
        <v>139691</v>
      </c>
      <c r="N61" s="7" t="s">
        <v>31</v>
      </c>
      <c r="O61" s="7">
        <v>1405</v>
      </c>
      <c r="P61" s="7">
        <v>32</v>
      </c>
      <c r="Q61" s="11">
        <v>0.72</v>
      </c>
      <c r="R61" s="7">
        <v>17.460999999999999</v>
      </c>
      <c r="S61" s="8" t="str">
        <f t="shared" si="0"/>
        <v>17.461</v>
      </c>
      <c r="T61" s="8" t="str">
        <f t="shared" si="1"/>
        <v>17461</v>
      </c>
      <c r="U61" s="7">
        <v>26.398</v>
      </c>
      <c r="V61" s="8" t="str">
        <f t="shared" si="10"/>
        <v>26398</v>
      </c>
      <c r="W61" s="8" t="s">
        <v>32</v>
      </c>
      <c r="X61" s="49" t="s">
        <v>520</v>
      </c>
      <c r="Y61" s="21" t="str">
        <f t="shared" si="3"/>
        <v>4317753</v>
      </c>
      <c r="Z61" s="21">
        <v>14015</v>
      </c>
      <c r="AA61" s="52" t="str">
        <f t="shared" si="4"/>
        <v>14015</v>
      </c>
      <c r="AB61" s="21" t="s">
        <v>521</v>
      </c>
      <c r="AC61" s="21" t="str">
        <f t="shared" si="7"/>
        <v>$22590</v>
      </c>
      <c r="AD61" s="21" t="str">
        <f t="shared" si="6"/>
        <v>22590</v>
      </c>
      <c r="AE61" s="7" t="s">
        <v>457</v>
      </c>
      <c r="AF61" s="2" t="str">
        <f t="shared" si="8"/>
        <v>Top Cao</v>
      </c>
    </row>
    <row r="62" spans="1:32" s="2" customFormat="1">
      <c r="A62" s="7" t="s">
        <v>522</v>
      </c>
      <c r="B62" s="8" t="s">
        <v>523</v>
      </c>
      <c r="C62" s="7">
        <f>61/14131</f>
        <v>4.3167504069068011E-3</v>
      </c>
      <c r="D62" s="9" t="s">
        <v>524</v>
      </c>
      <c r="E62" s="7">
        <f>12/2597</f>
        <v>4.6207162110127068E-3</v>
      </c>
      <c r="F62" s="9" t="s">
        <v>525</v>
      </c>
      <c r="G62" s="7">
        <f>1/369</f>
        <v>2.7100271002710027E-3</v>
      </c>
      <c r="H62" s="7" t="s">
        <v>28</v>
      </c>
      <c r="I62" s="7" t="s">
        <v>29</v>
      </c>
      <c r="J62" s="7" t="s">
        <v>114</v>
      </c>
      <c r="K62" s="7" t="s">
        <v>52</v>
      </c>
      <c r="L62" s="11">
        <v>0.47</v>
      </c>
      <c r="M62" s="12">
        <v>127795</v>
      </c>
      <c r="N62" s="7" t="s">
        <v>31</v>
      </c>
      <c r="O62" s="7">
        <v>1355</v>
      </c>
      <c r="P62" s="7">
        <v>30</v>
      </c>
      <c r="Q62" s="11">
        <v>0.74</v>
      </c>
      <c r="R62" s="7">
        <v>26.504999999999999</v>
      </c>
      <c r="S62" s="8" t="str">
        <f t="shared" si="0"/>
        <v>26.505</v>
      </c>
      <c r="T62" s="8" t="str">
        <f t="shared" si="1"/>
        <v>26505</v>
      </c>
      <c r="U62" s="7">
        <v>10.326000000000001</v>
      </c>
      <c r="V62" s="8" t="str">
        <f t="shared" si="10"/>
        <v>10326</v>
      </c>
      <c r="W62" s="8" t="s">
        <v>32</v>
      </c>
      <c r="X62" s="49" t="s">
        <v>526</v>
      </c>
      <c r="Y62" s="21" t="str">
        <f t="shared" si="3"/>
        <v>3225566</v>
      </c>
      <c r="Z62" s="21">
        <v>9318</v>
      </c>
      <c r="AA62" s="52" t="str">
        <f t="shared" si="4"/>
        <v>9318</v>
      </c>
      <c r="AB62" s="21" t="s">
        <v>527</v>
      </c>
      <c r="AC62" s="21" t="str">
        <f t="shared" si="7"/>
        <v>$38542</v>
      </c>
      <c r="AD62" s="21" t="str">
        <f t="shared" si="6"/>
        <v>38542</v>
      </c>
      <c r="AE62" s="7" t="s">
        <v>457</v>
      </c>
      <c r="AF62" s="2" t="str">
        <f t="shared" si="8"/>
        <v>Top Cao</v>
      </c>
    </row>
    <row r="63" spans="1:32" s="2" customFormat="1">
      <c r="A63" s="7" t="s">
        <v>528</v>
      </c>
      <c r="B63" s="8" t="s">
        <v>529</v>
      </c>
      <c r="C63" s="8">
        <v>4.4582830000000004E-3</v>
      </c>
      <c r="D63" s="13" t="s">
        <v>530</v>
      </c>
      <c r="E63" s="13" t="s">
        <v>531</v>
      </c>
      <c r="F63" s="13" t="s">
        <v>532</v>
      </c>
      <c r="G63" s="13" t="s">
        <v>533</v>
      </c>
      <c r="H63" s="7" t="s">
        <v>28</v>
      </c>
      <c r="I63" s="7" t="s">
        <v>29</v>
      </c>
      <c r="J63" s="7" t="s">
        <v>534</v>
      </c>
      <c r="K63" s="7" t="s">
        <v>52</v>
      </c>
      <c r="L63" s="7">
        <v>0.95</v>
      </c>
      <c r="M63" s="7">
        <v>110449</v>
      </c>
      <c r="N63" s="7" t="s">
        <v>31</v>
      </c>
      <c r="O63" s="7">
        <v>1285</v>
      </c>
      <c r="P63" s="7">
        <v>26</v>
      </c>
      <c r="Q63" s="11">
        <v>0.89</v>
      </c>
      <c r="R63" s="7">
        <v>25.826000000000001</v>
      </c>
      <c r="S63" s="8" t="str">
        <f t="shared" si="0"/>
        <v>25.826</v>
      </c>
      <c r="T63" s="8" t="str">
        <f t="shared" si="1"/>
        <v>25826</v>
      </c>
      <c r="U63" s="7">
        <v>8.6379999999999999</v>
      </c>
      <c r="V63" s="8" t="str">
        <f t="shared" si="10"/>
        <v>8638</v>
      </c>
      <c r="W63" s="8" t="s">
        <v>32</v>
      </c>
      <c r="X63" s="49" t="s">
        <v>535</v>
      </c>
      <c r="Y63" s="21" t="str">
        <f t="shared" si="3"/>
        <v>4879988</v>
      </c>
      <c r="Z63" s="21">
        <v>9431</v>
      </c>
      <c r="AA63" s="52" t="str">
        <f t="shared" si="4"/>
        <v>9431</v>
      </c>
      <c r="AB63" s="21" t="s">
        <v>536</v>
      </c>
      <c r="AC63" s="21" t="str">
        <f t="shared" si="7"/>
        <v>$50904</v>
      </c>
      <c r="AD63" s="21" t="str">
        <f t="shared" si="6"/>
        <v>50904</v>
      </c>
      <c r="AE63" s="7" t="s">
        <v>457</v>
      </c>
      <c r="AF63" s="2" t="str">
        <f t="shared" si="8"/>
        <v>Top Cao</v>
      </c>
    </row>
    <row r="64" spans="1:32" s="2" customFormat="1">
      <c r="A64" s="7" t="s">
        <v>537</v>
      </c>
      <c r="B64" s="8" t="s">
        <v>538</v>
      </c>
      <c r="C64" s="8">
        <v>4.5290499999999997E-3</v>
      </c>
      <c r="D64" s="13" t="s">
        <v>539</v>
      </c>
      <c r="E64" s="13" t="s">
        <v>540</v>
      </c>
      <c r="F64" s="13" t="s">
        <v>541</v>
      </c>
      <c r="G64" s="13" t="s">
        <v>542</v>
      </c>
      <c r="H64" s="7" t="s">
        <v>452</v>
      </c>
      <c r="I64" s="7" t="s">
        <v>453</v>
      </c>
      <c r="J64" s="7" t="s">
        <v>149</v>
      </c>
      <c r="K64" s="7" t="s">
        <v>52</v>
      </c>
      <c r="L64" s="7">
        <v>0.6</v>
      </c>
      <c r="M64" s="7">
        <v>135814</v>
      </c>
      <c r="N64" s="7" t="s">
        <v>31</v>
      </c>
      <c r="O64" s="7">
        <v>1370</v>
      </c>
      <c r="P64" s="7">
        <v>27</v>
      </c>
      <c r="Q64" s="11">
        <v>0.89</v>
      </c>
      <c r="R64" s="7">
        <v>34000</v>
      </c>
      <c r="S64" s="8" t="str">
        <f t="shared" si="0"/>
        <v>34000</v>
      </c>
      <c r="T64" s="8" t="str">
        <f t="shared" si="1"/>
        <v>34000</v>
      </c>
      <c r="U64" s="7">
        <v>25000</v>
      </c>
      <c r="V64" s="8" t="str">
        <f t="shared" si="10"/>
        <v>25000</v>
      </c>
      <c r="W64" s="8" t="s">
        <v>32</v>
      </c>
      <c r="X64" s="49" t="s">
        <v>543</v>
      </c>
      <c r="Y64" s="21" t="str">
        <f t="shared" si="3"/>
        <v>4619867</v>
      </c>
      <c r="Z64" s="21">
        <v>34000</v>
      </c>
      <c r="AA64" s="52" t="str">
        <f t="shared" si="4"/>
        <v>34000</v>
      </c>
      <c r="AB64" s="21" t="s">
        <v>544</v>
      </c>
      <c r="AC64" s="21" t="str">
        <f t="shared" si="7"/>
        <v>$23000</v>
      </c>
      <c r="AD64" s="21" t="str">
        <f t="shared" si="6"/>
        <v>23000</v>
      </c>
      <c r="AE64" s="7" t="s">
        <v>457</v>
      </c>
      <c r="AF64" s="2" t="str">
        <f t="shared" si="8"/>
        <v>Top Cao</v>
      </c>
    </row>
    <row r="65" spans="1:32" s="2" customFormat="1">
      <c r="A65" s="35" t="s">
        <v>545</v>
      </c>
      <c r="B65" s="8" t="s">
        <v>546</v>
      </c>
      <c r="C65" s="8">
        <v>4.5998159999999996E-3</v>
      </c>
      <c r="D65" s="13" t="s">
        <v>547</v>
      </c>
      <c r="E65" s="13" t="s">
        <v>548</v>
      </c>
      <c r="F65" s="13" t="s">
        <v>549</v>
      </c>
      <c r="G65" s="13" t="s">
        <v>550</v>
      </c>
      <c r="H65" s="7" t="s">
        <v>452</v>
      </c>
      <c r="I65" s="7" t="s">
        <v>453</v>
      </c>
      <c r="J65" s="7" t="s">
        <v>551</v>
      </c>
      <c r="K65" s="7" t="s">
        <v>52</v>
      </c>
      <c r="L65" s="7">
        <v>0.3</v>
      </c>
      <c r="M65" s="7">
        <v>166488</v>
      </c>
      <c r="N65" s="7" t="s">
        <v>31</v>
      </c>
      <c r="O65" s="7">
        <v>1200</v>
      </c>
      <c r="P65" s="7">
        <v>28</v>
      </c>
      <c r="Q65" s="11">
        <v>0.64</v>
      </c>
      <c r="R65" s="7">
        <v>63.601999999999997</v>
      </c>
      <c r="S65" s="8" t="str">
        <f t="shared" si="0"/>
        <v>63.602</v>
      </c>
      <c r="T65" s="8" t="str">
        <f t="shared" si="1"/>
        <v>63602</v>
      </c>
      <c r="U65" s="7">
        <v>20880</v>
      </c>
      <c r="V65" s="8" t="str">
        <f t="shared" si="10"/>
        <v>20880</v>
      </c>
      <c r="W65" s="8" t="s">
        <v>32</v>
      </c>
      <c r="X65" s="49" t="s">
        <v>552</v>
      </c>
      <c r="Y65" s="21" t="str">
        <f t="shared" si="3"/>
        <v>5881943</v>
      </c>
      <c r="Z65" s="21">
        <v>13000</v>
      </c>
      <c r="AA65" s="52" t="str">
        <f t="shared" si="4"/>
        <v>13000</v>
      </c>
      <c r="AB65" s="21" t="s">
        <v>553</v>
      </c>
      <c r="AC65" s="21" t="str">
        <f t="shared" si="7"/>
        <v>$26800</v>
      </c>
      <c r="AD65" s="21" t="str">
        <f t="shared" si="6"/>
        <v>26800</v>
      </c>
      <c r="AE65" s="7" t="s">
        <v>457</v>
      </c>
      <c r="AF65" s="2" t="str">
        <f t="shared" si="8"/>
        <v>Top Cao</v>
      </c>
    </row>
    <row r="66" spans="1:32" s="2" customFormat="1">
      <c r="A66" s="7" t="s">
        <v>554</v>
      </c>
      <c r="B66" s="8" t="s">
        <v>555</v>
      </c>
      <c r="C66" s="8">
        <v>4.6705820000000004E-3</v>
      </c>
      <c r="D66" s="13" t="s">
        <v>556</v>
      </c>
      <c r="E66" s="13" t="s">
        <v>557</v>
      </c>
      <c r="F66" s="13" t="s">
        <v>558</v>
      </c>
      <c r="G66" s="13" t="s">
        <v>559</v>
      </c>
      <c r="H66" s="7" t="s">
        <v>28</v>
      </c>
      <c r="I66" s="7" t="s">
        <v>29</v>
      </c>
      <c r="J66" s="7" t="s">
        <v>560</v>
      </c>
      <c r="K66" s="46" t="s">
        <v>68</v>
      </c>
      <c r="L66" s="7">
        <v>0.41</v>
      </c>
      <c r="M66" s="7">
        <v>100238</v>
      </c>
      <c r="N66" s="7" t="s">
        <v>31</v>
      </c>
      <c r="O66" s="7">
        <v>1445</v>
      </c>
      <c r="P66" s="7">
        <v>33</v>
      </c>
      <c r="Q66" s="11">
        <v>0.78</v>
      </c>
      <c r="R66" s="7">
        <v>6.5679999999999996</v>
      </c>
      <c r="S66" s="8" t="str">
        <f t="shared" ref="S66:S129" si="11">SUBSTITUTE(R66, ",", "")</f>
        <v>6.568</v>
      </c>
      <c r="T66" s="8" t="str">
        <f t="shared" ref="T66:T129" si="12">SUBSTITUTE(S66, ".", "")</f>
        <v>6568</v>
      </c>
      <c r="U66" s="7">
        <v>5.4710000000000001</v>
      </c>
      <c r="V66" s="8" t="str">
        <f t="shared" si="10"/>
        <v>5471</v>
      </c>
      <c r="W66" s="8" t="s">
        <v>32</v>
      </c>
      <c r="X66" s="49" t="s">
        <v>561</v>
      </c>
      <c r="Y66" s="21" t="str">
        <f t="shared" ref="Y66:Y129" si="13">SUBSTITUTE(X66, ",", "")</f>
        <v>3866558</v>
      </c>
      <c r="Z66" s="21">
        <v>37870</v>
      </c>
      <c r="AA66" s="52" t="str">
        <f t="shared" ref="AA66:AA129" si="14">SUBSTITUTE(Z66, ",", "")</f>
        <v>37870</v>
      </c>
      <c r="AB66" s="21" t="s">
        <v>562</v>
      </c>
      <c r="AC66" s="21" t="str">
        <f t="shared" si="7"/>
        <v>$40125</v>
      </c>
      <c r="AD66" s="21" t="str">
        <f t="shared" ref="AD66:AD129" si="15">SUBSTITUTE(AC66, "$", "")</f>
        <v>40125</v>
      </c>
      <c r="AE66" s="7" t="s">
        <v>457</v>
      </c>
      <c r="AF66" s="2" t="str">
        <f t="shared" si="8"/>
        <v>Top Cao</v>
      </c>
    </row>
    <row r="67" spans="1:32" s="2" customFormat="1">
      <c r="A67" s="7" t="s">
        <v>563</v>
      </c>
      <c r="B67" s="8" t="s">
        <v>564</v>
      </c>
      <c r="C67" s="7">
        <f>66/14131</f>
        <v>4.6705824074729316E-3</v>
      </c>
      <c r="D67" s="9" t="s">
        <v>241</v>
      </c>
      <c r="E67" s="7">
        <f>22/2597</f>
        <v>8.4713130535232963E-3</v>
      </c>
      <c r="F67" s="9" t="s">
        <v>565</v>
      </c>
      <c r="G67" s="7">
        <f>212496</f>
        <v>212496</v>
      </c>
      <c r="H67" s="7" t="s">
        <v>49</v>
      </c>
      <c r="I67" s="7" t="s">
        <v>139</v>
      </c>
      <c r="J67" s="7" t="s">
        <v>220</v>
      </c>
      <c r="K67" s="7" t="s">
        <v>52</v>
      </c>
      <c r="L67" s="11">
        <v>0.13</v>
      </c>
      <c r="M67" s="12">
        <v>154234</v>
      </c>
      <c r="N67" s="7" t="s">
        <v>31</v>
      </c>
      <c r="O67" s="7">
        <v>1190</v>
      </c>
      <c r="P67" s="7">
        <v>29</v>
      </c>
      <c r="Q67" s="11">
        <v>0.56999999999999995</v>
      </c>
      <c r="R67" s="7">
        <v>13.568</v>
      </c>
      <c r="S67" s="8" t="str">
        <f t="shared" si="11"/>
        <v>13.568</v>
      </c>
      <c r="T67" s="8" t="str">
        <f t="shared" si="12"/>
        <v>13568</v>
      </c>
      <c r="U67" s="7">
        <v>5.9450000000000003</v>
      </c>
      <c r="V67" s="8" t="str">
        <f t="shared" si="10"/>
        <v>5945</v>
      </c>
      <c r="W67" s="8" t="s">
        <v>32</v>
      </c>
      <c r="X67" s="49" t="s">
        <v>566</v>
      </c>
      <c r="Y67" s="21" t="str">
        <f t="shared" si="13"/>
        <v>4535591</v>
      </c>
      <c r="Z67" s="21">
        <v>9250</v>
      </c>
      <c r="AA67" s="52" t="str">
        <f t="shared" si="14"/>
        <v>9250</v>
      </c>
      <c r="AB67" s="21" t="s">
        <v>567</v>
      </c>
      <c r="AC67" s="21" t="str">
        <f t="shared" ref="AC67:AC130" si="16">SUBSTITUTE(AB67, ",", "")</f>
        <v>$29900</v>
      </c>
      <c r="AD67" s="21" t="str">
        <f t="shared" si="15"/>
        <v>29900</v>
      </c>
      <c r="AE67" s="7" t="s">
        <v>457</v>
      </c>
      <c r="AF67" s="2" t="str">
        <f t="shared" ref="AF67:AF130" si="17">IF(OR(AE67="TOP50", AE67="Top100", AE67="Top150"),"Top Cao","Top Thấp")</f>
        <v>Top Cao</v>
      </c>
    </row>
    <row r="68" spans="1:32" s="2" customFormat="1">
      <c r="A68" s="7" t="s">
        <v>568</v>
      </c>
      <c r="B68" s="8" t="s">
        <v>569</v>
      </c>
      <c r="C68" s="7">
        <f>67/14131</f>
        <v>4.7413488075861579E-3</v>
      </c>
      <c r="D68" s="9" t="s">
        <v>570</v>
      </c>
      <c r="E68" s="7">
        <f>33/2597</f>
        <v>1.2706969580284944E-2</v>
      </c>
      <c r="F68" s="9" t="s">
        <v>571</v>
      </c>
      <c r="G68" s="7">
        <f>4/58</f>
        <v>6.8965517241379309E-2</v>
      </c>
      <c r="H68" s="7" t="s">
        <v>103</v>
      </c>
      <c r="I68" s="7" t="s">
        <v>123</v>
      </c>
      <c r="J68" s="7" t="s">
        <v>416</v>
      </c>
      <c r="K68" s="7" t="s">
        <v>52</v>
      </c>
      <c r="L68" s="11">
        <v>0.28999999999999998</v>
      </c>
      <c r="M68" s="12">
        <v>160461</v>
      </c>
      <c r="N68" s="7" t="s">
        <v>572</v>
      </c>
      <c r="O68" s="7">
        <v>1400</v>
      </c>
      <c r="P68" s="7">
        <v>30</v>
      </c>
      <c r="Q68" s="11">
        <v>0.77</v>
      </c>
      <c r="R68" s="7">
        <v>35.914999999999999</v>
      </c>
      <c r="S68" s="8" t="str">
        <f t="shared" si="11"/>
        <v>35.915</v>
      </c>
      <c r="T68" s="8" t="str">
        <f t="shared" si="12"/>
        <v>35915</v>
      </c>
      <c r="U68" s="7">
        <v>17120</v>
      </c>
      <c r="V68" s="8" t="str">
        <f t="shared" si="10"/>
        <v>17120</v>
      </c>
      <c r="W68" s="8" t="s">
        <v>395</v>
      </c>
      <c r="X68" s="49" t="s">
        <v>573</v>
      </c>
      <c r="Y68" s="21" t="str">
        <f t="shared" si="13"/>
        <v>3524601</v>
      </c>
      <c r="Z68" s="21">
        <v>3000</v>
      </c>
      <c r="AA68" s="52" t="str">
        <f t="shared" si="14"/>
        <v>3000</v>
      </c>
      <c r="AB68" s="21" t="s">
        <v>574</v>
      </c>
      <c r="AC68" s="21" t="str">
        <f t="shared" si="16"/>
        <v>$13.127</v>
      </c>
      <c r="AD68" s="21" t="str">
        <f t="shared" si="15"/>
        <v>13.127</v>
      </c>
      <c r="AE68" s="7" t="s">
        <v>457</v>
      </c>
      <c r="AF68" s="2" t="str">
        <f t="shared" si="17"/>
        <v>Top Cao</v>
      </c>
    </row>
    <row r="69" spans="1:32" s="2" customFormat="1">
      <c r="A69" s="7" t="s">
        <v>575</v>
      </c>
      <c r="B69" s="8" t="s">
        <v>576</v>
      </c>
      <c r="C69" s="7">
        <f>68/14131</f>
        <v>4.8121152076993842E-3</v>
      </c>
      <c r="D69" s="9" t="s">
        <v>577</v>
      </c>
      <c r="E69" s="7">
        <f>42/2597</f>
        <v>1.6172506738544475E-2</v>
      </c>
      <c r="F69" s="9" t="s">
        <v>578</v>
      </c>
      <c r="G69" s="7">
        <f>39/2496</f>
        <v>1.5625E-2</v>
      </c>
      <c r="H69" s="7" t="s">
        <v>28</v>
      </c>
      <c r="I69" s="7" t="s">
        <v>29</v>
      </c>
      <c r="J69" s="7" t="s">
        <v>40</v>
      </c>
      <c r="K69" s="46" t="s">
        <v>68</v>
      </c>
      <c r="L69" s="11">
        <v>0.04</v>
      </c>
      <c r="M69" s="12">
        <v>108657</v>
      </c>
      <c r="N69" s="7" t="s">
        <v>31</v>
      </c>
      <c r="O69" s="7">
        <v>1540</v>
      </c>
      <c r="P69" s="7">
        <v>35</v>
      </c>
      <c r="Q69" s="11">
        <v>0.67</v>
      </c>
      <c r="R69" s="7">
        <v>987</v>
      </c>
      <c r="S69" s="8" t="str">
        <f t="shared" si="11"/>
        <v>987</v>
      </c>
      <c r="T69" s="8" t="str">
        <f t="shared" si="12"/>
        <v>987</v>
      </c>
      <c r="U69" s="7">
        <v>1410</v>
      </c>
      <c r="V69" s="8" t="str">
        <f t="shared" si="10"/>
        <v>1410</v>
      </c>
      <c r="W69" s="8" t="s">
        <v>32</v>
      </c>
      <c r="X69" s="49" t="s">
        <v>579</v>
      </c>
      <c r="Y69" s="21" t="str">
        <f t="shared" si="13"/>
        <v>6002147</v>
      </c>
      <c r="Z69" s="21">
        <v>47556</v>
      </c>
      <c r="AA69" s="52" t="str">
        <f t="shared" si="14"/>
        <v>47556</v>
      </c>
      <c r="AB69" s="21" t="s">
        <v>580</v>
      </c>
      <c r="AC69" s="21" t="str">
        <f t="shared" si="16"/>
        <v>$30162</v>
      </c>
      <c r="AD69" s="21" t="str">
        <f t="shared" si="15"/>
        <v>30162</v>
      </c>
      <c r="AE69" s="7" t="s">
        <v>457</v>
      </c>
      <c r="AF69" s="2" t="str">
        <f t="shared" si="17"/>
        <v>Top Cao</v>
      </c>
    </row>
    <row r="70" spans="1:32" s="2" customFormat="1">
      <c r="A70" s="7" t="s">
        <v>581</v>
      </c>
      <c r="B70" s="8" t="s">
        <v>582</v>
      </c>
      <c r="C70" s="7">
        <f>69/14131</f>
        <v>4.8828816078126105E-3</v>
      </c>
      <c r="D70" s="9" t="s">
        <v>394</v>
      </c>
      <c r="E70" s="7">
        <f>94/2597</f>
        <v>3.6195610319599537E-2</v>
      </c>
      <c r="F70" s="9" t="s">
        <v>583</v>
      </c>
      <c r="G70" s="7">
        <f>83/2496</f>
        <v>3.3253205128205128E-2</v>
      </c>
      <c r="H70" s="7" t="s">
        <v>103</v>
      </c>
      <c r="I70" s="7" t="s">
        <v>584</v>
      </c>
      <c r="J70" s="7" t="s">
        <v>585</v>
      </c>
      <c r="K70" s="7" t="s">
        <v>52</v>
      </c>
      <c r="L70" s="11">
        <v>0.49</v>
      </c>
      <c r="M70" s="12">
        <v>181956</v>
      </c>
      <c r="N70" s="7" t="s">
        <v>31</v>
      </c>
      <c r="O70" s="7">
        <v>1250</v>
      </c>
      <c r="P70" s="7">
        <v>29</v>
      </c>
      <c r="Q70" s="11">
        <v>0.35</v>
      </c>
      <c r="R70" s="7">
        <v>30.097999999999999</v>
      </c>
      <c r="S70" s="8" t="str">
        <f t="shared" si="11"/>
        <v>30.098</v>
      </c>
      <c r="T70" s="8" t="str">
        <f t="shared" si="12"/>
        <v>30098</v>
      </c>
      <c r="U70" s="7">
        <v>2.5550000000000002</v>
      </c>
      <c r="V70" s="8" t="str">
        <f t="shared" si="10"/>
        <v>2555</v>
      </c>
      <c r="W70" s="8" t="s">
        <v>32</v>
      </c>
      <c r="X70" s="49" t="s">
        <v>586</v>
      </c>
      <c r="Y70" s="21" t="str">
        <f t="shared" si="13"/>
        <v>5239656</v>
      </c>
      <c r="Z70" s="21">
        <v>20120</v>
      </c>
      <c r="AA70" s="52" t="str">
        <f t="shared" si="14"/>
        <v>20120</v>
      </c>
      <c r="AB70" s="21" t="s">
        <v>587</v>
      </c>
      <c r="AC70" s="21" t="str">
        <f t="shared" si="16"/>
        <v>$42400</v>
      </c>
      <c r="AD70" s="21" t="str">
        <f t="shared" si="15"/>
        <v>42400</v>
      </c>
      <c r="AE70" s="7" t="s">
        <v>457</v>
      </c>
      <c r="AF70" s="2" t="str">
        <f t="shared" si="17"/>
        <v>Top Cao</v>
      </c>
    </row>
    <row r="71" spans="1:32" s="2" customFormat="1">
      <c r="A71" s="7" t="s">
        <v>588</v>
      </c>
      <c r="B71" s="8" t="s">
        <v>589</v>
      </c>
      <c r="C71" s="8">
        <v>4.8828819999999998E-3</v>
      </c>
      <c r="D71" s="13" t="s">
        <v>590</v>
      </c>
      <c r="E71" s="13" t="s">
        <v>591</v>
      </c>
      <c r="F71" s="13" t="s">
        <v>592</v>
      </c>
      <c r="G71" s="13" t="s">
        <v>593</v>
      </c>
      <c r="H71" s="7" t="s">
        <v>28</v>
      </c>
      <c r="I71" s="7" t="s">
        <v>29</v>
      </c>
      <c r="J71" s="7" t="s">
        <v>594</v>
      </c>
      <c r="K71" s="7" t="s">
        <v>52</v>
      </c>
      <c r="L71" s="7">
        <v>0.86</v>
      </c>
      <c r="M71" s="7">
        <v>96816</v>
      </c>
      <c r="N71" s="7" t="s">
        <v>31</v>
      </c>
      <c r="O71" s="7">
        <v>1240</v>
      </c>
      <c r="P71" s="7">
        <v>26</v>
      </c>
      <c r="Q71" s="11">
        <v>0.87</v>
      </c>
      <c r="R71" s="7">
        <v>21.608000000000001</v>
      </c>
      <c r="S71" s="8" t="str">
        <f t="shared" si="11"/>
        <v>21.608</v>
      </c>
      <c r="T71" s="8" t="str">
        <f t="shared" si="12"/>
        <v>21608</v>
      </c>
      <c r="U71" s="7">
        <v>8.3010000000000002</v>
      </c>
      <c r="V71" s="8" t="str">
        <f t="shared" si="10"/>
        <v>8301</v>
      </c>
      <c r="W71" s="8" t="s">
        <v>32</v>
      </c>
      <c r="X71" s="49" t="s">
        <v>595</v>
      </c>
      <c r="Y71" s="21" t="str">
        <f t="shared" si="13"/>
        <v>4354922</v>
      </c>
      <c r="Z71" s="21">
        <v>11007</v>
      </c>
      <c r="AA71" s="52" t="str">
        <f t="shared" si="14"/>
        <v>11007</v>
      </c>
      <c r="AB71" s="21" t="s">
        <v>596</v>
      </c>
      <c r="AC71" s="21" t="str">
        <f t="shared" si="16"/>
        <v xml:space="preserve">$25832 </v>
      </c>
      <c r="AD71" s="21" t="str">
        <f t="shared" si="15"/>
        <v xml:space="preserve">25832 </v>
      </c>
      <c r="AE71" s="7" t="s">
        <v>457</v>
      </c>
      <c r="AF71" s="2" t="str">
        <f t="shared" si="17"/>
        <v>Top Cao</v>
      </c>
    </row>
    <row r="72" spans="1:32" s="2" customFormat="1">
      <c r="A72" s="7" t="s">
        <v>597</v>
      </c>
      <c r="B72" s="8" t="s">
        <v>598</v>
      </c>
      <c r="C72" s="7">
        <f>70/14131</f>
        <v>4.9536480079258368E-3</v>
      </c>
      <c r="D72" s="8" t="s">
        <v>599</v>
      </c>
      <c r="E72" s="7">
        <f>70/2597</f>
        <v>2.6954177897574125E-2</v>
      </c>
      <c r="F72" s="9" t="s">
        <v>600</v>
      </c>
      <c r="G72" s="7">
        <f>64/2496</f>
        <v>2.564102564102564E-2</v>
      </c>
      <c r="H72" s="7" t="s">
        <v>28</v>
      </c>
      <c r="I72" s="7" t="s">
        <v>306</v>
      </c>
      <c r="J72" s="7" t="s">
        <v>601</v>
      </c>
      <c r="K72" s="7" t="s">
        <v>52</v>
      </c>
      <c r="L72" s="11">
        <v>0.57999999999999996</v>
      </c>
      <c r="M72" s="12">
        <v>183446</v>
      </c>
      <c r="N72" s="7" t="s">
        <v>602</v>
      </c>
      <c r="O72" s="7">
        <v>1200</v>
      </c>
      <c r="P72" s="7">
        <v>26</v>
      </c>
      <c r="Q72" s="11">
        <v>0.72</v>
      </c>
      <c r="R72" s="7">
        <v>15421</v>
      </c>
      <c r="S72" s="8" t="str">
        <f t="shared" si="11"/>
        <v>15421</v>
      </c>
      <c r="T72" s="8" t="str">
        <f t="shared" si="12"/>
        <v>15421</v>
      </c>
      <c r="U72" s="7">
        <v>7043</v>
      </c>
      <c r="V72" s="8" t="str">
        <f t="shared" si="10"/>
        <v>7043</v>
      </c>
      <c r="W72" s="8" t="s">
        <v>32</v>
      </c>
      <c r="X72" s="49" t="s">
        <v>603</v>
      </c>
      <c r="Y72" s="21" t="str">
        <f t="shared" si="13"/>
        <v>4888315</v>
      </c>
      <c r="Z72" s="21">
        <v>5000</v>
      </c>
      <c r="AA72" s="52" t="str">
        <f t="shared" si="14"/>
        <v>5000</v>
      </c>
      <c r="AB72" s="21" t="s">
        <v>604</v>
      </c>
      <c r="AC72" s="21" t="str">
        <f t="shared" si="16"/>
        <v xml:space="preserve">$10000 </v>
      </c>
      <c r="AD72" s="21" t="str">
        <f t="shared" si="15"/>
        <v xml:space="preserve">10000 </v>
      </c>
      <c r="AE72" s="7" t="s">
        <v>457</v>
      </c>
      <c r="AF72" s="2" t="str">
        <f t="shared" si="17"/>
        <v>Top Cao</v>
      </c>
    </row>
    <row r="73" spans="1:32" s="2" customFormat="1">
      <c r="A73" s="35" t="s">
        <v>605</v>
      </c>
      <c r="B73" s="8" t="s">
        <v>606</v>
      </c>
      <c r="C73" s="8">
        <v>5.0244139999999996E-3</v>
      </c>
      <c r="D73" s="13" t="s">
        <v>607</v>
      </c>
      <c r="E73" s="13" t="s">
        <v>608</v>
      </c>
      <c r="F73" s="13" t="s">
        <v>609</v>
      </c>
      <c r="G73" s="13" t="s">
        <v>610</v>
      </c>
      <c r="H73" s="7" t="s">
        <v>28</v>
      </c>
      <c r="I73" s="7" t="s">
        <v>29</v>
      </c>
      <c r="J73" s="7" t="s">
        <v>204</v>
      </c>
      <c r="K73" s="7" t="s">
        <v>52</v>
      </c>
      <c r="L73" s="7">
        <v>0.14000000000000001</v>
      </c>
      <c r="M73" s="7">
        <v>123328</v>
      </c>
      <c r="N73" s="7" t="s">
        <v>611</v>
      </c>
      <c r="O73" s="7">
        <v>0</v>
      </c>
      <c r="P73" s="7">
        <v>0</v>
      </c>
      <c r="Q73" s="11">
        <v>0.47</v>
      </c>
      <c r="R73" s="7">
        <v>25000</v>
      </c>
      <c r="S73" s="8" t="str">
        <f t="shared" si="11"/>
        <v>25000</v>
      </c>
      <c r="T73" s="8" t="str">
        <f t="shared" si="12"/>
        <v>25000</v>
      </c>
      <c r="U73" s="7">
        <v>10111</v>
      </c>
      <c r="V73" s="8" t="str">
        <f t="shared" si="10"/>
        <v>10111</v>
      </c>
      <c r="W73" s="8" t="s">
        <v>32</v>
      </c>
      <c r="X73" s="49" t="s">
        <v>612</v>
      </c>
      <c r="Y73" s="21" t="str">
        <f t="shared" si="13"/>
        <v>4498927</v>
      </c>
      <c r="Z73" s="21">
        <v>5000</v>
      </c>
      <c r="AA73" s="52" t="str">
        <f t="shared" si="14"/>
        <v>5000</v>
      </c>
      <c r="AB73" s="21" t="s">
        <v>613</v>
      </c>
      <c r="AC73" s="21" t="str">
        <f t="shared" si="16"/>
        <v>$10000</v>
      </c>
      <c r="AD73" s="21" t="str">
        <f t="shared" si="15"/>
        <v>10000</v>
      </c>
      <c r="AE73" s="7" t="s">
        <v>457</v>
      </c>
      <c r="AF73" s="2" t="str">
        <f t="shared" si="17"/>
        <v>Top Cao</v>
      </c>
    </row>
    <row r="74" spans="1:32" s="2" customFormat="1">
      <c r="A74" s="7" t="s">
        <v>614</v>
      </c>
      <c r="B74" s="8" t="s">
        <v>615</v>
      </c>
      <c r="C74" s="7">
        <f>71/14131</f>
        <v>5.0244144080390631E-3</v>
      </c>
      <c r="D74" s="9" t="s">
        <v>616</v>
      </c>
      <c r="E74" s="7">
        <f>115/2597</f>
        <v>4.4281863688871777E-2</v>
      </c>
      <c r="F74" s="9" t="s">
        <v>617</v>
      </c>
      <c r="G74" s="7">
        <f>100/2496</f>
        <v>4.0064102564102567E-2</v>
      </c>
      <c r="H74" s="7" t="s">
        <v>452</v>
      </c>
      <c r="I74" s="7" t="s">
        <v>453</v>
      </c>
      <c r="J74" s="7" t="s">
        <v>618</v>
      </c>
      <c r="K74" s="7" t="s">
        <v>52</v>
      </c>
      <c r="L74" s="11">
        <v>0.49</v>
      </c>
      <c r="M74" s="12">
        <v>175141</v>
      </c>
      <c r="N74" s="7" t="s">
        <v>31</v>
      </c>
      <c r="O74" s="7">
        <v>1300</v>
      </c>
      <c r="P74" s="7">
        <v>28</v>
      </c>
      <c r="Q74" s="11">
        <v>0.5</v>
      </c>
      <c r="R74" s="7">
        <v>48.771000000000001</v>
      </c>
      <c r="S74" s="8" t="str">
        <f t="shared" si="11"/>
        <v>48.771</v>
      </c>
      <c r="T74" s="8" t="str">
        <f t="shared" si="12"/>
        <v>48771</v>
      </c>
      <c r="U74" s="7">
        <v>15666</v>
      </c>
      <c r="V74" s="8" t="str">
        <f t="shared" si="10"/>
        <v>15666</v>
      </c>
      <c r="W74" s="8" t="s">
        <v>32</v>
      </c>
      <c r="X74" s="49" t="s">
        <v>619</v>
      </c>
      <c r="Y74" s="21" t="str">
        <f t="shared" si="13"/>
        <v>5608376</v>
      </c>
      <c r="Z74" s="21">
        <v>9990</v>
      </c>
      <c r="AA74" s="52" t="str">
        <f t="shared" si="14"/>
        <v>9990</v>
      </c>
      <c r="AB74" s="21" t="s">
        <v>620</v>
      </c>
      <c r="AC74" s="21" t="str">
        <f t="shared" si="16"/>
        <v>$31920</v>
      </c>
      <c r="AD74" s="21" t="str">
        <f t="shared" si="15"/>
        <v>31920</v>
      </c>
      <c r="AE74" s="7" t="s">
        <v>457</v>
      </c>
      <c r="AF74" s="2" t="str">
        <f t="shared" si="17"/>
        <v>Top Cao</v>
      </c>
    </row>
    <row r="75" spans="1:32" s="2" customFormat="1">
      <c r="A75" s="7" t="s">
        <v>621</v>
      </c>
      <c r="B75" s="8" t="s">
        <v>622</v>
      </c>
      <c r="C75" s="8">
        <v>5.0951809999999998E-3</v>
      </c>
      <c r="D75" s="13" t="s">
        <v>623</v>
      </c>
      <c r="E75" s="13" t="s">
        <v>624</v>
      </c>
      <c r="F75" s="13" t="s">
        <v>625</v>
      </c>
      <c r="G75" s="13" t="s">
        <v>626</v>
      </c>
      <c r="H75" s="7" t="s">
        <v>28</v>
      </c>
      <c r="I75" s="7" t="s">
        <v>29</v>
      </c>
      <c r="J75" s="7" t="s">
        <v>627</v>
      </c>
      <c r="K75" s="46" t="s">
        <v>68</v>
      </c>
      <c r="L75" s="7">
        <v>7.0000000000000007E-2</v>
      </c>
      <c r="M75" s="7">
        <v>95375</v>
      </c>
      <c r="N75" s="7" t="s">
        <v>31</v>
      </c>
      <c r="O75" s="7">
        <v>1525</v>
      </c>
      <c r="P75" s="7">
        <v>35</v>
      </c>
      <c r="Q75" s="11">
        <v>0.7</v>
      </c>
      <c r="R75" s="7">
        <v>7.1109999999999998</v>
      </c>
      <c r="S75" s="8" t="str">
        <f t="shared" si="11"/>
        <v>7.111</v>
      </c>
      <c r="T75" s="8" t="str">
        <f t="shared" si="12"/>
        <v>7111</v>
      </c>
      <c r="U75" s="7">
        <v>6.6849999999999996</v>
      </c>
      <c r="V75" s="8" t="str">
        <f t="shared" si="10"/>
        <v>6685</v>
      </c>
      <c r="W75" s="8" t="s">
        <v>32</v>
      </c>
      <c r="X75" s="49" t="s">
        <v>628</v>
      </c>
      <c r="Y75" s="21" t="str">
        <f t="shared" si="13"/>
        <v>4485984</v>
      </c>
      <c r="Z75" s="21">
        <v>49730</v>
      </c>
      <c r="AA75" s="52" t="str">
        <f t="shared" si="14"/>
        <v>49730</v>
      </c>
      <c r="AB75" s="21" t="s">
        <v>629</v>
      </c>
      <c r="AC75" s="21" t="str">
        <f t="shared" si="16"/>
        <v xml:space="preserve">$27553 </v>
      </c>
      <c r="AD75" s="21" t="str">
        <f t="shared" si="15"/>
        <v xml:space="preserve">27553 </v>
      </c>
      <c r="AE75" s="7" t="s">
        <v>457</v>
      </c>
      <c r="AF75" s="2" t="str">
        <f t="shared" si="17"/>
        <v>Top Cao</v>
      </c>
    </row>
    <row r="76" spans="1:32" s="2" customFormat="1">
      <c r="A76" s="33" t="s">
        <v>630</v>
      </c>
      <c r="B76" s="8" t="s">
        <v>631</v>
      </c>
      <c r="C76" s="8">
        <v>5.1659469999999997E-3</v>
      </c>
      <c r="D76" s="13" t="s">
        <v>607</v>
      </c>
      <c r="E76" s="13" t="s">
        <v>632</v>
      </c>
      <c r="F76" s="13" t="s">
        <v>633</v>
      </c>
      <c r="G76" s="13" t="s">
        <v>634</v>
      </c>
      <c r="H76" s="7" t="s">
        <v>49</v>
      </c>
      <c r="I76" s="7" t="s">
        <v>635</v>
      </c>
      <c r="J76" s="7" t="s">
        <v>636</v>
      </c>
      <c r="K76" s="46" t="s">
        <v>68</v>
      </c>
      <c r="L76" s="7">
        <v>0.37</v>
      </c>
      <c r="M76" s="7">
        <v>136745</v>
      </c>
      <c r="N76" s="7" t="s">
        <v>637</v>
      </c>
      <c r="O76" s="7">
        <v>0</v>
      </c>
      <c r="P76" s="7">
        <v>0</v>
      </c>
      <c r="Q76" s="11">
        <v>0.81</v>
      </c>
      <c r="R76" s="7">
        <v>15015</v>
      </c>
      <c r="S76" s="8" t="str">
        <f t="shared" si="11"/>
        <v>15015</v>
      </c>
      <c r="T76" s="8" t="str">
        <f t="shared" si="12"/>
        <v>15015</v>
      </c>
      <c r="U76" s="7">
        <v>6201</v>
      </c>
      <c r="V76" s="8" t="str">
        <f t="shared" si="10"/>
        <v>6201</v>
      </c>
      <c r="W76" s="8" t="s">
        <v>32</v>
      </c>
      <c r="X76" s="49" t="s">
        <v>638</v>
      </c>
      <c r="Y76" s="21" t="str">
        <f t="shared" si="13"/>
        <v>5254793</v>
      </c>
      <c r="Z76" s="21">
        <v>5480</v>
      </c>
      <c r="AA76" s="52" t="str">
        <f t="shared" si="14"/>
        <v>5480</v>
      </c>
      <c r="AB76" s="21" t="s">
        <v>639</v>
      </c>
      <c r="AC76" s="21" t="str">
        <f t="shared" si="16"/>
        <v>$18470</v>
      </c>
      <c r="AD76" s="21" t="str">
        <f t="shared" si="15"/>
        <v>18470</v>
      </c>
      <c r="AE76" s="7" t="s">
        <v>457</v>
      </c>
      <c r="AF76" s="2" t="str">
        <f t="shared" si="17"/>
        <v>Top Cao</v>
      </c>
    </row>
    <row r="77" spans="1:32" s="2" customFormat="1">
      <c r="A77" s="7" t="s">
        <v>640</v>
      </c>
      <c r="B77" s="8" t="s">
        <v>641</v>
      </c>
      <c r="C77" s="7">
        <f>74/14131</f>
        <v>5.236713608378742E-3</v>
      </c>
      <c r="D77" s="13" t="s">
        <v>460</v>
      </c>
      <c r="E77" s="7">
        <f>5/1756</f>
        <v>2.8473804100227792E-3</v>
      </c>
      <c r="F77" s="13" t="s">
        <v>461</v>
      </c>
      <c r="G77" s="7">
        <f>3/198</f>
        <v>1.5151515151515152E-2</v>
      </c>
      <c r="H77" s="7" t="s">
        <v>28</v>
      </c>
      <c r="I77" s="7" t="s">
        <v>29</v>
      </c>
      <c r="J77" s="7" t="s">
        <v>443</v>
      </c>
      <c r="K77" s="11" t="s">
        <v>52</v>
      </c>
      <c r="L77" s="11">
        <v>0.85</v>
      </c>
      <c r="M77" s="12">
        <v>120015</v>
      </c>
      <c r="N77" s="7" t="s">
        <v>31</v>
      </c>
      <c r="O77" s="7">
        <v>1270</v>
      </c>
      <c r="P77" s="7">
        <v>29</v>
      </c>
      <c r="Q77" s="11">
        <v>0.79</v>
      </c>
      <c r="R77" s="7">
        <v>34.253</v>
      </c>
      <c r="S77" s="8" t="str">
        <f t="shared" si="11"/>
        <v>34.253</v>
      </c>
      <c r="T77" s="8" t="str">
        <f t="shared" si="12"/>
        <v>34253</v>
      </c>
      <c r="U77" s="7">
        <v>11.074999999999999</v>
      </c>
      <c r="V77" s="8" t="str">
        <f t="shared" si="10"/>
        <v>11075</v>
      </c>
      <c r="W77" s="8" t="s">
        <v>32</v>
      </c>
      <c r="X77" s="49" t="s">
        <v>642</v>
      </c>
      <c r="Y77" s="21" t="str">
        <f t="shared" si="13"/>
        <v>3211726</v>
      </c>
      <c r="Z77" s="21">
        <v>11608</v>
      </c>
      <c r="AA77" s="52" t="str">
        <f t="shared" si="14"/>
        <v>11608</v>
      </c>
      <c r="AB77" s="21" t="s">
        <v>643</v>
      </c>
      <c r="AC77" s="21" t="str">
        <f t="shared" si="16"/>
        <v>$40480</v>
      </c>
      <c r="AD77" s="21" t="str">
        <f t="shared" si="15"/>
        <v>40480</v>
      </c>
      <c r="AE77" s="7" t="s">
        <v>457</v>
      </c>
      <c r="AF77" s="2" t="str">
        <f t="shared" si="17"/>
        <v>Top Cao</v>
      </c>
    </row>
    <row r="78" spans="1:32" s="2" customFormat="1">
      <c r="A78" s="7" t="s">
        <v>644</v>
      </c>
      <c r="B78" s="8" t="s">
        <v>615</v>
      </c>
      <c r="C78" s="8">
        <v>5.3074799999999998E-3</v>
      </c>
      <c r="D78" s="13" t="s">
        <v>616</v>
      </c>
      <c r="E78" s="13" t="s">
        <v>645</v>
      </c>
      <c r="F78" s="13" t="s">
        <v>617</v>
      </c>
      <c r="G78" s="13" t="s">
        <v>646</v>
      </c>
      <c r="H78" s="7" t="s">
        <v>452</v>
      </c>
      <c r="I78" s="7" t="s">
        <v>453</v>
      </c>
      <c r="J78" s="7" t="s">
        <v>618</v>
      </c>
      <c r="K78" s="11" t="s">
        <v>52</v>
      </c>
      <c r="L78" s="7">
        <v>0.09</v>
      </c>
      <c r="M78" s="7">
        <v>134759</v>
      </c>
      <c r="N78" s="7" t="s">
        <v>31</v>
      </c>
      <c r="O78" s="7">
        <v>1300</v>
      </c>
      <c r="P78" s="7">
        <v>28</v>
      </c>
      <c r="Q78" s="11">
        <v>0.76</v>
      </c>
      <c r="R78" s="7">
        <v>48.771000000000001</v>
      </c>
      <c r="S78" s="8" t="str">
        <f t="shared" si="11"/>
        <v>48.771</v>
      </c>
      <c r="T78" s="8" t="str">
        <f t="shared" si="12"/>
        <v>48771</v>
      </c>
      <c r="U78" s="7">
        <v>12400</v>
      </c>
      <c r="V78" s="8" t="str">
        <f t="shared" si="10"/>
        <v>12400</v>
      </c>
      <c r="W78" s="8" t="s">
        <v>32</v>
      </c>
      <c r="X78" s="49" t="s">
        <v>619</v>
      </c>
      <c r="Y78" s="21" t="str">
        <f t="shared" si="13"/>
        <v>5608376</v>
      </c>
      <c r="Z78" s="21">
        <v>21345</v>
      </c>
      <c r="AA78" s="52" t="str">
        <f t="shared" si="14"/>
        <v>21345</v>
      </c>
      <c r="AB78" s="21">
        <v>31920</v>
      </c>
      <c r="AC78" s="21" t="str">
        <f t="shared" si="16"/>
        <v>31920</v>
      </c>
      <c r="AD78" s="21" t="str">
        <f t="shared" si="15"/>
        <v>31920</v>
      </c>
      <c r="AE78" s="7" t="s">
        <v>457</v>
      </c>
      <c r="AF78" s="2" t="str">
        <f t="shared" si="17"/>
        <v>Top Cao</v>
      </c>
    </row>
    <row r="79" spans="1:32" s="2" customFormat="1">
      <c r="A79" s="7" t="s">
        <v>647</v>
      </c>
      <c r="B79" s="8" t="s">
        <v>648</v>
      </c>
      <c r="C79" s="7">
        <f>75/14131</f>
        <v>5.3074800084919682E-3</v>
      </c>
      <c r="D79" s="20" t="s">
        <v>649</v>
      </c>
      <c r="E79" s="7">
        <f>46/2597</f>
        <v>1.771274547554871E-2</v>
      </c>
      <c r="F79" s="13" t="s">
        <v>650</v>
      </c>
      <c r="G79" s="7">
        <f>43/2496</f>
        <v>1.7227564102564104E-2</v>
      </c>
      <c r="H79" s="7" t="s">
        <v>452</v>
      </c>
      <c r="I79" s="7" t="s">
        <v>453</v>
      </c>
      <c r="J79" s="7" t="s">
        <v>651</v>
      </c>
      <c r="K79" s="11" t="s">
        <v>52</v>
      </c>
      <c r="L79" s="11">
        <v>0.4</v>
      </c>
      <c r="M79" s="12">
        <v>174884</v>
      </c>
      <c r="N79" s="7" t="s">
        <v>31</v>
      </c>
      <c r="O79" s="7">
        <v>1600</v>
      </c>
      <c r="P79" s="7">
        <v>36</v>
      </c>
      <c r="Q79" s="11">
        <v>0.67</v>
      </c>
      <c r="R79" s="7">
        <v>78000</v>
      </c>
      <c r="S79" s="8" t="str">
        <f t="shared" si="11"/>
        <v>78000</v>
      </c>
      <c r="T79" s="8" t="str">
        <f t="shared" si="12"/>
        <v>78000</v>
      </c>
      <c r="U79" s="7">
        <v>21000</v>
      </c>
      <c r="V79" s="8" t="str">
        <f t="shared" si="10"/>
        <v>21000</v>
      </c>
      <c r="W79" s="8" t="s">
        <v>32</v>
      </c>
      <c r="X79" s="49" t="s">
        <v>652</v>
      </c>
      <c r="Y79" s="21" t="str">
        <f t="shared" si="13"/>
        <v>4431102</v>
      </c>
      <c r="Z79" s="21">
        <v>22100</v>
      </c>
      <c r="AA79" s="52" t="str">
        <f t="shared" si="14"/>
        <v>22100</v>
      </c>
      <c r="AB79" s="21" t="s">
        <v>653</v>
      </c>
      <c r="AC79" s="21" t="str">
        <f t="shared" si="16"/>
        <v>$0</v>
      </c>
      <c r="AD79" s="21" t="str">
        <f t="shared" si="15"/>
        <v>0</v>
      </c>
      <c r="AE79" s="7" t="s">
        <v>457</v>
      </c>
      <c r="AF79" s="2" t="str">
        <f t="shared" si="17"/>
        <v>Top Cao</v>
      </c>
    </row>
    <row r="80" spans="1:32" s="2" customFormat="1">
      <c r="A80" s="7" t="s">
        <v>654</v>
      </c>
      <c r="B80" s="8" t="s">
        <v>655</v>
      </c>
      <c r="C80" s="7">
        <f>77/14131</f>
        <v>5.4490128087184208E-3</v>
      </c>
      <c r="D80" s="9" t="s">
        <v>656</v>
      </c>
      <c r="E80" s="7">
        <f>33/2597</f>
        <v>1.2706969580284944E-2</v>
      </c>
      <c r="F80" s="9" t="s">
        <v>657</v>
      </c>
      <c r="G80" s="7">
        <f>31/2496</f>
        <v>1.2419871794871794E-2</v>
      </c>
      <c r="H80" s="7" t="s">
        <v>28</v>
      </c>
      <c r="I80" s="7" t="s">
        <v>29</v>
      </c>
      <c r="J80" s="7" t="s">
        <v>519</v>
      </c>
      <c r="K80" s="46" t="s">
        <v>68</v>
      </c>
      <c r="L80" s="11">
        <v>0.13</v>
      </c>
      <c r="M80" s="12">
        <v>150966</v>
      </c>
      <c r="N80" s="7" t="s">
        <v>31</v>
      </c>
      <c r="O80" s="7">
        <v>1480</v>
      </c>
      <c r="P80" s="7">
        <v>33</v>
      </c>
      <c r="Q80" s="11">
        <v>0.61</v>
      </c>
      <c r="R80" s="7">
        <v>7130</v>
      </c>
      <c r="S80" s="8" t="str">
        <f t="shared" si="11"/>
        <v>7130</v>
      </c>
      <c r="T80" s="8" t="str">
        <f t="shared" si="12"/>
        <v>7130</v>
      </c>
      <c r="U80" s="7">
        <v>7.649</v>
      </c>
      <c r="V80" s="8" t="str">
        <f t="shared" si="10"/>
        <v>7649</v>
      </c>
      <c r="W80" s="8" t="s">
        <v>32</v>
      </c>
      <c r="X80" s="49" t="s">
        <v>658</v>
      </c>
      <c r="Y80" s="21" t="str">
        <f t="shared" si="13"/>
        <v>5381821</v>
      </c>
      <c r="Z80" s="21">
        <v>44517</v>
      </c>
      <c r="AA80" s="52" t="str">
        <f t="shared" si="14"/>
        <v>44517</v>
      </c>
      <c r="AB80" s="21" t="s">
        <v>659</v>
      </c>
      <c r="AC80" s="21" t="str">
        <f t="shared" si="16"/>
        <v>$28367</v>
      </c>
      <c r="AD80" s="21" t="str">
        <f t="shared" si="15"/>
        <v>28367</v>
      </c>
      <c r="AE80" s="7" t="s">
        <v>457</v>
      </c>
      <c r="AF80" s="2" t="str">
        <f t="shared" si="17"/>
        <v>Top Cao</v>
      </c>
    </row>
    <row r="81" spans="1:32" s="2" customFormat="1">
      <c r="A81" s="7" t="s">
        <v>660</v>
      </c>
      <c r="B81" s="8" t="s">
        <v>661</v>
      </c>
      <c r="C81" s="7">
        <f>79/14131</f>
        <v>5.5905456089448725E-3</v>
      </c>
      <c r="D81" s="9" t="s">
        <v>135</v>
      </c>
      <c r="E81" s="7">
        <f>74/2597</f>
        <v>2.849441663457836E-2</v>
      </c>
      <c r="F81" s="9" t="s">
        <v>479</v>
      </c>
      <c r="G81" s="7">
        <f>1/369</f>
        <v>2.7100271002710027E-3</v>
      </c>
      <c r="H81" s="7" t="s">
        <v>49</v>
      </c>
      <c r="I81" s="7" t="s">
        <v>50</v>
      </c>
      <c r="J81" s="7" t="s">
        <v>662</v>
      </c>
      <c r="K81" s="11" t="s">
        <v>52</v>
      </c>
      <c r="L81" s="11">
        <v>0.08</v>
      </c>
      <c r="M81" s="12">
        <v>138417</v>
      </c>
      <c r="N81" s="7" t="s">
        <v>482</v>
      </c>
      <c r="O81" s="7">
        <v>0</v>
      </c>
      <c r="P81" s="7">
        <v>0</v>
      </c>
      <c r="Q81" s="11">
        <v>0.66</v>
      </c>
      <c r="R81" s="7">
        <v>44000</v>
      </c>
      <c r="S81" s="8" t="str">
        <f t="shared" si="11"/>
        <v>44000</v>
      </c>
      <c r="T81" s="8" t="str">
        <f t="shared" si="12"/>
        <v>44000</v>
      </c>
      <c r="U81" s="7">
        <v>12881</v>
      </c>
      <c r="V81" s="8" t="str">
        <f t="shared" si="10"/>
        <v>12881</v>
      </c>
      <c r="W81" s="8" t="s">
        <v>32</v>
      </c>
      <c r="X81" s="49" t="s">
        <v>483</v>
      </c>
      <c r="Y81" s="21" t="str">
        <f t="shared" si="13"/>
        <v>3821150</v>
      </c>
      <c r="Z81" s="21">
        <v>8400</v>
      </c>
      <c r="AA81" s="52" t="str">
        <f t="shared" si="14"/>
        <v>8400</v>
      </c>
      <c r="AB81" s="21" t="s">
        <v>653</v>
      </c>
      <c r="AC81" s="21" t="str">
        <f t="shared" si="16"/>
        <v>$0</v>
      </c>
      <c r="AD81" s="21" t="str">
        <f t="shared" si="15"/>
        <v>0</v>
      </c>
      <c r="AE81" s="7" t="s">
        <v>457</v>
      </c>
      <c r="AF81" s="2" t="str">
        <f t="shared" si="17"/>
        <v>Top Cao</v>
      </c>
    </row>
    <row r="82" spans="1:32" s="2" customFormat="1">
      <c r="A82" s="7" t="s">
        <v>663</v>
      </c>
      <c r="B82" s="8" t="s">
        <v>664</v>
      </c>
      <c r="C82" s="8">
        <v>5.6613119999999999E-3</v>
      </c>
      <c r="D82" s="13" t="s">
        <v>665</v>
      </c>
      <c r="E82" s="13" t="s">
        <v>666</v>
      </c>
      <c r="F82" s="13" t="s">
        <v>667</v>
      </c>
      <c r="G82" s="13" t="s">
        <v>668</v>
      </c>
      <c r="H82" s="35" t="s">
        <v>28</v>
      </c>
      <c r="I82" s="7" t="s">
        <v>29</v>
      </c>
      <c r="J82" s="7" t="s">
        <v>519</v>
      </c>
      <c r="K82" s="11" t="s">
        <v>52</v>
      </c>
      <c r="L82" s="7">
        <v>0.4</v>
      </c>
      <c r="M82" s="7">
        <v>81584</v>
      </c>
      <c r="N82" s="7" t="s">
        <v>31</v>
      </c>
      <c r="O82" s="7">
        <v>1360</v>
      </c>
      <c r="P82" s="7">
        <v>31</v>
      </c>
      <c r="Q82" s="11">
        <v>0.94</v>
      </c>
      <c r="R82" s="7">
        <v>30.166</v>
      </c>
      <c r="S82" s="8" t="str">
        <f t="shared" si="11"/>
        <v>30.166</v>
      </c>
      <c r="T82" s="8" t="str">
        <f t="shared" si="12"/>
        <v>30166</v>
      </c>
      <c r="U82" s="7">
        <v>9.952</v>
      </c>
      <c r="V82" s="8" t="str">
        <f t="shared" si="10"/>
        <v>9952</v>
      </c>
      <c r="W82" s="8" t="s">
        <v>32</v>
      </c>
      <c r="X82" s="49" t="s">
        <v>669</v>
      </c>
      <c r="Y82" s="21" t="str">
        <f t="shared" si="13"/>
        <v>2467318</v>
      </c>
      <c r="Z82" s="21">
        <v>11045</v>
      </c>
      <c r="AA82" s="52" t="str">
        <f t="shared" si="14"/>
        <v>11045</v>
      </c>
      <c r="AB82" s="21" t="s">
        <v>670</v>
      </c>
      <c r="AC82" s="21" t="str">
        <f t="shared" si="16"/>
        <v>$31120</v>
      </c>
      <c r="AD82" s="21" t="str">
        <f t="shared" si="15"/>
        <v>31120</v>
      </c>
      <c r="AE82" s="7" t="s">
        <v>457</v>
      </c>
      <c r="AF82" s="2" t="str">
        <f t="shared" si="17"/>
        <v>Top Cao</v>
      </c>
    </row>
    <row r="83" spans="1:32" s="2" customFormat="1">
      <c r="A83" s="7" t="s">
        <v>671</v>
      </c>
      <c r="B83" s="8" t="s">
        <v>672</v>
      </c>
      <c r="C83" s="8">
        <v>5.7320779999999998E-3</v>
      </c>
      <c r="D83" s="13" t="s">
        <v>673</v>
      </c>
      <c r="E83" s="13" t="s">
        <v>674</v>
      </c>
      <c r="F83" s="13" t="s">
        <v>675</v>
      </c>
      <c r="G83" s="13" t="s">
        <v>676</v>
      </c>
      <c r="H83" s="7" t="s">
        <v>49</v>
      </c>
      <c r="I83" s="7" t="s">
        <v>504</v>
      </c>
      <c r="J83" s="7" t="s">
        <v>505</v>
      </c>
      <c r="K83" s="11" t="s">
        <v>52</v>
      </c>
      <c r="L83" s="7">
        <v>0.19</v>
      </c>
      <c r="M83" s="7">
        <v>110940</v>
      </c>
      <c r="N83" s="7" t="s">
        <v>482</v>
      </c>
      <c r="O83" s="7">
        <v>0</v>
      </c>
      <c r="P83" s="7">
        <v>0</v>
      </c>
      <c r="Q83" s="11">
        <v>0.98</v>
      </c>
      <c r="R83" s="7">
        <v>25.731999999999999</v>
      </c>
      <c r="S83" s="8" t="str">
        <f t="shared" si="11"/>
        <v>25.732</v>
      </c>
      <c r="T83" s="8" t="str">
        <f t="shared" si="12"/>
        <v>25732</v>
      </c>
      <c r="U83" s="7">
        <v>12451</v>
      </c>
      <c r="V83" s="8" t="str">
        <f t="shared" si="10"/>
        <v>12451</v>
      </c>
      <c r="W83" s="8" t="s">
        <v>32</v>
      </c>
      <c r="X83" s="49" t="s">
        <v>677</v>
      </c>
      <c r="Y83" s="21" t="str">
        <f t="shared" si="13"/>
        <v>3961629</v>
      </c>
      <c r="Z83" s="21">
        <v>7056</v>
      </c>
      <c r="AA83" s="52" t="str">
        <f t="shared" si="14"/>
        <v>7056</v>
      </c>
      <c r="AB83" s="21" t="s">
        <v>678</v>
      </c>
      <c r="AC83" s="21" t="str">
        <f t="shared" si="16"/>
        <v>$6045</v>
      </c>
      <c r="AD83" s="21" t="str">
        <f t="shared" si="15"/>
        <v>6045</v>
      </c>
      <c r="AE83" s="7" t="s">
        <v>457</v>
      </c>
      <c r="AF83" s="2" t="str">
        <f t="shared" si="17"/>
        <v>Top Cao</v>
      </c>
    </row>
    <row r="84" spans="1:32" s="2" customFormat="1">
      <c r="A84" s="7" t="s">
        <v>679</v>
      </c>
      <c r="B84" s="8" t="s">
        <v>680</v>
      </c>
      <c r="C84" s="7">
        <f>81/14131</f>
        <v>5.7320784091713251E-3</v>
      </c>
      <c r="D84" s="9" t="s">
        <v>681</v>
      </c>
      <c r="E84" s="7">
        <f>68/2597</f>
        <v>2.6184058529072005E-2</v>
      </c>
      <c r="F84" s="9" t="s">
        <v>682</v>
      </c>
      <c r="G84" s="7">
        <f>5/39</f>
        <v>0.12820512820512819</v>
      </c>
      <c r="H84" s="7" t="s">
        <v>28</v>
      </c>
      <c r="I84" s="7" t="s">
        <v>29</v>
      </c>
      <c r="J84" s="7" t="s">
        <v>594</v>
      </c>
      <c r="K84" s="11" t="s">
        <v>52</v>
      </c>
      <c r="L84" s="11">
        <v>0.91</v>
      </c>
      <c r="M84" s="12">
        <v>148205</v>
      </c>
      <c r="N84" s="7" t="s">
        <v>31</v>
      </c>
      <c r="O84" s="7">
        <v>1207</v>
      </c>
      <c r="P84" s="7">
        <v>25</v>
      </c>
      <c r="Q84" s="11">
        <v>0.93</v>
      </c>
      <c r="R84" s="7">
        <v>25.808</v>
      </c>
      <c r="S84" s="8" t="str">
        <f t="shared" si="11"/>
        <v>25.808</v>
      </c>
      <c r="T84" s="8" t="str">
        <f t="shared" si="12"/>
        <v>25808</v>
      </c>
      <c r="U84" s="7">
        <v>4900</v>
      </c>
      <c r="V84" s="8" t="str">
        <f t="shared" si="10"/>
        <v>4900</v>
      </c>
      <c r="W84" s="8" t="s">
        <v>32</v>
      </c>
      <c r="X84" s="49" t="s">
        <v>683</v>
      </c>
      <c r="Y84" s="21" t="str">
        <f t="shared" si="13"/>
        <v>2976960</v>
      </c>
      <c r="Z84" s="21">
        <v>8833</v>
      </c>
      <c r="AA84" s="52" t="str">
        <f t="shared" si="14"/>
        <v>8833</v>
      </c>
      <c r="AB84" s="21" t="s">
        <v>684</v>
      </c>
      <c r="AC84" s="21" t="str">
        <f t="shared" si="16"/>
        <v>$17806</v>
      </c>
      <c r="AD84" s="21" t="str">
        <f t="shared" si="15"/>
        <v>17806</v>
      </c>
      <c r="AE84" s="7" t="s">
        <v>457</v>
      </c>
      <c r="AF84" s="2" t="str">
        <f t="shared" si="17"/>
        <v>Top Cao</v>
      </c>
    </row>
    <row r="85" spans="1:32" s="2" customFormat="1">
      <c r="A85" s="7" t="s">
        <v>685</v>
      </c>
      <c r="B85" s="8" t="s">
        <v>686</v>
      </c>
      <c r="C85" s="7">
        <f>83/14131</f>
        <v>5.8736112093977777E-3</v>
      </c>
      <c r="D85" s="9" t="s">
        <v>687</v>
      </c>
      <c r="E85" s="7">
        <f>25/2597</f>
        <v>9.6264921062764724E-3</v>
      </c>
      <c r="F85" s="9" t="s">
        <v>688</v>
      </c>
      <c r="G85" s="7">
        <f>23/2496</f>
        <v>9.21474358974359E-3</v>
      </c>
      <c r="H85" s="7" t="s">
        <v>28</v>
      </c>
      <c r="I85" s="7" t="s">
        <v>29</v>
      </c>
      <c r="J85" s="7" t="s">
        <v>689</v>
      </c>
      <c r="K85" s="46" t="s">
        <v>68</v>
      </c>
      <c r="L85" s="11">
        <v>0.06</v>
      </c>
      <c r="M85" s="12">
        <v>92246</v>
      </c>
      <c r="N85" s="7" t="s">
        <v>31</v>
      </c>
      <c r="O85" s="7">
        <v>1515</v>
      </c>
      <c r="P85" s="7">
        <v>34</v>
      </c>
      <c r="Q85" s="11">
        <v>0.55000000000000004</v>
      </c>
      <c r="R85" s="7">
        <v>7.3490000000000002</v>
      </c>
      <c r="S85" s="8" t="str">
        <f t="shared" si="11"/>
        <v>7.349</v>
      </c>
      <c r="T85" s="8" t="str">
        <f t="shared" si="12"/>
        <v>7349</v>
      </c>
      <c r="U85" s="7">
        <v>3.347</v>
      </c>
      <c r="V85" s="8" t="str">
        <f t="shared" si="10"/>
        <v>3347</v>
      </c>
      <c r="W85" s="8" t="s">
        <v>32</v>
      </c>
      <c r="X85" s="49" t="s">
        <v>690</v>
      </c>
      <c r="Y85" s="21" t="str">
        <f t="shared" si="13"/>
        <v>3384684</v>
      </c>
      <c r="Z85" s="21">
        <v>55420</v>
      </c>
      <c r="AA85" s="52" t="str">
        <f t="shared" si="14"/>
        <v>55420</v>
      </c>
      <c r="AB85" s="21" t="s">
        <v>691</v>
      </c>
      <c r="AC85" s="21" t="str">
        <f t="shared" si="16"/>
        <v>$25028</v>
      </c>
      <c r="AD85" s="21" t="str">
        <f t="shared" si="15"/>
        <v>25028</v>
      </c>
      <c r="AE85" s="7" t="s">
        <v>457</v>
      </c>
      <c r="AF85" s="2" t="str">
        <f t="shared" si="17"/>
        <v>Top Cao</v>
      </c>
    </row>
    <row r="86" spans="1:32" s="2" customFormat="1">
      <c r="A86" s="7" t="s">
        <v>692</v>
      </c>
      <c r="B86" s="8" t="s">
        <v>555</v>
      </c>
      <c r="C86" s="8">
        <v>5.9443780000000002E-3</v>
      </c>
      <c r="D86" s="13" t="s">
        <v>693</v>
      </c>
      <c r="E86" s="13" t="s">
        <v>694</v>
      </c>
      <c r="F86" s="13" t="s">
        <v>558</v>
      </c>
      <c r="G86" s="13" t="s">
        <v>695</v>
      </c>
      <c r="H86" s="7" t="s">
        <v>28</v>
      </c>
      <c r="I86" s="7" t="s">
        <v>29</v>
      </c>
      <c r="J86" s="7" t="s">
        <v>61</v>
      </c>
      <c r="K86" s="7" t="s">
        <v>52</v>
      </c>
      <c r="L86" s="7">
        <v>0.85</v>
      </c>
      <c r="M86" s="7">
        <v>72006</v>
      </c>
      <c r="N86" s="7" t="s">
        <v>31</v>
      </c>
      <c r="O86" s="7">
        <v>1480</v>
      </c>
      <c r="P86" s="7">
        <v>29</v>
      </c>
      <c r="Q86" s="11">
        <v>0.57999999999999996</v>
      </c>
      <c r="R86" s="7">
        <v>23.091000000000001</v>
      </c>
      <c r="S86" s="8" t="str">
        <f t="shared" si="11"/>
        <v>23.091</v>
      </c>
      <c r="T86" s="8" t="str">
        <f t="shared" si="12"/>
        <v>23091</v>
      </c>
      <c r="U86" s="7">
        <v>3.0329999999999999</v>
      </c>
      <c r="V86" s="8" t="str">
        <f t="shared" si="10"/>
        <v>3033</v>
      </c>
      <c r="W86" s="8" t="s">
        <v>32</v>
      </c>
      <c r="X86" s="49" t="s">
        <v>696</v>
      </c>
      <c r="Y86" s="21" t="str">
        <f t="shared" si="13"/>
        <v>4276303</v>
      </c>
      <c r="Z86" s="21">
        <v>18107</v>
      </c>
      <c r="AA86" s="52" t="str">
        <f t="shared" si="14"/>
        <v>18107</v>
      </c>
      <c r="AB86" s="21" t="s">
        <v>697</v>
      </c>
      <c r="AC86" s="21" t="str">
        <f t="shared" si="16"/>
        <v>$21581</v>
      </c>
      <c r="AD86" s="21" t="str">
        <f t="shared" si="15"/>
        <v>21581</v>
      </c>
      <c r="AE86" s="7" t="s">
        <v>457</v>
      </c>
      <c r="AF86" s="2" t="str">
        <f t="shared" si="17"/>
        <v>Top Cao</v>
      </c>
    </row>
    <row r="87" spans="1:32" s="2" customFormat="1">
      <c r="A87" s="7" t="s">
        <v>698</v>
      </c>
      <c r="B87" s="8" t="s">
        <v>699</v>
      </c>
      <c r="C87" s="7">
        <f>86/14131</f>
        <v>6.0859104097374566E-3</v>
      </c>
      <c r="D87" s="9" t="s">
        <v>700</v>
      </c>
      <c r="E87" s="7">
        <f>13/1756</f>
        <v>7.4031890660592259E-3</v>
      </c>
      <c r="F87" s="9" t="s">
        <v>701</v>
      </c>
      <c r="G87" s="7">
        <f>12/2496</f>
        <v>4.807692307692308E-3</v>
      </c>
      <c r="H87" s="7" t="s">
        <v>103</v>
      </c>
      <c r="I87" s="7" t="s">
        <v>176</v>
      </c>
      <c r="J87" s="7" t="s">
        <v>702</v>
      </c>
      <c r="K87" s="7" t="s">
        <v>52</v>
      </c>
      <c r="L87" s="11">
        <v>0.41</v>
      </c>
      <c r="M87" s="12">
        <v>205870</v>
      </c>
      <c r="N87" s="7" t="s">
        <v>703</v>
      </c>
      <c r="O87" s="7">
        <v>0</v>
      </c>
      <c r="P87" s="7">
        <v>0</v>
      </c>
      <c r="Q87" s="11">
        <v>0.61</v>
      </c>
      <c r="R87" s="7">
        <v>23.044</v>
      </c>
      <c r="S87" s="8" t="str">
        <f t="shared" si="11"/>
        <v>23.044</v>
      </c>
      <c r="T87" s="8" t="str">
        <f t="shared" si="12"/>
        <v>23044</v>
      </c>
      <c r="U87" s="7">
        <v>5.9880000000000004</v>
      </c>
      <c r="V87" s="8" t="str">
        <f t="shared" si="10"/>
        <v>5988</v>
      </c>
      <c r="W87" s="8" t="s">
        <v>395</v>
      </c>
      <c r="X87" s="49" t="s">
        <v>704</v>
      </c>
      <c r="Y87" s="21" t="str">
        <f t="shared" si="13"/>
        <v>4732776</v>
      </c>
      <c r="Z87" s="21">
        <v>4000</v>
      </c>
      <c r="AA87" s="52" t="str">
        <f t="shared" si="14"/>
        <v>4000</v>
      </c>
      <c r="AB87" s="21" t="s">
        <v>705</v>
      </c>
      <c r="AC87" s="21" t="str">
        <f t="shared" si="16"/>
        <v>$11.179</v>
      </c>
      <c r="AD87" s="21" t="str">
        <f t="shared" si="15"/>
        <v>11.179</v>
      </c>
      <c r="AE87" s="7" t="s">
        <v>457</v>
      </c>
      <c r="AF87" s="2" t="str">
        <f t="shared" si="17"/>
        <v>Top Cao</v>
      </c>
    </row>
    <row r="88" spans="1:32" s="2" customFormat="1">
      <c r="A88" s="7" t="s">
        <v>706</v>
      </c>
      <c r="B88" s="8" t="s">
        <v>707</v>
      </c>
      <c r="C88" s="7">
        <f>87/14131</f>
        <v>6.1566768098506829E-3</v>
      </c>
      <c r="D88" s="9" t="s">
        <v>708</v>
      </c>
      <c r="E88" s="7">
        <f>46/2597</f>
        <v>1.771274547554871E-2</v>
      </c>
      <c r="F88" s="9" t="s">
        <v>709</v>
      </c>
      <c r="G88" s="7">
        <f>2/27</f>
        <v>7.407407407407407E-2</v>
      </c>
      <c r="H88" s="7" t="s">
        <v>452</v>
      </c>
      <c r="I88" s="7" t="s">
        <v>453</v>
      </c>
      <c r="J88" s="7" t="s">
        <v>710</v>
      </c>
      <c r="K88" s="7" t="s">
        <v>52</v>
      </c>
      <c r="L88" s="11">
        <v>0.35</v>
      </c>
      <c r="M88" s="12">
        <v>118991</v>
      </c>
      <c r="N88" s="7" t="s">
        <v>31</v>
      </c>
      <c r="O88" s="7">
        <v>1250</v>
      </c>
      <c r="P88" s="7">
        <v>25</v>
      </c>
      <c r="Q88" s="11">
        <v>0.72</v>
      </c>
      <c r="R88" s="7">
        <v>36010</v>
      </c>
      <c r="S88" s="8" t="str">
        <f t="shared" si="11"/>
        <v>36010</v>
      </c>
      <c r="T88" s="8" t="str">
        <f t="shared" si="12"/>
        <v>36010</v>
      </c>
      <c r="U88" s="7">
        <v>9020</v>
      </c>
      <c r="V88" s="8" t="str">
        <f t="shared" si="10"/>
        <v>9020</v>
      </c>
      <c r="W88" s="8" t="s">
        <v>32</v>
      </c>
      <c r="X88" s="49" t="s">
        <v>711</v>
      </c>
      <c r="Y88" s="21" t="str">
        <f t="shared" si="13"/>
        <v>3739396</v>
      </c>
      <c r="Z88" s="21">
        <v>20000</v>
      </c>
      <c r="AA88" s="52" t="str">
        <f t="shared" si="14"/>
        <v>20000</v>
      </c>
      <c r="AB88" s="21" t="s">
        <v>712</v>
      </c>
      <c r="AC88" s="21" t="str">
        <f t="shared" si="16"/>
        <v>$34000</v>
      </c>
      <c r="AD88" s="21" t="str">
        <f t="shared" si="15"/>
        <v>34000</v>
      </c>
      <c r="AE88" s="7" t="s">
        <v>457</v>
      </c>
      <c r="AF88" s="2" t="str">
        <f t="shared" si="17"/>
        <v>Top Cao</v>
      </c>
    </row>
    <row r="89" spans="1:32" s="2" customFormat="1">
      <c r="A89" s="7" t="s">
        <v>713</v>
      </c>
      <c r="B89" s="8" t="s">
        <v>714</v>
      </c>
      <c r="C89" s="8">
        <v>6.1566770000000002E-3</v>
      </c>
      <c r="D89" s="13" t="s">
        <v>715</v>
      </c>
      <c r="E89" s="13" t="s">
        <v>716</v>
      </c>
      <c r="F89" s="13" t="s">
        <v>717</v>
      </c>
      <c r="G89" s="13" t="s">
        <v>718</v>
      </c>
      <c r="H89" s="7" t="s">
        <v>49</v>
      </c>
      <c r="I89" s="7" t="s">
        <v>719</v>
      </c>
      <c r="J89" s="7" t="s">
        <v>720</v>
      </c>
      <c r="K89" s="7" t="s">
        <v>52</v>
      </c>
      <c r="L89" s="7">
        <v>0.17</v>
      </c>
      <c r="M89" s="7">
        <v>100167</v>
      </c>
      <c r="N89" s="7" t="s">
        <v>721</v>
      </c>
      <c r="O89" s="7">
        <v>0</v>
      </c>
      <c r="P89" s="7">
        <v>0</v>
      </c>
      <c r="Q89" s="11">
        <v>0.84</v>
      </c>
      <c r="R89" s="7">
        <v>31.312000000000001</v>
      </c>
      <c r="S89" s="8" t="str">
        <f t="shared" si="11"/>
        <v>31.312</v>
      </c>
      <c r="T89" s="8" t="str">
        <f t="shared" si="12"/>
        <v>31312</v>
      </c>
      <c r="U89" s="7">
        <v>4.6379999999999999</v>
      </c>
      <c r="V89" s="8" t="str">
        <f t="shared" si="10"/>
        <v>4638</v>
      </c>
      <c r="W89" s="8" t="s">
        <v>32</v>
      </c>
      <c r="X89" s="49" t="s">
        <v>722</v>
      </c>
      <c r="Y89" s="21" t="str">
        <f t="shared" si="13"/>
        <v>4302929</v>
      </c>
      <c r="Z89" s="21">
        <v>12000</v>
      </c>
      <c r="AA89" s="52" t="str">
        <f t="shared" si="14"/>
        <v>12000</v>
      </c>
      <c r="AB89" s="21" t="s">
        <v>723</v>
      </c>
      <c r="AC89" s="21" t="str">
        <f t="shared" si="16"/>
        <v xml:space="preserve">$18.000 </v>
      </c>
      <c r="AD89" s="21" t="str">
        <f t="shared" si="15"/>
        <v xml:space="preserve">18.000 </v>
      </c>
      <c r="AE89" s="7" t="s">
        <v>457</v>
      </c>
      <c r="AF89" s="2" t="str">
        <f t="shared" si="17"/>
        <v>Top Cao</v>
      </c>
    </row>
    <row r="90" spans="1:32" s="2" customFormat="1">
      <c r="A90" s="7" t="s">
        <v>724</v>
      </c>
      <c r="B90" s="8" t="s">
        <v>725</v>
      </c>
      <c r="C90" s="7">
        <f>89/14131</f>
        <v>6.2982096100771354E-3</v>
      </c>
      <c r="D90" s="9" t="s">
        <v>726</v>
      </c>
      <c r="E90" s="7">
        <f>30/2597</f>
        <v>1.1551790527531768E-2</v>
      </c>
      <c r="F90" s="9" t="s">
        <v>727</v>
      </c>
      <c r="G90" s="7">
        <f>3/39</f>
        <v>7.6923076923076927E-2</v>
      </c>
      <c r="H90" s="7" t="s">
        <v>156</v>
      </c>
      <c r="I90" s="7" t="s">
        <v>728</v>
      </c>
      <c r="J90" s="7" t="s">
        <v>729</v>
      </c>
      <c r="K90" s="7" t="s">
        <v>52</v>
      </c>
      <c r="L90" s="11">
        <v>0.39</v>
      </c>
      <c r="M90" s="12">
        <v>154684</v>
      </c>
      <c r="N90" s="7" t="s">
        <v>187</v>
      </c>
      <c r="O90" s="7">
        <v>0</v>
      </c>
      <c r="P90" s="7">
        <v>0</v>
      </c>
      <c r="Q90" s="11">
        <v>0.92</v>
      </c>
      <c r="R90" s="7">
        <v>36088</v>
      </c>
      <c r="S90" s="8" t="str">
        <f t="shared" si="11"/>
        <v>36088</v>
      </c>
      <c r="T90" s="8" t="str">
        <f t="shared" si="12"/>
        <v>36088</v>
      </c>
      <c r="U90" s="7">
        <v>15468</v>
      </c>
      <c r="V90" s="8" t="str">
        <f t="shared" si="10"/>
        <v>15468</v>
      </c>
      <c r="W90" s="8" t="s">
        <v>32</v>
      </c>
      <c r="X90" s="49" t="s">
        <v>730</v>
      </c>
      <c r="Y90" s="21" t="str">
        <f t="shared" si="13"/>
        <v>1742726</v>
      </c>
      <c r="Z90" s="21">
        <v>17685</v>
      </c>
      <c r="AA90" s="52" t="str">
        <f t="shared" si="14"/>
        <v>17685</v>
      </c>
      <c r="AB90" s="21" t="s">
        <v>731</v>
      </c>
      <c r="AC90" s="21" t="str">
        <f t="shared" si="16"/>
        <v>$28470</v>
      </c>
      <c r="AD90" s="21" t="str">
        <f t="shared" si="15"/>
        <v>28470</v>
      </c>
      <c r="AE90" s="7" t="s">
        <v>457</v>
      </c>
      <c r="AF90" s="2" t="str">
        <f t="shared" si="17"/>
        <v>Top Cao</v>
      </c>
    </row>
    <row r="91" spans="1:32" s="2" customFormat="1">
      <c r="A91" s="7" t="s">
        <v>732</v>
      </c>
      <c r="B91" s="8" t="s">
        <v>733</v>
      </c>
      <c r="C91" s="8">
        <v>6.3689760000000002E-3</v>
      </c>
      <c r="D91" s="13" t="s">
        <v>734</v>
      </c>
      <c r="E91" s="13" t="s">
        <v>735</v>
      </c>
      <c r="F91" s="13" t="s">
        <v>736</v>
      </c>
      <c r="G91" s="13" t="s">
        <v>737</v>
      </c>
      <c r="H91" s="7" t="s">
        <v>28</v>
      </c>
      <c r="I91" s="7" t="s">
        <v>29</v>
      </c>
      <c r="J91" s="7" t="s">
        <v>30</v>
      </c>
      <c r="K91" s="7" t="s">
        <v>52</v>
      </c>
      <c r="L91" s="7">
        <v>0.66</v>
      </c>
      <c r="M91" s="7">
        <v>74126</v>
      </c>
      <c r="N91" s="7" t="s">
        <v>31</v>
      </c>
      <c r="O91" s="7">
        <v>1355</v>
      </c>
      <c r="P91" s="7">
        <v>31</v>
      </c>
      <c r="Q91" s="11">
        <v>0.88</v>
      </c>
      <c r="R91" s="7">
        <v>24.231000000000002</v>
      </c>
      <c r="S91" s="8" t="str">
        <f t="shared" si="11"/>
        <v>24.231</v>
      </c>
      <c r="T91" s="8" t="str">
        <f t="shared" si="12"/>
        <v>24231</v>
      </c>
      <c r="U91" s="7">
        <v>7.8140000000000001</v>
      </c>
      <c r="V91" s="8" t="str">
        <f t="shared" si="10"/>
        <v>7814</v>
      </c>
      <c r="W91" s="8" t="s">
        <v>32</v>
      </c>
      <c r="X91" s="49" t="s">
        <v>738</v>
      </c>
      <c r="Y91" s="21" t="str">
        <f t="shared" si="13"/>
        <v>2613778</v>
      </c>
      <c r="Z91" s="21">
        <v>10662</v>
      </c>
      <c r="AA91" s="52" t="str">
        <f t="shared" si="14"/>
        <v>10662</v>
      </c>
      <c r="AB91" s="21" t="s">
        <v>739</v>
      </c>
      <c r="AC91" s="21" t="str">
        <f t="shared" si="16"/>
        <v>$35000</v>
      </c>
      <c r="AD91" s="21" t="str">
        <f t="shared" si="15"/>
        <v>35000</v>
      </c>
      <c r="AE91" s="7" t="s">
        <v>457</v>
      </c>
      <c r="AF91" s="2" t="str">
        <f t="shared" si="17"/>
        <v>Top Cao</v>
      </c>
    </row>
    <row r="92" spans="1:32" s="2" customFormat="1">
      <c r="A92" s="7" t="s">
        <v>740</v>
      </c>
      <c r="B92" s="8" t="s">
        <v>741</v>
      </c>
      <c r="C92" s="8">
        <v>6.439742E-3</v>
      </c>
      <c r="D92" s="13" t="s">
        <v>742</v>
      </c>
      <c r="E92" s="13" t="s">
        <v>743</v>
      </c>
      <c r="F92" s="13" t="s">
        <v>744</v>
      </c>
      <c r="G92" s="13" t="s">
        <v>745</v>
      </c>
      <c r="H92" s="7" t="s">
        <v>49</v>
      </c>
      <c r="I92" s="7" t="s">
        <v>139</v>
      </c>
      <c r="J92" s="7" t="s">
        <v>426</v>
      </c>
      <c r="K92" s="7" t="s">
        <v>52</v>
      </c>
      <c r="L92" s="7">
        <v>0.74</v>
      </c>
      <c r="M92" s="7">
        <v>90413</v>
      </c>
      <c r="N92" s="7" t="s">
        <v>31</v>
      </c>
      <c r="O92" s="7">
        <v>1280</v>
      </c>
      <c r="P92" s="7">
        <v>27</v>
      </c>
      <c r="Q92" s="11">
        <v>0.7</v>
      </c>
      <c r="R92" s="7">
        <v>25610</v>
      </c>
      <c r="S92" s="8" t="str">
        <f t="shared" si="11"/>
        <v>25610</v>
      </c>
      <c r="T92" s="8" t="str">
        <f t="shared" si="12"/>
        <v>25610</v>
      </c>
      <c r="U92" s="7">
        <v>0</v>
      </c>
      <c r="V92" s="8" t="str">
        <f t="shared" si="10"/>
        <v>0</v>
      </c>
      <c r="W92" s="8" t="s">
        <v>32</v>
      </c>
      <c r="X92" s="49" t="s">
        <v>746</v>
      </c>
      <c r="Y92" s="21" t="str">
        <f t="shared" si="13"/>
        <v>3473868</v>
      </c>
      <c r="Z92" s="21">
        <v>10000</v>
      </c>
      <c r="AA92" s="52" t="str">
        <f t="shared" si="14"/>
        <v>10000</v>
      </c>
      <c r="AB92" s="21" t="s">
        <v>747</v>
      </c>
      <c r="AC92" s="21" t="str">
        <f t="shared" si="16"/>
        <v>4$8960</v>
      </c>
      <c r="AD92" s="21" t="str">
        <f t="shared" si="15"/>
        <v>48960</v>
      </c>
      <c r="AE92" s="7" t="s">
        <v>457</v>
      </c>
      <c r="AF92" s="2" t="str">
        <f t="shared" si="17"/>
        <v>Top Cao</v>
      </c>
    </row>
    <row r="93" spans="1:32" s="2" customFormat="1">
      <c r="A93" s="7" t="s">
        <v>748</v>
      </c>
      <c r="B93" s="8" t="s">
        <v>749</v>
      </c>
      <c r="C93" s="7">
        <f>91/14131</f>
        <v>6.439742410303588E-3</v>
      </c>
      <c r="D93" s="13" t="s">
        <v>750</v>
      </c>
      <c r="E93" s="7">
        <f>5/59</f>
        <v>8.4745762711864403E-2</v>
      </c>
      <c r="F93" s="9" t="s">
        <v>751</v>
      </c>
      <c r="G93" s="7">
        <f>5/40</f>
        <v>0.125</v>
      </c>
      <c r="H93" s="7" t="s">
        <v>49</v>
      </c>
      <c r="I93" s="7" t="s">
        <v>752</v>
      </c>
      <c r="J93" s="7" t="s">
        <v>753</v>
      </c>
      <c r="K93" s="7" t="s">
        <v>52</v>
      </c>
      <c r="L93" s="11">
        <v>0.34</v>
      </c>
      <c r="M93" s="12">
        <v>147290</v>
      </c>
      <c r="N93" s="7" t="s">
        <v>754</v>
      </c>
      <c r="O93" s="7">
        <v>0</v>
      </c>
      <c r="P93" s="7">
        <v>0</v>
      </c>
      <c r="Q93" s="11">
        <v>0.76</v>
      </c>
      <c r="R93" s="7">
        <v>40000</v>
      </c>
      <c r="S93" s="8" t="str">
        <f t="shared" si="11"/>
        <v>40000</v>
      </c>
      <c r="T93" s="8" t="str">
        <f t="shared" si="12"/>
        <v>40000</v>
      </c>
      <c r="U93" s="7">
        <v>4.5599999999999996</v>
      </c>
      <c r="V93" s="8" t="str">
        <f t="shared" si="10"/>
        <v>456</v>
      </c>
      <c r="W93" s="8" t="s">
        <v>32</v>
      </c>
      <c r="X93" s="49" t="s">
        <v>755</v>
      </c>
      <c r="Y93" s="21" t="str">
        <f t="shared" si="13"/>
        <v>4672517</v>
      </c>
      <c r="Z93" s="21">
        <v>21510</v>
      </c>
      <c r="AA93" s="52" t="str">
        <f t="shared" si="14"/>
        <v>21510</v>
      </c>
      <c r="AB93" s="21" t="s">
        <v>756</v>
      </c>
      <c r="AC93" s="21" t="str">
        <f t="shared" si="16"/>
        <v>$25246</v>
      </c>
      <c r="AD93" s="21" t="str">
        <f t="shared" si="15"/>
        <v>25246</v>
      </c>
      <c r="AE93" s="7" t="s">
        <v>457</v>
      </c>
      <c r="AF93" s="2" t="str">
        <f t="shared" si="17"/>
        <v>Top Cao</v>
      </c>
    </row>
    <row r="94" spans="1:32" s="2" customFormat="1">
      <c r="A94" s="7" t="s">
        <v>757</v>
      </c>
      <c r="B94" s="8" t="s">
        <v>758</v>
      </c>
      <c r="C94" s="8">
        <v>6.5105090000000003E-3</v>
      </c>
      <c r="D94" s="13" t="s">
        <v>759</v>
      </c>
      <c r="E94" s="13" t="s">
        <v>760</v>
      </c>
      <c r="F94" s="13" t="s">
        <v>761</v>
      </c>
      <c r="G94" s="13" t="s">
        <v>762</v>
      </c>
      <c r="H94" s="7" t="s">
        <v>49</v>
      </c>
      <c r="I94" s="7" t="s">
        <v>763</v>
      </c>
      <c r="J94" s="7" t="s">
        <v>764</v>
      </c>
      <c r="K94" s="7" t="s">
        <v>52</v>
      </c>
      <c r="L94" s="7">
        <v>0.21</v>
      </c>
      <c r="M94" s="7">
        <v>87773</v>
      </c>
      <c r="N94" s="7" t="s">
        <v>765</v>
      </c>
      <c r="O94" s="7">
        <v>0</v>
      </c>
      <c r="P94" s="7">
        <v>0</v>
      </c>
      <c r="Q94" s="11">
        <v>0.46</v>
      </c>
      <c r="R94" s="7">
        <v>93.628</v>
      </c>
      <c r="S94" s="8" t="str">
        <f t="shared" si="11"/>
        <v>93.628</v>
      </c>
      <c r="T94" s="8" t="str">
        <f t="shared" si="12"/>
        <v>93628</v>
      </c>
      <c r="U94" s="7">
        <v>20.125</v>
      </c>
      <c r="V94" s="8" t="str">
        <f t="shared" si="10"/>
        <v>20125</v>
      </c>
      <c r="W94" s="8" t="s">
        <v>32</v>
      </c>
      <c r="X94" s="49" t="s">
        <v>766</v>
      </c>
      <c r="Y94" s="21" t="str">
        <f t="shared" si="13"/>
        <v>2515710</v>
      </c>
      <c r="Z94" s="21">
        <v>10596</v>
      </c>
      <c r="AA94" s="52" t="str">
        <f t="shared" si="14"/>
        <v>10596</v>
      </c>
      <c r="AB94" s="21" t="s">
        <v>767</v>
      </c>
      <c r="AC94" s="21" t="str">
        <f t="shared" si="16"/>
        <v>$28220</v>
      </c>
      <c r="AD94" s="21" t="str">
        <f t="shared" si="15"/>
        <v>28220</v>
      </c>
      <c r="AE94" s="7" t="s">
        <v>457</v>
      </c>
      <c r="AF94" s="2" t="str">
        <f t="shared" si="17"/>
        <v>Top Cao</v>
      </c>
    </row>
    <row r="95" spans="1:32" s="2" customFormat="1">
      <c r="A95" s="7" t="s">
        <v>768</v>
      </c>
      <c r="B95" s="8" t="s">
        <v>769</v>
      </c>
      <c r="C95" s="7">
        <f>93/14131</f>
        <v>6.5812752105300406E-3</v>
      </c>
      <c r="D95" s="13" t="s">
        <v>750</v>
      </c>
      <c r="E95" s="7">
        <f>82/2597</f>
        <v>3.1574894108586833E-2</v>
      </c>
      <c r="F95" s="9" t="s">
        <v>770</v>
      </c>
      <c r="G95" s="7">
        <f>72/2496</f>
        <v>2.8846153846153848E-2</v>
      </c>
      <c r="H95" s="7" t="s">
        <v>49</v>
      </c>
      <c r="I95" s="7" t="s">
        <v>50</v>
      </c>
      <c r="J95" s="7" t="s">
        <v>236</v>
      </c>
      <c r="K95" s="46" t="s">
        <v>68</v>
      </c>
      <c r="L95" s="11">
        <v>0.17</v>
      </c>
      <c r="M95" s="12">
        <v>107408</v>
      </c>
      <c r="N95" s="7" t="s">
        <v>482</v>
      </c>
      <c r="O95" s="7">
        <v>1110</v>
      </c>
      <c r="P95" s="7">
        <v>22</v>
      </c>
      <c r="Q95" s="11">
        <v>1</v>
      </c>
      <c r="R95" s="7">
        <v>28.413</v>
      </c>
      <c r="S95" s="8" t="str">
        <f t="shared" si="11"/>
        <v>28.413</v>
      </c>
      <c r="T95" s="8" t="str">
        <f t="shared" si="12"/>
        <v>28413</v>
      </c>
      <c r="U95" s="7">
        <v>6.4850000000000003</v>
      </c>
      <c r="V95" s="8" t="str">
        <f t="shared" si="10"/>
        <v>6485</v>
      </c>
      <c r="W95" s="8" t="s">
        <v>32</v>
      </c>
      <c r="X95" s="49" t="s">
        <v>771</v>
      </c>
      <c r="Y95" s="21" t="str">
        <f t="shared" si="13"/>
        <v>3207022</v>
      </c>
      <c r="Z95" s="21">
        <v>35241</v>
      </c>
      <c r="AA95" s="52" t="str">
        <f t="shared" si="14"/>
        <v>35241</v>
      </c>
      <c r="AB95" s="21" t="s">
        <v>772</v>
      </c>
      <c r="AC95" s="21" t="str">
        <f t="shared" si="16"/>
        <v>$32900</v>
      </c>
      <c r="AD95" s="21" t="str">
        <f t="shared" si="15"/>
        <v>32900</v>
      </c>
      <c r="AE95" s="7" t="s">
        <v>457</v>
      </c>
      <c r="AF95" s="2" t="str">
        <f t="shared" si="17"/>
        <v>Top Cao</v>
      </c>
    </row>
    <row r="96" spans="1:32" s="2" customFormat="1">
      <c r="A96" s="7" t="s">
        <v>843</v>
      </c>
      <c r="B96" s="8" t="s">
        <v>1669</v>
      </c>
      <c r="C96" s="8">
        <f>94/14131</f>
        <v>6.6520416106432669E-3</v>
      </c>
      <c r="D96" s="13" t="s">
        <v>1668</v>
      </c>
      <c r="E96" s="8">
        <f>20/2785</f>
        <v>7.1813285457809697E-3</v>
      </c>
      <c r="F96" s="13" t="s">
        <v>1667</v>
      </c>
      <c r="G96" s="8">
        <f>9/163</f>
        <v>5.5214723926380369E-2</v>
      </c>
      <c r="H96" s="7" t="s">
        <v>49</v>
      </c>
      <c r="I96" s="7" t="s">
        <v>139</v>
      </c>
      <c r="J96" s="7" t="s">
        <v>140</v>
      </c>
      <c r="K96" s="7" t="s">
        <v>52</v>
      </c>
      <c r="L96" s="7">
        <v>0.03</v>
      </c>
      <c r="M96" s="7">
        <v>92009</v>
      </c>
      <c r="N96" s="7" t="s">
        <v>31</v>
      </c>
      <c r="O96" s="7">
        <v>1236</v>
      </c>
      <c r="P96" s="7">
        <v>28</v>
      </c>
      <c r="Q96" s="11">
        <v>0.9</v>
      </c>
      <c r="R96" s="12">
        <v>0</v>
      </c>
      <c r="S96" s="8" t="str">
        <f t="shared" si="11"/>
        <v>0</v>
      </c>
      <c r="T96" s="8" t="str">
        <f t="shared" si="12"/>
        <v>0</v>
      </c>
      <c r="U96" s="12">
        <v>0</v>
      </c>
      <c r="V96" s="8" t="str">
        <f t="shared" si="10"/>
        <v>0</v>
      </c>
      <c r="W96" s="8" t="s">
        <v>32</v>
      </c>
      <c r="X96" s="49">
        <v>3510619</v>
      </c>
      <c r="Y96" s="21" t="str">
        <f t="shared" si="13"/>
        <v>3510619</v>
      </c>
      <c r="Z96" s="21">
        <v>15620</v>
      </c>
      <c r="AA96" s="52" t="str">
        <f t="shared" si="14"/>
        <v>15620</v>
      </c>
      <c r="AB96" s="21">
        <v>10892</v>
      </c>
      <c r="AC96" s="21" t="str">
        <f t="shared" si="16"/>
        <v>10892</v>
      </c>
      <c r="AD96" s="21" t="str">
        <f t="shared" si="15"/>
        <v>10892</v>
      </c>
      <c r="AE96" s="57" t="s">
        <v>457</v>
      </c>
      <c r="AF96" s="2" t="str">
        <f t="shared" si="17"/>
        <v>Top Cao</v>
      </c>
    </row>
    <row r="97" spans="1:32" s="2" customFormat="1">
      <c r="A97" s="7" t="s">
        <v>773</v>
      </c>
      <c r="B97" s="8" t="s">
        <v>774</v>
      </c>
      <c r="C97" s="8">
        <v>6.7228080000000003E-3</v>
      </c>
      <c r="D97" s="13" t="s">
        <v>775</v>
      </c>
      <c r="E97" s="13" t="s">
        <v>776</v>
      </c>
      <c r="F97" s="13" t="s">
        <v>777</v>
      </c>
      <c r="G97" s="13" t="s">
        <v>778</v>
      </c>
      <c r="H97" s="7" t="s">
        <v>28</v>
      </c>
      <c r="I97" s="7" t="s">
        <v>29</v>
      </c>
      <c r="J97" s="7" t="s">
        <v>436</v>
      </c>
      <c r="K97" s="7" t="s">
        <v>52</v>
      </c>
      <c r="L97" s="7">
        <v>0.56000000000000005</v>
      </c>
      <c r="M97" s="7">
        <v>82976</v>
      </c>
      <c r="N97" s="7" t="s">
        <v>31</v>
      </c>
      <c r="O97" s="7">
        <v>1310</v>
      </c>
      <c r="P97" s="7">
        <v>29</v>
      </c>
      <c r="Q97" s="11">
        <v>0.72</v>
      </c>
      <c r="R97" s="7">
        <v>29.76</v>
      </c>
      <c r="S97" s="8" t="str">
        <f t="shared" si="11"/>
        <v>29.76</v>
      </c>
      <c r="T97" s="8" t="str">
        <f t="shared" si="12"/>
        <v>2976</v>
      </c>
      <c r="U97" s="7">
        <v>7.5190000000000001</v>
      </c>
      <c r="V97" s="8" t="str">
        <f t="shared" si="10"/>
        <v>7519</v>
      </c>
      <c r="W97" s="8" t="s">
        <v>32</v>
      </c>
      <c r="X97" s="49" t="s">
        <v>779</v>
      </c>
      <c r="Y97" s="21" t="str">
        <f t="shared" si="13"/>
        <v>2757056</v>
      </c>
      <c r="Z97" s="21">
        <v>8018</v>
      </c>
      <c r="AA97" s="52" t="str">
        <f t="shared" si="14"/>
        <v>8018</v>
      </c>
      <c r="AB97" s="21" t="s">
        <v>780</v>
      </c>
      <c r="AC97" s="21" t="str">
        <f t="shared" si="16"/>
        <v xml:space="preserve"> $18449</v>
      </c>
      <c r="AD97" s="21" t="str">
        <f t="shared" si="15"/>
        <v xml:space="preserve"> 18449</v>
      </c>
      <c r="AE97" s="7" t="s">
        <v>457</v>
      </c>
      <c r="AF97" s="2" t="str">
        <f t="shared" si="17"/>
        <v>Top Cao</v>
      </c>
    </row>
    <row r="98" spans="1:32" s="2" customFormat="1">
      <c r="A98" s="7" t="s">
        <v>781</v>
      </c>
      <c r="B98" s="8" t="s">
        <v>782</v>
      </c>
      <c r="C98" s="7">
        <f>96/14131</f>
        <v>6.7935744108697195E-3</v>
      </c>
      <c r="D98" s="9" t="s">
        <v>783</v>
      </c>
      <c r="E98" s="7">
        <f>8/59</f>
        <v>0.13559322033898305</v>
      </c>
      <c r="F98" s="9" t="s">
        <v>784</v>
      </c>
      <c r="G98" s="7">
        <f>7/40</f>
        <v>0.17499999999999999</v>
      </c>
      <c r="H98" s="7" t="s">
        <v>28</v>
      </c>
      <c r="I98" s="7" t="s">
        <v>29</v>
      </c>
      <c r="J98" s="7" t="s">
        <v>30</v>
      </c>
      <c r="K98" s="46" t="s">
        <v>68</v>
      </c>
      <c r="L98" s="11">
        <v>0.11</v>
      </c>
      <c r="M98" s="12">
        <v>77427</v>
      </c>
      <c r="N98" s="7" t="s">
        <v>31</v>
      </c>
      <c r="O98" s="7">
        <v>1495</v>
      </c>
      <c r="P98" s="7">
        <v>34</v>
      </c>
      <c r="Q98" s="11">
        <v>0.46</v>
      </c>
      <c r="R98" s="7">
        <v>6.6760000000000002</v>
      </c>
      <c r="S98" s="8" t="str">
        <f t="shared" si="11"/>
        <v>6.676</v>
      </c>
      <c r="T98" s="8" t="str">
        <f t="shared" si="12"/>
        <v>6676</v>
      </c>
      <c r="U98" s="7">
        <v>6.617</v>
      </c>
      <c r="V98" s="8" t="str">
        <f t="shared" si="10"/>
        <v>6617</v>
      </c>
      <c r="W98" s="8" t="s">
        <v>32</v>
      </c>
      <c r="X98" s="49" t="s">
        <v>785</v>
      </c>
      <c r="Y98" s="21" t="str">
        <f t="shared" si="13"/>
        <v>3076588</v>
      </c>
      <c r="Z98" s="21">
        <v>47937</v>
      </c>
      <c r="AA98" s="52" t="str">
        <f t="shared" si="14"/>
        <v>47937</v>
      </c>
      <c r="AB98" s="21" t="s">
        <v>786</v>
      </c>
      <c r="AC98" s="21" t="str">
        <f t="shared" si="16"/>
        <v>$31630</v>
      </c>
      <c r="AD98" s="21" t="str">
        <f t="shared" si="15"/>
        <v>31630</v>
      </c>
      <c r="AE98" s="7" t="s">
        <v>457</v>
      </c>
      <c r="AF98" s="2" t="str">
        <f t="shared" si="17"/>
        <v>Top Cao</v>
      </c>
    </row>
    <row r="99" spans="1:32" s="2" customFormat="1">
      <c r="A99" s="7" t="s">
        <v>787</v>
      </c>
      <c r="B99" s="8" t="s">
        <v>788</v>
      </c>
      <c r="C99" s="8">
        <v>6.8643410000000004E-3</v>
      </c>
      <c r="D99" s="13" t="s">
        <v>789</v>
      </c>
      <c r="E99" s="13" t="s">
        <v>790</v>
      </c>
      <c r="F99" s="13" t="s">
        <v>791</v>
      </c>
      <c r="G99" s="13" t="s">
        <v>610</v>
      </c>
      <c r="H99" s="7" t="s">
        <v>49</v>
      </c>
      <c r="I99" s="7" t="s">
        <v>792</v>
      </c>
      <c r="J99" s="7" t="s">
        <v>793</v>
      </c>
      <c r="K99" s="46" t="s">
        <v>68</v>
      </c>
      <c r="L99" s="7">
        <v>0.39</v>
      </c>
      <c r="M99" s="7">
        <v>85049</v>
      </c>
      <c r="N99" s="7" t="s">
        <v>794</v>
      </c>
      <c r="O99" s="7">
        <v>0</v>
      </c>
      <c r="P99" s="7">
        <v>0</v>
      </c>
      <c r="Q99" s="11">
        <v>0.79</v>
      </c>
      <c r="R99" s="12">
        <v>27000</v>
      </c>
      <c r="S99" s="8" t="str">
        <f t="shared" si="11"/>
        <v>27000</v>
      </c>
      <c r="T99" s="8" t="str">
        <f t="shared" si="12"/>
        <v>27000</v>
      </c>
      <c r="U99" s="12">
        <v>6000</v>
      </c>
      <c r="V99" s="8" t="str">
        <f t="shared" si="10"/>
        <v>6000</v>
      </c>
      <c r="W99" s="8" t="s">
        <v>32</v>
      </c>
      <c r="X99" s="49" t="s">
        <v>795</v>
      </c>
      <c r="Y99" s="21" t="str">
        <f t="shared" si="13"/>
        <v>3322577</v>
      </c>
      <c r="Z99" s="21">
        <v>15510</v>
      </c>
      <c r="AA99" s="52" t="str">
        <f t="shared" si="14"/>
        <v>15510</v>
      </c>
      <c r="AB99" s="21" t="s">
        <v>796</v>
      </c>
      <c r="AC99" s="21" t="str">
        <f t="shared" si="16"/>
        <v>$20100</v>
      </c>
      <c r="AD99" s="21" t="str">
        <f t="shared" si="15"/>
        <v>20100</v>
      </c>
      <c r="AE99" s="7" t="s">
        <v>457</v>
      </c>
      <c r="AF99" s="2" t="str">
        <f t="shared" si="17"/>
        <v>Top Cao</v>
      </c>
    </row>
    <row r="100" spans="1:32" s="2" customFormat="1">
      <c r="A100" s="7" t="s">
        <v>797</v>
      </c>
      <c r="B100" s="8" t="s">
        <v>798</v>
      </c>
      <c r="C100" s="8">
        <v>6.9351070000000003E-3</v>
      </c>
      <c r="D100" s="13" t="s">
        <v>759</v>
      </c>
      <c r="E100" s="13" t="s">
        <v>799</v>
      </c>
      <c r="F100" s="13" t="s">
        <v>800</v>
      </c>
      <c r="G100" s="13" t="s">
        <v>801</v>
      </c>
      <c r="H100" s="7" t="s">
        <v>49</v>
      </c>
      <c r="I100" s="7" t="s">
        <v>802</v>
      </c>
      <c r="J100" s="7" t="s">
        <v>803</v>
      </c>
      <c r="K100" s="46" t="s">
        <v>68</v>
      </c>
      <c r="L100" s="7">
        <v>0.25</v>
      </c>
      <c r="M100" s="7">
        <v>102678</v>
      </c>
      <c r="N100" s="7" t="s">
        <v>31</v>
      </c>
      <c r="O100" s="7">
        <v>0</v>
      </c>
      <c r="P100" s="7">
        <v>0</v>
      </c>
      <c r="Q100" s="11">
        <v>0.52</v>
      </c>
      <c r="R100" s="12">
        <v>40000</v>
      </c>
      <c r="S100" s="8" t="str">
        <f t="shared" si="11"/>
        <v>40000</v>
      </c>
      <c r="T100" s="8" t="str">
        <f t="shared" si="12"/>
        <v>40000</v>
      </c>
      <c r="U100" s="7">
        <v>18021</v>
      </c>
      <c r="V100" s="8" t="str">
        <f t="shared" si="10"/>
        <v>18021</v>
      </c>
      <c r="W100" s="8" t="s">
        <v>395</v>
      </c>
      <c r="X100" s="49" t="s">
        <v>638</v>
      </c>
      <c r="Y100" s="21" t="str">
        <f t="shared" si="13"/>
        <v>5254793</v>
      </c>
      <c r="Z100" s="21">
        <v>17000</v>
      </c>
      <c r="AA100" s="52" t="str">
        <f t="shared" si="14"/>
        <v>17000</v>
      </c>
      <c r="AB100" s="21" t="s">
        <v>639</v>
      </c>
      <c r="AC100" s="21" t="str">
        <f t="shared" si="16"/>
        <v>$18470</v>
      </c>
      <c r="AD100" s="21" t="str">
        <f t="shared" si="15"/>
        <v>18470</v>
      </c>
      <c r="AE100" s="7" t="s">
        <v>457</v>
      </c>
      <c r="AF100" s="2" t="str">
        <f t="shared" si="17"/>
        <v>Top Cao</v>
      </c>
    </row>
    <row r="101" spans="1:32">
      <c r="A101" s="7" t="s">
        <v>804</v>
      </c>
      <c r="B101" s="8" t="s">
        <v>805</v>
      </c>
      <c r="C101" s="8">
        <v>7.0058739999999996E-3</v>
      </c>
      <c r="D101" s="13" t="s">
        <v>806</v>
      </c>
      <c r="E101" s="13" t="s">
        <v>807</v>
      </c>
      <c r="F101" s="13" t="s">
        <v>808</v>
      </c>
      <c r="G101" s="13" t="s">
        <v>809</v>
      </c>
      <c r="H101" s="7" t="s">
        <v>49</v>
      </c>
      <c r="I101" s="35" t="s">
        <v>139</v>
      </c>
      <c r="J101" s="7" t="s">
        <v>373</v>
      </c>
      <c r="K101" s="7" t="s">
        <v>52</v>
      </c>
      <c r="L101" s="7">
        <v>0.68</v>
      </c>
      <c r="M101" s="7">
        <v>104546</v>
      </c>
      <c r="N101" s="7" t="s">
        <v>31</v>
      </c>
      <c r="O101" s="7">
        <v>1300</v>
      </c>
      <c r="P101" s="7">
        <v>24</v>
      </c>
      <c r="Q101" s="11">
        <v>0.78</v>
      </c>
      <c r="R101" s="7">
        <v>27.513000000000002</v>
      </c>
      <c r="S101" s="8" t="str">
        <f t="shared" si="11"/>
        <v>27.513</v>
      </c>
      <c r="T101" s="8" t="str">
        <f t="shared" si="12"/>
        <v>27513</v>
      </c>
      <c r="U101" s="7">
        <v>10.548</v>
      </c>
      <c r="V101" s="8" t="str">
        <f t="shared" si="10"/>
        <v>10548</v>
      </c>
      <c r="W101" s="8" t="s">
        <v>32</v>
      </c>
      <c r="X101" s="49" t="s">
        <v>810</v>
      </c>
      <c r="Y101" s="21" t="str">
        <f t="shared" si="13"/>
        <v>4368505</v>
      </c>
      <c r="Z101" s="21">
        <v>20000</v>
      </c>
      <c r="AA101" s="52" t="str">
        <f t="shared" si="14"/>
        <v>20000</v>
      </c>
      <c r="AB101" s="21" t="s">
        <v>811</v>
      </c>
      <c r="AC101" s="21" t="str">
        <f t="shared" si="16"/>
        <v>$37350</v>
      </c>
      <c r="AD101" s="21" t="str">
        <f t="shared" si="15"/>
        <v>37350</v>
      </c>
      <c r="AE101" s="7" t="s">
        <v>457</v>
      </c>
      <c r="AF101" s="2" t="str">
        <f t="shared" si="17"/>
        <v>Top Cao</v>
      </c>
    </row>
    <row r="102" spans="1:32">
      <c r="A102" s="7" t="s">
        <v>812</v>
      </c>
      <c r="B102" s="8" t="s">
        <v>829</v>
      </c>
      <c r="C102" s="8">
        <v>7.0766400000000004E-3</v>
      </c>
      <c r="D102" s="13" t="s">
        <v>1684</v>
      </c>
      <c r="E102" s="8">
        <f>63/2597</f>
        <v>2.4258760107816711E-2</v>
      </c>
      <c r="F102" s="13" t="s">
        <v>1683</v>
      </c>
      <c r="G102" s="8">
        <f>59/2496</f>
        <v>2.3637820512820512E-2</v>
      </c>
      <c r="H102" s="7" t="s">
        <v>28</v>
      </c>
      <c r="I102" s="7" t="s">
        <v>29</v>
      </c>
      <c r="J102" s="7" t="s">
        <v>981</v>
      </c>
      <c r="K102" s="7" t="s">
        <v>68</v>
      </c>
      <c r="L102" s="7">
        <v>0.26</v>
      </c>
      <c r="M102" s="7">
        <v>88306</v>
      </c>
      <c r="N102" s="7" t="s">
        <v>31</v>
      </c>
      <c r="O102" s="7">
        <v>1380</v>
      </c>
      <c r="P102" s="7">
        <v>32</v>
      </c>
      <c r="Q102" s="11">
        <v>0.74</v>
      </c>
      <c r="R102" s="12">
        <v>12089</v>
      </c>
      <c r="S102" s="8" t="str">
        <f t="shared" si="11"/>
        <v>12089</v>
      </c>
      <c r="T102" s="8" t="str">
        <f t="shared" si="12"/>
        <v>12089</v>
      </c>
      <c r="U102" s="12">
        <v>7007</v>
      </c>
      <c r="V102" s="8" t="str">
        <f t="shared" si="10"/>
        <v>7007</v>
      </c>
      <c r="W102" s="8" t="s">
        <v>32</v>
      </c>
      <c r="X102" s="49">
        <v>3300883</v>
      </c>
      <c r="Y102" s="21" t="str">
        <f t="shared" si="13"/>
        <v>3300883</v>
      </c>
      <c r="Z102" s="21">
        <v>35012</v>
      </c>
      <c r="AA102" s="52" t="str">
        <f t="shared" si="14"/>
        <v>35012</v>
      </c>
      <c r="AB102" s="21">
        <v>34492</v>
      </c>
      <c r="AC102" s="21" t="str">
        <f t="shared" si="16"/>
        <v>34492</v>
      </c>
      <c r="AD102" s="21" t="str">
        <f t="shared" si="15"/>
        <v>34492</v>
      </c>
      <c r="AE102" s="7" t="s">
        <v>457</v>
      </c>
      <c r="AF102" s="2" t="str">
        <f t="shared" si="17"/>
        <v>Top Cao</v>
      </c>
    </row>
    <row r="103" spans="1:32">
      <c r="A103" s="7" t="s">
        <v>815</v>
      </c>
      <c r="B103" s="8" t="s">
        <v>813</v>
      </c>
      <c r="C103" s="8">
        <f>100/14131</f>
        <v>7.0766400113226238E-3</v>
      </c>
      <c r="D103" s="13" t="s">
        <v>1682</v>
      </c>
      <c r="E103" s="8">
        <f>25/2785</f>
        <v>8.9766606822262122E-3</v>
      </c>
      <c r="F103" s="13" t="s">
        <v>846</v>
      </c>
      <c r="G103" s="8">
        <f>11/163</f>
        <v>6.7484662576687116E-2</v>
      </c>
      <c r="H103" s="7" t="s">
        <v>49</v>
      </c>
      <c r="I103" s="7" t="s">
        <v>139</v>
      </c>
      <c r="J103" s="7" t="s">
        <v>140</v>
      </c>
      <c r="K103" s="7" t="s">
        <v>52</v>
      </c>
      <c r="L103" s="7">
        <v>0.45</v>
      </c>
      <c r="M103" s="7">
        <v>104483</v>
      </c>
      <c r="N103" s="7" t="s">
        <v>31</v>
      </c>
      <c r="O103" s="7">
        <v>1380</v>
      </c>
      <c r="P103" s="7">
        <v>31</v>
      </c>
      <c r="Q103" s="11">
        <v>0.85</v>
      </c>
      <c r="R103" s="12">
        <v>12890</v>
      </c>
      <c r="S103" s="8" t="str">
        <f t="shared" si="11"/>
        <v>12890</v>
      </c>
      <c r="T103" s="8" t="str">
        <f t="shared" si="12"/>
        <v>12890</v>
      </c>
      <c r="U103" s="12">
        <v>7126</v>
      </c>
      <c r="V103" s="8" t="str">
        <f t="shared" si="10"/>
        <v>7126</v>
      </c>
      <c r="W103" s="8" t="s">
        <v>395</v>
      </c>
      <c r="X103" s="49">
        <v>3844620</v>
      </c>
      <c r="Y103" s="21" t="str">
        <f t="shared" si="13"/>
        <v>3844620</v>
      </c>
      <c r="Z103" s="21">
        <v>24000</v>
      </c>
      <c r="AA103" s="52" t="str">
        <f t="shared" si="14"/>
        <v>24000</v>
      </c>
      <c r="AB103" s="21">
        <v>7290</v>
      </c>
      <c r="AC103" s="21" t="str">
        <f t="shared" si="16"/>
        <v>7290</v>
      </c>
      <c r="AD103" s="21" t="str">
        <f t="shared" si="15"/>
        <v>7290</v>
      </c>
      <c r="AE103" s="7" t="s">
        <v>817</v>
      </c>
      <c r="AF103" s="2" t="str">
        <f t="shared" si="17"/>
        <v>Top Cao</v>
      </c>
    </row>
    <row r="104" spans="1:32">
      <c r="A104" s="7" t="s">
        <v>818</v>
      </c>
      <c r="B104" s="8" t="s">
        <v>816</v>
      </c>
      <c r="C104" s="8">
        <f>101/14131</f>
        <v>7.14740641143585E-3</v>
      </c>
      <c r="D104" s="13" t="s">
        <v>1357</v>
      </c>
      <c r="E104" s="8">
        <f>92/2597</f>
        <v>3.542549095109742E-2</v>
      </c>
      <c r="F104" s="13" t="s">
        <v>1681</v>
      </c>
      <c r="G104" s="8">
        <f>58/2496</f>
        <v>2.3237179487179488E-2</v>
      </c>
      <c r="H104" s="7" t="s">
        <v>28</v>
      </c>
      <c r="I104" s="7" t="s">
        <v>29</v>
      </c>
      <c r="J104" s="7" t="s">
        <v>77</v>
      </c>
      <c r="K104" s="7" t="s">
        <v>52</v>
      </c>
      <c r="L104" s="7">
        <v>0.05</v>
      </c>
      <c r="M104" s="7">
        <v>80936</v>
      </c>
      <c r="N104" s="7" t="s">
        <v>31</v>
      </c>
      <c r="O104" s="7">
        <v>1207</v>
      </c>
      <c r="P104" s="7">
        <v>26</v>
      </c>
      <c r="Q104" s="11">
        <v>0.94</v>
      </c>
      <c r="R104" s="12">
        <v>21900</v>
      </c>
      <c r="S104" s="8" t="str">
        <f t="shared" si="11"/>
        <v>21900</v>
      </c>
      <c r="T104" s="8" t="str">
        <f t="shared" si="12"/>
        <v>21900</v>
      </c>
      <c r="U104" s="12">
        <v>8490</v>
      </c>
      <c r="V104" s="8" t="str">
        <f t="shared" si="10"/>
        <v>8490</v>
      </c>
      <c r="W104" s="8" t="s">
        <v>32</v>
      </c>
      <c r="X104" s="49">
        <v>2829082</v>
      </c>
      <c r="Y104" s="21" t="str">
        <f t="shared" si="13"/>
        <v>2829082</v>
      </c>
      <c r="Z104" s="21">
        <v>11623</v>
      </c>
      <c r="AA104" s="52" t="str">
        <f t="shared" si="14"/>
        <v>11623</v>
      </c>
      <c r="AB104" s="21">
        <v>11247</v>
      </c>
      <c r="AC104" s="21" t="str">
        <f t="shared" si="16"/>
        <v>11247</v>
      </c>
      <c r="AD104" s="21" t="str">
        <f t="shared" si="15"/>
        <v>11247</v>
      </c>
      <c r="AE104" s="7" t="s">
        <v>817</v>
      </c>
      <c r="AF104" s="2" t="str">
        <f t="shared" si="17"/>
        <v>Top Cao</v>
      </c>
    </row>
    <row r="105" spans="1:32">
      <c r="A105" s="7" t="s">
        <v>848</v>
      </c>
      <c r="B105" s="8" t="s">
        <v>819</v>
      </c>
      <c r="C105" s="8">
        <f>102/14131</f>
        <v>7.2181728115490763E-3</v>
      </c>
      <c r="D105" s="13" t="s">
        <v>849</v>
      </c>
      <c r="E105" s="8">
        <f>7/5830</f>
        <v>1.2006861063464838E-3</v>
      </c>
      <c r="F105" s="13" t="s">
        <v>850</v>
      </c>
      <c r="G105" s="8">
        <f>3/960</f>
        <v>3.1250000000000002E-3</v>
      </c>
      <c r="H105" s="7" t="s">
        <v>103</v>
      </c>
      <c r="I105" s="7" t="s">
        <v>123</v>
      </c>
      <c r="J105" s="7" t="s">
        <v>1666</v>
      </c>
      <c r="K105" s="7" t="s">
        <v>52</v>
      </c>
      <c r="L105" s="7">
        <v>0.52</v>
      </c>
      <c r="M105" s="7">
        <v>176136</v>
      </c>
      <c r="N105" s="7" t="s">
        <v>1586</v>
      </c>
      <c r="O105" s="7">
        <v>1270</v>
      </c>
      <c r="P105" s="7">
        <v>30</v>
      </c>
      <c r="Q105" s="11">
        <v>0.81</v>
      </c>
      <c r="R105" s="12">
        <v>0</v>
      </c>
      <c r="S105" s="8" t="str">
        <f t="shared" si="11"/>
        <v>0</v>
      </c>
      <c r="T105" s="8" t="str">
        <f t="shared" si="12"/>
        <v>0</v>
      </c>
      <c r="U105" s="12">
        <v>0</v>
      </c>
      <c r="V105" s="8" t="str">
        <f t="shared" si="10"/>
        <v>0</v>
      </c>
      <c r="W105" s="8" t="s">
        <v>395</v>
      </c>
      <c r="X105" s="49">
        <v>3577028</v>
      </c>
      <c r="Y105" s="21" t="str">
        <f t="shared" si="13"/>
        <v>3577028</v>
      </c>
      <c r="Z105" s="21">
        <v>42800</v>
      </c>
      <c r="AA105" s="52" t="str">
        <f t="shared" si="14"/>
        <v>42800</v>
      </c>
      <c r="AB105" s="21">
        <v>19800</v>
      </c>
      <c r="AC105" s="21" t="str">
        <f t="shared" si="16"/>
        <v>19800</v>
      </c>
      <c r="AD105" s="21" t="str">
        <f t="shared" si="15"/>
        <v>19800</v>
      </c>
      <c r="AE105" s="7" t="s">
        <v>817</v>
      </c>
      <c r="AF105" s="2" t="str">
        <f t="shared" si="17"/>
        <v>Top Cao</v>
      </c>
    </row>
    <row r="106" spans="1:32">
      <c r="A106" s="7" t="s">
        <v>825</v>
      </c>
      <c r="B106" s="8" t="s">
        <v>822</v>
      </c>
      <c r="C106" s="7">
        <f>103/14131</f>
        <v>7.2889392116623026E-3</v>
      </c>
      <c r="D106" s="20" t="s">
        <v>1677</v>
      </c>
      <c r="E106" s="7">
        <f>8/5830</f>
        <v>1.3722126929674098E-3</v>
      </c>
      <c r="F106" s="20" t="s">
        <v>717</v>
      </c>
      <c r="G106" s="7">
        <f>1/36</f>
        <v>2.7777777777777776E-2</v>
      </c>
      <c r="H106" s="7" t="s">
        <v>103</v>
      </c>
      <c r="I106" s="7" t="s">
        <v>826</v>
      </c>
      <c r="J106" s="7" t="s">
        <v>827</v>
      </c>
      <c r="K106" s="11" t="s">
        <v>52</v>
      </c>
      <c r="L106" s="11">
        <v>0.48</v>
      </c>
      <c r="M106" s="12">
        <v>145459</v>
      </c>
      <c r="N106" s="7" t="s">
        <v>1628</v>
      </c>
      <c r="O106" s="7">
        <v>1246</v>
      </c>
      <c r="P106" s="7">
        <v>28</v>
      </c>
      <c r="Q106" s="11">
        <v>0.86</v>
      </c>
      <c r="R106" s="12">
        <v>15890</v>
      </c>
      <c r="S106" s="8" t="str">
        <f t="shared" si="11"/>
        <v>15890</v>
      </c>
      <c r="T106" s="8" t="str">
        <f t="shared" si="12"/>
        <v>15890</v>
      </c>
      <c r="U106" s="12">
        <v>11000</v>
      </c>
      <c r="V106" s="8" t="str">
        <f t="shared" si="10"/>
        <v>11000</v>
      </c>
      <c r="W106" s="8" t="s">
        <v>32</v>
      </c>
      <c r="X106" s="49">
        <v>3931324</v>
      </c>
      <c r="Y106" s="21" t="str">
        <f t="shared" si="13"/>
        <v>3931324</v>
      </c>
      <c r="Z106" s="21">
        <v>44000</v>
      </c>
      <c r="AA106" s="52" t="str">
        <f t="shared" si="14"/>
        <v>44000</v>
      </c>
      <c r="AB106" s="21">
        <v>15000</v>
      </c>
      <c r="AC106" s="21" t="str">
        <f t="shared" si="16"/>
        <v>15000</v>
      </c>
      <c r="AD106" s="21" t="str">
        <f t="shared" si="15"/>
        <v>15000</v>
      </c>
      <c r="AE106" s="7" t="s">
        <v>817</v>
      </c>
      <c r="AF106" s="2" t="str">
        <f t="shared" si="17"/>
        <v>Top Cao</v>
      </c>
    </row>
    <row r="107" spans="1:32">
      <c r="A107" s="7" t="s">
        <v>833</v>
      </c>
      <c r="B107" s="8" t="s">
        <v>1674</v>
      </c>
      <c r="C107" s="8">
        <f>104/14131</f>
        <v>7.3597056117755289E-3</v>
      </c>
      <c r="D107" s="13" t="s">
        <v>834</v>
      </c>
      <c r="E107" s="8">
        <f>26/2785</f>
        <v>9.33572710951526E-3</v>
      </c>
      <c r="F107" s="13" t="s">
        <v>835</v>
      </c>
      <c r="G107" s="8">
        <f>2/39</f>
        <v>5.128205128205128E-2</v>
      </c>
      <c r="H107" s="7" t="s">
        <v>49</v>
      </c>
      <c r="I107" s="7" t="s">
        <v>752</v>
      </c>
      <c r="J107" s="7" t="s">
        <v>1673</v>
      </c>
      <c r="K107" s="7" t="s">
        <v>52</v>
      </c>
      <c r="L107" s="7">
        <v>0.05</v>
      </c>
      <c r="M107" s="7">
        <v>93456</v>
      </c>
      <c r="N107" s="7" t="s">
        <v>1598</v>
      </c>
      <c r="O107" s="7">
        <v>1560</v>
      </c>
      <c r="P107" s="7">
        <v>38</v>
      </c>
      <c r="Q107" s="11">
        <v>0.72</v>
      </c>
      <c r="R107" s="12">
        <v>0</v>
      </c>
      <c r="S107" s="8" t="str">
        <f t="shared" si="11"/>
        <v>0</v>
      </c>
      <c r="T107" s="8" t="str">
        <f t="shared" si="12"/>
        <v>0</v>
      </c>
      <c r="U107" s="12">
        <v>0</v>
      </c>
      <c r="V107" s="8" t="str">
        <f t="shared" si="10"/>
        <v>0</v>
      </c>
      <c r="W107" s="8" t="s">
        <v>32</v>
      </c>
      <c r="X107" s="49">
        <v>3925748</v>
      </c>
      <c r="Y107" s="21" t="str">
        <f t="shared" si="13"/>
        <v>3925748</v>
      </c>
      <c r="Z107" s="21">
        <v>20180</v>
      </c>
      <c r="AA107" s="52" t="str">
        <f t="shared" si="14"/>
        <v>20180</v>
      </c>
      <c r="AB107" s="21">
        <v>5692</v>
      </c>
      <c r="AC107" s="21" t="str">
        <f t="shared" si="16"/>
        <v>5692</v>
      </c>
      <c r="AD107" s="21" t="str">
        <f t="shared" si="15"/>
        <v>5692</v>
      </c>
      <c r="AE107" s="7" t="s">
        <v>817</v>
      </c>
      <c r="AF107" s="2" t="str">
        <f t="shared" si="17"/>
        <v>Top Cao</v>
      </c>
    </row>
    <row r="108" spans="1:32">
      <c r="A108" s="7" t="s">
        <v>837</v>
      </c>
      <c r="B108" s="8" t="s">
        <v>838</v>
      </c>
      <c r="C108" s="7">
        <f>107/14131</f>
        <v>7.5720048121152078E-3</v>
      </c>
      <c r="D108" s="20" t="s">
        <v>1672</v>
      </c>
      <c r="E108" s="7">
        <f>9/5830</f>
        <v>1.5437392795883361E-3</v>
      </c>
      <c r="F108" s="9" t="s">
        <v>1671</v>
      </c>
      <c r="G108" s="7">
        <f>4/960</f>
        <v>4.1666666666666666E-3</v>
      </c>
      <c r="H108" s="7" t="s">
        <v>103</v>
      </c>
      <c r="I108" s="7" t="s">
        <v>123</v>
      </c>
      <c r="J108" s="7" t="s">
        <v>839</v>
      </c>
      <c r="K108" s="11" t="s">
        <v>52</v>
      </c>
      <c r="L108" s="11">
        <v>0.26</v>
      </c>
      <c r="M108" s="12">
        <v>216599</v>
      </c>
      <c r="N108" s="7" t="s">
        <v>1586</v>
      </c>
      <c r="O108" s="7">
        <v>1120</v>
      </c>
      <c r="P108" s="7">
        <v>25</v>
      </c>
      <c r="Q108" s="11">
        <v>0.92</v>
      </c>
      <c r="R108" s="12">
        <v>0</v>
      </c>
      <c r="S108" s="8" t="str">
        <f t="shared" si="11"/>
        <v>0</v>
      </c>
      <c r="T108" s="8" t="str">
        <f t="shared" si="12"/>
        <v>0</v>
      </c>
      <c r="U108" s="12">
        <v>0</v>
      </c>
      <c r="V108" s="8" t="str">
        <f t="shared" si="10"/>
        <v>0</v>
      </c>
      <c r="W108" s="8" t="s">
        <v>32</v>
      </c>
      <c r="X108" s="49">
        <v>3418437</v>
      </c>
      <c r="Y108" s="21" t="str">
        <f t="shared" si="13"/>
        <v>3418437</v>
      </c>
      <c r="Z108" s="21">
        <v>45800</v>
      </c>
      <c r="AA108" s="52" t="str">
        <f t="shared" si="14"/>
        <v>45800</v>
      </c>
      <c r="AB108" s="21">
        <v>24800</v>
      </c>
      <c r="AC108" s="21" t="str">
        <f t="shared" si="16"/>
        <v>24800</v>
      </c>
      <c r="AD108" s="21" t="str">
        <f t="shared" si="15"/>
        <v>24800</v>
      </c>
      <c r="AE108" s="7" t="s">
        <v>817</v>
      </c>
      <c r="AF108" s="2" t="str">
        <f t="shared" si="17"/>
        <v>Top Cao</v>
      </c>
    </row>
    <row r="109" spans="1:32">
      <c r="A109" s="7" t="s">
        <v>879</v>
      </c>
      <c r="B109" s="8" t="s">
        <v>844</v>
      </c>
      <c r="C109" s="8">
        <f>108/14131</f>
        <v>7.6427712122284341E-3</v>
      </c>
      <c r="D109" s="13" t="s">
        <v>820</v>
      </c>
      <c r="E109" s="8">
        <f>65/2597</f>
        <v>2.5028879476318829E-2</v>
      </c>
      <c r="F109" s="13" t="s">
        <v>831</v>
      </c>
      <c r="G109" s="8">
        <f>5/101</f>
        <v>4.9504950495049507E-2</v>
      </c>
      <c r="H109" s="7" t="s">
        <v>28</v>
      </c>
      <c r="I109" s="7" t="s">
        <v>306</v>
      </c>
      <c r="J109" s="7" t="s">
        <v>904</v>
      </c>
      <c r="K109" s="11" t="s">
        <v>52</v>
      </c>
      <c r="L109" s="7">
        <v>0.28999999999999998</v>
      </c>
      <c r="M109" s="7">
        <v>81979</v>
      </c>
      <c r="N109" s="7" t="s">
        <v>31</v>
      </c>
      <c r="O109" s="7">
        <v>0</v>
      </c>
      <c r="P109" s="7">
        <v>0</v>
      </c>
      <c r="Q109" s="11">
        <v>0.79</v>
      </c>
      <c r="R109" s="12">
        <v>0</v>
      </c>
      <c r="S109" s="8" t="str">
        <f t="shared" si="11"/>
        <v>0</v>
      </c>
      <c r="T109" s="8" t="str">
        <f t="shared" si="12"/>
        <v>0</v>
      </c>
      <c r="U109" s="12">
        <v>0</v>
      </c>
      <c r="V109" s="8" t="str">
        <f t="shared" si="10"/>
        <v>0</v>
      </c>
      <c r="W109" s="8" t="s">
        <v>395</v>
      </c>
      <c r="X109" s="49">
        <v>2698742</v>
      </c>
      <c r="Y109" s="21" t="str">
        <f t="shared" si="13"/>
        <v>2698742</v>
      </c>
      <c r="Z109" s="21">
        <v>11600</v>
      </c>
      <c r="AA109" s="52" t="str">
        <f t="shared" si="14"/>
        <v>11600</v>
      </c>
      <c r="AB109" s="21">
        <v>7580</v>
      </c>
      <c r="AC109" s="21" t="str">
        <f t="shared" si="16"/>
        <v>7580</v>
      </c>
      <c r="AD109" s="21" t="str">
        <f t="shared" si="15"/>
        <v>7580</v>
      </c>
      <c r="AE109" s="7" t="s">
        <v>817</v>
      </c>
      <c r="AF109" s="2" t="str">
        <f t="shared" si="17"/>
        <v>Top Cao</v>
      </c>
    </row>
    <row r="110" spans="1:32">
      <c r="A110" s="7" t="s">
        <v>828</v>
      </c>
      <c r="B110" s="8" t="s">
        <v>1676</v>
      </c>
      <c r="C110" s="8">
        <f>110/14131</f>
        <v>7.7843040124548867E-3</v>
      </c>
      <c r="D110" s="13" t="s">
        <v>830</v>
      </c>
      <c r="E110" s="8">
        <f>67/2597</f>
        <v>2.5798998844820946E-2</v>
      </c>
      <c r="F110" s="13" t="s">
        <v>882</v>
      </c>
      <c r="G110" s="8">
        <f>6/101</f>
        <v>5.9405940594059403E-2</v>
      </c>
      <c r="H110" s="7" t="s">
        <v>28</v>
      </c>
      <c r="I110" s="7" t="s">
        <v>306</v>
      </c>
      <c r="J110" s="7" t="s">
        <v>1675</v>
      </c>
      <c r="K110" s="7" t="s">
        <v>52</v>
      </c>
      <c r="L110" s="7">
        <v>0.11</v>
      </c>
      <c r="M110" s="7">
        <v>90860</v>
      </c>
      <c r="N110" s="7" t="s">
        <v>1600</v>
      </c>
      <c r="O110" s="7">
        <v>1360</v>
      </c>
      <c r="P110" s="7">
        <v>31</v>
      </c>
      <c r="Q110" s="11">
        <v>0.89</v>
      </c>
      <c r="R110" s="12">
        <v>0</v>
      </c>
      <c r="S110" s="8" t="str">
        <f t="shared" si="11"/>
        <v>0</v>
      </c>
      <c r="T110" s="8" t="str">
        <f t="shared" si="12"/>
        <v>0</v>
      </c>
      <c r="U110" s="12">
        <v>0</v>
      </c>
      <c r="V110" s="8" t="str">
        <f t="shared" si="10"/>
        <v>0</v>
      </c>
      <c r="W110" s="8" t="s">
        <v>32</v>
      </c>
      <c r="X110" s="49">
        <v>3352397</v>
      </c>
      <c r="Y110" s="21" t="str">
        <f t="shared" si="13"/>
        <v>3352397</v>
      </c>
      <c r="Z110" s="21">
        <v>25230</v>
      </c>
      <c r="AA110" s="52" t="str">
        <f t="shared" si="14"/>
        <v>25230</v>
      </c>
      <c r="AB110" s="21">
        <v>18260</v>
      </c>
      <c r="AC110" s="21" t="str">
        <f t="shared" si="16"/>
        <v>18260</v>
      </c>
      <c r="AD110" s="21" t="str">
        <f t="shared" si="15"/>
        <v>18260</v>
      </c>
      <c r="AE110" s="7" t="s">
        <v>817</v>
      </c>
      <c r="AF110" s="2" t="str">
        <f t="shared" si="17"/>
        <v>Top Cao</v>
      </c>
    </row>
    <row r="111" spans="1:32">
      <c r="A111" s="7" t="s">
        <v>851</v>
      </c>
      <c r="B111" s="8" t="s">
        <v>852</v>
      </c>
      <c r="C111" s="7">
        <f>111/14131</f>
        <v>7.8550704125681121E-3</v>
      </c>
      <c r="D111" s="9" t="s">
        <v>1255</v>
      </c>
      <c r="E111" s="7">
        <f>68/2597</f>
        <v>2.6184058529072005E-2</v>
      </c>
      <c r="F111" s="9" t="s">
        <v>823</v>
      </c>
      <c r="G111" s="7">
        <f>62/2496</f>
        <v>2.4839743589743588E-2</v>
      </c>
      <c r="H111" s="7" t="s">
        <v>28</v>
      </c>
      <c r="I111" s="7" t="s">
        <v>29</v>
      </c>
      <c r="J111" s="7" t="s">
        <v>855</v>
      </c>
      <c r="K111" s="11" t="s">
        <v>52</v>
      </c>
      <c r="L111" s="11">
        <v>0.3</v>
      </c>
      <c r="M111" s="12">
        <v>126167</v>
      </c>
      <c r="N111" s="7" t="s">
        <v>31</v>
      </c>
      <c r="O111" s="7">
        <v>1470</v>
      </c>
      <c r="P111" s="7">
        <v>34</v>
      </c>
      <c r="Q111" s="11">
        <v>0.85</v>
      </c>
      <c r="R111" s="12">
        <v>5792</v>
      </c>
      <c r="S111" s="8" t="str">
        <f t="shared" si="11"/>
        <v>5792</v>
      </c>
      <c r="T111" s="8" t="str">
        <f t="shared" si="12"/>
        <v>5792</v>
      </c>
      <c r="U111" s="12">
        <v>6350</v>
      </c>
      <c r="V111" s="8" t="str">
        <f t="shared" si="10"/>
        <v>6350</v>
      </c>
      <c r="W111" s="8" t="s">
        <v>32</v>
      </c>
      <c r="X111" s="49">
        <v>4374998</v>
      </c>
      <c r="Y111" s="21" t="str">
        <f t="shared" si="13"/>
        <v>4374998</v>
      </c>
      <c r="Z111" s="21">
        <v>33761</v>
      </c>
      <c r="AA111" s="52" t="str">
        <f t="shared" si="14"/>
        <v>33761</v>
      </c>
      <c r="AB111" s="21">
        <v>38166</v>
      </c>
      <c r="AC111" s="21" t="str">
        <f t="shared" si="16"/>
        <v>38166</v>
      </c>
      <c r="AD111" s="21" t="str">
        <f t="shared" si="15"/>
        <v>38166</v>
      </c>
      <c r="AE111" s="7" t="s">
        <v>817</v>
      </c>
      <c r="AF111" s="2" t="str">
        <f t="shared" si="17"/>
        <v>Top Cao</v>
      </c>
    </row>
    <row r="112" spans="1:32">
      <c r="A112" s="7" t="s">
        <v>856</v>
      </c>
      <c r="B112" s="8" t="s">
        <v>857</v>
      </c>
      <c r="C112" s="7">
        <f>112/14131</f>
        <v>7.9258368126813392E-3</v>
      </c>
      <c r="D112" s="9" t="s">
        <v>862</v>
      </c>
      <c r="E112" s="7">
        <f>69/2597</f>
        <v>2.6569118213323067E-2</v>
      </c>
      <c r="F112" s="9" t="s">
        <v>1314</v>
      </c>
      <c r="G112" s="7">
        <f>63/2496</f>
        <v>2.5240384615384616E-2</v>
      </c>
      <c r="H112" s="7" t="s">
        <v>28</v>
      </c>
      <c r="I112" s="7" t="s">
        <v>29</v>
      </c>
      <c r="J112" s="7" t="s">
        <v>860</v>
      </c>
      <c r="K112" s="11" t="s">
        <v>52</v>
      </c>
      <c r="L112" s="11">
        <v>0.89</v>
      </c>
      <c r="M112" s="12">
        <v>76094</v>
      </c>
      <c r="N112" s="7" t="s">
        <v>31</v>
      </c>
      <c r="O112" s="7">
        <v>1245</v>
      </c>
      <c r="P112" s="7">
        <v>25</v>
      </c>
      <c r="Q112" s="11">
        <v>0.96</v>
      </c>
      <c r="R112" s="12">
        <v>27564</v>
      </c>
      <c r="S112" s="8" t="str">
        <f t="shared" si="11"/>
        <v>27564</v>
      </c>
      <c r="T112" s="8" t="str">
        <f t="shared" si="12"/>
        <v>27564</v>
      </c>
      <c r="U112" s="12">
        <v>5629</v>
      </c>
      <c r="V112" s="8" t="str">
        <f t="shared" si="10"/>
        <v>5629</v>
      </c>
      <c r="W112" s="8" t="s">
        <v>32</v>
      </c>
      <c r="X112" s="49">
        <v>2427427</v>
      </c>
      <c r="Y112" s="21" t="str">
        <f t="shared" si="13"/>
        <v>2427427</v>
      </c>
      <c r="Z112" s="21">
        <v>9156</v>
      </c>
      <c r="AA112" s="52" t="str">
        <f t="shared" si="14"/>
        <v>9156</v>
      </c>
      <c r="AB112" s="21">
        <v>10065</v>
      </c>
      <c r="AC112" s="21" t="str">
        <f t="shared" si="16"/>
        <v>10065</v>
      </c>
      <c r="AD112" s="21" t="str">
        <f t="shared" si="15"/>
        <v>10065</v>
      </c>
      <c r="AE112" s="7" t="s">
        <v>817</v>
      </c>
      <c r="AF112" s="2" t="str">
        <f t="shared" si="17"/>
        <v>Top Cao</v>
      </c>
    </row>
    <row r="113" spans="1:32">
      <c r="A113" s="7" t="s">
        <v>840</v>
      </c>
      <c r="B113" s="8" t="s">
        <v>867</v>
      </c>
      <c r="C113" s="8">
        <f>113/14131</f>
        <v>7.9966032127945647E-3</v>
      </c>
      <c r="D113" s="13" t="s">
        <v>841</v>
      </c>
      <c r="E113" s="8">
        <f>27/2785</f>
        <v>9.6947935368043095E-3</v>
      </c>
      <c r="F113" s="13" t="s">
        <v>842</v>
      </c>
      <c r="G113" s="8">
        <f>1/75</f>
        <v>1.3333333333333334E-2</v>
      </c>
      <c r="H113" s="7" t="s">
        <v>49</v>
      </c>
      <c r="I113" s="7" t="s">
        <v>802</v>
      </c>
      <c r="J113" s="7" t="s">
        <v>1153</v>
      </c>
      <c r="K113" s="7" t="s">
        <v>52</v>
      </c>
      <c r="L113" s="7">
        <v>0.2</v>
      </c>
      <c r="M113" s="7">
        <v>99036</v>
      </c>
      <c r="N113" s="7" t="s">
        <v>1670</v>
      </c>
      <c r="O113" s="7">
        <v>1423</v>
      </c>
      <c r="P113" s="7">
        <v>26</v>
      </c>
      <c r="Q113" s="11">
        <v>0.84</v>
      </c>
      <c r="R113" s="12">
        <v>0</v>
      </c>
      <c r="S113" s="8" t="str">
        <f t="shared" si="11"/>
        <v>0</v>
      </c>
      <c r="T113" s="8" t="str">
        <f t="shared" si="12"/>
        <v>0</v>
      </c>
      <c r="U113" s="12">
        <v>0</v>
      </c>
      <c r="V113" s="8" t="str">
        <f t="shared" si="10"/>
        <v>0</v>
      </c>
      <c r="W113" s="8" t="s">
        <v>32</v>
      </c>
      <c r="X113" s="49">
        <v>3281796</v>
      </c>
      <c r="Y113" s="21" t="str">
        <f t="shared" si="13"/>
        <v>3281796</v>
      </c>
      <c r="Z113" s="21">
        <v>3000</v>
      </c>
      <c r="AA113" s="52" t="str">
        <f t="shared" si="14"/>
        <v>3000</v>
      </c>
      <c r="AB113" s="21">
        <v>1680</v>
      </c>
      <c r="AC113" s="21" t="str">
        <f t="shared" si="16"/>
        <v>1680</v>
      </c>
      <c r="AD113" s="21" t="str">
        <f t="shared" si="15"/>
        <v>1680</v>
      </c>
      <c r="AE113" s="7" t="s">
        <v>817</v>
      </c>
      <c r="AF113" s="2" t="str">
        <f t="shared" si="17"/>
        <v>Top Cao</v>
      </c>
    </row>
    <row r="114" spans="1:32">
      <c r="A114" s="7" t="s">
        <v>870</v>
      </c>
      <c r="B114" s="8" t="s">
        <v>871</v>
      </c>
      <c r="C114" s="7">
        <f>114/14131</f>
        <v>8.0673696129077918E-3</v>
      </c>
      <c r="D114" s="9" t="s">
        <v>868</v>
      </c>
      <c r="E114" s="7">
        <f>70/2597</f>
        <v>2.6954177897574125E-2</v>
      </c>
      <c r="F114" s="9" t="s">
        <v>863</v>
      </c>
      <c r="G114" s="7">
        <f>64/2496</f>
        <v>2.564102564102564E-2</v>
      </c>
      <c r="H114" s="7" t="s">
        <v>28</v>
      </c>
      <c r="I114" s="7" t="s">
        <v>29</v>
      </c>
      <c r="J114" s="7" t="s">
        <v>186</v>
      </c>
      <c r="K114" s="11" t="s">
        <v>52</v>
      </c>
      <c r="L114" s="11">
        <v>0.9</v>
      </c>
      <c r="M114" s="12">
        <v>83433</v>
      </c>
      <c r="N114" s="7" t="s">
        <v>31</v>
      </c>
      <c r="O114" s="7">
        <v>1185</v>
      </c>
      <c r="P114" s="7">
        <v>26</v>
      </c>
      <c r="Q114" s="11">
        <v>0.84</v>
      </c>
      <c r="R114" s="12">
        <v>24954</v>
      </c>
      <c r="S114" s="8" t="str">
        <f t="shared" si="11"/>
        <v>24954</v>
      </c>
      <c r="T114" s="8" t="str">
        <f t="shared" si="12"/>
        <v>24954</v>
      </c>
      <c r="U114" s="12">
        <v>7632</v>
      </c>
      <c r="V114" s="8" t="str">
        <f t="shared" si="10"/>
        <v>7632</v>
      </c>
      <c r="W114" s="8" t="s">
        <v>32</v>
      </c>
      <c r="X114" s="49">
        <v>2482550</v>
      </c>
      <c r="Y114" s="21" t="str">
        <f t="shared" si="13"/>
        <v>2482550</v>
      </c>
      <c r="Z114" s="21">
        <v>10034</v>
      </c>
      <c r="AA114" s="52" t="str">
        <f t="shared" si="14"/>
        <v>10034</v>
      </c>
      <c r="AB114" s="21">
        <v>9709</v>
      </c>
      <c r="AC114" s="21" t="str">
        <f t="shared" si="16"/>
        <v>9709</v>
      </c>
      <c r="AD114" s="21" t="str">
        <f t="shared" si="15"/>
        <v>9709</v>
      </c>
      <c r="AE114" s="7" t="s">
        <v>817</v>
      </c>
      <c r="AF114" s="2" t="str">
        <f t="shared" si="17"/>
        <v>Top Cao</v>
      </c>
    </row>
    <row r="115" spans="1:32">
      <c r="A115" s="7" t="s">
        <v>861</v>
      </c>
      <c r="B115" s="8" t="s">
        <v>873</v>
      </c>
      <c r="C115" s="8">
        <f>115/14131</f>
        <v>8.1381360130210172E-3</v>
      </c>
      <c r="D115" s="13" t="s">
        <v>881</v>
      </c>
      <c r="E115" s="8">
        <f>71/2597</f>
        <v>2.7339237581825184E-2</v>
      </c>
      <c r="F115" s="13" t="s">
        <v>869</v>
      </c>
      <c r="G115" s="8">
        <f>65/2496</f>
        <v>2.6041666666666668E-2</v>
      </c>
      <c r="H115" s="7" t="s">
        <v>28</v>
      </c>
      <c r="I115" s="7" t="s">
        <v>29</v>
      </c>
      <c r="J115" s="7" t="s">
        <v>1583</v>
      </c>
      <c r="K115" s="7" t="s">
        <v>52</v>
      </c>
      <c r="L115" s="7">
        <v>0.55000000000000004</v>
      </c>
      <c r="M115" s="7">
        <v>73560</v>
      </c>
      <c r="N115" s="7" t="s">
        <v>31</v>
      </c>
      <c r="O115" s="7">
        <v>1240</v>
      </c>
      <c r="P115" s="7">
        <v>27</v>
      </c>
      <c r="Q115" s="11">
        <v>0.91</v>
      </c>
      <c r="R115" s="12">
        <v>23696</v>
      </c>
      <c r="S115" s="8" t="str">
        <f t="shared" si="11"/>
        <v>23696</v>
      </c>
      <c r="T115" s="8" t="str">
        <f t="shared" si="12"/>
        <v>23696</v>
      </c>
      <c r="U115" s="12">
        <v>7705</v>
      </c>
      <c r="V115" s="8" t="str">
        <f t="shared" si="10"/>
        <v>7705</v>
      </c>
      <c r="W115" s="8" t="s">
        <v>32</v>
      </c>
      <c r="X115" s="49">
        <v>2436879</v>
      </c>
      <c r="Y115" s="21" t="str">
        <f t="shared" si="13"/>
        <v>2436879</v>
      </c>
      <c r="Z115" s="21">
        <v>11312</v>
      </c>
      <c r="AA115" s="52" t="str">
        <f t="shared" si="14"/>
        <v>11312</v>
      </c>
      <c r="AB115" s="21">
        <v>10017</v>
      </c>
      <c r="AC115" s="21" t="str">
        <f t="shared" si="16"/>
        <v>10017</v>
      </c>
      <c r="AD115" s="21" t="str">
        <f t="shared" si="15"/>
        <v>10017</v>
      </c>
      <c r="AE115" s="7" t="s">
        <v>817</v>
      </c>
      <c r="AF115" s="2" t="str">
        <f t="shared" si="17"/>
        <v>Top Cao</v>
      </c>
    </row>
    <row r="116" spans="1:32">
      <c r="A116" s="7" t="s">
        <v>876</v>
      </c>
      <c r="B116" s="8" t="s">
        <v>877</v>
      </c>
      <c r="C116" s="7">
        <f>116/14131</f>
        <v>8.2089024131342444E-3</v>
      </c>
      <c r="D116" s="20" t="s">
        <v>858</v>
      </c>
      <c r="E116" s="7">
        <f>10/5830</f>
        <v>1.7152658662092624E-3</v>
      </c>
      <c r="F116" s="9" t="s">
        <v>859</v>
      </c>
      <c r="G116" s="7">
        <f>4/719</f>
        <v>5.5632823365785811E-3</v>
      </c>
      <c r="H116" s="7" t="s">
        <v>103</v>
      </c>
      <c r="I116" s="7" t="s">
        <v>176</v>
      </c>
      <c r="J116" s="7" t="s">
        <v>878</v>
      </c>
      <c r="K116" s="11" t="s">
        <v>52</v>
      </c>
      <c r="L116" s="11">
        <v>0.41</v>
      </c>
      <c r="M116" s="12">
        <v>202119</v>
      </c>
      <c r="N116" s="7" t="s">
        <v>703</v>
      </c>
      <c r="O116" s="7">
        <v>0</v>
      </c>
      <c r="P116" s="7">
        <v>0</v>
      </c>
      <c r="Q116" s="11">
        <v>0.46</v>
      </c>
      <c r="R116" s="12">
        <v>0</v>
      </c>
      <c r="S116" s="8" t="str">
        <f t="shared" si="11"/>
        <v>0</v>
      </c>
      <c r="T116" s="8" t="str">
        <f t="shared" si="12"/>
        <v>0</v>
      </c>
      <c r="U116" s="12">
        <v>0</v>
      </c>
      <c r="V116" s="8" t="str">
        <f t="shared" si="10"/>
        <v>0</v>
      </c>
      <c r="W116" s="8" t="s">
        <v>32</v>
      </c>
      <c r="X116" s="49">
        <v>3822815</v>
      </c>
      <c r="Y116" s="21" t="str">
        <f t="shared" si="13"/>
        <v>3822815</v>
      </c>
      <c r="Z116" s="21">
        <v>15620</v>
      </c>
      <c r="AA116" s="52" t="str">
        <f t="shared" si="14"/>
        <v>15620</v>
      </c>
      <c r="AB116" s="21">
        <v>14892</v>
      </c>
      <c r="AC116" s="21" t="str">
        <f t="shared" si="16"/>
        <v>14892</v>
      </c>
      <c r="AD116" s="21" t="str">
        <f t="shared" si="15"/>
        <v>14892</v>
      </c>
      <c r="AE116" s="7" t="s">
        <v>817</v>
      </c>
      <c r="AF116" s="2" t="str">
        <f t="shared" si="17"/>
        <v>Top Cao</v>
      </c>
    </row>
    <row r="117" spans="1:32">
      <c r="A117" s="7" t="s">
        <v>939</v>
      </c>
      <c r="B117" s="8" t="s">
        <v>880</v>
      </c>
      <c r="C117" s="8">
        <f>117/14131</f>
        <v>8.2796688132474698E-3</v>
      </c>
      <c r="D117" s="13" t="s">
        <v>988</v>
      </c>
      <c r="E117" s="8">
        <f>72/2597</f>
        <v>2.7724297266076243E-2</v>
      </c>
      <c r="F117" s="13" t="s">
        <v>1646</v>
      </c>
      <c r="G117" s="8">
        <f>7/101</f>
        <v>6.9306930693069313E-2</v>
      </c>
      <c r="H117" s="7" t="s">
        <v>28</v>
      </c>
      <c r="I117" s="7" t="s">
        <v>306</v>
      </c>
      <c r="J117" s="7" t="s">
        <v>1645</v>
      </c>
      <c r="K117" s="11" t="s">
        <v>52</v>
      </c>
      <c r="L117" s="7">
        <v>0.49</v>
      </c>
      <c r="M117" s="7">
        <v>92888</v>
      </c>
      <c r="N117" s="7" t="s">
        <v>31</v>
      </c>
      <c r="O117" s="7">
        <v>1530</v>
      </c>
      <c r="P117" s="7">
        <v>45</v>
      </c>
      <c r="Q117" s="11">
        <v>0.61</v>
      </c>
      <c r="R117" s="12">
        <v>19564</v>
      </c>
      <c r="S117" s="8" t="str">
        <f t="shared" si="11"/>
        <v>19564</v>
      </c>
      <c r="T117" s="8" t="str">
        <f t="shared" si="12"/>
        <v>19564</v>
      </c>
      <c r="U117" s="12">
        <v>15986</v>
      </c>
      <c r="V117" s="8" t="str">
        <f t="shared" si="10"/>
        <v>15986</v>
      </c>
      <c r="W117" s="8" t="s">
        <v>395</v>
      </c>
      <c r="X117" s="49">
        <v>3461725</v>
      </c>
      <c r="Y117" s="21" t="str">
        <f t="shared" si="13"/>
        <v>3461725</v>
      </c>
      <c r="Z117" s="21">
        <v>12569</v>
      </c>
      <c r="AA117" s="52" t="str">
        <f t="shared" si="14"/>
        <v>12569</v>
      </c>
      <c r="AB117" s="21">
        <v>11254</v>
      </c>
      <c r="AC117" s="21" t="str">
        <f t="shared" si="16"/>
        <v>11254</v>
      </c>
      <c r="AD117" s="21" t="str">
        <f t="shared" si="15"/>
        <v>11254</v>
      </c>
      <c r="AE117" s="7" t="s">
        <v>817</v>
      </c>
      <c r="AF117" s="2" t="str">
        <f t="shared" si="17"/>
        <v>Top Cao</v>
      </c>
    </row>
    <row r="118" spans="1:32">
      <c r="A118" s="7" t="s">
        <v>883</v>
      </c>
      <c r="B118" s="8" t="s">
        <v>884</v>
      </c>
      <c r="C118" s="7">
        <f>118/14131</f>
        <v>8.350435213360697E-3</v>
      </c>
      <c r="D118" s="9" t="s">
        <v>902</v>
      </c>
      <c r="E118" s="7">
        <f>73/2597</f>
        <v>2.8109356950327301E-2</v>
      </c>
      <c r="F118" s="9" t="s">
        <v>1221</v>
      </c>
      <c r="G118" s="7">
        <f>66/2496</f>
        <v>2.6442307692307692E-2</v>
      </c>
      <c r="H118" s="7" t="s">
        <v>28</v>
      </c>
      <c r="I118" s="7" t="s">
        <v>29</v>
      </c>
      <c r="J118" s="7" t="s">
        <v>887</v>
      </c>
      <c r="K118" s="11" t="s">
        <v>68</v>
      </c>
      <c r="L118" s="11">
        <v>0.5</v>
      </c>
      <c r="M118" s="12">
        <v>79165</v>
      </c>
      <c r="N118" s="7" t="s">
        <v>31</v>
      </c>
      <c r="O118" s="7">
        <v>1400</v>
      </c>
      <c r="P118" s="7">
        <v>32</v>
      </c>
      <c r="Q118" s="11">
        <v>0.52</v>
      </c>
      <c r="R118" s="12">
        <v>11502</v>
      </c>
      <c r="S118" s="8" t="str">
        <f t="shared" si="11"/>
        <v>11502</v>
      </c>
      <c r="T118" s="8" t="str">
        <f t="shared" si="12"/>
        <v>11502</v>
      </c>
      <c r="U118" s="12">
        <v>14955</v>
      </c>
      <c r="V118" s="8" t="str">
        <f t="shared" si="10"/>
        <v>14955</v>
      </c>
      <c r="W118" s="8" t="s">
        <v>32</v>
      </c>
      <c r="X118" s="49">
        <v>1853288</v>
      </c>
      <c r="Y118" s="21" t="str">
        <f t="shared" si="13"/>
        <v>1853288</v>
      </c>
      <c r="Z118" s="21">
        <v>31678</v>
      </c>
      <c r="AA118" s="52" t="str">
        <f t="shared" si="14"/>
        <v>31678</v>
      </c>
      <c r="AB118" s="21">
        <v>31240</v>
      </c>
      <c r="AC118" s="21" t="str">
        <f t="shared" si="16"/>
        <v>31240</v>
      </c>
      <c r="AD118" s="21" t="str">
        <f t="shared" si="15"/>
        <v>31240</v>
      </c>
      <c r="AE118" s="7" t="s">
        <v>817</v>
      </c>
      <c r="AF118" s="2" t="str">
        <f t="shared" si="17"/>
        <v>Top Cao</v>
      </c>
    </row>
    <row r="119" spans="1:32">
      <c r="A119" s="7" t="s">
        <v>1033</v>
      </c>
      <c r="B119" s="8" t="s">
        <v>1617</v>
      </c>
      <c r="C119" s="8">
        <f>119/14131</f>
        <v>8.4212016134739224E-3</v>
      </c>
      <c r="D119" s="13" t="s">
        <v>845</v>
      </c>
      <c r="E119" s="8">
        <f>28/2785</f>
        <v>1.0053859964093357E-2</v>
      </c>
      <c r="F119" s="13" t="s">
        <v>1616</v>
      </c>
      <c r="G119" s="8">
        <f>3/58</f>
        <v>5.1724137931034482E-2</v>
      </c>
      <c r="H119" s="7" t="s">
        <v>49</v>
      </c>
      <c r="I119" s="7" t="s">
        <v>864</v>
      </c>
      <c r="J119" s="7" t="s">
        <v>1615</v>
      </c>
      <c r="K119" s="11" t="s">
        <v>52</v>
      </c>
      <c r="L119" s="7">
        <v>0.35</v>
      </c>
      <c r="M119" s="7">
        <v>61271</v>
      </c>
      <c r="N119" s="7" t="s">
        <v>1589</v>
      </c>
      <c r="O119" s="7">
        <v>1405</v>
      </c>
      <c r="P119" s="7">
        <v>39</v>
      </c>
      <c r="Q119" s="11">
        <v>0.69</v>
      </c>
      <c r="R119" s="12">
        <v>6752</v>
      </c>
      <c r="S119" s="8" t="str">
        <f t="shared" si="11"/>
        <v>6752</v>
      </c>
      <c r="T119" s="8" t="str">
        <f t="shared" si="12"/>
        <v>6752</v>
      </c>
      <c r="U119" s="12">
        <v>4512</v>
      </c>
      <c r="V119" s="8" t="str">
        <f t="shared" ref="V119:V182" si="18">SUBSTITUTE(U119, ".", "")</f>
        <v>4512</v>
      </c>
      <c r="W119" s="8" t="s">
        <v>32</v>
      </c>
      <c r="X119" s="49">
        <v>3727866</v>
      </c>
      <c r="Y119" s="21" t="str">
        <f t="shared" si="13"/>
        <v>3727866</v>
      </c>
      <c r="Z119" s="21">
        <v>20000</v>
      </c>
      <c r="AA119" s="52" t="str">
        <f t="shared" si="14"/>
        <v>20000</v>
      </c>
      <c r="AB119" s="21">
        <v>15000</v>
      </c>
      <c r="AC119" s="21" t="str">
        <f t="shared" si="16"/>
        <v>15000</v>
      </c>
      <c r="AD119" s="21" t="str">
        <f t="shared" si="15"/>
        <v>15000</v>
      </c>
      <c r="AE119" s="7" t="s">
        <v>817</v>
      </c>
      <c r="AF119" s="2" t="str">
        <f t="shared" si="17"/>
        <v>Top Cao</v>
      </c>
    </row>
    <row r="120" spans="1:32">
      <c r="A120" s="7" t="s">
        <v>888</v>
      </c>
      <c r="B120" s="8" t="s">
        <v>889</v>
      </c>
      <c r="C120" s="7">
        <f>120/14131</f>
        <v>8.4919680135871495E-3</v>
      </c>
      <c r="D120" s="9" t="s">
        <v>874</v>
      </c>
      <c r="E120" s="7">
        <f>29/2785</f>
        <v>1.0412926391382405E-2</v>
      </c>
      <c r="F120" s="20" t="s">
        <v>1311</v>
      </c>
      <c r="G120" s="7">
        <f>2/88</f>
        <v>2.2727272727272728E-2</v>
      </c>
      <c r="H120" s="7" t="s">
        <v>49</v>
      </c>
      <c r="I120" s="7" t="s">
        <v>890</v>
      </c>
      <c r="J120" s="7" t="s">
        <v>891</v>
      </c>
      <c r="K120" s="11" t="s">
        <v>52</v>
      </c>
      <c r="L120" s="11">
        <v>0.39</v>
      </c>
      <c r="M120" s="12">
        <v>159664</v>
      </c>
      <c r="N120" s="7" t="s">
        <v>1663</v>
      </c>
      <c r="O120" s="7">
        <v>0</v>
      </c>
      <c r="P120" s="7">
        <v>0</v>
      </c>
      <c r="Q120" s="11">
        <v>0.76</v>
      </c>
      <c r="R120" s="12">
        <v>0</v>
      </c>
      <c r="S120" s="8" t="str">
        <f t="shared" si="11"/>
        <v>0</v>
      </c>
      <c r="T120" s="8" t="str">
        <f t="shared" si="12"/>
        <v>0</v>
      </c>
      <c r="U120" s="12">
        <v>0</v>
      </c>
      <c r="V120" s="8" t="str">
        <f t="shared" si="18"/>
        <v>0</v>
      </c>
      <c r="W120" s="8" t="s">
        <v>395</v>
      </c>
      <c r="X120" s="49">
        <v>3311607</v>
      </c>
      <c r="Y120" s="21" t="str">
        <f t="shared" si="13"/>
        <v>3311607</v>
      </c>
      <c r="Z120" s="21">
        <v>25230</v>
      </c>
      <c r="AA120" s="52" t="str">
        <f t="shared" si="14"/>
        <v>25230</v>
      </c>
      <c r="AB120" s="21">
        <v>24895</v>
      </c>
      <c r="AC120" s="21" t="str">
        <f t="shared" si="16"/>
        <v>24895</v>
      </c>
      <c r="AD120" s="21" t="str">
        <f t="shared" si="15"/>
        <v>24895</v>
      </c>
      <c r="AE120" s="7" t="s">
        <v>817</v>
      </c>
      <c r="AF120" s="2" t="str">
        <f t="shared" si="17"/>
        <v>Top Cao</v>
      </c>
    </row>
    <row r="121" spans="1:32">
      <c r="A121" s="7" t="s">
        <v>892</v>
      </c>
      <c r="B121" s="8" t="s">
        <v>893</v>
      </c>
      <c r="C121" s="7">
        <f>121/14131</f>
        <v>8.562734413700375E-3</v>
      </c>
      <c r="D121" s="9" t="s">
        <v>1662</v>
      </c>
      <c r="E121" s="7">
        <f>74/2597</f>
        <v>2.849441663457836E-2</v>
      </c>
      <c r="F121" s="9" t="s">
        <v>903</v>
      </c>
      <c r="G121" s="7">
        <f>67/2496</f>
        <v>2.6842948717948716E-2</v>
      </c>
      <c r="H121" s="7" t="s">
        <v>28</v>
      </c>
      <c r="I121" s="7" t="s">
        <v>29</v>
      </c>
      <c r="J121" s="7" t="s">
        <v>887</v>
      </c>
      <c r="K121" s="11" t="s">
        <v>68</v>
      </c>
      <c r="L121" s="11">
        <v>0.12</v>
      </c>
      <c r="M121" s="12">
        <v>55364</v>
      </c>
      <c r="N121" s="7" t="s">
        <v>31</v>
      </c>
      <c r="O121" s="7">
        <v>1480</v>
      </c>
      <c r="P121" s="7">
        <v>34</v>
      </c>
      <c r="Q121" s="11">
        <v>0.53</v>
      </c>
      <c r="R121" s="12">
        <v>7598</v>
      </c>
      <c r="S121" s="8" t="str">
        <f t="shared" si="11"/>
        <v>7598</v>
      </c>
      <c r="T121" s="8" t="str">
        <f t="shared" si="12"/>
        <v>7598</v>
      </c>
      <c r="U121" s="12">
        <v>13337</v>
      </c>
      <c r="V121" s="8" t="str">
        <f t="shared" si="18"/>
        <v>13337</v>
      </c>
      <c r="W121" s="8" t="s">
        <v>32</v>
      </c>
      <c r="X121" s="49">
        <v>1384277</v>
      </c>
      <c r="Y121" s="21" t="str">
        <f t="shared" si="13"/>
        <v>1384277</v>
      </c>
      <c r="Z121" s="21">
        <v>36711</v>
      </c>
      <c r="AA121" s="52" t="str">
        <f t="shared" si="14"/>
        <v>36711</v>
      </c>
      <c r="AB121" s="21">
        <v>23049</v>
      </c>
      <c r="AC121" s="21" t="str">
        <f t="shared" si="16"/>
        <v>23049</v>
      </c>
      <c r="AD121" s="21" t="str">
        <f t="shared" si="15"/>
        <v>23049</v>
      </c>
      <c r="AE121" s="7" t="s">
        <v>817</v>
      </c>
      <c r="AF121" s="2" t="str">
        <f t="shared" si="17"/>
        <v>Top Cao</v>
      </c>
    </row>
    <row r="122" spans="1:32">
      <c r="A122" s="7" t="s">
        <v>896</v>
      </c>
      <c r="B122" s="8" t="s">
        <v>897</v>
      </c>
      <c r="C122" s="7">
        <f>122/14131</f>
        <v>8.6335008138136021E-3</v>
      </c>
      <c r="D122" s="9" t="s">
        <v>1661</v>
      </c>
      <c r="E122" s="7">
        <f>30/2785</f>
        <v>1.0771992818671455E-2</v>
      </c>
      <c r="F122" s="20" t="s">
        <v>1660</v>
      </c>
      <c r="G122" s="7">
        <f>3/39</f>
        <v>7.6923076923076927E-2</v>
      </c>
      <c r="H122" s="7" t="s">
        <v>49</v>
      </c>
      <c r="I122" s="7" t="s">
        <v>752</v>
      </c>
      <c r="J122" s="7" t="s">
        <v>900</v>
      </c>
      <c r="K122" s="46" t="s">
        <v>52</v>
      </c>
      <c r="L122" s="11">
        <v>0.45</v>
      </c>
      <c r="M122" s="12">
        <v>156049</v>
      </c>
      <c r="N122" s="7" t="s">
        <v>1659</v>
      </c>
      <c r="O122" s="7">
        <v>0</v>
      </c>
      <c r="P122" s="7">
        <v>0</v>
      </c>
      <c r="Q122" s="11">
        <v>0.53</v>
      </c>
      <c r="R122" s="12">
        <v>0</v>
      </c>
      <c r="S122" s="8" t="str">
        <f t="shared" si="11"/>
        <v>0</v>
      </c>
      <c r="T122" s="8" t="str">
        <f t="shared" si="12"/>
        <v>0</v>
      </c>
      <c r="U122" s="12">
        <v>0</v>
      </c>
      <c r="V122" s="8" t="str">
        <f t="shared" si="18"/>
        <v>0</v>
      </c>
      <c r="W122" s="8" t="s">
        <v>1595</v>
      </c>
      <c r="X122" s="49">
        <v>6238985</v>
      </c>
      <c r="Y122" s="21" t="str">
        <f t="shared" si="13"/>
        <v>6238985</v>
      </c>
      <c r="Z122" s="21">
        <v>29256</v>
      </c>
      <c r="AA122" s="52" t="str">
        <f t="shared" si="14"/>
        <v>29256</v>
      </c>
      <c r="AB122" s="21">
        <v>28159</v>
      </c>
      <c r="AC122" s="21" t="str">
        <f t="shared" si="16"/>
        <v>28159</v>
      </c>
      <c r="AD122" s="21" t="str">
        <f t="shared" si="15"/>
        <v>28159</v>
      </c>
      <c r="AE122" s="7" t="s">
        <v>817</v>
      </c>
      <c r="AF122" s="2" t="str">
        <f t="shared" si="17"/>
        <v>Top Cao</v>
      </c>
    </row>
    <row r="123" spans="1:32">
      <c r="A123" s="7" t="s">
        <v>905</v>
      </c>
      <c r="B123" s="8" t="s">
        <v>906</v>
      </c>
      <c r="C123" s="7">
        <f>123/14131</f>
        <v>8.7042672139268275E-3</v>
      </c>
      <c r="D123" s="8" t="s">
        <v>1658</v>
      </c>
      <c r="E123" s="7">
        <f>31/2785</f>
        <v>1.1131059245960502E-2</v>
      </c>
      <c r="F123" s="9" t="s">
        <v>1573</v>
      </c>
      <c r="G123" s="7">
        <f>2/63</f>
        <v>3.1746031746031744E-2</v>
      </c>
      <c r="H123" s="7" t="s">
        <v>49</v>
      </c>
      <c r="I123" s="7" t="s">
        <v>93</v>
      </c>
      <c r="J123" s="7" t="s">
        <v>909</v>
      </c>
      <c r="K123" s="11" t="s">
        <v>52</v>
      </c>
      <c r="L123" s="11">
        <v>0.34</v>
      </c>
      <c r="M123" s="12">
        <v>116660</v>
      </c>
      <c r="N123" s="7" t="s">
        <v>1589</v>
      </c>
      <c r="O123" s="7">
        <v>0</v>
      </c>
      <c r="P123" s="7">
        <v>0</v>
      </c>
      <c r="Q123" s="11">
        <v>0.72</v>
      </c>
      <c r="R123" s="12">
        <v>0</v>
      </c>
      <c r="S123" s="8" t="str">
        <f t="shared" si="11"/>
        <v>0</v>
      </c>
      <c r="T123" s="8" t="str">
        <f t="shared" si="12"/>
        <v>0</v>
      </c>
      <c r="U123" s="12">
        <v>0</v>
      </c>
      <c r="V123" s="8" t="str">
        <f t="shared" si="18"/>
        <v>0</v>
      </c>
      <c r="W123" s="8" t="s">
        <v>32</v>
      </c>
      <c r="X123" s="49">
        <v>3254721</v>
      </c>
      <c r="Y123" s="21" t="str">
        <f t="shared" si="13"/>
        <v>3254721</v>
      </c>
      <c r="Z123" s="21">
        <v>18470</v>
      </c>
      <c r="AA123" s="52" t="str">
        <f t="shared" si="14"/>
        <v>18470</v>
      </c>
      <c r="AB123" s="21">
        <v>16598</v>
      </c>
      <c r="AC123" s="21" t="str">
        <f t="shared" si="16"/>
        <v>16598</v>
      </c>
      <c r="AD123" s="21" t="str">
        <f t="shared" si="15"/>
        <v>16598</v>
      </c>
      <c r="AE123" s="7" t="s">
        <v>817</v>
      </c>
      <c r="AF123" s="2" t="str">
        <f t="shared" si="17"/>
        <v>Top Cao</v>
      </c>
    </row>
    <row r="124" spans="1:32">
      <c r="A124" s="7" t="s">
        <v>910</v>
      </c>
      <c r="B124" s="8" t="s">
        <v>911</v>
      </c>
      <c r="C124" s="7">
        <f>124/14131</f>
        <v>8.775033614040053E-3</v>
      </c>
      <c r="D124" s="9" t="s">
        <v>913</v>
      </c>
      <c r="E124" s="7">
        <f>32/2785</f>
        <v>1.1490125673249552E-2</v>
      </c>
      <c r="F124" s="20" t="s">
        <v>1200</v>
      </c>
      <c r="G124" s="7">
        <f>3/23</f>
        <v>0.13043478260869565</v>
      </c>
      <c r="H124" s="7" t="s">
        <v>49</v>
      </c>
      <c r="I124" s="7" t="s">
        <v>504</v>
      </c>
      <c r="J124" s="7" t="s">
        <v>307</v>
      </c>
      <c r="K124" s="11" t="s">
        <v>52</v>
      </c>
      <c r="L124" s="11">
        <v>0.21</v>
      </c>
      <c r="M124" s="12">
        <v>105930</v>
      </c>
      <c r="N124" s="7" t="s">
        <v>1600</v>
      </c>
      <c r="O124" s="7">
        <v>0</v>
      </c>
      <c r="P124" s="7">
        <v>0</v>
      </c>
      <c r="Q124" s="11">
        <v>0.46</v>
      </c>
      <c r="R124" s="12">
        <v>0</v>
      </c>
      <c r="S124" s="8" t="str">
        <f t="shared" si="11"/>
        <v>0</v>
      </c>
      <c r="T124" s="8" t="str">
        <f t="shared" si="12"/>
        <v>0</v>
      </c>
      <c r="U124" s="12">
        <v>0</v>
      </c>
      <c r="V124" s="8" t="str">
        <f t="shared" si="18"/>
        <v>0</v>
      </c>
      <c r="W124" s="8" t="s">
        <v>32</v>
      </c>
      <c r="X124" s="49">
        <v>3996184</v>
      </c>
      <c r="Y124" s="21" t="str">
        <f t="shared" si="13"/>
        <v>3996184</v>
      </c>
      <c r="Z124" s="21">
        <v>25894</v>
      </c>
      <c r="AA124" s="52" t="str">
        <f t="shared" si="14"/>
        <v>25894</v>
      </c>
      <c r="AB124" s="21">
        <v>23123</v>
      </c>
      <c r="AC124" s="21" t="str">
        <f t="shared" si="16"/>
        <v>23123</v>
      </c>
      <c r="AD124" s="21" t="str">
        <f t="shared" si="15"/>
        <v>23123</v>
      </c>
      <c r="AE124" s="7" t="s">
        <v>817</v>
      </c>
      <c r="AF124" s="2" t="str">
        <f t="shared" si="17"/>
        <v>Top Cao</v>
      </c>
    </row>
    <row r="125" spans="1:32">
      <c r="A125" s="7" t="s">
        <v>821</v>
      </c>
      <c r="B125" s="8" t="s">
        <v>1680</v>
      </c>
      <c r="C125" s="8">
        <f>125/14131</f>
        <v>8.8458000141532801E-3</v>
      </c>
      <c r="D125" s="13" t="s">
        <v>918</v>
      </c>
      <c r="E125" s="8">
        <f>75/2597</f>
        <v>2.8879476318829419E-2</v>
      </c>
      <c r="F125" s="13" t="s">
        <v>1679</v>
      </c>
      <c r="G125" s="8">
        <f>68/2496</f>
        <v>2.7243589743589744E-2</v>
      </c>
      <c r="H125" s="7" t="s">
        <v>28</v>
      </c>
      <c r="I125" s="7" t="s">
        <v>29</v>
      </c>
      <c r="J125" s="7" t="s">
        <v>1678</v>
      </c>
      <c r="K125" s="7" t="s">
        <v>52</v>
      </c>
      <c r="L125" s="7">
        <v>0.7</v>
      </c>
      <c r="M125" s="7">
        <v>96408</v>
      </c>
      <c r="N125" s="7" t="s">
        <v>31</v>
      </c>
      <c r="O125" s="7">
        <v>1195</v>
      </c>
      <c r="P125" s="7">
        <v>27</v>
      </c>
      <c r="Q125" s="11">
        <v>0.81</v>
      </c>
      <c r="R125" s="12">
        <v>22279</v>
      </c>
      <c r="S125" s="8" t="str">
        <f t="shared" si="11"/>
        <v>22279</v>
      </c>
      <c r="T125" s="8" t="str">
        <f t="shared" si="12"/>
        <v>22279</v>
      </c>
      <c r="U125" s="12">
        <v>11920</v>
      </c>
      <c r="V125" s="8" t="str">
        <f t="shared" si="18"/>
        <v>11920</v>
      </c>
      <c r="W125" s="8" t="s">
        <v>32</v>
      </c>
      <c r="X125" s="49">
        <v>2993137</v>
      </c>
      <c r="Y125" s="21" t="str">
        <f t="shared" si="13"/>
        <v>2993137</v>
      </c>
      <c r="Z125" s="21">
        <v>13420</v>
      </c>
      <c r="AA125" s="52" t="str">
        <f t="shared" si="14"/>
        <v>13420</v>
      </c>
      <c r="AB125" s="21">
        <v>10776</v>
      </c>
      <c r="AC125" s="21" t="str">
        <f t="shared" si="16"/>
        <v>10776</v>
      </c>
      <c r="AD125" s="21" t="str">
        <f t="shared" si="15"/>
        <v>10776</v>
      </c>
      <c r="AE125" s="7" t="s">
        <v>817</v>
      </c>
      <c r="AF125" s="2" t="str">
        <f t="shared" si="17"/>
        <v>Top Cao</v>
      </c>
    </row>
    <row r="126" spans="1:32">
      <c r="A126" s="7" t="s">
        <v>920</v>
      </c>
      <c r="B126" s="8" t="s">
        <v>917</v>
      </c>
      <c r="C126" s="7">
        <f>126/14131</f>
        <v>8.9165664142665055E-3</v>
      </c>
      <c r="D126" s="9" t="s">
        <v>932</v>
      </c>
      <c r="E126" s="7">
        <f>33/2785</f>
        <v>1.18491921005386E-2</v>
      </c>
      <c r="F126" s="20" t="s">
        <v>1036</v>
      </c>
      <c r="G126" s="7">
        <f>4/58</f>
        <v>6.8965517241379309E-2</v>
      </c>
      <c r="H126" s="7" t="s">
        <v>49</v>
      </c>
      <c r="I126" s="7" t="s">
        <v>864</v>
      </c>
      <c r="J126" s="7" t="s">
        <v>923</v>
      </c>
      <c r="K126" s="11" t="s">
        <v>52</v>
      </c>
      <c r="L126" s="11">
        <v>0.82</v>
      </c>
      <c r="M126" s="12">
        <v>111892</v>
      </c>
      <c r="N126" s="7" t="s">
        <v>1650</v>
      </c>
      <c r="O126" s="7">
        <v>0</v>
      </c>
      <c r="P126" s="7">
        <v>0</v>
      </c>
      <c r="Q126" s="11">
        <v>0.61</v>
      </c>
      <c r="R126" s="12">
        <v>0</v>
      </c>
      <c r="S126" s="8" t="str">
        <f t="shared" si="11"/>
        <v>0</v>
      </c>
      <c r="T126" s="8" t="str">
        <f t="shared" si="12"/>
        <v>0</v>
      </c>
      <c r="U126" s="12">
        <v>0</v>
      </c>
      <c r="V126" s="8" t="str">
        <f t="shared" si="18"/>
        <v>0</v>
      </c>
      <c r="W126" s="8" t="s">
        <v>1595</v>
      </c>
      <c r="X126" s="49">
        <v>2642594</v>
      </c>
      <c r="Y126" s="21" t="str">
        <f t="shared" si="13"/>
        <v>2642594</v>
      </c>
      <c r="Z126" s="21">
        <v>18800</v>
      </c>
      <c r="AA126" s="52" t="str">
        <f t="shared" si="14"/>
        <v>18800</v>
      </c>
      <c r="AB126" s="21">
        <v>2170</v>
      </c>
      <c r="AC126" s="21" t="str">
        <f t="shared" si="16"/>
        <v>2170</v>
      </c>
      <c r="AD126" s="21" t="str">
        <f t="shared" si="15"/>
        <v>2170</v>
      </c>
      <c r="AE126" s="7" t="s">
        <v>817</v>
      </c>
      <c r="AF126" s="2" t="str">
        <f t="shared" si="17"/>
        <v>Top Cao</v>
      </c>
    </row>
    <row r="127" spans="1:32">
      <c r="A127" s="7" t="s">
        <v>872</v>
      </c>
      <c r="B127" s="8" t="s">
        <v>925</v>
      </c>
      <c r="C127" s="8">
        <f>127/14131</f>
        <v>8.9873328143797327E-3</v>
      </c>
      <c r="D127" s="13" t="s">
        <v>936</v>
      </c>
      <c r="E127" s="8">
        <f>34/2785</f>
        <v>1.2208258527827648E-2</v>
      </c>
      <c r="F127" s="13" t="s">
        <v>875</v>
      </c>
      <c r="G127" s="8">
        <f>12/163</f>
        <v>7.3619631901840496E-2</v>
      </c>
      <c r="H127" s="7" t="s">
        <v>49</v>
      </c>
      <c r="I127" s="7" t="s">
        <v>139</v>
      </c>
      <c r="J127" s="7" t="s">
        <v>140</v>
      </c>
      <c r="K127" s="11" t="s">
        <v>52</v>
      </c>
      <c r="L127" s="7">
        <v>0.8</v>
      </c>
      <c r="M127" s="7">
        <v>107846</v>
      </c>
      <c r="N127" s="7" t="s">
        <v>31</v>
      </c>
      <c r="O127" s="7">
        <v>0</v>
      </c>
      <c r="P127" s="7">
        <v>0</v>
      </c>
      <c r="Q127" s="11">
        <v>0.72</v>
      </c>
      <c r="R127" s="12">
        <v>0</v>
      </c>
      <c r="S127" s="8" t="str">
        <f t="shared" si="11"/>
        <v>0</v>
      </c>
      <c r="T127" s="8" t="str">
        <f t="shared" si="12"/>
        <v>0</v>
      </c>
      <c r="U127" s="12">
        <v>0</v>
      </c>
      <c r="V127" s="8" t="str">
        <f t="shared" si="18"/>
        <v>0</v>
      </c>
      <c r="W127" s="8" t="s">
        <v>32</v>
      </c>
      <c r="X127" s="49">
        <v>3378744</v>
      </c>
      <c r="Y127" s="21" t="str">
        <f t="shared" si="13"/>
        <v>3378744</v>
      </c>
      <c r="Z127" s="21">
        <v>24300</v>
      </c>
      <c r="AA127" s="52" t="str">
        <f t="shared" si="14"/>
        <v>24300</v>
      </c>
      <c r="AB127" s="21">
        <v>19800</v>
      </c>
      <c r="AC127" s="21" t="str">
        <f t="shared" si="16"/>
        <v>19800</v>
      </c>
      <c r="AD127" s="21" t="str">
        <f t="shared" si="15"/>
        <v>19800</v>
      </c>
      <c r="AE127" s="7" t="s">
        <v>817</v>
      </c>
      <c r="AF127" s="2" t="str">
        <f t="shared" si="17"/>
        <v>Top Cao</v>
      </c>
    </row>
    <row r="128" spans="1:32">
      <c r="A128" s="7" t="s">
        <v>901</v>
      </c>
      <c r="B128" s="8" t="s">
        <v>931</v>
      </c>
      <c r="C128" s="8">
        <f>128/14131</f>
        <v>9.0580992144929581E-3</v>
      </c>
      <c r="D128" s="13" t="s">
        <v>1051</v>
      </c>
      <c r="E128" s="8">
        <f>76/2597</f>
        <v>2.9264536003080478E-2</v>
      </c>
      <c r="F128" s="13" t="s">
        <v>919</v>
      </c>
      <c r="G128" s="8">
        <f>69/2496</f>
        <v>2.7644230769230768E-2</v>
      </c>
      <c r="H128" s="7" t="s">
        <v>28</v>
      </c>
      <c r="I128" s="7" t="s">
        <v>29</v>
      </c>
      <c r="J128" s="7" t="s">
        <v>1096</v>
      </c>
      <c r="K128" s="11" t="s">
        <v>52</v>
      </c>
      <c r="L128" s="7">
        <v>0.89</v>
      </c>
      <c r="M128" s="7">
        <v>72332</v>
      </c>
      <c r="N128" s="7" t="s">
        <v>31</v>
      </c>
      <c r="O128" s="7">
        <v>1330</v>
      </c>
      <c r="P128" s="7">
        <v>30</v>
      </c>
      <c r="Q128" s="11">
        <v>0.82</v>
      </c>
      <c r="R128" s="12">
        <v>18567</v>
      </c>
      <c r="S128" s="8" t="str">
        <f t="shared" si="11"/>
        <v>18567</v>
      </c>
      <c r="T128" s="8" t="str">
        <f t="shared" si="12"/>
        <v>18567</v>
      </c>
      <c r="U128" s="12">
        <v>8309</v>
      </c>
      <c r="V128" s="8" t="str">
        <f t="shared" si="18"/>
        <v>8309</v>
      </c>
      <c r="W128" s="8" t="s">
        <v>32</v>
      </c>
      <c r="X128" s="49">
        <v>2499435</v>
      </c>
      <c r="Y128" s="21" t="str">
        <f t="shared" si="13"/>
        <v>2499435</v>
      </c>
      <c r="Z128" s="21">
        <v>15801</v>
      </c>
      <c r="AA128" s="52" t="str">
        <f t="shared" si="14"/>
        <v>15801</v>
      </c>
      <c r="AB128" s="21">
        <v>15030</v>
      </c>
      <c r="AC128" s="21" t="str">
        <f t="shared" si="16"/>
        <v>15030</v>
      </c>
      <c r="AD128" s="21" t="str">
        <f t="shared" si="15"/>
        <v>15030</v>
      </c>
      <c r="AE128" s="7" t="s">
        <v>817</v>
      </c>
      <c r="AF128" s="2" t="str">
        <f t="shared" si="17"/>
        <v>Top Cao</v>
      </c>
    </row>
    <row r="129" spans="1:32">
      <c r="A129" s="7" t="s">
        <v>916</v>
      </c>
      <c r="B129" s="8" t="s">
        <v>1653</v>
      </c>
      <c r="C129" s="8">
        <f>129/14131</f>
        <v>9.1288656146061853E-3</v>
      </c>
      <c r="D129" s="13" t="s">
        <v>941</v>
      </c>
      <c r="E129" s="8">
        <f>77/2597</f>
        <v>2.9649595687331536E-2</v>
      </c>
      <c r="F129" s="13" t="s">
        <v>1652</v>
      </c>
      <c r="G129" s="8">
        <f>70/2496</f>
        <v>2.8044871794871796E-2</v>
      </c>
      <c r="H129" s="7" t="s">
        <v>28</v>
      </c>
      <c r="I129" s="7" t="s">
        <v>29</v>
      </c>
      <c r="J129" s="7" t="s">
        <v>1651</v>
      </c>
      <c r="K129" s="11" t="s">
        <v>52</v>
      </c>
      <c r="L129" s="7">
        <v>0.35</v>
      </c>
      <c r="M129" s="7">
        <v>54930</v>
      </c>
      <c r="N129" s="7" t="s">
        <v>31</v>
      </c>
      <c r="O129" s="7">
        <v>1205</v>
      </c>
      <c r="P129" s="7">
        <v>25</v>
      </c>
      <c r="Q129" s="11">
        <v>0.97</v>
      </c>
      <c r="R129" s="12">
        <v>19552</v>
      </c>
      <c r="S129" s="8" t="str">
        <f t="shared" si="11"/>
        <v>19552</v>
      </c>
      <c r="T129" s="8" t="str">
        <f t="shared" si="12"/>
        <v>19552</v>
      </c>
      <c r="U129" s="12">
        <v>4879</v>
      </c>
      <c r="V129" s="8" t="str">
        <f t="shared" si="18"/>
        <v>4879</v>
      </c>
      <c r="W129" s="8" t="s">
        <v>32</v>
      </c>
      <c r="X129" s="49">
        <v>1856379</v>
      </c>
      <c r="Y129" s="21" t="str">
        <f t="shared" si="13"/>
        <v>1856379</v>
      </c>
      <c r="Z129" s="21">
        <v>8608</v>
      </c>
      <c r="AA129" s="52" t="str">
        <f t="shared" si="14"/>
        <v>8608</v>
      </c>
      <c r="AB129" s="21">
        <v>6138</v>
      </c>
      <c r="AC129" s="21" t="str">
        <f t="shared" si="16"/>
        <v>6138</v>
      </c>
      <c r="AD129" s="21" t="str">
        <f t="shared" si="15"/>
        <v>6138</v>
      </c>
      <c r="AE129" s="7" t="s">
        <v>817</v>
      </c>
      <c r="AF129" s="2" t="str">
        <f t="shared" si="17"/>
        <v>Top Cao</v>
      </c>
    </row>
    <row r="130" spans="1:32">
      <c r="A130" s="7" t="s">
        <v>963</v>
      </c>
      <c r="B130" s="8" t="s">
        <v>935</v>
      </c>
      <c r="C130" s="8">
        <f>130/14131</f>
        <v>9.1996320147194107E-3</v>
      </c>
      <c r="D130" s="13" t="s">
        <v>949</v>
      </c>
      <c r="E130" s="8">
        <f>35/2785</f>
        <v>1.2567324955116697E-2</v>
      </c>
      <c r="F130" s="13" t="s">
        <v>966</v>
      </c>
      <c r="G130" s="8">
        <f>13/163</f>
        <v>7.9754601226993863E-2</v>
      </c>
      <c r="H130" s="7" t="s">
        <v>49</v>
      </c>
      <c r="I130" s="7" t="s">
        <v>139</v>
      </c>
      <c r="J130" s="7" t="s">
        <v>140</v>
      </c>
      <c r="K130" s="11" t="s">
        <v>52</v>
      </c>
      <c r="L130" s="7">
        <v>0.66</v>
      </c>
      <c r="M130" s="7">
        <v>91975</v>
      </c>
      <c r="N130" s="7" t="s">
        <v>31</v>
      </c>
      <c r="O130" s="7">
        <v>1245</v>
      </c>
      <c r="P130" s="7">
        <v>27</v>
      </c>
      <c r="Q130" s="11">
        <v>0.85</v>
      </c>
      <c r="R130" s="12">
        <v>17895</v>
      </c>
      <c r="S130" s="8" t="str">
        <f t="shared" ref="S130:S193" si="19">SUBSTITUTE(R130, ",", "")</f>
        <v>17895</v>
      </c>
      <c r="T130" s="8" t="str">
        <f t="shared" ref="T130:T193" si="20">SUBSTITUTE(S130, ".", "")</f>
        <v>17895</v>
      </c>
      <c r="U130" s="12">
        <v>13521</v>
      </c>
      <c r="V130" s="8" t="str">
        <f t="shared" si="18"/>
        <v>13521</v>
      </c>
      <c r="W130" s="8" t="s">
        <v>395</v>
      </c>
      <c r="X130" s="49">
        <v>3640073</v>
      </c>
      <c r="Y130" s="21" t="str">
        <f t="shared" ref="Y130:Y193" si="21">SUBSTITUTE(X130, ",", "")</f>
        <v>3640073</v>
      </c>
      <c r="Z130" s="21">
        <v>25200</v>
      </c>
      <c r="AA130" s="52" t="str">
        <f t="shared" ref="AA130:AA193" si="22">SUBSTITUTE(Z130, ",", "")</f>
        <v>25200</v>
      </c>
      <c r="AB130" s="21">
        <v>21700</v>
      </c>
      <c r="AC130" s="21" t="str">
        <f t="shared" si="16"/>
        <v>21700</v>
      </c>
      <c r="AD130" s="21" t="str">
        <f t="shared" ref="AD130:AD193" si="23">SUBSTITUTE(AC130, "$", "")</f>
        <v>21700</v>
      </c>
      <c r="AE130" s="7" t="s">
        <v>817</v>
      </c>
      <c r="AF130" s="2" t="str">
        <f t="shared" si="17"/>
        <v>Top Cao</v>
      </c>
    </row>
    <row r="131" spans="1:32">
      <c r="A131" s="7" t="s">
        <v>943</v>
      </c>
      <c r="B131" s="8" t="s">
        <v>940</v>
      </c>
      <c r="C131" s="7">
        <f>131/14131</f>
        <v>9.2703984148326379E-3</v>
      </c>
      <c r="D131" s="8" t="s">
        <v>898</v>
      </c>
      <c r="E131" s="7">
        <f>78/2597</f>
        <v>3.0034655371582595E-2</v>
      </c>
      <c r="F131" s="9" t="s">
        <v>899</v>
      </c>
      <c r="G131" s="7">
        <f>8/101</f>
        <v>7.9207920792079209E-2</v>
      </c>
      <c r="H131" s="7" t="s">
        <v>28</v>
      </c>
      <c r="I131" s="7" t="s">
        <v>306</v>
      </c>
      <c r="J131" s="7" t="s">
        <v>904</v>
      </c>
      <c r="K131" s="11" t="s">
        <v>52</v>
      </c>
      <c r="L131" s="11">
        <v>0.59</v>
      </c>
      <c r="M131" s="12">
        <v>121596</v>
      </c>
      <c r="N131" s="7" t="s">
        <v>31</v>
      </c>
      <c r="O131" s="7">
        <v>1203</v>
      </c>
      <c r="P131" s="7">
        <v>29</v>
      </c>
      <c r="Q131" s="11">
        <v>0.68</v>
      </c>
      <c r="R131" s="12">
        <v>18453</v>
      </c>
      <c r="S131" s="8" t="str">
        <f t="shared" si="19"/>
        <v>18453</v>
      </c>
      <c r="T131" s="8" t="str">
        <f t="shared" si="20"/>
        <v>18453</v>
      </c>
      <c r="U131" s="12">
        <v>17568</v>
      </c>
      <c r="V131" s="8" t="str">
        <f t="shared" si="18"/>
        <v>17568</v>
      </c>
      <c r="W131" s="8" t="s">
        <v>32</v>
      </c>
      <c r="X131" s="49">
        <v>4026164</v>
      </c>
      <c r="Y131" s="21" t="str">
        <f t="shared" si="21"/>
        <v>4026164</v>
      </c>
      <c r="Z131" s="21">
        <v>27000</v>
      </c>
      <c r="AA131" s="52" t="str">
        <f t="shared" si="22"/>
        <v>27000</v>
      </c>
      <c r="AB131" s="21">
        <v>15000</v>
      </c>
      <c r="AC131" s="21" t="str">
        <f t="shared" ref="AC131:AC194" si="24">SUBSTITUTE(AB131, ",", "")</f>
        <v>15000</v>
      </c>
      <c r="AD131" s="21" t="str">
        <f t="shared" si="23"/>
        <v>15000</v>
      </c>
      <c r="AE131" s="7" t="s">
        <v>817</v>
      </c>
      <c r="AF131" s="2" t="str">
        <f t="shared" ref="AF131:AF194" si="25">IF(OR(AE131="TOP50", AE131="Top100", AE131="Top150"),"Top Cao","Top Thấp")</f>
        <v>Top Cao</v>
      </c>
    </row>
    <row r="132" spans="1:32">
      <c r="A132" s="7" t="s">
        <v>945</v>
      </c>
      <c r="B132" s="8" t="s">
        <v>946</v>
      </c>
      <c r="C132" s="7">
        <f>132/14131</f>
        <v>9.3411648149458633E-3</v>
      </c>
      <c r="D132" s="8" t="s">
        <v>960</v>
      </c>
      <c r="E132" s="7">
        <f>79/2597</f>
        <v>3.0419715055833654E-2</v>
      </c>
      <c r="F132" s="9" t="s">
        <v>961</v>
      </c>
      <c r="G132" s="7">
        <f>9/101</f>
        <v>8.9108910891089105E-2</v>
      </c>
      <c r="H132" s="7" t="s">
        <v>28</v>
      </c>
      <c r="I132" s="7" t="s">
        <v>306</v>
      </c>
      <c r="J132" s="7" t="s">
        <v>274</v>
      </c>
      <c r="K132" s="11" t="s">
        <v>52</v>
      </c>
      <c r="L132" s="11">
        <v>0.59</v>
      </c>
      <c r="M132" s="12">
        <v>60359</v>
      </c>
      <c r="N132" s="7" t="s">
        <v>31</v>
      </c>
      <c r="O132" s="7">
        <v>1195</v>
      </c>
      <c r="P132" s="7">
        <v>25</v>
      </c>
      <c r="Q132" s="11">
        <v>0.7</v>
      </c>
      <c r="R132" s="12">
        <v>11985</v>
      </c>
      <c r="S132" s="8" t="str">
        <f t="shared" si="19"/>
        <v>11985</v>
      </c>
      <c r="T132" s="8" t="str">
        <f t="shared" si="20"/>
        <v>11985</v>
      </c>
      <c r="U132" s="12">
        <v>8692</v>
      </c>
      <c r="V132" s="8" t="str">
        <f t="shared" si="18"/>
        <v>8692</v>
      </c>
      <c r="W132" s="8" t="s">
        <v>32</v>
      </c>
      <c r="X132" s="49">
        <v>1534385</v>
      </c>
      <c r="Y132" s="21" t="str">
        <f t="shared" si="21"/>
        <v>1534385</v>
      </c>
      <c r="Z132" s="21">
        <v>17650</v>
      </c>
      <c r="AA132" s="52" t="str">
        <f t="shared" si="22"/>
        <v>17650</v>
      </c>
      <c r="AB132" s="21">
        <v>16254</v>
      </c>
      <c r="AC132" s="21" t="str">
        <f t="shared" si="24"/>
        <v>16254</v>
      </c>
      <c r="AD132" s="21" t="str">
        <f t="shared" si="23"/>
        <v>16254</v>
      </c>
      <c r="AE132" s="7" t="s">
        <v>817</v>
      </c>
      <c r="AF132" s="2" t="str">
        <f t="shared" si="25"/>
        <v>Top Cao</v>
      </c>
    </row>
    <row r="133" spans="1:32">
      <c r="A133" s="7" t="s">
        <v>952</v>
      </c>
      <c r="B133" s="8" t="s">
        <v>948</v>
      </c>
      <c r="C133" s="7">
        <f>133/14131</f>
        <v>9.4119312150590904E-3</v>
      </c>
      <c r="D133" s="20" t="s">
        <v>1454</v>
      </c>
      <c r="E133" s="7">
        <f>11/5830</f>
        <v>1.8867924528301887E-3</v>
      </c>
      <c r="F133" s="9" t="s">
        <v>927</v>
      </c>
      <c r="G133" s="7">
        <f>5/960</f>
        <v>5.208333333333333E-3</v>
      </c>
      <c r="H133" s="7" t="s">
        <v>103</v>
      </c>
      <c r="I133" s="7" t="s">
        <v>123</v>
      </c>
      <c r="J133" s="7" t="s">
        <v>953</v>
      </c>
      <c r="K133" s="11" t="s">
        <v>52</v>
      </c>
      <c r="L133" s="11">
        <v>0.1</v>
      </c>
      <c r="M133" s="12">
        <v>130096</v>
      </c>
      <c r="N133" s="7" t="s">
        <v>1586</v>
      </c>
      <c r="O133" s="7">
        <v>1265</v>
      </c>
      <c r="P133" s="7">
        <v>29</v>
      </c>
      <c r="Q133" s="11">
        <v>0.62</v>
      </c>
      <c r="R133" s="12">
        <v>13321</v>
      </c>
      <c r="S133" s="8" t="str">
        <f t="shared" si="19"/>
        <v>13321</v>
      </c>
      <c r="T133" s="8" t="str">
        <f t="shared" si="20"/>
        <v>13321</v>
      </c>
      <c r="U133" s="12">
        <v>10586</v>
      </c>
      <c r="V133" s="8" t="str">
        <f t="shared" si="18"/>
        <v>10586</v>
      </c>
      <c r="W133" s="8" t="s">
        <v>32</v>
      </c>
      <c r="X133" s="49">
        <v>3425382</v>
      </c>
      <c r="Y133" s="21" t="str">
        <f t="shared" si="21"/>
        <v>3425382</v>
      </c>
      <c r="Z133" s="21">
        <v>12000</v>
      </c>
      <c r="AA133" s="52" t="str">
        <f t="shared" si="22"/>
        <v>12000</v>
      </c>
      <c r="AB133" s="21">
        <v>9000</v>
      </c>
      <c r="AC133" s="21" t="str">
        <f t="shared" si="24"/>
        <v>9000</v>
      </c>
      <c r="AD133" s="21" t="str">
        <f t="shared" si="23"/>
        <v>9000</v>
      </c>
      <c r="AE133" s="7" t="s">
        <v>817</v>
      </c>
      <c r="AF133" s="2" t="str">
        <f t="shared" si="25"/>
        <v>Top Cao</v>
      </c>
    </row>
    <row r="134" spans="1:32">
      <c r="A134" s="7" t="s">
        <v>924</v>
      </c>
      <c r="B134" s="8" t="s">
        <v>948</v>
      </c>
      <c r="C134" s="8">
        <f>133/14131</f>
        <v>9.4119312150590904E-3</v>
      </c>
      <c r="D134" s="13" t="s">
        <v>1454</v>
      </c>
      <c r="E134" s="8">
        <f>11/5830</f>
        <v>1.8867924528301887E-3</v>
      </c>
      <c r="F134" s="13" t="s">
        <v>927</v>
      </c>
      <c r="G134" s="8">
        <f>5/960</f>
        <v>5.208333333333333E-3</v>
      </c>
      <c r="H134" s="7" t="s">
        <v>103</v>
      </c>
      <c r="I134" s="7" t="s">
        <v>123</v>
      </c>
      <c r="J134" s="7" t="s">
        <v>953</v>
      </c>
      <c r="K134" s="11" t="s">
        <v>52</v>
      </c>
      <c r="L134" s="7">
        <v>0.83</v>
      </c>
      <c r="M134" s="7">
        <v>88028</v>
      </c>
      <c r="N134" s="7" t="s">
        <v>1586</v>
      </c>
      <c r="O134" s="7">
        <v>0</v>
      </c>
      <c r="P134" s="7">
        <v>0</v>
      </c>
      <c r="Q134" s="11">
        <v>0.68</v>
      </c>
      <c r="R134" s="12">
        <v>0</v>
      </c>
      <c r="S134" s="8" t="str">
        <f t="shared" si="19"/>
        <v>0</v>
      </c>
      <c r="T134" s="8" t="str">
        <f t="shared" si="20"/>
        <v>0</v>
      </c>
      <c r="U134" s="12">
        <v>0</v>
      </c>
      <c r="V134" s="8" t="str">
        <f t="shared" si="18"/>
        <v>0</v>
      </c>
      <c r="W134" s="8" t="s">
        <v>32</v>
      </c>
      <c r="X134" s="49">
        <v>3425382</v>
      </c>
      <c r="Y134" s="21" t="str">
        <f t="shared" si="21"/>
        <v>3425382</v>
      </c>
      <c r="Z134" s="21">
        <v>14000</v>
      </c>
      <c r="AA134" s="52" t="str">
        <f t="shared" si="22"/>
        <v>14000</v>
      </c>
      <c r="AB134" s="21">
        <v>12000</v>
      </c>
      <c r="AC134" s="21" t="str">
        <f t="shared" si="24"/>
        <v>12000</v>
      </c>
      <c r="AD134" s="21" t="str">
        <f t="shared" si="23"/>
        <v>12000</v>
      </c>
      <c r="AE134" s="7" t="s">
        <v>817</v>
      </c>
      <c r="AF134" s="2" t="str">
        <f t="shared" si="25"/>
        <v>Top Cao</v>
      </c>
    </row>
    <row r="135" spans="1:32">
      <c r="A135" s="7" t="s">
        <v>954</v>
      </c>
      <c r="B135" s="8" t="s">
        <v>955</v>
      </c>
      <c r="C135" s="7">
        <f>134/14131</f>
        <v>9.4826976151723159E-3</v>
      </c>
      <c r="D135" s="9" t="s">
        <v>965</v>
      </c>
      <c r="E135" s="7">
        <f>36/2785</f>
        <v>1.2926391382405745E-2</v>
      </c>
      <c r="F135" s="9" t="s">
        <v>933</v>
      </c>
      <c r="G135" s="7">
        <f>4/369</f>
        <v>1.0840108401084011E-2</v>
      </c>
      <c r="H135" s="7" t="s">
        <v>49</v>
      </c>
      <c r="I135" s="7" t="s">
        <v>50</v>
      </c>
      <c r="J135" s="7" t="s">
        <v>958</v>
      </c>
      <c r="K135" s="11" t="s">
        <v>52</v>
      </c>
      <c r="L135" s="11">
        <v>0.15</v>
      </c>
      <c r="M135" s="12">
        <v>93441</v>
      </c>
      <c r="N135" s="7" t="s">
        <v>1574</v>
      </c>
      <c r="O135" s="7">
        <v>1243</v>
      </c>
      <c r="P135" s="7">
        <v>28</v>
      </c>
      <c r="Q135" s="11">
        <v>0.92</v>
      </c>
      <c r="R135" s="12">
        <v>15568</v>
      </c>
      <c r="S135" s="8" t="str">
        <f t="shared" si="19"/>
        <v>15568</v>
      </c>
      <c r="T135" s="8" t="str">
        <f t="shared" si="20"/>
        <v>15568</v>
      </c>
      <c r="U135" s="12">
        <v>12580</v>
      </c>
      <c r="V135" s="8" t="str">
        <f t="shared" si="18"/>
        <v>12580</v>
      </c>
      <c r="W135" s="8" t="s">
        <v>32</v>
      </c>
      <c r="X135" s="49">
        <v>2099089</v>
      </c>
      <c r="Y135" s="21" t="str">
        <f t="shared" si="21"/>
        <v>2099089</v>
      </c>
      <c r="Z135" s="21">
        <v>25123</v>
      </c>
      <c r="AA135" s="52" t="str">
        <f t="shared" si="22"/>
        <v>25123</v>
      </c>
      <c r="AB135" s="21">
        <v>12500</v>
      </c>
      <c r="AC135" s="21" t="str">
        <f t="shared" si="24"/>
        <v>12500</v>
      </c>
      <c r="AD135" s="21" t="str">
        <f t="shared" si="23"/>
        <v>12500</v>
      </c>
      <c r="AE135" s="7" t="s">
        <v>817</v>
      </c>
      <c r="AF135" s="2" t="str">
        <f t="shared" si="25"/>
        <v>Top Cao</v>
      </c>
    </row>
    <row r="136" spans="1:32">
      <c r="A136" s="7" t="s">
        <v>930</v>
      </c>
      <c r="B136" s="8" t="s">
        <v>1649</v>
      </c>
      <c r="C136" s="8">
        <f>135/14131</f>
        <v>9.553464015285543E-3</v>
      </c>
      <c r="D136" s="13" t="s">
        <v>976</v>
      </c>
      <c r="E136" s="8">
        <f>37/2785</f>
        <v>1.3285457809694794E-2</v>
      </c>
      <c r="F136" s="13" t="s">
        <v>937</v>
      </c>
      <c r="G136" s="8">
        <f>5/369</f>
        <v>1.3550135501355014E-2</v>
      </c>
      <c r="H136" s="7" t="s">
        <v>49</v>
      </c>
      <c r="I136" s="7" t="s">
        <v>50</v>
      </c>
      <c r="J136" s="7" t="s">
        <v>1648</v>
      </c>
      <c r="K136" s="11" t="s">
        <v>52</v>
      </c>
      <c r="L136" s="7">
        <v>0.63</v>
      </c>
      <c r="M136" s="7">
        <v>78199</v>
      </c>
      <c r="N136" s="7" t="s">
        <v>1574</v>
      </c>
      <c r="O136" s="7">
        <v>0</v>
      </c>
      <c r="P136" s="7">
        <v>0</v>
      </c>
      <c r="Q136" s="11">
        <v>0.7</v>
      </c>
      <c r="R136" s="12">
        <v>0</v>
      </c>
      <c r="S136" s="8" t="str">
        <f t="shared" si="19"/>
        <v>0</v>
      </c>
      <c r="T136" s="8" t="str">
        <f t="shared" si="20"/>
        <v>0</v>
      </c>
      <c r="U136" s="12">
        <v>0</v>
      </c>
      <c r="V136" s="8" t="str">
        <f t="shared" si="18"/>
        <v>0</v>
      </c>
      <c r="W136" s="8" t="s">
        <v>395</v>
      </c>
      <c r="X136" s="49">
        <v>2652710</v>
      </c>
      <c r="Y136" s="21" t="str">
        <f t="shared" si="21"/>
        <v>2652710</v>
      </c>
      <c r="Z136" s="21">
        <v>290</v>
      </c>
      <c r="AA136" s="52" t="str">
        <f t="shared" si="22"/>
        <v>290</v>
      </c>
      <c r="AB136" s="21">
        <v>190</v>
      </c>
      <c r="AC136" s="21" t="str">
        <f t="shared" si="24"/>
        <v>190</v>
      </c>
      <c r="AD136" s="21" t="str">
        <f t="shared" si="23"/>
        <v>190</v>
      </c>
      <c r="AE136" s="7" t="s">
        <v>817</v>
      </c>
      <c r="AF136" s="2" t="str">
        <f t="shared" si="25"/>
        <v>Top Cao</v>
      </c>
    </row>
    <row r="137" spans="1:32">
      <c r="A137" s="7" t="s">
        <v>989</v>
      </c>
      <c r="B137" s="8" t="s">
        <v>1633</v>
      </c>
      <c r="C137" s="8">
        <f>136/14131</f>
        <v>9.6242304153987684E-3</v>
      </c>
      <c r="D137" s="13" t="s">
        <v>1632</v>
      </c>
      <c r="E137" s="8">
        <f>38/2785</f>
        <v>1.3644524236983842E-2</v>
      </c>
      <c r="F137" s="13" t="s">
        <v>977</v>
      </c>
      <c r="G137" s="8">
        <f>14/163</f>
        <v>8.5889570552147243E-2</v>
      </c>
      <c r="H137" s="7" t="s">
        <v>49</v>
      </c>
      <c r="I137" s="7" t="s">
        <v>139</v>
      </c>
      <c r="J137" s="7" t="s">
        <v>140</v>
      </c>
      <c r="K137" s="11" t="s">
        <v>52</v>
      </c>
      <c r="L137" s="7">
        <v>0.13</v>
      </c>
      <c r="M137" s="7">
        <v>90361</v>
      </c>
      <c r="N137" s="7" t="s">
        <v>31</v>
      </c>
      <c r="O137" s="7">
        <v>0</v>
      </c>
      <c r="P137" s="7">
        <v>0</v>
      </c>
      <c r="Q137" s="11">
        <v>0.69</v>
      </c>
      <c r="R137" s="12">
        <v>0</v>
      </c>
      <c r="S137" s="8" t="str">
        <f t="shared" si="19"/>
        <v>0</v>
      </c>
      <c r="T137" s="8" t="str">
        <f t="shared" si="20"/>
        <v>0</v>
      </c>
      <c r="U137" s="12">
        <v>0</v>
      </c>
      <c r="V137" s="8" t="str">
        <f t="shared" si="18"/>
        <v>0</v>
      </c>
      <c r="W137" s="8" t="s">
        <v>395</v>
      </c>
      <c r="X137" s="49">
        <v>3364719</v>
      </c>
      <c r="Y137" s="21" t="str">
        <f t="shared" si="21"/>
        <v>3364719</v>
      </c>
      <c r="Z137" s="21">
        <v>23492</v>
      </c>
      <c r="AA137" s="52" t="str">
        <f t="shared" si="22"/>
        <v>23492</v>
      </c>
      <c r="AB137" s="21">
        <v>21489</v>
      </c>
      <c r="AC137" s="21" t="str">
        <f t="shared" si="24"/>
        <v>21489</v>
      </c>
      <c r="AD137" s="21" t="str">
        <f t="shared" si="23"/>
        <v>21489</v>
      </c>
      <c r="AE137" s="7" t="s">
        <v>817</v>
      </c>
      <c r="AF137" s="2" t="str">
        <f t="shared" si="25"/>
        <v>Top Cao</v>
      </c>
    </row>
    <row r="138" spans="1:32">
      <c r="A138" s="7" t="s">
        <v>1013</v>
      </c>
      <c r="B138" s="8" t="s">
        <v>964</v>
      </c>
      <c r="C138" s="8">
        <f>137/14131</f>
        <v>9.6949968155119956E-3</v>
      </c>
      <c r="D138" s="13" t="s">
        <v>1044</v>
      </c>
      <c r="E138" s="8">
        <f>80/2597</f>
        <v>3.0804774740084712E-2</v>
      </c>
      <c r="F138" s="13" t="s">
        <v>1624</v>
      </c>
      <c r="G138" s="8">
        <f>71/2496</f>
        <v>2.844551282051282E-2</v>
      </c>
      <c r="H138" s="7" t="s">
        <v>28</v>
      </c>
      <c r="I138" s="7" t="s">
        <v>29</v>
      </c>
      <c r="J138" s="7" t="s">
        <v>981</v>
      </c>
      <c r="K138" s="11" t="s">
        <v>52</v>
      </c>
      <c r="L138" s="7">
        <v>0.25</v>
      </c>
      <c r="M138" s="7">
        <v>64274</v>
      </c>
      <c r="N138" s="7" t="s">
        <v>31</v>
      </c>
      <c r="O138" s="7">
        <v>1235</v>
      </c>
      <c r="P138" s="7">
        <v>27</v>
      </c>
      <c r="Q138" s="11">
        <v>0.99</v>
      </c>
      <c r="R138" s="12">
        <v>38011</v>
      </c>
      <c r="S138" s="8" t="str">
        <f t="shared" si="19"/>
        <v>38011</v>
      </c>
      <c r="T138" s="8" t="str">
        <f t="shared" si="20"/>
        <v>38011</v>
      </c>
      <c r="U138" s="12">
        <v>11697</v>
      </c>
      <c r="V138" s="8" t="str">
        <f t="shared" si="18"/>
        <v>11697</v>
      </c>
      <c r="W138" s="8" t="s">
        <v>32</v>
      </c>
      <c r="X138" s="49">
        <v>2112945</v>
      </c>
      <c r="Y138" s="21" t="str">
        <f t="shared" si="21"/>
        <v>2112945</v>
      </c>
      <c r="Z138" s="21">
        <v>9965</v>
      </c>
      <c r="AA138" s="52" t="str">
        <f t="shared" si="22"/>
        <v>9965</v>
      </c>
      <c r="AB138" s="21">
        <v>8350</v>
      </c>
      <c r="AC138" s="21" t="str">
        <f t="shared" si="24"/>
        <v>8350</v>
      </c>
      <c r="AD138" s="21" t="str">
        <f t="shared" si="23"/>
        <v>8350</v>
      </c>
      <c r="AE138" s="7" t="s">
        <v>817</v>
      </c>
      <c r="AF138" s="2" t="str">
        <f t="shared" si="25"/>
        <v>Top Cao</v>
      </c>
    </row>
    <row r="139" spans="1:32">
      <c r="A139" s="7" t="s">
        <v>959</v>
      </c>
      <c r="B139" s="8" t="s">
        <v>968</v>
      </c>
      <c r="C139" s="8">
        <f>138/14131</f>
        <v>9.765763215625221E-3</v>
      </c>
      <c r="D139" s="13" t="s">
        <v>1641</v>
      </c>
      <c r="E139" s="8">
        <f>81/2597</f>
        <v>3.1189834424335771E-2</v>
      </c>
      <c r="F139" s="13" t="s">
        <v>1640</v>
      </c>
      <c r="G139" s="8">
        <f>10/101</f>
        <v>9.9009900990099015E-2</v>
      </c>
      <c r="H139" s="7" t="s">
        <v>28</v>
      </c>
      <c r="I139" s="7" t="s">
        <v>306</v>
      </c>
      <c r="J139" s="7" t="s">
        <v>904</v>
      </c>
      <c r="K139" s="11" t="s">
        <v>52</v>
      </c>
      <c r="L139" s="7">
        <v>0.2</v>
      </c>
      <c r="M139" s="7">
        <v>87102</v>
      </c>
      <c r="N139" s="7" t="s">
        <v>31</v>
      </c>
      <c r="O139" s="7">
        <v>1286</v>
      </c>
      <c r="P139" s="7">
        <v>28</v>
      </c>
      <c r="Q139" s="11">
        <v>0.93</v>
      </c>
      <c r="R139" s="12">
        <v>15986</v>
      </c>
      <c r="S139" s="8" t="str">
        <f t="shared" si="19"/>
        <v>15986</v>
      </c>
      <c r="T139" s="8" t="str">
        <f t="shared" si="20"/>
        <v>15986</v>
      </c>
      <c r="U139" s="12">
        <v>11892</v>
      </c>
      <c r="V139" s="8" t="str">
        <f t="shared" si="18"/>
        <v>11892</v>
      </c>
      <c r="W139" s="8" t="s">
        <v>395</v>
      </c>
      <c r="X139" s="49">
        <v>3089412</v>
      </c>
      <c r="Y139" s="21" t="str">
        <f t="shared" si="21"/>
        <v>3089412</v>
      </c>
      <c r="Z139" s="21">
        <v>25600</v>
      </c>
      <c r="AA139" s="52" t="str">
        <f t="shared" si="22"/>
        <v>25600</v>
      </c>
      <c r="AB139" s="21">
        <v>16500</v>
      </c>
      <c r="AC139" s="21" t="str">
        <f t="shared" si="24"/>
        <v>16500</v>
      </c>
      <c r="AD139" s="21" t="str">
        <f t="shared" si="23"/>
        <v>16500</v>
      </c>
      <c r="AE139" s="7" t="s">
        <v>817</v>
      </c>
      <c r="AF139" s="2" t="str">
        <f t="shared" si="25"/>
        <v>Top Cao</v>
      </c>
    </row>
    <row r="140" spans="1:32">
      <c r="A140" s="7" t="s">
        <v>971</v>
      </c>
      <c r="B140" s="8" t="s">
        <v>972</v>
      </c>
      <c r="C140" s="7">
        <f>139/14131</f>
        <v>9.8365296157384482E-3</v>
      </c>
      <c r="D140" s="20" t="s">
        <v>926</v>
      </c>
      <c r="E140" s="7">
        <f>12/5830</f>
        <v>2.058319039451115E-3</v>
      </c>
      <c r="F140" s="9" t="s">
        <v>1299</v>
      </c>
      <c r="G140" s="7">
        <f>1/144</f>
        <v>6.9444444444444441E-3</v>
      </c>
      <c r="H140" s="7" t="s">
        <v>103</v>
      </c>
      <c r="I140" s="7" t="s">
        <v>973</v>
      </c>
      <c r="J140" s="7" t="s">
        <v>974</v>
      </c>
      <c r="K140" s="11" t="s">
        <v>52</v>
      </c>
      <c r="L140" s="11">
        <v>0.35</v>
      </c>
      <c r="M140" s="12">
        <v>117795</v>
      </c>
      <c r="N140" s="7" t="s">
        <v>1639</v>
      </c>
      <c r="O140" s="7">
        <v>0</v>
      </c>
      <c r="P140" s="7">
        <v>0</v>
      </c>
      <c r="Q140" s="11">
        <v>0.78</v>
      </c>
      <c r="R140" s="12">
        <v>0</v>
      </c>
      <c r="S140" s="8" t="str">
        <f t="shared" si="19"/>
        <v>0</v>
      </c>
      <c r="T140" s="8" t="str">
        <f t="shared" si="20"/>
        <v>0</v>
      </c>
      <c r="U140" s="12">
        <v>0</v>
      </c>
      <c r="V140" s="8" t="str">
        <f t="shared" si="18"/>
        <v>0</v>
      </c>
      <c r="W140" s="8" t="s">
        <v>32</v>
      </c>
      <c r="X140" s="49">
        <v>2569508</v>
      </c>
      <c r="Y140" s="21" t="str">
        <f t="shared" si="21"/>
        <v>2569508</v>
      </c>
      <c r="Z140" s="21">
        <v>15264</v>
      </c>
      <c r="AA140" s="52" t="str">
        <f t="shared" si="22"/>
        <v>15264</v>
      </c>
      <c r="AB140" s="21">
        <v>14265</v>
      </c>
      <c r="AC140" s="21" t="str">
        <f t="shared" si="24"/>
        <v>14265</v>
      </c>
      <c r="AD140" s="21" t="str">
        <f t="shared" si="23"/>
        <v>14265</v>
      </c>
      <c r="AE140" s="7" t="s">
        <v>817</v>
      </c>
      <c r="AF140" s="2" t="str">
        <f t="shared" si="25"/>
        <v>Top Cao</v>
      </c>
    </row>
    <row r="141" spans="1:32">
      <c r="A141" s="7" t="s">
        <v>912</v>
      </c>
      <c r="B141" s="8" t="s">
        <v>1657</v>
      </c>
      <c r="C141" s="8">
        <f>140/14131</f>
        <v>9.9072960158516736E-3</v>
      </c>
      <c r="D141" s="13" t="s">
        <v>1656</v>
      </c>
      <c r="E141" s="8">
        <f>39/2785</f>
        <v>1.400359066427289E-2</v>
      </c>
      <c r="F141" s="13" t="s">
        <v>914</v>
      </c>
      <c r="G141" s="8">
        <f>3/88</f>
        <v>3.4090909090909088E-2</v>
      </c>
      <c r="H141" s="7" t="s">
        <v>49</v>
      </c>
      <c r="I141" s="7" t="s">
        <v>890</v>
      </c>
      <c r="J141" s="7" t="s">
        <v>1655</v>
      </c>
      <c r="K141" s="11" t="s">
        <v>52</v>
      </c>
      <c r="L141" s="7">
        <v>0.45</v>
      </c>
      <c r="M141" s="7">
        <v>124921</v>
      </c>
      <c r="N141" s="7" t="s">
        <v>1654</v>
      </c>
      <c r="O141" s="7">
        <v>0</v>
      </c>
      <c r="P141" s="7">
        <v>0</v>
      </c>
      <c r="Q141" s="11">
        <v>0.79</v>
      </c>
      <c r="R141" s="12">
        <v>0</v>
      </c>
      <c r="S141" s="8" t="str">
        <f t="shared" si="19"/>
        <v>0</v>
      </c>
      <c r="T141" s="8" t="str">
        <f t="shared" si="20"/>
        <v>0</v>
      </c>
      <c r="U141" s="12">
        <v>0</v>
      </c>
      <c r="V141" s="8" t="str">
        <f t="shared" si="18"/>
        <v>0</v>
      </c>
      <c r="W141" s="8" t="s">
        <v>32</v>
      </c>
      <c r="X141" s="49">
        <v>3634496</v>
      </c>
      <c r="Y141" s="21" t="str">
        <f t="shared" si="21"/>
        <v>3634496</v>
      </c>
      <c r="Z141" s="21">
        <v>15600</v>
      </c>
      <c r="AA141" s="52" t="str">
        <f t="shared" si="22"/>
        <v>15600</v>
      </c>
      <c r="AB141" s="21">
        <v>14560</v>
      </c>
      <c r="AC141" s="21" t="str">
        <f t="shared" si="24"/>
        <v>14560</v>
      </c>
      <c r="AD141" s="21" t="str">
        <f t="shared" si="23"/>
        <v>14560</v>
      </c>
      <c r="AE141" s="7" t="s">
        <v>817</v>
      </c>
      <c r="AF141" s="2" t="str">
        <f t="shared" si="25"/>
        <v>Top Cao</v>
      </c>
    </row>
    <row r="142" spans="1:32">
      <c r="A142" s="7" t="s">
        <v>975</v>
      </c>
      <c r="B142" s="8" t="s">
        <v>1638</v>
      </c>
      <c r="C142" s="8">
        <f>141/14131</f>
        <v>9.978062415964899E-3</v>
      </c>
      <c r="D142" s="13" t="s">
        <v>1637</v>
      </c>
      <c r="E142" s="8">
        <f>40/2785</f>
        <v>1.4362657091561939E-2</v>
      </c>
      <c r="F142" s="13" t="s">
        <v>991</v>
      </c>
      <c r="G142" s="8">
        <f>15/163</f>
        <v>9.202453987730061E-2</v>
      </c>
      <c r="H142" s="7" t="s">
        <v>49</v>
      </c>
      <c r="I142" s="7" t="s">
        <v>139</v>
      </c>
      <c r="J142" s="7" t="s">
        <v>140</v>
      </c>
      <c r="K142" s="11" t="s">
        <v>52</v>
      </c>
      <c r="L142" s="7">
        <v>0.85</v>
      </c>
      <c r="M142" s="7">
        <v>70799</v>
      </c>
      <c r="N142" s="7" t="s">
        <v>31</v>
      </c>
      <c r="O142" s="7">
        <v>0</v>
      </c>
      <c r="P142" s="7">
        <v>0</v>
      </c>
      <c r="Q142" s="11">
        <v>0.62</v>
      </c>
      <c r="R142" s="12">
        <v>0</v>
      </c>
      <c r="S142" s="8" t="str">
        <f t="shared" si="19"/>
        <v>0</v>
      </c>
      <c r="T142" s="8" t="str">
        <f t="shared" si="20"/>
        <v>0</v>
      </c>
      <c r="U142" s="12">
        <v>0</v>
      </c>
      <c r="V142" s="8" t="str">
        <f t="shared" si="18"/>
        <v>0</v>
      </c>
      <c r="W142" s="8" t="s">
        <v>32</v>
      </c>
      <c r="X142" s="49">
        <v>2167606</v>
      </c>
      <c r="Y142" s="21" t="str">
        <f t="shared" si="21"/>
        <v>2167606</v>
      </c>
      <c r="Z142" s="21">
        <v>29200</v>
      </c>
      <c r="AA142" s="52" t="str">
        <f t="shared" si="22"/>
        <v>29200</v>
      </c>
      <c r="AB142" s="21">
        <v>24100</v>
      </c>
      <c r="AC142" s="21" t="str">
        <f t="shared" si="24"/>
        <v>24100</v>
      </c>
      <c r="AD142" s="21" t="str">
        <f t="shared" si="23"/>
        <v>24100</v>
      </c>
      <c r="AE142" s="7" t="s">
        <v>817</v>
      </c>
      <c r="AF142" s="2" t="str">
        <f t="shared" si="25"/>
        <v>Top Cao</v>
      </c>
    </row>
    <row r="143" spans="1:32">
      <c r="A143" s="7" t="s">
        <v>982</v>
      </c>
      <c r="B143" s="8" t="s">
        <v>1635</v>
      </c>
      <c r="C143" s="8">
        <f>143/14131</f>
        <v>1.0119595216191352E-2</v>
      </c>
      <c r="D143" s="13" t="s">
        <v>990</v>
      </c>
      <c r="E143" s="8">
        <f>42/2785</f>
        <v>1.5080789946140035E-2</v>
      </c>
      <c r="F143" s="13" t="s">
        <v>985</v>
      </c>
      <c r="G143" s="8">
        <f>7/369</f>
        <v>1.8970189701897018E-2</v>
      </c>
      <c r="H143" s="7" t="s">
        <v>49</v>
      </c>
      <c r="I143" s="7" t="s">
        <v>50</v>
      </c>
      <c r="J143" s="7" t="s">
        <v>236</v>
      </c>
      <c r="K143" s="11" t="s">
        <v>52</v>
      </c>
      <c r="L143" s="7">
        <v>0.81</v>
      </c>
      <c r="M143" s="7">
        <v>75185</v>
      </c>
      <c r="N143" s="7" t="s">
        <v>1574</v>
      </c>
      <c r="O143" s="7">
        <v>0</v>
      </c>
      <c r="P143" s="7">
        <v>0</v>
      </c>
      <c r="Q143" s="11">
        <v>0.86</v>
      </c>
      <c r="R143" s="12">
        <v>0</v>
      </c>
      <c r="S143" s="8" t="str">
        <f t="shared" si="19"/>
        <v>0</v>
      </c>
      <c r="T143" s="8" t="str">
        <f t="shared" si="20"/>
        <v>0</v>
      </c>
      <c r="U143" s="12">
        <v>0</v>
      </c>
      <c r="V143" s="8" t="str">
        <f t="shared" si="18"/>
        <v>0</v>
      </c>
      <c r="W143" s="8" t="s">
        <v>32</v>
      </c>
      <c r="X143" s="49">
        <v>2727723</v>
      </c>
      <c r="Y143" s="21" t="str">
        <f t="shared" si="21"/>
        <v>2727723</v>
      </c>
      <c r="Z143" s="21">
        <v>25623</v>
      </c>
      <c r="AA143" s="52" t="str">
        <f t="shared" si="22"/>
        <v>25623</v>
      </c>
      <c r="AB143" s="21">
        <v>22245</v>
      </c>
      <c r="AC143" s="21" t="str">
        <f t="shared" si="24"/>
        <v>22245</v>
      </c>
      <c r="AD143" s="21" t="str">
        <f t="shared" si="23"/>
        <v>22245</v>
      </c>
      <c r="AE143" s="7" t="s">
        <v>817</v>
      </c>
      <c r="AF143" s="2" t="str">
        <f t="shared" si="25"/>
        <v>Top Cao</v>
      </c>
    </row>
    <row r="144" spans="1:32">
      <c r="A144" s="7" t="s">
        <v>978</v>
      </c>
      <c r="B144" s="8" t="s">
        <v>979</v>
      </c>
      <c r="C144" s="7">
        <f>144/14131</f>
        <v>1.0190361616304579E-2</v>
      </c>
      <c r="D144" s="9" t="s">
        <v>969</v>
      </c>
      <c r="E144" s="7">
        <f>82/2597</f>
        <v>3.1574894108586833E-2</v>
      </c>
      <c r="F144" s="9" t="s">
        <v>1636</v>
      </c>
      <c r="G144" s="7">
        <f>72/2496</f>
        <v>2.8846153846153848E-2</v>
      </c>
      <c r="H144" s="7" t="s">
        <v>28</v>
      </c>
      <c r="I144" s="7" t="s">
        <v>29</v>
      </c>
      <c r="J144" s="7" t="s">
        <v>981</v>
      </c>
      <c r="K144" s="11" t="s">
        <v>52</v>
      </c>
      <c r="L144" s="11">
        <v>0.37</v>
      </c>
      <c r="M144" s="12">
        <v>72585</v>
      </c>
      <c r="N144" s="7" t="s">
        <v>31</v>
      </c>
      <c r="O144" s="7">
        <v>1260</v>
      </c>
      <c r="P144" s="7">
        <v>28</v>
      </c>
      <c r="Q144" s="11">
        <v>0.96</v>
      </c>
      <c r="R144" s="12">
        <v>33593</v>
      </c>
      <c r="S144" s="8" t="str">
        <f t="shared" si="19"/>
        <v>33593</v>
      </c>
      <c r="T144" s="8" t="str">
        <f t="shared" si="20"/>
        <v>33593</v>
      </c>
      <c r="U144" s="12">
        <v>11537</v>
      </c>
      <c r="V144" s="8" t="str">
        <f t="shared" si="18"/>
        <v>11537</v>
      </c>
      <c r="W144" s="8" t="s">
        <v>32</v>
      </c>
      <c r="X144" s="49">
        <v>2038594</v>
      </c>
      <c r="Y144" s="21" t="str">
        <f t="shared" si="21"/>
        <v>2038594</v>
      </c>
      <c r="Z144" s="21">
        <v>10620</v>
      </c>
      <c r="AA144" s="52" t="str">
        <f t="shared" si="22"/>
        <v>10620</v>
      </c>
      <c r="AB144" s="21">
        <v>9684</v>
      </c>
      <c r="AC144" s="21" t="str">
        <f t="shared" si="24"/>
        <v>9684</v>
      </c>
      <c r="AD144" s="21" t="str">
        <f t="shared" si="23"/>
        <v>9684</v>
      </c>
      <c r="AE144" s="7" t="s">
        <v>817</v>
      </c>
      <c r="AF144" s="2" t="str">
        <f t="shared" si="25"/>
        <v>Top Cao</v>
      </c>
    </row>
    <row r="145" spans="1:32">
      <c r="A145" s="7" t="s">
        <v>1022</v>
      </c>
      <c r="B145" s="8" t="s">
        <v>1620</v>
      </c>
      <c r="C145" s="8">
        <f>145/14131</f>
        <v>1.0261128016417804E-2</v>
      </c>
      <c r="D145" s="13" t="s">
        <v>1619</v>
      </c>
      <c r="E145" s="8">
        <f>83/2597</f>
        <v>3.1959953792837892E-2</v>
      </c>
      <c r="F145" s="13" t="s">
        <v>970</v>
      </c>
      <c r="G145" s="8">
        <f>73/2496</f>
        <v>2.9246794871794872E-2</v>
      </c>
      <c r="H145" s="7" t="s">
        <v>28</v>
      </c>
      <c r="I145" s="7" t="s">
        <v>29</v>
      </c>
      <c r="J145" s="7" t="s">
        <v>887</v>
      </c>
      <c r="K145" s="11" t="s">
        <v>52</v>
      </c>
      <c r="L145" s="7">
        <v>0.13</v>
      </c>
      <c r="M145" s="7">
        <v>49351</v>
      </c>
      <c r="N145" s="7" t="s">
        <v>31</v>
      </c>
      <c r="O145" s="7">
        <v>1268</v>
      </c>
      <c r="P145" s="7">
        <v>28</v>
      </c>
      <c r="Q145" s="11">
        <v>0.9</v>
      </c>
      <c r="R145" s="12">
        <v>24278</v>
      </c>
      <c r="S145" s="8" t="str">
        <f t="shared" si="19"/>
        <v>24278</v>
      </c>
      <c r="T145" s="8" t="str">
        <f t="shared" si="20"/>
        <v>24278</v>
      </c>
      <c r="U145" s="12">
        <v>5565</v>
      </c>
      <c r="V145" s="8" t="str">
        <f t="shared" si="18"/>
        <v>5565</v>
      </c>
      <c r="W145" s="8" t="s">
        <v>32</v>
      </c>
      <c r="X145" s="49">
        <v>1994092</v>
      </c>
      <c r="Y145" s="21" t="str">
        <f t="shared" si="21"/>
        <v>1994092</v>
      </c>
      <c r="Z145" s="21">
        <v>9993</v>
      </c>
      <c r="AA145" s="52" t="str">
        <f t="shared" si="22"/>
        <v>9993</v>
      </c>
      <c r="AB145" s="21">
        <v>10457</v>
      </c>
      <c r="AC145" s="21" t="str">
        <f t="shared" si="24"/>
        <v>10457</v>
      </c>
      <c r="AD145" s="21" t="str">
        <f t="shared" si="23"/>
        <v>10457</v>
      </c>
      <c r="AE145" s="7" t="s">
        <v>817</v>
      </c>
      <c r="AF145" s="2" t="str">
        <f t="shared" si="25"/>
        <v>Top Cao</v>
      </c>
    </row>
    <row r="146" spans="1:32">
      <c r="A146" s="7" t="s">
        <v>1001</v>
      </c>
      <c r="B146" s="8" t="s">
        <v>983</v>
      </c>
      <c r="C146" s="8">
        <f>146/14131</f>
        <v>1.0331894416531031E-2</v>
      </c>
      <c r="D146" s="13" t="s">
        <v>1630</v>
      </c>
      <c r="E146" s="8">
        <f>43/2785</f>
        <v>1.5439856373429085E-2</v>
      </c>
      <c r="F146" s="13" t="s">
        <v>1004</v>
      </c>
      <c r="G146" s="8">
        <f>4/88</f>
        <v>4.5454545454545456E-2</v>
      </c>
      <c r="H146" s="7" t="s">
        <v>49</v>
      </c>
      <c r="I146" s="7" t="s">
        <v>890</v>
      </c>
      <c r="J146" s="7" t="s">
        <v>1012</v>
      </c>
      <c r="K146" s="11" t="s">
        <v>52</v>
      </c>
      <c r="L146" s="7">
        <v>0.06</v>
      </c>
      <c r="M146" s="7">
        <v>100320</v>
      </c>
      <c r="N146" s="7" t="s">
        <v>1629</v>
      </c>
      <c r="O146" s="7">
        <v>0</v>
      </c>
      <c r="P146" s="7">
        <v>0</v>
      </c>
      <c r="Q146" s="11">
        <v>0.62</v>
      </c>
      <c r="R146" s="12">
        <v>0</v>
      </c>
      <c r="S146" s="8" t="str">
        <f t="shared" si="19"/>
        <v>0</v>
      </c>
      <c r="T146" s="8" t="str">
        <f t="shared" si="20"/>
        <v>0</v>
      </c>
      <c r="U146" s="12">
        <v>0</v>
      </c>
      <c r="V146" s="8" t="str">
        <f t="shared" si="18"/>
        <v>0</v>
      </c>
      <c r="W146" s="8" t="s">
        <v>1595</v>
      </c>
      <c r="X146" s="49">
        <v>3316658</v>
      </c>
      <c r="Y146" s="21" t="str">
        <f t="shared" si="21"/>
        <v>3316658</v>
      </c>
      <c r="Z146" s="21">
        <v>26100</v>
      </c>
      <c r="AA146" s="52" t="str">
        <f t="shared" si="22"/>
        <v>26100</v>
      </c>
      <c r="AB146" s="21">
        <v>22456</v>
      </c>
      <c r="AC146" s="21" t="str">
        <f t="shared" si="24"/>
        <v>22456</v>
      </c>
      <c r="AD146" s="21" t="str">
        <f t="shared" si="23"/>
        <v>22456</v>
      </c>
      <c r="AE146" s="7" t="s">
        <v>817</v>
      </c>
      <c r="AF146" s="2" t="str">
        <f t="shared" si="25"/>
        <v>Top Cao</v>
      </c>
    </row>
    <row r="147" spans="1:32">
      <c r="A147" s="7" t="s">
        <v>986</v>
      </c>
      <c r="B147" s="8" t="s">
        <v>987</v>
      </c>
      <c r="C147" s="7">
        <f>147/14131</f>
        <v>1.0402660816644257E-2</v>
      </c>
      <c r="D147" s="8" t="s">
        <v>1634</v>
      </c>
      <c r="E147" s="7">
        <f>44/2785</f>
        <v>1.5798922800718134E-2</v>
      </c>
      <c r="F147" s="9" t="s">
        <v>1030</v>
      </c>
      <c r="G147" s="7">
        <f>8/369</f>
        <v>2.1680216802168022E-2</v>
      </c>
      <c r="H147" s="7" t="s">
        <v>49</v>
      </c>
      <c r="I147" s="7" t="s">
        <v>50</v>
      </c>
      <c r="J147" s="7" t="s">
        <v>958</v>
      </c>
      <c r="K147" s="11" t="s">
        <v>52</v>
      </c>
      <c r="L147" s="11">
        <v>0.18</v>
      </c>
      <c r="M147" s="12">
        <v>75553</v>
      </c>
      <c r="N147" s="7" t="s">
        <v>765</v>
      </c>
      <c r="O147" s="7">
        <v>0</v>
      </c>
      <c r="P147" s="7">
        <v>0</v>
      </c>
      <c r="Q147" s="11">
        <v>0.75</v>
      </c>
      <c r="R147" s="12">
        <v>0</v>
      </c>
      <c r="S147" s="8" t="str">
        <f t="shared" si="19"/>
        <v>0</v>
      </c>
      <c r="T147" s="8" t="str">
        <f t="shared" si="20"/>
        <v>0</v>
      </c>
      <c r="U147" s="12">
        <v>0</v>
      </c>
      <c r="V147" s="8" t="str">
        <f t="shared" si="18"/>
        <v>0</v>
      </c>
      <c r="W147" s="8" t="s">
        <v>32</v>
      </c>
      <c r="X147" s="49">
        <v>1838164</v>
      </c>
      <c r="Y147" s="21" t="str">
        <f t="shared" si="21"/>
        <v>1838164</v>
      </c>
      <c r="Z147" s="21">
        <v>14123</v>
      </c>
      <c r="AA147" s="52" t="str">
        <f t="shared" si="22"/>
        <v>14123</v>
      </c>
      <c r="AB147" s="21">
        <v>23458</v>
      </c>
      <c r="AC147" s="21" t="str">
        <f t="shared" si="24"/>
        <v>23458</v>
      </c>
      <c r="AD147" s="21" t="str">
        <f t="shared" si="23"/>
        <v>23458</v>
      </c>
      <c r="AE147" s="7" t="s">
        <v>817</v>
      </c>
      <c r="AF147" s="2" t="str">
        <f t="shared" si="25"/>
        <v>Top Cao</v>
      </c>
    </row>
    <row r="148" spans="1:32">
      <c r="A148" s="7" t="s">
        <v>992</v>
      </c>
      <c r="B148" s="8" t="s">
        <v>993</v>
      </c>
      <c r="C148" s="7">
        <f>148/14131</f>
        <v>1.0473427216757484E-2</v>
      </c>
      <c r="D148" s="9" t="s">
        <v>885</v>
      </c>
      <c r="E148" s="7">
        <f>13/5830</f>
        <v>2.2298456260720413E-3</v>
      </c>
      <c r="F148" s="9" t="s">
        <v>886</v>
      </c>
      <c r="G148" s="7">
        <f>1/193</f>
        <v>5.1813471502590676E-3</v>
      </c>
      <c r="H148" s="7" t="s">
        <v>103</v>
      </c>
      <c r="I148" s="7" t="s">
        <v>104</v>
      </c>
      <c r="J148" s="7" t="s">
        <v>105</v>
      </c>
      <c r="K148" s="11" t="s">
        <v>52</v>
      </c>
      <c r="L148" s="11">
        <v>0.17</v>
      </c>
      <c r="M148" s="12">
        <v>159527</v>
      </c>
      <c r="N148" s="7" t="s">
        <v>1631</v>
      </c>
      <c r="O148" s="7">
        <v>0</v>
      </c>
      <c r="P148" s="7">
        <v>0</v>
      </c>
      <c r="Q148" s="11">
        <v>0.56000000000000005</v>
      </c>
      <c r="R148" s="12">
        <v>0</v>
      </c>
      <c r="S148" s="8" t="str">
        <f t="shared" si="19"/>
        <v>0</v>
      </c>
      <c r="T148" s="8" t="str">
        <f t="shared" si="20"/>
        <v>0</v>
      </c>
      <c r="U148" s="12">
        <v>0</v>
      </c>
      <c r="V148" s="8" t="str">
        <f t="shared" si="18"/>
        <v>0</v>
      </c>
      <c r="W148" s="8" t="s">
        <v>32</v>
      </c>
      <c r="X148" s="49">
        <v>3610436</v>
      </c>
      <c r="Y148" s="21" t="str">
        <f t="shared" si="21"/>
        <v>3610436</v>
      </c>
      <c r="Z148" s="21">
        <v>28256</v>
      </c>
      <c r="AA148" s="52" t="str">
        <f t="shared" si="22"/>
        <v>28256</v>
      </c>
      <c r="AB148" s="21">
        <v>26453</v>
      </c>
      <c r="AC148" s="21" t="str">
        <f t="shared" si="24"/>
        <v>26453</v>
      </c>
      <c r="AD148" s="21" t="str">
        <f t="shared" si="23"/>
        <v>26453</v>
      </c>
      <c r="AE148" s="7" t="s">
        <v>817</v>
      </c>
      <c r="AF148" s="2" t="str">
        <f t="shared" si="25"/>
        <v>Top Cao</v>
      </c>
    </row>
    <row r="149" spans="1:32">
      <c r="A149" s="7" t="s">
        <v>866</v>
      </c>
      <c r="B149" s="8" t="s">
        <v>995</v>
      </c>
      <c r="C149" s="8">
        <f>149/14131</f>
        <v>1.0544193616870709E-2</v>
      </c>
      <c r="D149" s="13" t="s">
        <v>1665</v>
      </c>
      <c r="E149" s="8">
        <f>84/2597</f>
        <v>3.2345013477088951E-2</v>
      </c>
      <c r="F149" s="13" t="s">
        <v>1664</v>
      </c>
      <c r="G149" s="8">
        <f>74/2496</f>
        <v>2.9647435897435896E-2</v>
      </c>
      <c r="H149" s="7" t="s">
        <v>28</v>
      </c>
      <c r="I149" s="7" t="s">
        <v>29</v>
      </c>
      <c r="J149" s="7" t="s">
        <v>282</v>
      </c>
      <c r="K149" s="7" t="s">
        <v>52</v>
      </c>
      <c r="L149" s="7">
        <v>0.25</v>
      </c>
      <c r="M149" s="7">
        <v>71719</v>
      </c>
      <c r="N149" s="7" t="s">
        <v>31</v>
      </c>
      <c r="O149" s="7">
        <v>1210</v>
      </c>
      <c r="P149" s="7">
        <v>25</v>
      </c>
      <c r="Q149" s="11">
        <v>0.86</v>
      </c>
      <c r="R149" s="12">
        <v>19158</v>
      </c>
      <c r="S149" s="8" t="str">
        <f t="shared" si="19"/>
        <v>19158</v>
      </c>
      <c r="T149" s="8" t="str">
        <f t="shared" si="20"/>
        <v>19158</v>
      </c>
      <c r="U149" s="12">
        <v>7622</v>
      </c>
      <c r="V149" s="8" t="str">
        <f t="shared" si="18"/>
        <v>7622</v>
      </c>
      <c r="W149" s="8" t="s">
        <v>32</v>
      </c>
      <c r="X149" s="49">
        <v>1868775</v>
      </c>
      <c r="Y149" s="21" t="str">
        <f t="shared" si="21"/>
        <v>1868775</v>
      </c>
      <c r="Z149" s="21">
        <v>10408</v>
      </c>
      <c r="AA149" s="52" t="str">
        <f t="shared" si="22"/>
        <v>10408</v>
      </c>
      <c r="AB149" s="21">
        <v>9989</v>
      </c>
      <c r="AC149" s="21" t="str">
        <f t="shared" si="24"/>
        <v>9989</v>
      </c>
      <c r="AD149" s="21" t="str">
        <f t="shared" si="23"/>
        <v>9989</v>
      </c>
      <c r="AE149" s="7" t="s">
        <v>817</v>
      </c>
      <c r="AF149" s="2" t="str">
        <f t="shared" si="25"/>
        <v>Top Cao</v>
      </c>
    </row>
    <row r="150" spans="1:32">
      <c r="A150" s="7" t="s">
        <v>998</v>
      </c>
      <c r="B150" s="8" t="s">
        <v>999</v>
      </c>
      <c r="C150" s="7">
        <f>150/14131</f>
        <v>1.0614960016983936E-2</v>
      </c>
      <c r="D150" s="9" t="s">
        <v>1003</v>
      </c>
      <c r="E150" s="7">
        <f>45/2785</f>
        <v>1.615798922800718E-2</v>
      </c>
      <c r="F150" s="20" t="s">
        <v>1048</v>
      </c>
      <c r="G150" s="7">
        <f>2/75</f>
        <v>2.6666666666666668E-2</v>
      </c>
      <c r="H150" s="7" t="s">
        <v>49</v>
      </c>
      <c r="I150" s="7" t="s">
        <v>802</v>
      </c>
      <c r="J150" s="7" t="s">
        <v>1000</v>
      </c>
      <c r="K150" s="11" t="s">
        <v>52</v>
      </c>
      <c r="L150" s="11">
        <v>0.77</v>
      </c>
      <c r="M150" s="12">
        <v>103801</v>
      </c>
      <c r="N150" s="7" t="s">
        <v>187</v>
      </c>
      <c r="O150" s="7">
        <v>0</v>
      </c>
      <c r="P150" s="7">
        <v>0</v>
      </c>
      <c r="Q150" s="11">
        <v>0.78</v>
      </c>
      <c r="R150" s="12">
        <v>0</v>
      </c>
      <c r="S150" s="8" t="str">
        <f t="shared" si="19"/>
        <v>0</v>
      </c>
      <c r="T150" s="8" t="str">
        <f t="shared" si="20"/>
        <v>0</v>
      </c>
      <c r="U150" s="12">
        <v>0</v>
      </c>
      <c r="V150" s="8" t="str">
        <f t="shared" si="18"/>
        <v>0</v>
      </c>
      <c r="W150" s="8" t="s">
        <v>395</v>
      </c>
      <c r="X150" s="49">
        <v>1770269</v>
      </c>
      <c r="Y150" s="21" t="str">
        <f t="shared" si="21"/>
        <v>1770269</v>
      </c>
      <c r="Z150" s="21">
        <v>11569</v>
      </c>
      <c r="AA150" s="52" t="str">
        <f t="shared" si="22"/>
        <v>11569</v>
      </c>
      <c r="AB150" s="21">
        <v>12589</v>
      </c>
      <c r="AC150" s="21" t="str">
        <f t="shared" si="24"/>
        <v>12589</v>
      </c>
      <c r="AD150" s="21" t="str">
        <f t="shared" si="23"/>
        <v>12589</v>
      </c>
      <c r="AE150" s="7" t="s">
        <v>817</v>
      </c>
      <c r="AF150" s="2" t="str">
        <f t="shared" si="25"/>
        <v>Top Cao</v>
      </c>
    </row>
    <row r="151" spans="1:32">
      <c r="A151" s="7" t="s">
        <v>1007</v>
      </c>
      <c r="B151" s="8" t="s">
        <v>1002</v>
      </c>
      <c r="C151" s="7">
        <f>151/14131</f>
        <v>1.0685726417097162E-2</v>
      </c>
      <c r="D151" s="9" t="s">
        <v>1432</v>
      </c>
      <c r="E151" s="7">
        <f>14/5830</f>
        <v>2.4013722126929675E-3</v>
      </c>
      <c r="F151" s="20" t="s">
        <v>717</v>
      </c>
      <c r="G151" s="7">
        <f>1/36</f>
        <v>2.7777777777777776E-2</v>
      </c>
      <c r="H151" s="7" t="s">
        <v>103</v>
      </c>
      <c r="I151" s="7" t="s">
        <v>826</v>
      </c>
      <c r="J151" s="7" t="s">
        <v>1008</v>
      </c>
      <c r="K151" s="11" t="s">
        <v>52</v>
      </c>
      <c r="L151" s="11">
        <v>0.34</v>
      </c>
      <c r="M151" s="12">
        <v>101205</v>
      </c>
      <c r="N151" s="7" t="s">
        <v>1628</v>
      </c>
      <c r="O151" s="7">
        <v>0</v>
      </c>
      <c r="P151" s="7">
        <v>0</v>
      </c>
      <c r="Q151" s="11">
        <v>0.92</v>
      </c>
      <c r="R151" s="12">
        <v>0</v>
      </c>
      <c r="S151" s="8" t="str">
        <f t="shared" si="19"/>
        <v>0</v>
      </c>
      <c r="T151" s="8" t="str">
        <f t="shared" si="20"/>
        <v>0</v>
      </c>
      <c r="U151" s="12">
        <v>0</v>
      </c>
      <c r="V151" s="8" t="str">
        <f t="shared" si="18"/>
        <v>0</v>
      </c>
      <c r="W151" s="8" t="s">
        <v>32</v>
      </c>
      <c r="X151" s="49">
        <v>3213343</v>
      </c>
      <c r="Y151" s="21" t="str">
        <f t="shared" si="21"/>
        <v>3213343</v>
      </c>
      <c r="Z151" s="21">
        <v>25162</v>
      </c>
      <c r="AA151" s="52" t="str">
        <f t="shared" si="22"/>
        <v>25162</v>
      </c>
      <c r="AB151" s="21">
        <v>22158</v>
      </c>
      <c r="AC151" s="21" t="str">
        <f t="shared" si="24"/>
        <v>22158</v>
      </c>
      <c r="AD151" s="21" t="str">
        <f t="shared" si="23"/>
        <v>22158</v>
      </c>
      <c r="AE151" s="7" t="s">
        <v>1006</v>
      </c>
      <c r="AF151" s="2" t="str">
        <f t="shared" si="25"/>
        <v>Top Thấp</v>
      </c>
    </row>
    <row r="152" spans="1:32">
      <c r="A152" s="33" t="s">
        <v>1009</v>
      </c>
      <c r="B152" s="8" t="s">
        <v>1010</v>
      </c>
      <c r="C152" s="7">
        <f>152/14131</f>
        <v>1.0756492817210389E-2</v>
      </c>
      <c r="D152" s="9" t="s">
        <v>1627</v>
      </c>
      <c r="E152" s="7">
        <f>46/2785</f>
        <v>1.651705565529623E-2</v>
      </c>
      <c r="F152" s="20" t="s">
        <v>1626</v>
      </c>
      <c r="G152" s="7">
        <f>2/27</f>
        <v>7.407407407407407E-2</v>
      </c>
      <c r="H152" s="7" t="s">
        <v>49</v>
      </c>
      <c r="I152" s="7" t="s">
        <v>635</v>
      </c>
      <c r="J152" s="7" t="s">
        <v>1005</v>
      </c>
      <c r="K152" s="11" t="s">
        <v>52</v>
      </c>
      <c r="L152" s="11">
        <v>0.42</v>
      </c>
      <c r="M152" s="12">
        <v>110883</v>
      </c>
      <c r="N152" s="7" t="s">
        <v>1625</v>
      </c>
      <c r="O152" s="7">
        <v>0</v>
      </c>
      <c r="P152" s="7">
        <v>0</v>
      </c>
      <c r="Q152" s="11">
        <v>0.77</v>
      </c>
      <c r="R152" s="12">
        <v>0</v>
      </c>
      <c r="S152" s="8" t="str">
        <f t="shared" si="19"/>
        <v>0</v>
      </c>
      <c r="T152" s="8" t="str">
        <f t="shared" si="20"/>
        <v>0</v>
      </c>
      <c r="U152" s="12">
        <v>0</v>
      </c>
      <c r="V152" s="8" t="str">
        <f t="shared" si="18"/>
        <v>0</v>
      </c>
      <c r="W152" s="8" t="s">
        <v>395</v>
      </c>
      <c r="X152" s="49">
        <v>2993222</v>
      </c>
      <c r="Y152" s="21" t="str">
        <f t="shared" si="21"/>
        <v>2993222</v>
      </c>
      <c r="Z152" s="21">
        <v>16512</v>
      </c>
      <c r="AA152" s="52" t="str">
        <f t="shared" si="22"/>
        <v>16512</v>
      </c>
      <c r="AB152" s="21">
        <v>11125</v>
      </c>
      <c r="AC152" s="21" t="str">
        <f t="shared" si="24"/>
        <v>11125</v>
      </c>
      <c r="AD152" s="21" t="str">
        <f t="shared" si="23"/>
        <v>11125</v>
      </c>
      <c r="AE152" s="7" t="s">
        <v>1006</v>
      </c>
      <c r="AF152" s="2" t="str">
        <f t="shared" si="25"/>
        <v>Top Thấp</v>
      </c>
    </row>
    <row r="153" spans="1:32">
      <c r="A153" s="7" t="s">
        <v>1017</v>
      </c>
      <c r="B153" s="8" t="s">
        <v>1623</v>
      </c>
      <c r="C153" s="8">
        <f>153/14131</f>
        <v>1.0827259217323615E-2</v>
      </c>
      <c r="D153" s="13" t="s">
        <v>1622</v>
      </c>
      <c r="E153" s="8">
        <f>47/2785</f>
        <v>1.6876122082585279E-2</v>
      </c>
      <c r="F153" s="13" t="s">
        <v>1621</v>
      </c>
      <c r="G153" s="8">
        <f>9/369</f>
        <v>2.4390243902439025E-2</v>
      </c>
      <c r="H153" s="7" t="s">
        <v>49</v>
      </c>
      <c r="I153" s="7" t="s">
        <v>50</v>
      </c>
      <c r="J153" s="7" t="s">
        <v>236</v>
      </c>
      <c r="K153" s="11" t="s">
        <v>52</v>
      </c>
      <c r="L153" s="7">
        <v>0.14000000000000001</v>
      </c>
      <c r="M153" s="7">
        <v>68881</v>
      </c>
      <c r="N153" s="7" t="s">
        <v>1574</v>
      </c>
      <c r="O153" s="7">
        <v>0</v>
      </c>
      <c r="P153" s="7">
        <v>0</v>
      </c>
      <c r="Q153" s="11">
        <v>0.78</v>
      </c>
      <c r="R153" s="12">
        <v>0</v>
      </c>
      <c r="S153" s="8" t="str">
        <f t="shared" si="19"/>
        <v>0</v>
      </c>
      <c r="T153" s="8" t="str">
        <f t="shared" si="20"/>
        <v>0</v>
      </c>
      <c r="U153" s="12">
        <v>0</v>
      </c>
      <c r="V153" s="8" t="str">
        <f t="shared" si="18"/>
        <v>0</v>
      </c>
      <c r="W153" s="8" t="s">
        <v>32</v>
      </c>
      <c r="X153" s="49">
        <v>2598208</v>
      </c>
      <c r="Y153" s="21" t="str">
        <f t="shared" si="21"/>
        <v>2598208</v>
      </c>
      <c r="Z153" s="21">
        <v>5000</v>
      </c>
      <c r="AA153" s="52" t="str">
        <f t="shared" si="22"/>
        <v>5000</v>
      </c>
      <c r="AB153" s="21">
        <v>4569</v>
      </c>
      <c r="AC153" s="21" t="str">
        <f t="shared" si="24"/>
        <v>4569</v>
      </c>
      <c r="AD153" s="21" t="str">
        <f t="shared" si="23"/>
        <v>4569</v>
      </c>
      <c r="AE153" s="7" t="s">
        <v>1006</v>
      </c>
      <c r="AF153" s="2" t="str">
        <f t="shared" si="25"/>
        <v>Top Thấp</v>
      </c>
    </row>
    <row r="154" spans="1:32">
      <c r="A154" s="7" t="s">
        <v>994</v>
      </c>
      <c r="B154" s="8" t="s">
        <v>1014</v>
      </c>
      <c r="C154" s="8">
        <f>154/14131</f>
        <v>1.0898025617436842E-2</v>
      </c>
      <c r="D154" s="13" t="s">
        <v>996</v>
      </c>
      <c r="E154" s="8">
        <f>85/2597</f>
        <v>3.2730073161340009E-2</v>
      </c>
      <c r="F154" s="13" t="s">
        <v>997</v>
      </c>
      <c r="G154" s="8">
        <f>75/2496</f>
        <v>3.0048076923076924E-2</v>
      </c>
      <c r="H154" s="7" t="s">
        <v>28</v>
      </c>
      <c r="I154" s="7" t="s">
        <v>29</v>
      </c>
      <c r="J154" s="7" t="s">
        <v>443</v>
      </c>
      <c r="K154" s="11" t="s">
        <v>68</v>
      </c>
      <c r="L154" s="7">
        <v>0.87</v>
      </c>
      <c r="M154" s="7">
        <v>52681</v>
      </c>
      <c r="N154" s="7" t="s">
        <v>31</v>
      </c>
      <c r="O154" s="7">
        <v>1480</v>
      </c>
      <c r="P154" s="7">
        <v>34</v>
      </c>
      <c r="Q154" s="11">
        <v>0.68</v>
      </c>
      <c r="R154" s="12">
        <v>8973</v>
      </c>
      <c r="S154" s="8" t="str">
        <f t="shared" si="19"/>
        <v>8973</v>
      </c>
      <c r="T154" s="8" t="str">
        <f t="shared" si="20"/>
        <v>8973</v>
      </c>
      <c r="U154" s="12">
        <v>4166</v>
      </c>
      <c r="V154" s="8" t="str">
        <f t="shared" si="18"/>
        <v>4166</v>
      </c>
      <c r="W154" s="8" t="s">
        <v>32</v>
      </c>
      <c r="X154" s="49">
        <v>1769898</v>
      </c>
      <c r="Y154" s="21" t="str">
        <f t="shared" si="21"/>
        <v>1769898</v>
      </c>
      <c r="Z154" s="21">
        <v>46306</v>
      </c>
      <c r="AA154" s="52" t="str">
        <f t="shared" si="22"/>
        <v>46306</v>
      </c>
      <c r="AB154" s="21">
        <v>30513</v>
      </c>
      <c r="AC154" s="21" t="str">
        <f t="shared" si="24"/>
        <v>30513</v>
      </c>
      <c r="AD154" s="21" t="str">
        <f t="shared" si="23"/>
        <v>30513</v>
      </c>
      <c r="AE154" s="7" t="s">
        <v>1006</v>
      </c>
      <c r="AF154" s="2" t="str">
        <f t="shared" si="25"/>
        <v>Top Thấp</v>
      </c>
    </row>
    <row r="155" spans="1:32">
      <c r="A155" s="7" t="s">
        <v>1020</v>
      </c>
      <c r="B155" s="8" t="s">
        <v>1018</v>
      </c>
      <c r="C155" s="7">
        <f>155/14131</f>
        <v>1.0968792017550067E-2</v>
      </c>
      <c r="D155" s="9" t="s">
        <v>1019</v>
      </c>
      <c r="E155" s="7">
        <f>48/2785</f>
        <v>1.7235188509874325E-2</v>
      </c>
      <c r="F155" s="9" t="s">
        <v>1117</v>
      </c>
      <c r="G155" s="7">
        <f>16/163</f>
        <v>9.815950920245399E-2</v>
      </c>
      <c r="H155" s="7" t="s">
        <v>49</v>
      </c>
      <c r="I155" s="7" t="s">
        <v>139</v>
      </c>
      <c r="J155" s="7" t="s">
        <v>220</v>
      </c>
      <c r="K155" s="11" t="s">
        <v>52</v>
      </c>
      <c r="L155" s="11">
        <v>0.09</v>
      </c>
      <c r="M155" s="12">
        <v>50264</v>
      </c>
      <c r="N155" s="7" t="s">
        <v>31</v>
      </c>
      <c r="O155" s="7">
        <v>0</v>
      </c>
      <c r="P155" s="7">
        <v>0</v>
      </c>
      <c r="Q155" s="11">
        <v>0.62</v>
      </c>
      <c r="R155" s="12">
        <v>0</v>
      </c>
      <c r="S155" s="8" t="str">
        <f t="shared" si="19"/>
        <v>0</v>
      </c>
      <c r="T155" s="8" t="str">
        <f t="shared" si="20"/>
        <v>0</v>
      </c>
      <c r="U155" s="12">
        <v>0</v>
      </c>
      <c r="V155" s="8" t="str">
        <f t="shared" si="18"/>
        <v>0</v>
      </c>
      <c r="W155" s="8" t="s">
        <v>32</v>
      </c>
      <c r="X155" s="49">
        <v>1071381</v>
      </c>
      <c r="Y155" s="21" t="str">
        <f t="shared" si="21"/>
        <v>1071381</v>
      </c>
      <c r="Z155" s="21">
        <v>31500</v>
      </c>
      <c r="AA155" s="52" t="str">
        <f t="shared" si="22"/>
        <v>31500</v>
      </c>
      <c r="AB155" s="21">
        <v>23500</v>
      </c>
      <c r="AC155" s="21" t="str">
        <f t="shared" si="24"/>
        <v>23500</v>
      </c>
      <c r="AD155" s="21" t="str">
        <f t="shared" si="23"/>
        <v>23500</v>
      </c>
      <c r="AE155" s="7" t="s">
        <v>1006</v>
      </c>
      <c r="AF155" s="2" t="str">
        <f t="shared" si="25"/>
        <v>Top Thấp</v>
      </c>
    </row>
    <row r="156" spans="1:32">
      <c r="A156" s="7" t="s">
        <v>967</v>
      </c>
      <c r="B156" s="8" t="s">
        <v>1023</v>
      </c>
      <c r="C156" s="8">
        <f>156/14131</f>
        <v>1.1039558417663294E-2</v>
      </c>
      <c r="D156" s="13" t="s">
        <v>1015</v>
      </c>
      <c r="E156" s="8">
        <f>86/2597</f>
        <v>3.3115132845591068E-2</v>
      </c>
      <c r="F156" s="13" t="s">
        <v>1016</v>
      </c>
      <c r="G156" s="8">
        <f>76/2496</f>
        <v>3.0448717948717948E-2</v>
      </c>
      <c r="H156" s="7" t="s">
        <v>28</v>
      </c>
      <c r="I156" s="7" t="s">
        <v>29</v>
      </c>
      <c r="J156" s="7" t="s">
        <v>627</v>
      </c>
      <c r="K156" s="11" t="s">
        <v>52</v>
      </c>
      <c r="L156" s="7">
        <v>0.75</v>
      </c>
      <c r="M156" s="7">
        <v>76418</v>
      </c>
      <c r="N156" s="7" t="s">
        <v>31</v>
      </c>
      <c r="O156" s="7">
        <v>1255</v>
      </c>
      <c r="P156" s="7">
        <v>28</v>
      </c>
      <c r="Q156" s="11">
        <v>0.92</v>
      </c>
      <c r="R156" s="12">
        <v>25067</v>
      </c>
      <c r="S156" s="8" t="str">
        <f t="shared" si="19"/>
        <v>25067</v>
      </c>
      <c r="T156" s="8" t="str">
        <f t="shared" si="20"/>
        <v>25067</v>
      </c>
      <c r="U156" s="12">
        <v>6634</v>
      </c>
      <c r="V156" s="8" t="str">
        <f t="shared" si="18"/>
        <v>6634</v>
      </c>
      <c r="W156" s="8" t="s">
        <v>32</v>
      </c>
      <c r="X156" s="49">
        <v>2462531</v>
      </c>
      <c r="Y156" s="21" t="str">
        <f t="shared" si="21"/>
        <v>2462531</v>
      </c>
      <c r="Z156" s="21">
        <v>10884</v>
      </c>
      <c r="AA156" s="52" t="str">
        <f t="shared" si="22"/>
        <v>10884</v>
      </c>
      <c r="AB156" s="21">
        <v>11468</v>
      </c>
      <c r="AC156" s="21" t="str">
        <f t="shared" si="24"/>
        <v>11468</v>
      </c>
      <c r="AD156" s="21" t="str">
        <f t="shared" si="23"/>
        <v>11468</v>
      </c>
      <c r="AE156" s="7" t="s">
        <v>1006</v>
      </c>
      <c r="AF156" s="2" t="str">
        <f t="shared" si="25"/>
        <v>Top Thấp</v>
      </c>
    </row>
    <row r="157" spans="1:32">
      <c r="A157" s="7" t="s">
        <v>1026</v>
      </c>
      <c r="B157" s="8" t="s">
        <v>1027</v>
      </c>
      <c r="C157" s="7">
        <f>157/14131</f>
        <v>1.111032481777652E-2</v>
      </c>
      <c r="D157" s="9" t="s">
        <v>921</v>
      </c>
      <c r="E157" s="7">
        <f>15/5830</f>
        <v>2.5728987993138938E-3</v>
      </c>
      <c r="F157" s="9" t="s">
        <v>922</v>
      </c>
      <c r="G157" s="7">
        <f>5/719</f>
        <v>6.954102920723227E-3</v>
      </c>
      <c r="H157" s="7" t="s">
        <v>103</v>
      </c>
      <c r="I157" s="7" t="s">
        <v>176</v>
      </c>
      <c r="J157" s="7" t="s">
        <v>177</v>
      </c>
      <c r="K157" s="11" t="s">
        <v>68</v>
      </c>
      <c r="L157" s="11">
        <v>0.24</v>
      </c>
      <c r="M157" s="12">
        <v>86734</v>
      </c>
      <c r="N157" s="7" t="s">
        <v>1581</v>
      </c>
      <c r="O157" s="7">
        <v>1289</v>
      </c>
      <c r="P157" s="7">
        <v>27</v>
      </c>
      <c r="Q157" s="11">
        <v>0.81</v>
      </c>
      <c r="R157" s="12">
        <v>35452</v>
      </c>
      <c r="S157" s="8" t="str">
        <f t="shared" si="19"/>
        <v>35452</v>
      </c>
      <c r="T157" s="8" t="str">
        <f t="shared" si="20"/>
        <v>35452</v>
      </c>
      <c r="U157" s="12">
        <v>19852</v>
      </c>
      <c r="V157" s="8" t="str">
        <f t="shared" si="18"/>
        <v>19852</v>
      </c>
      <c r="W157" s="8" t="s">
        <v>395</v>
      </c>
      <c r="X157" s="49">
        <v>1467421</v>
      </c>
      <c r="Y157" s="21" t="str">
        <f t="shared" si="21"/>
        <v>1467421</v>
      </c>
      <c r="Z157" s="21">
        <v>10100</v>
      </c>
      <c r="AA157" s="52" t="str">
        <f t="shared" si="22"/>
        <v>10100</v>
      </c>
      <c r="AB157" s="21">
        <v>9000</v>
      </c>
      <c r="AC157" s="21" t="str">
        <f t="shared" si="24"/>
        <v>9000</v>
      </c>
      <c r="AD157" s="21" t="str">
        <f t="shared" si="23"/>
        <v>9000</v>
      </c>
      <c r="AE157" s="7" t="s">
        <v>1006</v>
      </c>
      <c r="AF157" s="2" t="str">
        <f t="shared" si="25"/>
        <v>Top Thấp</v>
      </c>
    </row>
    <row r="158" spans="1:32">
      <c r="A158" s="7" t="s">
        <v>1028</v>
      </c>
      <c r="B158" s="8" t="s">
        <v>1029</v>
      </c>
      <c r="C158" s="7">
        <f>158/14131</f>
        <v>1.1181091217889745E-2</v>
      </c>
      <c r="D158" s="9" t="s">
        <v>1327</v>
      </c>
      <c r="E158" s="7">
        <f>16/5830</f>
        <v>2.7444253859348197E-3</v>
      </c>
      <c r="F158" s="9" t="s">
        <v>1328</v>
      </c>
      <c r="G158" s="7">
        <f>6/719</f>
        <v>8.3449235048678721E-3</v>
      </c>
      <c r="H158" s="7" t="s">
        <v>103</v>
      </c>
      <c r="I158" s="7" t="s">
        <v>176</v>
      </c>
      <c r="J158" s="7" t="s">
        <v>832</v>
      </c>
      <c r="K158" s="11" t="s">
        <v>52</v>
      </c>
      <c r="L158" s="11">
        <v>0.36</v>
      </c>
      <c r="M158" s="12">
        <v>133141</v>
      </c>
      <c r="N158" s="7" t="s">
        <v>1581</v>
      </c>
      <c r="O158" s="7">
        <v>1312</v>
      </c>
      <c r="P158" s="7">
        <v>28</v>
      </c>
      <c r="Q158" s="11">
        <v>0.86</v>
      </c>
      <c r="R158" s="12">
        <v>25641</v>
      </c>
      <c r="S158" s="8" t="str">
        <f t="shared" si="19"/>
        <v>25641</v>
      </c>
      <c r="T158" s="8" t="str">
        <f t="shared" si="20"/>
        <v>25641</v>
      </c>
      <c r="U158" s="12">
        <v>15812</v>
      </c>
      <c r="V158" s="8" t="str">
        <f t="shared" si="18"/>
        <v>15812</v>
      </c>
      <c r="W158" s="8" t="s">
        <v>32</v>
      </c>
      <c r="X158" s="49">
        <v>2472642</v>
      </c>
      <c r="Y158" s="21" t="str">
        <f t="shared" si="21"/>
        <v>2472642</v>
      </c>
      <c r="Z158" s="21">
        <v>24100</v>
      </c>
      <c r="AA158" s="52" t="str">
        <f t="shared" si="22"/>
        <v>24100</v>
      </c>
      <c r="AB158" s="21">
        <v>22000</v>
      </c>
      <c r="AC158" s="21" t="str">
        <f t="shared" si="24"/>
        <v>22000</v>
      </c>
      <c r="AD158" s="21" t="str">
        <f t="shared" si="23"/>
        <v>22000</v>
      </c>
      <c r="AE158" s="7" t="s">
        <v>1006</v>
      </c>
      <c r="AF158" s="2" t="str">
        <f t="shared" si="25"/>
        <v>Top Thấp</v>
      </c>
    </row>
    <row r="159" spans="1:32">
      <c r="A159" s="7" t="s">
        <v>1031</v>
      </c>
      <c r="B159" s="8" t="s">
        <v>1032</v>
      </c>
      <c r="C159" s="7">
        <f>159/14131</f>
        <v>1.1251857618002972E-2</v>
      </c>
      <c r="D159" s="9" t="s">
        <v>1618</v>
      </c>
      <c r="E159" s="7">
        <f>49/2785</f>
        <v>1.7594254937163375E-2</v>
      </c>
      <c r="F159" s="9" t="s">
        <v>1021</v>
      </c>
      <c r="G159" s="7">
        <f>17/163</f>
        <v>0.10429447852760736</v>
      </c>
      <c r="H159" s="7" t="s">
        <v>49</v>
      </c>
      <c r="I159" s="7" t="s">
        <v>139</v>
      </c>
      <c r="J159" s="7" t="s">
        <v>140</v>
      </c>
      <c r="K159" s="11" t="s">
        <v>52</v>
      </c>
      <c r="L159" s="11">
        <v>0.87</v>
      </c>
      <c r="M159" s="12">
        <v>98609</v>
      </c>
      <c r="N159" s="7" t="s">
        <v>31</v>
      </c>
      <c r="O159" s="7">
        <v>1356</v>
      </c>
      <c r="P159" s="7">
        <v>35</v>
      </c>
      <c r="Q159" s="11">
        <v>0.75</v>
      </c>
      <c r="R159" s="12">
        <v>26123</v>
      </c>
      <c r="S159" s="8" t="str">
        <f t="shared" si="19"/>
        <v>26123</v>
      </c>
      <c r="T159" s="8" t="str">
        <f t="shared" si="20"/>
        <v>26123</v>
      </c>
      <c r="U159" s="12">
        <v>16426</v>
      </c>
      <c r="V159" s="8" t="str">
        <f t="shared" si="18"/>
        <v>16426</v>
      </c>
      <c r="W159" s="8" t="s">
        <v>32</v>
      </c>
      <c r="X159" s="49">
        <v>2818070</v>
      </c>
      <c r="Y159" s="21" t="str">
        <f t="shared" si="21"/>
        <v>2818070</v>
      </c>
      <c r="Z159" s="21">
        <v>24500</v>
      </c>
      <c r="AA159" s="52" t="str">
        <f t="shared" si="22"/>
        <v>24500</v>
      </c>
      <c r="AB159" s="21">
        <v>21500</v>
      </c>
      <c r="AC159" s="21" t="str">
        <f t="shared" si="24"/>
        <v>21500</v>
      </c>
      <c r="AD159" s="21" t="str">
        <f t="shared" si="23"/>
        <v>21500</v>
      </c>
      <c r="AE159" s="7" t="s">
        <v>1006</v>
      </c>
      <c r="AF159" s="2" t="str">
        <f t="shared" si="25"/>
        <v>Top Thấp</v>
      </c>
    </row>
    <row r="160" spans="1:32">
      <c r="A160" s="7" t="s">
        <v>1132</v>
      </c>
      <c r="B160" s="8" t="s">
        <v>1588</v>
      </c>
      <c r="C160" s="8">
        <f>160/14131</f>
        <v>1.1322624018116198E-2</v>
      </c>
      <c r="D160" s="13" t="s">
        <v>1024</v>
      </c>
      <c r="E160" s="8">
        <f>87/2597</f>
        <v>3.3500192529842127E-2</v>
      </c>
      <c r="F160" s="13" t="s">
        <v>1025</v>
      </c>
      <c r="G160" s="8">
        <f>77/2496</f>
        <v>3.0849358974358976E-2</v>
      </c>
      <c r="H160" s="7" t="s">
        <v>28</v>
      </c>
      <c r="I160" s="7" t="s">
        <v>29</v>
      </c>
      <c r="J160" s="7" t="s">
        <v>855</v>
      </c>
      <c r="K160" s="11" t="s">
        <v>52</v>
      </c>
      <c r="L160" s="7">
        <v>0.14000000000000001</v>
      </c>
      <c r="M160" s="7">
        <v>66150</v>
      </c>
      <c r="N160" s="7" t="s">
        <v>31</v>
      </c>
      <c r="O160" s="7">
        <v>1250</v>
      </c>
      <c r="P160" s="7">
        <v>27</v>
      </c>
      <c r="Q160" s="11">
        <v>0.85</v>
      </c>
      <c r="R160" s="12">
        <v>28968</v>
      </c>
      <c r="S160" s="8" t="str">
        <f t="shared" si="19"/>
        <v>28968</v>
      </c>
      <c r="T160" s="8" t="str">
        <f t="shared" si="20"/>
        <v>28968</v>
      </c>
      <c r="U160" s="12">
        <v>1361</v>
      </c>
      <c r="V160" s="8" t="str">
        <f t="shared" si="18"/>
        <v>1361</v>
      </c>
      <c r="W160" s="8" t="s">
        <v>32</v>
      </c>
      <c r="X160" s="49">
        <v>2494556</v>
      </c>
      <c r="Y160" s="21" t="str">
        <f t="shared" si="21"/>
        <v>2494556</v>
      </c>
      <c r="Z160" s="21">
        <v>6980</v>
      </c>
      <c r="AA160" s="52" t="str">
        <f t="shared" si="22"/>
        <v>6980</v>
      </c>
      <c r="AB160" s="21">
        <v>13224</v>
      </c>
      <c r="AC160" s="21" t="str">
        <f t="shared" si="24"/>
        <v>13224</v>
      </c>
      <c r="AD160" s="21" t="str">
        <f t="shared" si="23"/>
        <v>13224</v>
      </c>
      <c r="AE160" s="7" t="s">
        <v>1006</v>
      </c>
      <c r="AF160" s="2" t="str">
        <f t="shared" si="25"/>
        <v>Top Thấp</v>
      </c>
    </row>
    <row r="161" spans="1:32">
      <c r="A161" s="7" t="s">
        <v>1038</v>
      </c>
      <c r="B161" s="8" t="s">
        <v>1034</v>
      </c>
      <c r="C161" s="7">
        <f>161/14131</f>
        <v>1.1393390418229425E-2</v>
      </c>
      <c r="D161" s="9" t="s">
        <v>1169</v>
      </c>
      <c r="E161" s="7">
        <f>88/2597</f>
        <v>3.3885252214093185E-2</v>
      </c>
      <c r="F161" s="9" t="s">
        <v>1179</v>
      </c>
      <c r="G161" s="7">
        <f>78/2496</f>
        <v>3.125E-2</v>
      </c>
      <c r="H161" s="7" t="s">
        <v>28</v>
      </c>
      <c r="I161" s="7" t="s">
        <v>29</v>
      </c>
      <c r="J161" s="7" t="s">
        <v>1041</v>
      </c>
      <c r="K161" s="11" t="s">
        <v>68</v>
      </c>
      <c r="L161" s="11">
        <v>0.06</v>
      </c>
      <c r="M161" s="12">
        <v>53274</v>
      </c>
      <c r="N161" s="7" t="s">
        <v>31</v>
      </c>
      <c r="O161" s="7">
        <v>1500</v>
      </c>
      <c r="P161" s="7">
        <v>34</v>
      </c>
      <c r="Q161" s="11">
        <v>0.6</v>
      </c>
      <c r="R161" s="12">
        <v>4556</v>
      </c>
      <c r="S161" s="8" t="str">
        <f t="shared" si="19"/>
        <v>4556</v>
      </c>
      <c r="T161" s="8" t="str">
        <f t="shared" si="20"/>
        <v>4556</v>
      </c>
      <c r="U161" s="12">
        <v>2205</v>
      </c>
      <c r="V161" s="8" t="str">
        <f t="shared" si="18"/>
        <v>2205</v>
      </c>
      <c r="W161" s="8" t="s">
        <v>32</v>
      </c>
      <c r="X161" s="49">
        <v>2087266</v>
      </c>
      <c r="Y161" s="21" t="str">
        <f t="shared" si="21"/>
        <v>2087266</v>
      </c>
      <c r="Z161" s="21">
        <v>56106</v>
      </c>
      <c r="AA161" s="52" t="str">
        <f t="shared" si="22"/>
        <v>56106</v>
      </c>
      <c r="AB161" s="21">
        <v>24078</v>
      </c>
      <c r="AC161" s="21" t="str">
        <f t="shared" si="24"/>
        <v>24078</v>
      </c>
      <c r="AD161" s="21" t="str">
        <f t="shared" si="23"/>
        <v>24078</v>
      </c>
      <c r="AE161" s="7" t="s">
        <v>1006</v>
      </c>
      <c r="AF161" s="2" t="str">
        <f t="shared" si="25"/>
        <v>Top Thấp</v>
      </c>
    </row>
    <row r="162" spans="1:32">
      <c r="A162" s="7" t="s">
        <v>1042</v>
      </c>
      <c r="B162" s="8" t="s">
        <v>1043</v>
      </c>
      <c r="C162" s="7">
        <f>162/14131</f>
        <v>1.146415681834265E-2</v>
      </c>
      <c r="D162" s="9" t="s">
        <v>1035</v>
      </c>
      <c r="E162" s="7">
        <f>50/2785</f>
        <v>1.7953321364452424E-2</v>
      </c>
      <c r="F162" s="20" t="s">
        <v>1110</v>
      </c>
      <c r="G162" s="7">
        <f>5/58</f>
        <v>8.6206896551724144E-2</v>
      </c>
      <c r="H162" s="7" t="s">
        <v>49</v>
      </c>
      <c r="I162" s="7" t="s">
        <v>864</v>
      </c>
      <c r="J162" s="7" t="s">
        <v>1045</v>
      </c>
      <c r="K162" s="11" t="s">
        <v>52</v>
      </c>
      <c r="L162" s="11">
        <v>0.63</v>
      </c>
      <c r="M162" s="12">
        <v>84979</v>
      </c>
      <c r="N162" s="7" t="s">
        <v>1589</v>
      </c>
      <c r="O162" s="7">
        <v>0</v>
      </c>
      <c r="P162" s="7">
        <v>0</v>
      </c>
      <c r="Q162" s="11">
        <v>0.78</v>
      </c>
      <c r="R162" s="12">
        <v>0</v>
      </c>
      <c r="S162" s="8" t="str">
        <f t="shared" si="19"/>
        <v>0</v>
      </c>
      <c r="T162" s="8" t="str">
        <f t="shared" si="20"/>
        <v>0</v>
      </c>
      <c r="U162" s="12">
        <v>0</v>
      </c>
      <c r="V162" s="8" t="str">
        <f t="shared" si="18"/>
        <v>0</v>
      </c>
      <c r="W162" s="8" t="s">
        <v>32</v>
      </c>
      <c r="X162" s="49">
        <v>2863795</v>
      </c>
      <c r="Y162" s="21" t="str">
        <f t="shared" si="21"/>
        <v>2863795</v>
      </c>
      <c r="Z162" s="21">
        <v>25650</v>
      </c>
      <c r="AA162" s="52" t="str">
        <f t="shared" si="22"/>
        <v>25650</v>
      </c>
      <c r="AB162" s="21">
        <v>24200</v>
      </c>
      <c r="AC162" s="21" t="str">
        <f t="shared" si="24"/>
        <v>24200</v>
      </c>
      <c r="AD162" s="21" t="str">
        <f t="shared" si="23"/>
        <v>24200</v>
      </c>
      <c r="AE162" s="7" t="s">
        <v>1006</v>
      </c>
      <c r="AF162" s="2" t="str">
        <f t="shared" si="25"/>
        <v>Top Thấp</v>
      </c>
    </row>
    <row r="163" spans="1:32">
      <c r="A163" s="7" t="s">
        <v>1092</v>
      </c>
      <c r="B163" s="8" t="s">
        <v>1602</v>
      </c>
      <c r="C163" s="8">
        <f>163/14131</f>
        <v>1.1534923218455877E-2</v>
      </c>
      <c r="D163" s="13" t="s">
        <v>1601</v>
      </c>
      <c r="E163" s="8">
        <f>89/2597</f>
        <v>3.4270311898344244E-2</v>
      </c>
      <c r="F163" s="13" t="s">
        <v>1095</v>
      </c>
      <c r="G163" s="8">
        <f>11/101</f>
        <v>0.10891089108910891</v>
      </c>
      <c r="H163" s="7" t="s">
        <v>28</v>
      </c>
      <c r="I163" s="7" t="s">
        <v>306</v>
      </c>
      <c r="J163" s="7" t="s">
        <v>904</v>
      </c>
      <c r="K163" s="11" t="s">
        <v>52</v>
      </c>
      <c r="L163" s="7">
        <v>0.18</v>
      </c>
      <c r="M163" s="7">
        <v>78874</v>
      </c>
      <c r="N163" s="7" t="s">
        <v>1600</v>
      </c>
      <c r="O163" s="7">
        <v>0</v>
      </c>
      <c r="P163" s="7">
        <v>0</v>
      </c>
      <c r="Q163" s="11">
        <v>0.81</v>
      </c>
      <c r="R163" s="12">
        <v>11598</v>
      </c>
      <c r="S163" s="8" t="str">
        <f t="shared" si="19"/>
        <v>11598</v>
      </c>
      <c r="T163" s="8" t="str">
        <f t="shared" si="20"/>
        <v>11598</v>
      </c>
      <c r="U163" s="12">
        <v>5184</v>
      </c>
      <c r="V163" s="8" t="str">
        <f t="shared" si="18"/>
        <v>5184</v>
      </c>
      <c r="W163" s="8" t="s">
        <v>32</v>
      </c>
      <c r="X163" s="49">
        <v>2898309</v>
      </c>
      <c r="Y163" s="21" t="str">
        <f t="shared" si="21"/>
        <v>2898309</v>
      </c>
      <c r="Z163" s="21">
        <v>23000</v>
      </c>
      <c r="AA163" s="52" t="str">
        <f t="shared" si="22"/>
        <v>23000</v>
      </c>
      <c r="AB163" s="21">
        <v>21000</v>
      </c>
      <c r="AC163" s="21" t="str">
        <f t="shared" si="24"/>
        <v>21000</v>
      </c>
      <c r="AD163" s="21" t="str">
        <f t="shared" si="23"/>
        <v>21000</v>
      </c>
      <c r="AE163" s="7" t="s">
        <v>1006</v>
      </c>
      <c r="AF163" s="2" t="str">
        <f t="shared" si="25"/>
        <v>Top Thấp</v>
      </c>
    </row>
    <row r="164" spans="1:32">
      <c r="A164" s="7" t="s">
        <v>1060</v>
      </c>
      <c r="B164" s="8" t="s">
        <v>1609</v>
      </c>
      <c r="C164" s="8">
        <f>164/14131</f>
        <v>1.1605689618569103E-2</v>
      </c>
      <c r="D164" s="13" t="s">
        <v>1062</v>
      </c>
      <c r="E164" s="8">
        <f>90/2597</f>
        <v>3.4655371582595303E-2</v>
      </c>
      <c r="F164" s="13" t="s">
        <v>1608</v>
      </c>
      <c r="G164" s="8">
        <f>79/2496</f>
        <v>3.1650641025641024E-2</v>
      </c>
      <c r="H164" s="7" t="s">
        <v>28</v>
      </c>
      <c r="I164" s="7" t="s">
        <v>29</v>
      </c>
      <c r="J164" s="7" t="s">
        <v>942</v>
      </c>
      <c r="K164" s="11" t="s">
        <v>52</v>
      </c>
      <c r="L164" s="7">
        <v>0.73</v>
      </c>
      <c r="M164" s="7">
        <v>57197</v>
      </c>
      <c r="N164" s="7" t="s">
        <v>31</v>
      </c>
      <c r="O164" s="7">
        <v>3562</v>
      </c>
      <c r="P164" s="7">
        <v>23</v>
      </c>
      <c r="Q164" s="11">
        <v>0.98</v>
      </c>
      <c r="R164" s="12">
        <v>15793</v>
      </c>
      <c r="S164" s="8" t="str">
        <f t="shared" si="19"/>
        <v>15793</v>
      </c>
      <c r="T164" s="8" t="str">
        <f t="shared" si="20"/>
        <v>15793</v>
      </c>
      <c r="U164" s="12">
        <v>6346</v>
      </c>
      <c r="V164" s="8" t="str">
        <f t="shared" si="18"/>
        <v>6346</v>
      </c>
      <c r="W164" s="8" t="s">
        <v>32</v>
      </c>
      <c r="X164" s="49">
        <v>1998109</v>
      </c>
      <c r="Y164" s="21" t="str">
        <f t="shared" si="21"/>
        <v>1998109</v>
      </c>
      <c r="Z164" s="21">
        <v>7531</v>
      </c>
      <c r="AA164" s="52" t="str">
        <f t="shared" si="22"/>
        <v>7531</v>
      </c>
      <c r="AB164" s="21">
        <v>6050</v>
      </c>
      <c r="AC164" s="21" t="str">
        <f t="shared" si="24"/>
        <v>6050</v>
      </c>
      <c r="AD164" s="21" t="str">
        <f t="shared" si="23"/>
        <v>6050</v>
      </c>
      <c r="AE164" s="7" t="s">
        <v>1006</v>
      </c>
      <c r="AF164" s="2" t="str">
        <f t="shared" si="25"/>
        <v>Top Thấp</v>
      </c>
    </row>
    <row r="165" spans="1:32">
      <c r="A165" s="7" t="s">
        <v>1046</v>
      </c>
      <c r="B165" s="8" t="s">
        <v>1047</v>
      </c>
      <c r="C165" s="7">
        <f>165/14131</f>
        <v>1.167645601868233E-2</v>
      </c>
      <c r="D165" s="9" t="s">
        <v>1392</v>
      </c>
      <c r="E165" s="7">
        <f>17/5830</f>
        <v>2.915951972555746E-3</v>
      </c>
      <c r="F165" s="9" t="s">
        <v>1393</v>
      </c>
      <c r="G165" s="7">
        <f>6/960</f>
        <v>6.2500000000000003E-3</v>
      </c>
      <c r="H165" s="7" t="s">
        <v>103</v>
      </c>
      <c r="I165" s="7" t="s">
        <v>123</v>
      </c>
      <c r="J165" s="7" t="s">
        <v>839</v>
      </c>
      <c r="K165" s="11" t="s">
        <v>52</v>
      </c>
      <c r="L165" s="11">
        <v>0.32</v>
      </c>
      <c r="M165" s="12">
        <v>136270</v>
      </c>
      <c r="N165" s="7" t="s">
        <v>1586</v>
      </c>
      <c r="O165" s="7">
        <v>0</v>
      </c>
      <c r="P165" s="7">
        <v>0</v>
      </c>
      <c r="Q165" s="11">
        <v>0.53</v>
      </c>
      <c r="R165" s="12">
        <v>0</v>
      </c>
      <c r="S165" s="8" t="str">
        <f t="shared" si="19"/>
        <v>0</v>
      </c>
      <c r="T165" s="8" t="str">
        <f t="shared" si="20"/>
        <v>0</v>
      </c>
      <c r="U165" s="12">
        <v>0</v>
      </c>
      <c r="V165" s="8" t="str">
        <f t="shared" si="18"/>
        <v>0</v>
      </c>
      <c r="W165" s="8" t="s">
        <v>32</v>
      </c>
      <c r="X165" s="49">
        <v>2565256</v>
      </c>
      <c r="Y165" s="21" t="str">
        <f t="shared" si="21"/>
        <v>2565256</v>
      </c>
      <c r="Z165" s="21">
        <v>12000</v>
      </c>
      <c r="AA165" s="52" t="str">
        <f t="shared" si="22"/>
        <v>12000</v>
      </c>
      <c r="AB165" s="21">
        <v>11200</v>
      </c>
      <c r="AC165" s="21" t="str">
        <f t="shared" si="24"/>
        <v>11200</v>
      </c>
      <c r="AD165" s="21" t="str">
        <f t="shared" si="23"/>
        <v>11200</v>
      </c>
      <c r="AE165" s="7" t="s">
        <v>1006</v>
      </c>
      <c r="AF165" s="2" t="str">
        <f t="shared" si="25"/>
        <v>Top Thấp</v>
      </c>
    </row>
    <row r="166" spans="1:32">
      <c r="A166" s="7" t="s">
        <v>1080</v>
      </c>
      <c r="B166" s="8" t="s">
        <v>1604</v>
      </c>
      <c r="C166" s="8">
        <f>166/14131</f>
        <v>1.1747222418795555E-2</v>
      </c>
      <c r="D166" s="13" t="s">
        <v>1081</v>
      </c>
      <c r="E166" s="8">
        <f>7/59</f>
        <v>0.11864406779661017</v>
      </c>
      <c r="F166" s="13" t="s">
        <v>583</v>
      </c>
      <c r="G166" s="8">
        <f>1/8</f>
        <v>0.125</v>
      </c>
      <c r="H166" s="7" t="s">
        <v>452</v>
      </c>
      <c r="I166" s="7" t="s">
        <v>928</v>
      </c>
      <c r="J166" s="7" t="s">
        <v>929</v>
      </c>
      <c r="K166" s="11" t="s">
        <v>52</v>
      </c>
      <c r="L166" s="7">
        <v>0.8</v>
      </c>
      <c r="M166" s="7">
        <v>67014</v>
      </c>
      <c r="N166" s="7" t="s">
        <v>31</v>
      </c>
      <c r="O166" s="7">
        <v>0</v>
      </c>
      <c r="P166" s="7">
        <v>0</v>
      </c>
      <c r="Q166" s="11">
        <v>0.56000000000000005</v>
      </c>
      <c r="R166" s="12">
        <v>0</v>
      </c>
      <c r="S166" s="8" t="str">
        <f t="shared" si="19"/>
        <v>0</v>
      </c>
      <c r="T166" s="8" t="str">
        <f t="shared" si="20"/>
        <v>0</v>
      </c>
      <c r="U166" s="12">
        <v>0</v>
      </c>
      <c r="V166" s="8" t="str">
        <f t="shared" si="18"/>
        <v>0</v>
      </c>
      <c r="W166" s="8" t="s">
        <v>395</v>
      </c>
      <c r="X166" s="49">
        <v>2474264</v>
      </c>
      <c r="Y166" s="21" t="str">
        <f t="shared" si="21"/>
        <v>2474264</v>
      </c>
      <c r="Z166" s="21">
        <v>15600</v>
      </c>
      <c r="AA166" s="52" t="str">
        <f t="shared" si="22"/>
        <v>15600</v>
      </c>
      <c r="AB166" s="21">
        <v>25000</v>
      </c>
      <c r="AC166" s="21" t="str">
        <f t="shared" si="24"/>
        <v>25000</v>
      </c>
      <c r="AD166" s="21" t="str">
        <f t="shared" si="23"/>
        <v>25000</v>
      </c>
      <c r="AE166" s="7" t="s">
        <v>1006</v>
      </c>
      <c r="AF166" s="2" t="str">
        <f t="shared" si="25"/>
        <v>Top Thấp</v>
      </c>
    </row>
    <row r="167" spans="1:32">
      <c r="A167" s="7" t="s">
        <v>1049</v>
      </c>
      <c r="B167" s="8" t="s">
        <v>1050</v>
      </c>
      <c r="C167" s="7">
        <f>167/14131</f>
        <v>1.1817988818908783E-2</v>
      </c>
      <c r="D167" s="20" t="s">
        <v>1614</v>
      </c>
      <c r="E167" s="7">
        <f>8/59</f>
        <v>0.13559322033898305</v>
      </c>
      <c r="F167" s="20" t="s">
        <v>1613</v>
      </c>
      <c r="G167" s="7">
        <f>7/40</f>
        <v>0.17499999999999999</v>
      </c>
      <c r="H167" s="7" t="s">
        <v>452</v>
      </c>
      <c r="I167" s="7" t="s">
        <v>453</v>
      </c>
      <c r="J167" s="7" t="s">
        <v>1052</v>
      </c>
      <c r="K167" s="11" t="s">
        <v>52</v>
      </c>
      <c r="L167" s="11">
        <v>0.47</v>
      </c>
      <c r="M167" s="12">
        <v>97640</v>
      </c>
      <c r="N167" s="7" t="s">
        <v>31</v>
      </c>
      <c r="O167" s="7">
        <v>0</v>
      </c>
      <c r="P167" s="7">
        <v>0</v>
      </c>
      <c r="Q167" s="11">
        <v>0.69</v>
      </c>
      <c r="R167" s="12">
        <v>0</v>
      </c>
      <c r="S167" s="8" t="str">
        <f t="shared" si="19"/>
        <v>0</v>
      </c>
      <c r="T167" s="8" t="str">
        <f t="shared" si="20"/>
        <v>0</v>
      </c>
      <c r="U167" s="12">
        <v>0</v>
      </c>
      <c r="V167" s="8" t="str">
        <f t="shared" si="18"/>
        <v>0</v>
      </c>
      <c r="W167" s="8" t="s">
        <v>32</v>
      </c>
      <c r="X167" s="49">
        <v>2608361</v>
      </c>
      <c r="Y167" s="21" t="str">
        <f t="shared" si="21"/>
        <v>2608361</v>
      </c>
      <c r="Z167" s="21">
        <v>25100</v>
      </c>
      <c r="AA167" s="52" t="str">
        <f t="shared" si="22"/>
        <v>25100</v>
      </c>
      <c r="AB167" s="21">
        <v>22500</v>
      </c>
      <c r="AC167" s="21" t="str">
        <f t="shared" si="24"/>
        <v>22500</v>
      </c>
      <c r="AD167" s="21" t="str">
        <f t="shared" si="23"/>
        <v>22500</v>
      </c>
      <c r="AE167" s="7" t="s">
        <v>1006</v>
      </c>
      <c r="AF167" s="2" t="str">
        <f t="shared" si="25"/>
        <v>Top Thấp</v>
      </c>
    </row>
    <row r="168" spans="1:32">
      <c r="A168" s="7" t="s">
        <v>1058</v>
      </c>
      <c r="B168" s="8" t="s">
        <v>1054</v>
      </c>
      <c r="C168" s="7">
        <f>168/14131</f>
        <v>1.1888755219022008E-2</v>
      </c>
      <c r="D168" s="9" t="s">
        <v>1610</v>
      </c>
      <c r="E168" s="7">
        <f>51/2785</f>
        <v>1.8312387791741474E-2</v>
      </c>
      <c r="F168" s="9" t="s">
        <v>980</v>
      </c>
      <c r="G168" s="7">
        <f>10/369</f>
        <v>2.7100271002710029E-2</v>
      </c>
      <c r="H168" s="7" t="s">
        <v>49</v>
      </c>
      <c r="I168" s="7" t="s">
        <v>50</v>
      </c>
      <c r="J168" s="7" t="s">
        <v>636</v>
      </c>
      <c r="K168" s="11" t="s">
        <v>52</v>
      </c>
      <c r="L168" s="11">
        <v>0.1</v>
      </c>
      <c r="M168" s="12">
        <v>101143</v>
      </c>
      <c r="N168" s="7" t="s">
        <v>1574</v>
      </c>
      <c r="O168" s="7">
        <v>0</v>
      </c>
      <c r="P168" s="7">
        <v>0</v>
      </c>
      <c r="Q168" s="11">
        <v>0.63</v>
      </c>
      <c r="R168" s="12">
        <v>0</v>
      </c>
      <c r="S168" s="8" t="str">
        <f t="shared" si="19"/>
        <v>0</v>
      </c>
      <c r="T168" s="8" t="str">
        <f t="shared" si="20"/>
        <v>0</v>
      </c>
      <c r="U168" s="12">
        <v>0</v>
      </c>
      <c r="V168" s="8" t="str">
        <f t="shared" si="18"/>
        <v>0</v>
      </c>
      <c r="W168" s="8" t="s">
        <v>32</v>
      </c>
      <c r="X168" s="49">
        <v>2178831</v>
      </c>
      <c r="Y168" s="21" t="str">
        <f t="shared" si="21"/>
        <v>2178831</v>
      </c>
      <c r="Z168" s="21">
        <v>15000</v>
      </c>
      <c r="AA168" s="52" t="str">
        <f t="shared" si="22"/>
        <v>15000</v>
      </c>
      <c r="AB168" s="21">
        <v>16500</v>
      </c>
      <c r="AC168" s="21" t="str">
        <f t="shared" si="24"/>
        <v>16500</v>
      </c>
      <c r="AD168" s="21" t="str">
        <f t="shared" si="23"/>
        <v>16500</v>
      </c>
      <c r="AE168" s="7" t="s">
        <v>1006</v>
      </c>
      <c r="AF168" s="2" t="str">
        <f t="shared" si="25"/>
        <v>Top Thấp</v>
      </c>
    </row>
    <row r="169" spans="1:32">
      <c r="A169" s="7" t="s">
        <v>1064</v>
      </c>
      <c r="B169" s="8" t="s">
        <v>1607</v>
      </c>
      <c r="C169" s="8">
        <f>169/14131</f>
        <v>1.1959521619135235E-2</v>
      </c>
      <c r="D169" s="13" t="s">
        <v>1606</v>
      </c>
      <c r="E169" s="8">
        <f>52/2785</f>
        <v>1.867145421903052E-2</v>
      </c>
      <c r="F169" s="13" t="s">
        <v>1056</v>
      </c>
      <c r="G169" s="8">
        <f>4/23</f>
        <v>0.17391304347826086</v>
      </c>
      <c r="H169" s="7" t="s">
        <v>49</v>
      </c>
      <c r="I169" s="7" t="s">
        <v>504</v>
      </c>
      <c r="J169" s="7" t="s">
        <v>938</v>
      </c>
      <c r="K169" s="11" t="s">
        <v>52</v>
      </c>
      <c r="L169" s="7">
        <v>0.15</v>
      </c>
      <c r="M169" s="7">
        <v>70376</v>
      </c>
      <c r="N169" s="7" t="s">
        <v>1574</v>
      </c>
      <c r="O169" s="7">
        <v>0</v>
      </c>
      <c r="P169" s="7">
        <v>0</v>
      </c>
      <c r="Q169" s="11">
        <v>0.56000000000000005</v>
      </c>
      <c r="R169" s="12">
        <v>0</v>
      </c>
      <c r="S169" s="8" t="str">
        <f t="shared" si="19"/>
        <v>0</v>
      </c>
      <c r="T169" s="8" t="str">
        <f t="shared" si="20"/>
        <v>0</v>
      </c>
      <c r="U169" s="12">
        <v>0</v>
      </c>
      <c r="V169" s="8" t="str">
        <f t="shared" si="18"/>
        <v>0</v>
      </c>
      <c r="W169" s="8" t="s">
        <v>32</v>
      </c>
      <c r="X169" s="49">
        <v>2924564</v>
      </c>
      <c r="Y169" s="21" t="str">
        <f t="shared" si="21"/>
        <v>2924564</v>
      </c>
      <c r="Z169" s="21">
        <v>14150</v>
      </c>
      <c r="AA169" s="52" t="str">
        <f t="shared" si="22"/>
        <v>14150</v>
      </c>
      <c r="AB169" s="21">
        <v>11000</v>
      </c>
      <c r="AC169" s="21" t="str">
        <f t="shared" si="24"/>
        <v>11000</v>
      </c>
      <c r="AD169" s="21" t="str">
        <f t="shared" si="23"/>
        <v>11000</v>
      </c>
      <c r="AE169" s="7" t="s">
        <v>1006</v>
      </c>
      <c r="AF169" s="2" t="str">
        <f t="shared" si="25"/>
        <v>Top Thấp</v>
      </c>
    </row>
    <row r="170" spans="1:32">
      <c r="A170" s="7" t="s">
        <v>1053</v>
      </c>
      <c r="B170" s="8" t="s">
        <v>1061</v>
      </c>
      <c r="C170" s="8">
        <f>170/14131</f>
        <v>1.2030288019248461E-2</v>
      </c>
      <c r="D170" s="13" t="s">
        <v>1612</v>
      </c>
      <c r="E170" s="8">
        <f>53/2785</f>
        <v>1.9030520646319569E-2</v>
      </c>
      <c r="F170" s="13" t="s">
        <v>1067</v>
      </c>
      <c r="G170" s="8">
        <f>5/23</f>
        <v>0.21739130434782608</v>
      </c>
      <c r="H170" s="7" t="s">
        <v>49</v>
      </c>
      <c r="I170" s="7" t="s">
        <v>504</v>
      </c>
      <c r="J170" s="7" t="s">
        <v>951</v>
      </c>
      <c r="K170" s="11" t="s">
        <v>52</v>
      </c>
      <c r="L170" s="7">
        <v>0.24</v>
      </c>
      <c r="M170" s="7">
        <v>58581</v>
      </c>
      <c r="N170" s="7" t="s">
        <v>1611</v>
      </c>
      <c r="O170" s="7">
        <v>0</v>
      </c>
      <c r="P170" s="7">
        <v>0</v>
      </c>
      <c r="Q170" s="11">
        <v>0.88</v>
      </c>
      <c r="R170" s="12">
        <v>0</v>
      </c>
      <c r="S170" s="8" t="str">
        <f t="shared" si="19"/>
        <v>0</v>
      </c>
      <c r="T170" s="8" t="str">
        <f t="shared" si="20"/>
        <v>0</v>
      </c>
      <c r="U170" s="12">
        <v>0</v>
      </c>
      <c r="V170" s="8" t="str">
        <f t="shared" si="18"/>
        <v>0</v>
      </c>
      <c r="W170" s="8" t="s">
        <v>32</v>
      </c>
      <c r="X170" s="49">
        <v>2585921</v>
      </c>
      <c r="Y170" s="21" t="str">
        <f t="shared" si="21"/>
        <v>2585921</v>
      </c>
      <c r="Z170" s="21">
        <v>20000</v>
      </c>
      <c r="AA170" s="52" t="str">
        <f t="shared" si="22"/>
        <v>20000</v>
      </c>
      <c r="AB170" s="21">
        <v>18600</v>
      </c>
      <c r="AC170" s="21" t="str">
        <f t="shared" si="24"/>
        <v>18600</v>
      </c>
      <c r="AD170" s="21" t="str">
        <f t="shared" si="23"/>
        <v>18600</v>
      </c>
      <c r="AE170" s="7" t="s">
        <v>1006</v>
      </c>
      <c r="AF170" s="2" t="str">
        <f t="shared" si="25"/>
        <v>Top Thấp</v>
      </c>
    </row>
    <row r="171" spans="1:32">
      <c r="A171" s="7" t="s">
        <v>1069</v>
      </c>
      <c r="B171" s="8" t="s">
        <v>1065</v>
      </c>
      <c r="C171" s="7">
        <f>171/14131</f>
        <v>1.2101054419361688E-2</v>
      </c>
      <c r="D171" s="9" t="s">
        <v>1011</v>
      </c>
      <c r="E171" s="7">
        <f>91/2597</f>
        <v>3.5040431266846361E-2</v>
      </c>
      <c r="F171" s="9" t="s">
        <v>1063</v>
      </c>
      <c r="G171" s="7">
        <f>80/2496</f>
        <v>3.2051282051282048E-2</v>
      </c>
      <c r="H171" s="7" t="s">
        <v>28</v>
      </c>
      <c r="I171" s="7" t="s">
        <v>29</v>
      </c>
      <c r="J171" s="7" t="s">
        <v>84</v>
      </c>
      <c r="K171" s="11" t="s">
        <v>52</v>
      </c>
      <c r="L171" s="11">
        <v>0.7</v>
      </c>
      <c r="M171" s="12">
        <v>79514</v>
      </c>
      <c r="N171" s="7" t="s">
        <v>31</v>
      </c>
      <c r="O171" s="7">
        <v>1270</v>
      </c>
      <c r="P171" s="7">
        <v>28</v>
      </c>
      <c r="Q171" s="11">
        <v>0.84</v>
      </c>
      <c r="R171" s="12">
        <v>21467</v>
      </c>
      <c r="S171" s="8" t="str">
        <f t="shared" si="19"/>
        <v>21467</v>
      </c>
      <c r="T171" s="8" t="str">
        <f t="shared" si="20"/>
        <v>21467</v>
      </c>
      <c r="U171" s="12">
        <v>10865</v>
      </c>
      <c r="V171" s="8" t="str">
        <f t="shared" si="18"/>
        <v>10865</v>
      </c>
      <c r="W171" s="8" t="s">
        <v>32</v>
      </c>
      <c r="X171" s="49">
        <v>2037137</v>
      </c>
      <c r="Y171" s="21" t="str">
        <f t="shared" si="21"/>
        <v>2037137</v>
      </c>
      <c r="Z171" s="21">
        <v>8810</v>
      </c>
      <c r="AA171" s="52" t="str">
        <f t="shared" si="22"/>
        <v>8810</v>
      </c>
      <c r="AB171" s="21">
        <v>7070</v>
      </c>
      <c r="AC171" s="21" t="str">
        <f t="shared" si="24"/>
        <v>7070</v>
      </c>
      <c r="AD171" s="21" t="str">
        <f t="shared" si="23"/>
        <v>7070</v>
      </c>
      <c r="AE171" s="7" t="s">
        <v>1006</v>
      </c>
      <c r="AF171" s="2" t="str">
        <f t="shared" si="25"/>
        <v>Top Thấp</v>
      </c>
    </row>
    <row r="172" spans="1:32">
      <c r="A172" s="7" t="s">
        <v>1072</v>
      </c>
      <c r="B172" s="8" t="s">
        <v>1073</v>
      </c>
      <c r="C172" s="7">
        <f>172/14131</f>
        <v>1.2171820819474913E-2</v>
      </c>
      <c r="D172" s="9" t="s">
        <v>1055</v>
      </c>
      <c r="E172" s="7">
        <f>54/2785</f>
        <v>1.9389587073608619E-2</v>
      </c>
      <c r="F172" s="20" t="s">
        <v>944</v>
      </c>
      <c r="G172" s="7">
        <f>1/67</f>
        <v>1.4925373134328358E-2</v>
      </c>
      <c r="H172" s="7" t="s">
        <v>49</v>
      </c>
      <c r="I172" s="7" t="s">
        <v>1074</v>
      </c>
      <c r="J172" s="7" t="s">
        <v>1075</v>
      </c>
      <c r="K172" s="11" t="s">
        <v>52</v>
      </c>
      <c r="L172" s="11">
        <v>0.35</v>
      </c>
      <c r="M172" s="12">
        <v>87666</v>
      </c>
      <c r="N172" s="7" t="s">
        <v>1605</v>
      </c>
      <c r="O172" s="7">
        <v>0</v>
      </c>
      <c r="P172" s="7">
        <v>0</v>
      </c>
      <c r="Q172" s="11">
        <v>0.88</v>
      </c>
      <c r="R172" s="12">
        <v>0</v>
      </c>
      <c r="S172" s="8" t="str">
        <f t="shared" si="19"/>
        <v>0</v>
      </c>
      <c r="T172" s="8" t="str">
        <f t="shared" si="20"/>
        <v>0</v>
      </c>
      <c r="U172" s="12">
        <v>0</v>
      </c>
      <c r="V172" s="8" t="str">
        <f t="shared" si="18"/>
        <v>0</v>
      </c>
      <c r="W172" s="8" t="s">
        <v>32</v>
      </c>
      <c r="X172" s="49">
        <v>1606300</v>
      </c>
      <c r="Y172" s="21" t="str">
        <f t="shared" si="21"/>
        <v>1606300</v>
      </c>
      <c r="Z172" s="21">
        <v>15652</v>
      </c>
      <c r="AA172" s="52" t="str">
        <f t="shared" si="22"/>
        <v>15652</v>
      </c>
      <c r="AB172" s="21">
        <v>14289</v>
      </c>
      <c r="AC172" s="21" t="str">
        <f t="shared" si="24"/>
        <v>14289</v>
      </c>
      <c r="AD172" s="21" t="str">
        <f t="shared" si="23"/>
        <v>14289</v>
      </c>
      <c r="AE172" s="7" t="s">
        <v>1006</v>
      </c>
      <c r="AF172" s="2" t="str">
        <f t="shared" si="25"/>
        <v>Top Thấp</v>
      </c>
    </row>
    <row r="173" spans="1:32">
      <c r="A173" s="7" t="s">
        <v>1076</v>
      </c>
      <c r="B173" s="8" t="s">
        <v>1077</v>
      </c>
      <c r="C173" s="7">
        <f>173/14131</f>
        <v>1.224258721958814E-2</v>
      </c>
      <c r="D173" s="9" t="s">
        <v>1208</v>
      </c>
      <c r="E173" s="7">
        <f>18/5830</f>
        <v>3.0874785591766723E-3</v>
      </c>
      <c r="F173" s="9" t="s">
        <v>1209</v>
      </c>
      <c r="G173" s="7">
        <f>7/719</f>
        <v>9.7357440890125171E-3</v>
      </c>
      <c r="H173" s="7" t="s">
        <v>103</v>
      </c>
      <c r="I173" s="7" t="s">
        <v>176</v>
      </c>
      <c r="J173" s="7" t="s">
        <v>915</v>
      </c>
      <c r="K173" s="11" t="s">
        <v>52</v>
      </c>
      <c r="L173" s="11">
        <v>0.42</v>
      </c>
      <c r="M173" s="12">
        <v>162829</v>
      </c>
      <c r="N173" s="7" t="s">
        <v>703</v>
      </c>
      <c r="O173" s="7">
        <v>0</v>
      </c>
      <c r="P173" s="7">
        <v>0</v>
      </c>
      <c r="Q173" s="11">
        <v>0.63</v>
      </c>
      <c r="R173" s="12">
        <v>0</v>
      </c>
      <c r="S173" s="8" t="str">
        <f t="shared" si="19"/>
        <v>0</v>
      </c>
      <c r="T173" s="8" t="str">
        <f t="shared" si="20"/>
        <v>0</v>
      </c>
      <c r="U173" s="12">
        <v>0</v>
      </c>
      <c r="V173" s="8" t="str">
        <f t="shared" si="18"/>
        <v>0</v>
      </c>
      <c r="W173" s="8" t="s">
        <v>395</v>
      </c>
      <c r="X173" s="49">
        <v>2760322</v>
      </c>
      <c r="Y173" s="21" t="str">
        <f t="shared" si="21"/>
        <v>2760322</v>
      </c>
      <c r="Z173" s="21">
        <v>26300</v>
      </c>
      <c r="AA173" s="52" t="str">
        <f t="shared" si="22"/>
        <v>26300</v>
      </c>
      <c r="AB173" s="21">
        <v>25900</v>
      </c>
      <c r="AC173" s="21" t="str">
        <f t="shared" si="24"/>
        <v>25900</v>
      </c>
      <c r="AD173" s="21" t="str">
        <f t="shared" si="23"/>
        <v>25900</v>
      </c>
      <c r="AE173" s="7" t="s">
        <v>1006</v>
      </c>
      <c r="AF173" s="2" t="str">
        <f t="shared" si="25"/>
        <v>Top Thấp</v>
      </c>
    </row>
    <row r="174" spans="1:32">
      <c r="A174" s="7" t="s">
        <v>1078</v>
      </c>
      <c r="B174" s="8" t="s">
        <v>1079</v>
      </c>
      <c r="C174" s="7">
        <f>174/14131</f>
        <v>1.2313353619701366E-2</v>
      </c>
      <c r="D174" s="9" t="s">
        <v>1039</v>
      </c>
      <c r="E174" s="7">
        <f>92/2597</f>
        <v>3.542549095109742E-2</v>
      </c>
      <c r="F174" s="9" t="s">
        <v>1040</v>
      </c>
      <c r="G174" s="7">
        <f>81/2496</f>
        <v>3.245192307692308E-2</v>
      </c>
      <c r="H174" s="7" t="s">
        <v>28</v>
      </c>
      <c r="I174" s="7" t="s">
        <v>29</v>
      </c>
      <c r="J174" s="7" t="s">
        <v>380</v>
      </c>
      <c r="K174" s="11" t="s">
        <v>68</v>
      </c>
      <c r="L174" s="11">
        <v>0.09</v>
      </c>
      <c r="M174" s="12">
        <v>54549</v>
      </c>
      <c r="N174" s="7" t="s">
        <v>31</v>
      </c>
      <c r="O174" s="7">
        <v>1530</v>
      </c>
      <c r="P174" s="7">
        <v>35</v>
      </c>
      <c r="Q174" s="11">
        <v>0.7</v>
      </c>
      <c r="R174" s="12">
        <v>4247</v>
      </c>
      <c r="S174" s="8" t="str">
        <f t="shared" si="19"/>
        <v>4247</v>
      </c>
      <c r="T174" s="8" t="str">
        <f t="shared" si="20"/>
        <v>4247</v>
      </c>
      <c r="U174" s="12">
        <v>4038</v>
      </c>
      <c r="V174" s="8" t="str">
        <f t="shared" si="18"/>
        <v>4038</v>
      </c>
      <c r="W174" s="8" t="s">
        <v>32</v>
      </c>
      <c r="X174" s="49">
        <v>2146205</v>
      </c>
      <c r="Y174" s="21" t="str">
        <f t="shared" si="21"/>
        <v>2146205</v>
      </c>
      <c r="Z174" s="21">
        <v>51036</v>
      </c>
      <c r="AA174" s="52" t="str">
        <f t="shared" si="22"/>
        <v>51036</v>
      </c>
      <c r="AB174" s="21">
        <v>18521</v>
      </c>
      <c r="AC174" s="21" t="str">
        <f t="shared" si="24"/>
        <v>18521</v>
      </c>
      <c r="AD174" s="21" t="str">
        <f t="shared" si="23"/>
        <v>18521</v>
      </c>
      <c r="AE174" s="7" t="s">
        <v>1006</v>
      </c>
      <c r="AF174" s="2" t="str">
        <f t="shared" si="25"/>
        <v>Top Thấp</v>
      </c>
    </row>
    <row r="175" spans="1:32">
      <c r="A175" s="7" t="s">
        <v>1118</v>
      </c>
      <c r="B175" s="8" t="s">
        <v>1083</v>
      </c>
      <c r="C175" s="8">
        <f>175/14131</f>
        <v>1.2384120019814593E-2</v>
      </c>
      <c r="D175" s="13" t="s">
        <v>1119</v>
      </c>
      <c r="E175" s="8">
        <f>9/59</f>
        <v>0.15254237288135594</v>
      </c>
      <c r="F175" s="13" t="s">
        <v>1120</v>
      </c>
      <c r="G175" s="8">
        <f>8/40</f>
        <v>0.2</v>
      </c>
      <c r="H175" s="7" t="s">
        <v>452</v>
      </c>
      <c r="I175" s="7" t="s">
        <v>453</v>
      </c>
      <c r="J175" s="7" t="s">
        <v>453</v>
      </c>
      <c r="K175" s="11" t="s">
        <v>52</v>
      </c>
      <c r="L175" s="7">
        <v>0.6</v>
      </c>
      <c r="M175" s="7">
        <v>76861</v>
      </c>
      <c r="N175" s="7" t="s">
        <v>31</v>
      </c>
      <c r="O175" s="7">
        <v>0</v>
      </c>
      <c r="P175" s="7">
        <v>0</v>
      </c>
      <c r="Q175" s="11">
        <v>0.96</v>
      </c>
      <c r="R175" s="12">
        <v>11456</v>
      </c>
      <c r="S175" s="8" t="str">
        <f t="shared" si="19"/>
        <v>11456</v>
      </c>
      <c r="T175" s="8" t="str">
        <f t="shared" si="20"/>
        <v>11456</v>
      </c>
      <c r="U175" s="12">
        <v>5196</v>
      </c>
      <c r="V175" s="8" t="str">
        <f t="shared" si="18"/>
        <v>5196</v>
      </c>
      <c r="W175" s="8" t="s">
        <v>1595</v>
      </c>
      <c r="X175" s="49">
        <v>2936111</v>
      </c>
      <c r="Y175" s="21" t="str">
        <f t="shared" si="21"/>
        <v>2936111</v>
      </c>
      <c r="Z175" s="21">
        <v>26000</v>
      </c>
      <c r="AA175" s="52" t="str">
        <f t="shared" si="22"/>
        <v>26000</v>
      </c>
      <c r="AB175" s="21">
        <v>25600</v>
      </c>
      <c r="AC175" s="21" t="str">
        <f t="shared" si="24"/>
        <v>25600</v>
      </c>
      <c r="AD175" s="21" t="str">
        <f t="shared" si="23"/>
        <v>25600</v>
      </c>
      <c r="AE175" s="7" t="s">
        <v>1006</v>
      </c>
      <c r="AF175" s="2" t="str">
        <f t="shared" si="25"/>
        <v>Top Thấp</v>
      </c>
    </row>
    <row r="176" spans="1:32">
      <c r="A176" s="7" t="s">
        <v>1089</v>
      </c>
      <c r="B176" s="8" t="s">
        <v>1086</v>
      </c>
      <c r="C176" s="7">
        <f>176/14131</f>
        <v>1.2454886419927818E-2</v>
      </c>
      <c r="D176" s="9" t="s">
        <v>1087</v>
      </c>
      <c r="E176" s="7">
        <f>93/2597</f>
        <v>3.5810550635348479E-2</v>
      </c>
      <c r="F176" s="9" t="s">
        <v>1084</v>
      </c>
      <c r="G176" s="7">
        <f>82/2496</f>
        <v>3.2852564102564104E-2</v>
      </c>
      <c r="H176" s="7" t="s">
        <v>28</v>
      </c>
      <c r="I176" s="7" t="s">
        <v>29</v>
      </c>
      <c r="J176" s="7" t="s">
        <v>204</v>
      </c>
      <c r="K176" s="11" t="s">
        <v>52</v>
      </c>
      <c r="L176" s="11">
        <v>0.72</v>
      </c>
      <c r="M176" s="12">
        <v>71043</v>
      </c>
      <c r="N176" s="7" t="s">
        <v>31</v>
      </c>
      <c r="O176" s="7">
        <v>0</v>
      </c>
      <c r="P176" s="7">
        <v>0</v>
      </c>
      <c r="Q176" s="11">
        <v>0.91</v>
      </c>
      <c r="R176" s="12">
        <v>25967</v>
      </c>
      <c r="S176" s="8" t="str">
        <f t="shared" si="19"/>
        <v>25967</v>
      </c>
      <c r="T176" s="8" t="str">
        <f t="shared" si="20"/>
        <v>25967</v>
      </c>
      <c r="U176" s="12">
        <v>9659</v>
      </c>
      <c r="V176" s="8" t="str">
        <f t="shared" si="18"/>
        <v>9659</v>
      </c>
      <c r="W176" s="8" t="s">
        <v>32</v>
      </c>
      <c r="X176" s="49">
        <v>1750611</v>
      </c>
      <c r="Y176" s="21" t="str">
        <f t="shared" si="21"/>
        <v>1750611</v>
      </c>
      <c r="Z176" s="21">
        <v>11292</v>
      </c>
      <c r="AA176" s="52" t="str">
        <f t="shared" si="22"/>
        <v>11292</v>
      </c>
      <c r="AB176" s="21">
        <v>17388</v>
      </c>
      <c r="AC176" s="21" t="str">
        <f t="shared" si="24"/>
        <v>17388</v>
      </c>
      <c r="AD176" s="21" t="str">
        <f t="shared" si="23"/>
        <v>17388</v>
      </c>
      <c r="AE176" s="7" t="s">
        <v>1006</v>
      </c>
      <c r="AF176" s="2" t="str">
        <f t="shared" si="25"/>
        <v>Top Thấp</v>
      </c>
    </row>
    <row r="177" spans="1:32">
      <c r="A177" s="7" t="s">
        <v>1090</v>
      </c>
      <c r="B177" s="8" t="s">
        <v>1091</v>
      </c>
      <c r="C177" s="7">
        <f>177/14131</f>
        <v>1.2525652820041044E-2</v>
      </c>
      <c r="D177" s="8" t="s">
        <v>1094</v>
      </c>
      <c r="E177" s="7">
        <f>94/2597</f>
        <v>3.6195610319599537E-2</v>
      </c>
      <c r="F177" s="9" t="s">
        <v>1088</v>
      </c>
      <c r="G177" s="7">
        <f>83/2496</f>
        <v>3.3253205128205128E-2</v>
      </c>
      <c r="H177" s="7" t="s">
        <v>28</v>
      </c>
      <c r="I177" s="7" t="s">
        <v>29</v>
      </c>
      <c r="J177" s="7" t="s">
        <v>389</v>
      </c>
      <c r="K177" s="11" t="s">
        <v>52</v>
      </c>
      <c r="L177" s="11">
        <v>0.71</v>
      </c>
      <c r="M177" s="12">
        <v>77193</v>
      </c>
      <c r="N177" s="7" t="s">
        <v>31</v>
      </c>
      <c r="O177" s="7">
        <v>1225</v>
      </c>
      <c r="P177" s="7">
        <v>26</v>
      </c>
      <c r="Q177" s="11">
        <v>0.95</v>
      </c>
      <c r="R177" s="12">
        <v>29273</v>
      </c>
      <c r="S177" s="8" t="str">
        <f t="shared" si="19"/>
        <v>29273</v>
      </c>
      <c r="T177" s="8" t="str">
        <f t="shared" si="20"/>
        <v>29273</v>
      </c>
      <c r="U177" s="12">
        <v>6639</v>
      </c>
      <c r="V177" s="8" t="str">
        <f t="shared" si="18"/>
        <v>6639</v>
      </c>
      <c r="W177" s="8" t="s">
        <v>32</v>
      </c>
      <c r="X177" s="49">
        <v>1988414</v>
      </c>
      <c r="Y177" s="21" t="str">
        <f t="shared" si="21"/>
        <v>1988414</v>
      </c>
      <c r="Z177" s="21">
        <v>13235</v>
      </c>
      <c r="AA177" s="52" t="str">
        <f t="shared" si="22"/>
        <v>13235</v>
      </c>
      <c r="AB177" s="21">
        <v>9132</v>
      </c>
      <c r="AC177" s="21" t="str">
        <f t="shared" si="24"/>
        <v>9132</v>
      </c>
      <c r="AD177" s="21" t="str">
        <f t="shared" si="23"/>
        <v>9132</v>
      </c>
      <c r="AE177" s="7" t="s">
        <v>1006</v>
      </c>
      <c r="AF177" s="2" t="str">
        <f t="shared" si="25"/>
        <v>Top Thấp</v>
      </c>
    </row>
    <row r="178" spans="1:32">
      <c r="A178" s="7" t="s">
        <v>1121</v>
      </c>
      <c r="B178" s="8" t="s">
        <v>1594</v>
      </c>
      <c r="C178" s="8">
        <f>178/14131</f>
        <v>1.2596419220154271E-2</v>
      </c>
      <c r="D178" s="13" t="s">
        <v>1593</v>
      </c>
      <c r="E178" s="8">
        <f>55/2785</f>
        <v>1.9748653500897665E-2</v>
      </c>
      <c r="F178" s="13" t="s">
        <v>1592</v>
      </c>
      <c r="G178" s="8">
        <f>11/369</f>
        <v>2.9810298102981029E-2</v>
      </c>
      <c r="H178" s="7" t="s">
        <v>49</v>
      </c>
      <c r="I178" s="7" t="s">
        <v>50</v>
      </c>
      <c r="J178" s="7" t="s">
        <v>636</v>
      </c>
      <c r="K178" s="11" t="s">
        <v>52</v>
      </c>
      <c r="L178" s="7">
        <v>0.8</v>
      </c>
      <c r="M178" s="7">
        <v>60512</v>
      </c>
      <c r="N178" s="7" t="s">
        <v>1574</v>
      </c>
      <c r="O178" s="7">
        <v>0</v>
      </c>
      <c r="P178" s="7">
        <v>0</v>
      </c>
      <c r="Q178" s="11">
        <v>0.88</v>
      </c>
      <c r="R178" s="12">
        <v>10852</v>
      </c>
      <c r="S178" s="8" t="str">
        <f t="shared" si="19"/>
        <v>10852</v>
      </c>
      <c r="T178" s="8" t="str">
        <f t="shared" si="20"/>
        <v>10852</v>
      </c>
      <c r="U178" s="12">
        <v>5743</v>
      </c>
      <c r="V178" s="8" t="str">
        <f t="shared" si="18"/>
        <v>5743</v>
      </c>
      <c r="W178" s="8" t="s">
        <v>32</v>
      </c>
      <c r="X178" s="49">
        <v>2118515</v>
      </c>
      <c r="Y178" s="21" t="str">
        <f t="shared" si="21"/>
        <v>2118515</v>
      </c>
      <c r="Z178" s="21">
        <v>26100</v>
      </c>
      <c r="AA178" s="52" t="str">
        <f t="shared" si="22"/>
        <v>26100</v>
      </c>
      <c r="AB178" s="21">
        <v>29000</v>
      </c>
      <c r="AC178" s="21" t="str">
        <f t="shared" si="24"/>
        <v>29000</v>
      </c>
      <c r="AD178" s="21" t="str">
        <f t="shared" si="23"/>
        <v>29000</v>
      </c>
      <c r="AE178" s="7" t="s">
        <v>1006</v>
      </c>
      <c r="AF178" s="2" t="str">
        <f t="shared" si="25"/>
        <v>Top Thấp</v>
      </c>
    </row>
    <row r="179" spans="1:32">
      <c r="A179" s="7" t="s">
        <v>1101</v>
      </c>
      <c r="B179" s="8" t="s">
        <v>1093</v>
      </c>
      <c r="C179" s="8">
        <f>179/14131</f>
        <v>1.2667185620267496E-2</v>
      </c>
      <c r="D179" s="13" t="s">
        <v>1066</v>
      </c>
      <c r="E179" s="8">
        <f>56/2785</f>
        <v>2.0107719928186715E-2</v>
      </c>
      <c r="F179" s="13" t="s">
        <v>1103</v>
      </c>
      <c r="G179" s="8">
        <f>18/163</f>
        <v>0.11042944785276074</v>
      </c>
      <c r="H179" s="7" t="s">
        <v>49</v>
      </c>
      <c r="I179" s="7" t="s">
        <v>139</v>
      </c>
      <c r="J179" s="7" t="s">
        <v>140</v>
      </c>
      <c r="K179" s="11" t="s">
        <v>52</v>
      </c>
      <c r="L179" s="7">
        <v>0.09</v>
      </c>
      <c r="M179" s="7">
        <v>84784</v>
      </c>
      <c r="N179" s="7" t="s">
        <v>31</v>
      </c>
      <c r="O179" s="7">
        <v>0</v>
      </c>
      <c r="P179" s="7">
        <v>0</v>
      </c>
      <c r="Q179" s="11">
        <v>0.74</v>
      </c>
      <c r="R179" s="12">
        <v>24891</v>
      </c>
      <c r="S179" s="8" t="str">
        <f t="shared" si="19"/>
        <v>24891</v>
      </c>
      <c r="T179" s="8" t="str">
        <f t="shared" si="20"/>
        <v>24891</v>
      </c>
      <c r="U179" s="12">
        <v>12589</v>
      </c>
      <c r="V179" s="8" t="str">
        <f t="shared" si="18"/>
        <v>12589</v>
      </c>
      <c r="W179" s="8" t="s">
        <v>32</v>
      </c>
      <c r="X179" s="49">
        <v>2853431</v>
      </c>
      <c r="Y179" s="21" t="str">
        <f t="shared" si="21"/>
        <v>2853431</v>
      </c>
      <c r="Z179" s="21">
        <v>25000</v>
      </c>
      <c r="AA179" s="52" t="str">
        <f t="shared" si="22"/>
        <v>25000</v>
      </c>
      <c r="AB179" s="21">
        <v>24000</v>
      </c>
      <c r="AC179" s="21" t="str">
        <f t="shared" si="24"/>
        <v>24000</v>
      </c>
      <c r="AD179" s="21" t="str">
        <f t="shared" si="23"/>
        <v>24000</v>
      </c>
      <c r="AE179" s="7" t="s">
        <v>1006</v>
      </c>
      <c r="AF179" s="2" t="str">
        <f t="shared" si="25"/>
        <v>Top Thấp</v>
      </c>
    </row>
    <row r="180" spans="1:32">
      <c r="A180" s="7" t="s">
        <v>1097</v>
      </c>
      <c r="B180" s="8" t="s">
        <v>1098</v>
      </c>
      <c r="C180" s="8">
        <f>180/14131</f>
        <v>1.2737952020380723E-2</v>
      </c>
      <c r="D180" s="13" t="s">
        <v>1099</v>
      </c>
      <c r="E180" s="8">
        <f>57/2785</f>
        <v>2.0466786355475764E-2</v>
      </c>
      <c r="F180" s="13" t="s">
        <v>1100</v>
      </c>
      <c r="G180" s="8">
        <f>4/39</f>
        <v>0.10256410256410256</v>
      </c>
      <c r="H180" s="7" t="s">
        <v>49</v>
      </c>
      <c r="I180" s="7" t="s">
        <v>752</v>
      </c>
      <c r="J180" s="7" t="s">
        <v>1599</v>
      </c>
      <c r="K180" s="11" t="s">
        <v>52</v>
      </c>
      <c r="L180" s="7">
        <v>0.75</v>
      </c>
      <c r="M180" s="7">
        <v>57498</v>
      </c>
      <c r="N180" s="7" t="s">
        <v>1598</v>
      </c>
      <c r="O180" s="7">
        <v>0</v>
      </c>
      <c r="P180" s="7">
        <v>0</v>
      </c>
      <c r="Q180" s="11">
        <v>0.86</v>
      </c>
      <c r="R180" s="12">
        <v>26452</v>
      </c>
      <c r="S180" s="8" t="str">
        <f t="shared" si="19"/>
        <v>26452</v>
      </c>
      <c r="T180" s="8" t="str">
        <f t="shared" si="20"/>
        <v>26452</v>
      </c>
      <c r="U180" s="12">
        <v>13594</v>
      </c>
      <c r="V180" s="8" t="str">
        <f t="shared" si="18"/>
        <v>13594</v>
      </c>
      <c r="W180" s="8" t="s">
        <v>32</v>
      </c>
      <c r="X180" s="49">
        <v>2872722</v>
      </c>
      <c r="Y180" s="21" t="str">
        <f t="shared" si="21"/>
        <v>2872722</v>
      </c>
      <c r="Z180" s="21">
        <v>19400</v>
      </c>
      <c r="AA180" s="52" t="str">
        <f t="shared" si="22"/>
        <v>19400</v>
      </c>
      <c r="AB180" s="21">
        <v>18300</v>
      </c>
      <c r="AC180" s="21" t="str">
        <f t="shared" si="24"/>
        <v>18300</v>
      </c>
      <c r="AD180" s="21" t="str">
        <f t="shared" si="23"/>
        <v>18300</v>
      </c>
      <c r="AE180" s="7" t="s">
        <v>1006</v>
      </c>
      <c r="AF180" s="2" t="str">
        <f t="shared" si="25"/>
        <v>Top Thấp</v>
      </c>
    </row>
    <row r="181" spans="1:32">
      <c r="A181" s="7" t="s">
        <v>1104</v>
      </c>
      <c r="B181" s="8" t="s">
        <v>1105</v>
      </c>
      <c r="C181" s="8">
        <f>181/14131</f>
        <v>1.2808718420493949E-2</v>
      </c>
      <c r="D181" s="13" t="s">
        <v>1106</v>
      </c>
      <c r="E181" s="8">
        <f>58/2785</f>
        <v>2.082585278276481E-2</v>
      </c>
      <c r="F181" s="13" t="s">
        <v>1107</v>
      </c>
      <c r="G181" s="8">
        <f>12/369</f>
        <v>3.2520325203252036E-2</v>
      </c>
      <c r="H181" s="7" t="s">
        <v>49</v>
      </c>
      <c r="I181" s="7" t="s">
        <v>50</v>
      </c>
      <c r="J181" s="7" t="s">
        <v>662</v>
      </c>
      <c r="K181" s="11" t="s">
        <v>52</v>
      </c>
      <c r="L181" s="7">
        <v>0.91</v>
      </c>
      <c r="M181" s="7">
        <v>76010</v>
      </c>
      <c r="N181" s="7" t="s">
        <v>765</v>
      </c>
      <c r="O181" s="7">
        <v>0</v>
      </c>
      <c r="P181" s="7">
        <v>0</v>
      </c>
      <c r="Q181" s="11">
        <v>0.64</v>
      </c>
      <c r="R181" s="12">
        <v>21896</v>
      </c>
      <c r="S181" s="8" t="str">
        <f t="shared" si="19"/>
        <v>21896</v>
      </c>
      <c r="T181" s="8" t="str">
        <f t="shared" si="20"/>
        <v>21896</v>
      </c>
      <c r="U181" s="12">
        <v>10196</v>
      </c>
      <c r="V181" s="8" t="str">
        <f t="shared" si="18"/>
        <v>10196</v>
      </c>
      <c r="W181" s="8" t="s">
        <v>32</v>
      </c>
      <c r="X181" s="49">
        <v>2493391</v>
      </c>
      <c r="Y181" s="21" t="str">
        <f t="shared" si="21"/>
        <v>2493391</v>
      </c>
      <c r="Z181" s="21">
        <v>19600</v>
      </c>
      <c r="AA181" s="52" t="str">
        <f t="shared" si="22"/>
        <v>19600</v>
      </c>
      <c r="AB181" s="21">
        <v>18500</v>
      </c>
      <c r="AC181" s="21" t="str">
        <f t="shared" si="24"/>
        <v>18500</v>
      </c>
      <c r="AD181" s="21" t="str">
        <f t="shared" si="23"/>
        <v>18500</v>
      </c>
      <c r="AE181" s="7" t="s">
        <v>1006</v>
      </c>
      <c r="AF181" s="2" t="str">
        <f t="shared" si="25"/>
        <v>Top Thấp</v>
      </c>
    </row>
    <row r="182" spans="1:32">
      <c r="A182" s="7" t="s">
        <v>1108</v>
      </c>
      <c r="B182" s="8" t="s">
        <v>1109</v>
      </c>
      <c r="C182" s="7">
        <f>182/14131</f>
        <v>1.2879484820607176E-2</v>
      </c>
      <c r="D182" s="9" t="s">
        <v>1102</v>
      </c>
      <c r="E182" s="7">
        <f>59/2785</f>
        <v>2.118491921005386E-2</v>
      </c>
      <c r="F182" s="9" t="s">
        <v>1191</v>
      </c>
      <c r="G182" s="7">
        <f>1/385</f>
        <v>2.5974025974025974E-3</v>
      </c>
      <c r="H182" s="7" t="s">
        <v>49</v>
      </c>
      <c r="I182" s="7" t="s">
        <v>1111</v>
      </c>
      <c r="J182" s="7" t="s">
        <v>1112</v>
      </c>
      <c r="K182" s="11" t="s">
        <v>52</v>
      </c>
      <c r="L182" s="11">
        <v>0.12</v>
      </c>
      <c r="M182" s="12">
        <v>123616</v>
      </c>
      <c r="N182" s="7" t="s">
        <v>1597</v>
      </c>
      <c r="O182" s="7">
        <v>0</v>
      </c>
      <c r="P182" s="7">
        <v>0</v>
      </c>
      <c r="Q182" s="11">
        <v>0.8</v>
      </c>
      <c r="R182" s="12">
        <v>18597</v>
      </c>
      <c r="S182" s="8" t="str">
        <f t="shared" si="19"/>
        <v>18597</v>
      </c>
      <c r="T182" s="8" t="str">
        <f t="shared" si="20"/>
        <v>18597</v>
      </c>
      <c r="U182" s="12">
        <v>9589</v>
      </c>
      <c r="V182" s="8" t="str">
        <f t="shared" si="18"/>
        <v>9589</v>
      </c>
      <c r="W182" s="8" t="s">
        <v>32</v>
      </c>
      <c r="X182" s="49">
        <v>1428821</v>
      </c>
      <c r="Y182" s="21" t="str">
        <f t="shared" si="21"/>
        <v>1428821</v>
      </c>
      <c r="Z182" s="21">
        <v>26300</v>
      </c>
      <c r="AA182" s="52" t="str">
        <f t="shared" si="22"/>
        <v>26300</v>
      </c>
      <c r="AB182" s="21">
        <v>22900</v>
      </c>
      <c r="AC182" s="21" t="str">
        <f t="shared" si="24"/>
        <v>22900</v>
      </c>
      <c r="AD182" s="21" t="str">
        <f t="shared" si="23"/>
        <v>22900</v>
      </c>
      <c r="AE182" s="7" t="s">
        <v>1006</v>
      </c>
      <c r="AF182" s="2" t="str">
        <f t="shared" si="25"/>
        <v>Top Thấp</v>
      </c>
    </row>
    <row r="183" spans="1:32">
      <c r="A183" s="7" t="s">
        <v>1113</v>
      </c>
      <c r="B183" s="8" t="s">
        <v>1114</v>
      </c>
      <c r="C183" s="7">
        <f>183/14131</f>
        <v>1.2950251220720401E-2</v>
      </c>
      <c r="D183" s="9" t="s">
        <v>1070</v>
      </c>
      <c r="E183" s="7">
        <f>95/2597</f>
        <v>3.6580670003850596E-2</v>
      </c>
      <c r="F183" s="9" t="s">
        <v>1071</v>
      </c>
      <c r="G183" s="7">
        <f>84/2496</f>
        <v>3.3653846153846152E-2</v>
      </c>
      <c r="H183" s="7" t="s">
        <v>28</v>
      </c>
      <c r="I183" s="7" t="s">
        <v>29</v>
      </c>
      <c r="J183" s="7" t="s">
        <v>149</v>
      </c>
      <c r="K183" s="11" t="s">
        <v>52</v>
      </c>
      <c r="L183" s="11">
        <v>0.89</v>
      </c>
      <c r="M183" s="12">
        <v>105172</v>
      </c>
      <c r="N183" s="7" t="s">
        <v>31</v>
      </c>
      <c r="O183" s="7">
        <v>1281</v>
      </c>
      <c r="P183" s="7">
        <v>27</v>
      </c>
      <c r="Q183" s="11">
        <v>0.97</v>
      </c>
      <c r="R183" s="12">
        <v>13547</v>
      </c>
      <c r="S183" s="8" t="str">
        <f t="shared" si="19"/>
        <v>13547</v>
      </c>
      <c r="T183" s="8" t="str">
        <f t="shared" si="20"/>
        <v>13547</v>
      </c>
      <c r="U183" s="12">
        <v>8742</v>
      </c>
      <c r="V183" s="8" t="str">
        <f t="shared" ref="V183:V246" si="26">SUBSTITUTE(U183, ".", "")</f>
        <v>8742</v>
      </c>
      <c r="W183" s="8" t="s">
        <v>32</v>
      </c>
      <c r="X183" s="49">
        <v>3501425</v>
      </c>
      <c r="Y183" s="21" t="str">
        <f t="shared" si="21"/>
        <v>3501425</v>
      </c>
      <c r="Z183" s="21">
        <v>10940</v>
      </c>
      <c r="AA183" s="52" t="str">
        <f t="shared" si="22"/>
        <v>10940</v>
      </c>
      <c r="AB183" s="21">
        <v>8100</v>
      </c>
      <c r="AC183" s="21" t="str">
        <f t="shared" si="24"/>
        <v>8100</v>
      </c>
      <c r="AD183" s="21" t="str">
        <f t="shared" si="23"/>
        <v>8100</v>
      </c>
      <c r="AE183" s="7" t="s">
        <v>1006</v>
      </c>
      <c r="AF183" s="2" t="str">
        <f t="shared" si="25"/>
        <v>Top Thấp</v>
      </c>
    </row>
    <row r="184" spans="1:32">
      <c r="A184" s="7" t="s">
        <v>1115</v>
      </c>
      <c r="B184" s="8" t="s">
        <v>1116</v>
      </c>
      <c r="C184" s="7">
        <f>184/14131</f>
        <v>1.3021017620833629E-2</v>
      </c>
      <c r="D184" s="9" t="s">
        <v>1596</v>
      </c>
      <c r="E184" s="7">
        <f>19/5830</f>
        <v>3.2590051457975985E-3</v>
      </c>
      <c r="F184" s="22" t="s">
        <v>1508</v>
      </c>
      <c r="G184" s="7">
        <f>2/8</f>
        <v>0.25</v>
      </c>
      <c r="H184" s="7" t="s">
        <v>103</v>
      </c>
      <c r="I184" s="7" t="s">
        <v>584</v>
      </c>
      <c r="J184" s="7" t="s">
        <v>585</v>
      </c>
      <c r="K184" s="11" t="s">
        <v>52</v>
      </c>
      <c r="L184" s="11">
        <v>0.47</v>
      </c>
      <c r="M184" s="12">
        <v>129414</v>
      </c>
      <c r="N184" s="7" t="s">
        <v>31</v>
      </c>
      <c r="O184" s="7">
        <v>0</v>
      </c>
      <c r="P184" s="7">
        <v>0</v>
      </c>
      <c r="Q184" s="11">
        <v>0.93</v>
      </c>
      <c r="R184" s="12">
        <v>15698</v>
      </c>
      <c r="S184" s="8" t="str">
        <f t="shared" si="19"/>
        <v>15698</v>
      </c>
      <c r="T184" s="8" t="str">
        <f t="shared" si="20"/>
        <v>15698</v>
      </c>
      <c r="U184" s="12">
        <v>7891</v>
      </c>
      <c r="V184" s="8" t="str">
        <f t="shared" si="26"/>
        <v>7891</v>
      </c>
      <c r="W184" s="8" t="s">
        <v>32</v>
      </c>
      <c r="X184" s="49">
        <v>3469592</v>
      </c>
      <c r="Y184" s="21" t="str">
        <f t="shared" si="21"/>
        <v>3469592</v>
      </c>
      <c r="Z184" s="21">
        <v>15900</v>
      </c>
      <c r="AA184" s="52" t="str">
        <f t="shared" si="22"/>
        <v>15900</v>
      </c>
      <c r="AB184" s="21">
        <v>14000</v>
      </c>
      <c r="AC184" s="21" t="str">
        <f t="shared" si="24"/>
        <v>14000</v>
      </c>
      <c r="AD184" s="21" t="str">
        <f t="shared" si="23"/>
        <v>14000</v>
      </c>
      <c r="AE184" s="7" t="s">
        <v>1006</v>
      </c>
      <c r="AF184" s="2" t="str">
        <f t="shared" si="25"/>
        <v>Top Thấp</v>
      </c>
    </row>
    <row r="185" spans="1:32">
      <c r="A185" s="7" t="s">
        <v>1125</v>
      </c>
      <c r="B185" s="8" t="s">
        <v>1122</v>
      </c>
      <c r="C185" s="8">
        <f>185/14131</f>
        <v>1.3091784020946854E-2</v>
      </c>
      <c r="D185" s="13" t="s">
        <v>1591</v>
      </c>
      <c r="E185" s="8">
        <f>60/2785</f>
        <v>2.1543985637342909E-2</v>
      </c>
      <c r="F185" s="13" t="s">
        <v>1124</v>
      </c>
      <c r="G185" s="8">
        <f>13/369</f>
        <v>3.5230352303523033E-2</v>
      </c>
      <c r="H185" s="7" t="s">
        <v>49</v>
      </c>
      <c r="I185" s="7" t="s">
        <v>50</v>
      </c>
      <c r="J185" s="7" t="s">
        <v>636</v>
      </c>
      <c r="K185" s="11" t="s">
        <v>52</v>
      </c>
      <c r="L185" s="7">
        <v>0.59</v>
      </c>
      <c r="M185" s="7">
        <v>62717</v>
      </c>
      <c r="N185" s="7" t="s">
        <v>765</v>
      </c>
      <c r="O185" s="7">
        <v>0</v>
      </c>
      <c r="P185" s="7">
        <v>0</v>
      </c>
      <c r="Q185" s="11">
        <v>0.81</v>
      </c>
      <c r="R185" s="12">
        <v>17154</v>
      </c>
      <c r="S185" s="8" t="str">
        <f t="shared" si="19"/>
        <v>17154</v>
      </c>
      <c r="T185" s="8" t="str">
        <f t="shared" si="20"/>
        <v>17154</v>
      </c>
      <c r="U185" s="12">
        <v>9856</v>
      </c>
      <c r="V185" s="8" t="str">
        <f t="shared" si="26"/>
        <v>9856</v>
      </c>
      <c r="W185" s="8" t="s">
        <v>395</v>
      </c>
      <c r="X185" s="49">
        <v>2001196</v>
      </c>
      <c r="Y185" s="21" t="str">
        <f t="shared" si="21"/>
        <v>2001196</v>
      </c>
      <c r="Z185" s="21">
        <v>25300</v>
      </c>
      <c r="AA185" s="52" t="str">
        <f t="shared" si="22"/>
        <v>25300</v>
      </c>
      <c r="AB185" s="21">
        <v>19900</v>
      </c>
      <c r="AC185" s="21" t="str">
        <f t="shared" si="24"/>
        <v>19900</v>
      </c>
      <c r="AD185" s="21" t="str">
        <f t="shared" si="23"/>
        <v>19900</v>
      </c>
      <c r="AE185" s="7" t="s">
        <v>1006</v>
      </c>
      <c r="AF185" s="2" t="str">
        <f t="shared" si="25"/>
        <v>Top Thấp</v>
      </c>
    </row>
    <row r="186" spans="1:32">
      <c r="A186" s="7" t="s">
        <v>1129</v>
      </c>
      <c r="B186" s="8" t="s">
        <v>1130</v>
      </c>
      <c r="C186" s="7">
        <f>187/14131</f>
        <v>1.3233316821173307E-2</v>
      </c>
      <c r="D186" s="23" t="s">
        <v>1123</v>
      </c>
      <c r="E186" s="7">
        <f>61/2785</f>
        <v>2.1903052064631955E-2</v>
      </c>
      <c r="F186" s="20" t="s">
        <v>1590</v>
      </c>
      <c r="G186" s="7">
        <f>6/58</f>
        <v>0.10344827586206896</v>
      </c>
      <c r="H186" s="7" t="s">
        <v>49</v>
      </c>
      <c r="I186" s="7" t="s">
        <v>864</v>
      </c>
      <c r="J186" s="7" t="s">
        <v>1131</v>
      </c>
      <c r="K186" s="11" t="s">
        <v>68</v>
      </c>
      <c r="L186" s="11">
        <v>0.55000000000000004</v>
      </c>
      <c r="M186" s="12">
        <v>90683</v>
      </c>
      <c r="N186" s="7" t="s">
        <v>1589</v>
      </c>
      <c r="O186" s="7">
        <v>0</v>
      </c>
      <c r="P186" s="7">
        <v>0</v>
      </c>
      <c r="Q186" s="11">
        <v>0.83</v>
      </c>
      <c r="R186" s="12">
        <v>26381</v>
      </c>
      <c r="S186" s="8" t="str">
        <f t="shared" si="19"/>
        <v>26381</v>
      </c>
      <c r="T186" s="8" t="str">
        <f t="shared" si="20"/>
        <v>26381</v>
      </c>
      <c r="U186" s="12">
        <v>13489</v>
      </c>
      <c r="V186" s="8" t="str">
        <f t="shared" si="26"/>
        <v>13489</v>
      </c>
      <c r="W186" s="8" t="s">
        <v>395</v>
      </c>
      <c r="X186" s="49">
        <v>2945612</v>
      </c>
      <c r="Y186" s="21" t="str">
        <f t="shared" si="21"/>
        <v>2945612</v>
      </c>
      <c r="Z186" s="21">
        <v>8900</v>
      </c>
      <c r="AA186" s="52" t="str">
        <f t="shared" si="22"/>
        <v>8900</v>
      </c>
      <c r="AB186" s="21">
        <v>7200</v>
      </c>
      <c r="AC186" s="21" t="str">
        <f t="shared" si="24"/>
        <v>7200</v>
      </c>
      <c r="AD186" s="21" t="str">
        <f t="shared" si="23"/>
        <v>7200</v>
      </c>
      <c r="AE186" s="7" t="s">
        <v>1006</v>
      </c>
      <c r="AF186" s="2" t="str">
        <f t="shared" si="25"/>
        <v>Top Thấp</v>
      </c>
    </row>
    <row r="187" spans="1:32">
      <c r="A187" s="7" t="s">
        <v>1136</v>
      </c>
      <c r="B187" s="8" t="s">
        <v>1133</v>
      </c>
      <c r="C187" s="8">
        <f>188/14131</f>
        <v>1.3304083221286534E-2</v>
      </c>
      <c r="D187" s="13" t="s">
        <v>1137</v>
      </c>
      <c r="E187" s="8">
        <f>20/5830</f>
        <v>3.4305317324185248E-3</v>
      </c>
      <c r="F187" s="13" t="s">
        <v>1138</v>
      </c>
      <c r="G187" s="8">
        <f>7/960</f>
        <v>7.2916666666666668E-3</v>
      </c>
      <c r="H187" s="7" t="s">
        <v>103</v>
      </c>
      <c r="I187" s="7" t="s">
        <v>123</v>
      </c>
      <c r="J187" s="7" t="s">
        <v>1587</v>
      </c>
      <c r="K187" s="11" t="s">
        <v>52</v>
      </c>
      <c r="L187" s="7">
        <v>0.65</v>
      </c>
      <c r="M187" s="7">
        <v>91913</v>
      </c>
      <c r="N187" s="7" t="s">
        <v>1586</v>
      </c>
      <c r="O187" s="7">
        <v>0</v>
      </c>
      <c r="P187" s="7">
        <v>0</v>
      </c>
      <c r="Q187" s="11">
        <v>0.56000000000000005</v>
      </c>
      <c r="R187" s="12">
        <v>0</v>
      </c>
      <c r="S187" s="8" t="str">
        <f t="shared" si="19"/>
        <v>0</v>
      </c>
      <c r="T187" s="8" t="str">
        <f t="shared" si="20"/>
        <v>0</v>
      </c>
      <c r="U187" s="12">
        <v>0</v>
      </c>
      <c r="V187" s="8" t="str">
        <f t="shared" si="26"/>
        <v>0</v>
      </c>
      <c r="W187" s="8" t="s">
        <v>395</v>
      </c>
      <c r="X187" s="49">
        <v>2577754</v>
      </c>
      <c r="Y187" s="21" t="str">
        <f t="shared" si="21"/>
        <v>2577754</v>
      </c>
      <c r="Z187" s="21">
        <v>18500</v>
      </c>
      <c r="AA187" s="52" t="str">
        <f t="shared" si="22"/>
        <v>18500</v>
      </c>
      <c r="AB187" s="21">
        <v>15900</v>
      </c>
      <c r="AC187" s="21" t="str">
        <f t="shared" si="24"/>
        <v>15900</v>
      </c>
      <c r="AD187" s="21" t="str">
        <f t="shared" si="23"/>
        <v>15900</v>
      </c>
      <c r="AE187" s="7" t="s">
        <v>1006</v>
      </c>
      <c r="AF187" s="2" t="str">
        <f t="shared" si="25"/>
        <v>Top Thấp</v>
      </c>
    </row>
    <row r="188" spans="1:32">
      <c r="A188" s="7" t="s">
        <v>1085</v>
      </c>
      <c r="B188" s="8" t="s">
        <v>1126</v>
      </c>
      <c r="C188" s="8">
        <f>189/14131</f>
        <v>1.3374849621399759E-2</v>
      </c>
      <c r="D188" s="13" t="s">
        <v>1134</v>
      </c>
      <c r="E188" s="8">
        <f>96/2597</f>
        <v>3.6965729688101655E-2</v>
      </c>
      <c r="F188" s="13" t="s">
        <v>1135</v>
      </c>
      <c r="G188" s="8">
        <f>85/2496</f>
        <v>3.4054487179487176E-2</v>
      </c>
      <c r="H188" s="7" t="s">
        <v>28</v>
      </c>
      <c r="I188" s="7" t="s">
        <v>29</v>
      </c>
      <c r="J188" s="7" t="s">
        <v>40</v>
      </c>
      <c r="K188" s="11" t="s">
        <v>52</v>
      </c>
      <c r="L188" s="7">
        <v>0.49</v>
      </c>
      <c r="M188" s="7">
        <v>40788</v>
      </c>
      <c r="N188" s="7" t="s">
        <v>31</v>
      </c>
      <c r="O188" s="7">
        <v>0</v>
      </c>
      <c r="P188" s="7">
        <v>0</v>
      </c>
      <c r="Q188" s="11">
        <v>0.63</v>
      </c>
      <c r="R188" s="12">
        <v>17864</v>
      </c>
      <c r="S188" s="8" t="str">
        <f t="shared" si="19"/>
        <v>17864</v>
      </c>
      <c r="T188" s="8" t="str">
        <f t="shared" si="20"/>
        <v>17864</v>
      </c>
      <c r="U188" s="12">
        <v>1977</v>
      </c>
      <c r="V188" s="8" t="str">
        <f t="shared" si="26"/>
        <v>1977</v>
      </c>
      <c r="W188" s="8" t="s">
        <v>32</v>
      </c>
      <c r="X188" s="49">
        <v>2267574</v>
      </c>
      <c r="Y188" s="21" t="str">
        <f t="shared" si="21"/>
        <v>2267574</v>
      </c>
      <c r="Z188" s="21">
        <v>19199</v>
      </c>
      <c r="AA188" s="52" t="str">
        <f t="shared" si="22"/>
        <v>19199</v>
      </c>
      <c r="AB188" s="21">
        <v>11442</v>
      </c>
      <c r="AC188" s="21" t="str">
        <f t="shared" si="24"/>
        <v>11442</v>
      </c>
      <c r="AD188" s="21" t="str">
        <f t="shared" si="23"/>
        <v>11442</v>
      </c>
      <c r="AE188" s="7" t="s">
        <v>1006</v>
      </c>
      <c r="AF188" s="2" t="str">
        <f t="shared" si="25"/>
        <v>Top Thấp</v>
      </c>
    </row>
    <row r="189" spans="1:32">
      <c r="A189" s="7" t="s">
        <v>1082</v>
      </c>
      <c r="B189" s="8" t="s">
        <v>1603</v>
      </c>
      <c r="C189" s="8">
        <f>189/14131</f>
        <v>1.3374849621399759E-2</v>
      </c>
      <c r="D189" s="13" t="s">
        <v>1141</v>
      </c>
      <c r="E189" s="8">
        <f>97/2597</f>
        <v>3.7350789372352713E-2</v>
      </c>
      <c r="F189" s="13" t="s">
        <v>1142</v>
      </c>
      <c r="G189" s="8">
        <f>86/2496</f>
        <v>3.4455128205128208E-2</v>
      </c>
      <c r="H189" s="7" t="s">
        <v>28</v>
      </c>
      <c r="I189" s="7" t="s">
        <v>29</v>
      </c>
      <c r="J189" s="7" t="s">
        <v>860</v>
      </c>
      <c r="K189" s="11" t="s">
        <v>52</v>
      </c>
      <c r="L189" s="7">
        <v>0.33</v>
      </c>
      <c r="M189" s="7">
        <v>36822</v>
      </c>
      <c r="N189" s="7" t="s">
        <v>31</v>
      </c>
      <c r="O189" s="7">
        <v>0</v>
      </c>
      <c r="P189" s="7">
        <v>0</v>
      </c>
      <c r="Q189" s="11">
        <v>0.88</v>
      </c>
      <c r="R189" s="12">
        <v>18602</v>
      </c>
      <c r="S189" s="8" t="str">
        <f t="shared" si="19"/>
        <v>18602</v>
      </c>
      <c r="T189" s="8" t="str">
        <f t="shared" si="20"/>
        <v>18602</v>
      </c>
      <c r="U189" s="12">
        <v>3655</v>
      </c>
      <c r="V189" s="8" t="str">
        <f t="shared" si="26"/>
        <v>3655</v>
      </c>
      <c r="W189" s="8" t="s">
        <v>32</v>
      </c>
      <c r="X189" s="49">
        <v>1685170</v>
      </c>
      <c r="Y189" s="21" t="str">
        <f t="shared" si="21"/>
        <v>1685170</v>
      </c>
      <c r="Z189" s="21">
        <v>13590</v>
      </c>
      <c r="AA189" s="52" t="str">
        <f t="shared" si="22"/>
        <v>13590</v>
      </c>
      <c r="AB189" s="21">
        <v>15714</v>
      </c>
      <c r="AC189" s="21" t="str">
        <f t="shared" si="24"/>
        <v>15714</v>
      </c>
      <c r="AD189" s="21" t="str">
        <f t="shared" si="23"/>
        <v>15714</v>
      </c>
      <c r="AE189" s="7" t="s">
        <v>1006</v>
      </c>
      <c r="AF189" s="2" t="str">
        <f t="shared" si="25"/>
        <v>Top Thấp</v>
      </c>
    </row>
    <row r="190" spans="1:32">
      <c r="A190" s="7" t="s">
        <v>1139</v>
      </c>
      <c r="B190" s="8" t="s">
        <v>1585</v>
      </c>
      <c r="C190" s="8">
        <f>190/14131</f>
        <v>1.3445616021512986E-2</v>
      </c>
      <c r="D190" s="13" t="s">
        <v>1344</v>
      </c>
      <c r="E190" s="8">
        <f>98/2597</f>
        <v>3.7735849056603772E-2</v>
      </c>
      <c r="F190" s="13" t="s">
        <v>1584</v>
      </c>
      <c r="G190" s="8">
        <f>87/2496</f>
        <v>3.4855769230769232E-2</v>
      </c>
      <c r="H190" s="7" t="s">
        <v>28</v>
      </c>
      <c r="I190" s="7" t="s">
        <v>29</v>
      </c>
      <c r="J190" s="7" t="s">
        <v>1583</v>
      </c>
      <c r="K190" s="11" t="s">
        <v>52</v>
      </c>
      <c r="L190" s="7">
        <v>0.17</v>
      </c>
      <c r="M190" s="7">
        <v>53491</v>
      </c>
      <c r="N190" s="7" t="s">
        <v>31</v>
      </c>
      <c r="O190" s="7">
        <v>1255</v>
      </c>
      <c r="P190" s="7">
        <v>29</v>
      </c>
      <c r="Q190" s="11">
        <v>0.95</v>
      </c>
      <c r="R190" s="12">
        <v>26864</v>
      </c>
      <c r="S190" s="8" t="str">
        <f t="shared" si="19"/>
        <v>26864</v>
      </c>
      <c r="T190" s="8" t="str">
        <f t="shared" si="20"/>
        <v>26864</v>
      </c>
      <c r="U190" s="12">
        <v>8607</v>
      </c>
      <c r="V190" s="8" t="str">
        <f t="shared" si="26"/>
        <v>8607</v>
      </c>
      <c r="W190" s="8" t="s">
        <v>32</v>
      </c>
      <c r="X190" s="49">
        <v>1892081</v>
      </c>
      <c r="Y190" s="21" t="str">
        <f t="shared" si="21"/>
        <v>1892081</v>
      </c>
      <c r="Z190" s="21">
        <v>7055</v>
      </c>
      <c r="AA190" s="52" t="str">
        <f t="shared" si="22"/>
        <v>7055</v>
      </c>
      <c r="AB190" s="21">
        <v>13734</v>
      </c>
      <c r="AC190" s="21" t="str">
        <f t="shared" si="24"/>
        <v>13734</v>
      </c>
      <c r="AD190" s="21" t="str">
        <f t="shared" si="23"/>
        <v>13734</v>
      </c>
      <c r="AE190" s="7" t="s">
        <v>1006</v>
      </c>
      <c r="AF190" s="2" t="str">
        <f t="shared" si="25"/>
        <v>Top Thấp</v>
      </c>
    </row>
    <row r="191" spans="1:32">
      <c r="A191" s="7" t="s">
        <v>1143</v>
      </c>
      <c r="B191" s="8" t="s">
        <v>1140</v>
      </c>
      <c r="C191" s="7">
        <f>191/14131</f>
        <v>1.3516382421626212E-2</v>
      </c>
      <c r="D191" s="9" t="s">
        <v>907</v>
      </c>
      <c r="E191" s="7">
        <f>99/2597</f>
        <v>3.8120908740854831E-2</v>
      </c>
      <c r="F191" s="9" t="s">
        <v>908</v>
      </c>
      <c r="G191" s="7">
        <f>88/2496</f>
        <v>3.5256410256410256E-2</v>
      </c>
      <c r="H191" s="7" t="s">
        <v>28</v>
      </c>
      <c r="I191" s="7" t="s">
        <v>29</v>
      </c>
      <c r="J191" s="7" t="s">
        <v>847</v>
      </c>
      <c r="K191" s="11" t="s">
        <v>68</v>
      </c>
      <c r="L191" s="11">
        <v>0.59</v>
      </c>
      <c r="M191" s="12">
        <v>47974</v>
      </c>
      <c r="N191" s="7" t="s">
        <v>31</v>
      </c>
      <c r="O191" s="7">
        <v>1330</v>
      </c>
      <c r="P191" s="7">
        <v>29</v>
      </c>
      <c r="Q191" s="11">
        <v>0.65</v>
      </c>
      <c r="R191" s="12">
        <v>31642</v>
      </c>
      <c r="S191" s="8" t="str">
        <f t="shared" si="19"/>
        <v>31642</v>
      </c>
      <c r="T191" s="8" t="str">
        <f t="shared" si="20"/>
        <v>31642</v>
      </c>
      <c r="U191" s="12">
        <v>3169</v>
      </c>
      <c r="V191" s="8" t="str">
        <f t="shared" si="26"/>
        <v>3169</v>
      </c>
      <c r="W191" s="8" t="s">
        <v>32</v>
      </c>
      <c r="X191" s="49">
        <v>1047401</v>
      </c>
      <c r="Y191" s="21" t="str">
        <f t="shared" si="21"/>
        <v>1047401</v>
      </c>
      <c r="Z191" s="21">
        <v>5867</v>
      </c>
      <c r="AA191" s="52" t="str">
        <f t="shared" si="22"/>
        <v>5867</v>
      </c>
      <c r="AB191" s="21">
        <v>13432</v>
      </c>
      <c r="AC191" s="21" t="str">
        <f t="shared" si="24"/>
        <v>13432</v>
      </c>
      <c r="AD191" s="21" t="str">
        <f t="shared" si="23"/>
        <v>13432</v>
      </c>
      <c r="AE191" s="7" t="s">
        <v>1006</v>
      </c>
      <c r="AF191" s="2" t="str">
        <f t="shared" si="25"/>
        <v>Top Thấp</v>
      </c>
    </row>
    <row r="192" spans="1:32">
      <c r="A192" s="7" t="s">
        <v>1144</v>
      </c>
      <c r="B192" s="8" t="s">
        <v>1145</v>
      </c>
      <c r="C192" s="7">
        <f>192/14131</f>
        <v>1.3587148821739439E-2</v>
      </c>
      <c r="D192" s="9" t="s">
        <v>1127</v>
      </c>
      <c r="E192" s="7">
        <f>62/2785</f>
        <v>2.2262118491921005E-2</v>
      </c>
      <c r="F192" s="9" t="s">
        <v>1128</v>
      </c>
      <c r="G192" s="7">
        <f>14/369</f>
        <v>3.7940379403794036E-2</v>
      </c>
      <c r="H192" s="7" t="s">
        <v>49</v>
      </c>
      <c r="I192" s="7" t="s">
        <v>50</v>
      </c>
      <c r="J192" s="7" t="s">
        <v>236</v>
      </c>
      <c r="K192" s="11" t="s">
        <v>52</v>
      </c>
      <c r="L192" s="11">
        <v>0.26</v>
      </c>
      <c r="M192" s="12">
        <v>83559</v>
      </c>
      <c r="N192" s="7" t="s">
        <v>765</v>
      </c>
      <c r="O192" s="7">
        <v>0</v>
      </c>
      <c r="P192" s="7">
        <v>0</v>
      </c>
      <c r="Q192" s="11">
        <v>0</v>
      </c>
      <c r="R192" s="12">
        <v>0</v>
      </c>
      <c r="S192" s="8" t="str">
        <f t="shared" si="19"/>
        <v>0</v>
      </c>
      <c r="T192" s="8" t="str">
        <f t="shared" si="20"/>
        <v>0</v>
      </c>
      <c r="U192" s="12">
        <v>0</v>
      </c>
      <c r="V192" s="8" t="str">
        <f t="shared" si="26"/>
        <v>0</v>
      </c>
      <c r="W192" s="8" t="s">
        <v>32</v>
      </c>
      <c r="X192" s="49">
        <v>1814558</v>
      </c>
      <c r="Y192" s="21" t="str">
        <f t="shared" si="21"/>
        <v>1814558</v>
      </c>
      <c r="Z192" s="21">
        <v>20500</v>
      </c>
      <c r="AA192" s="52" t="str">
        <f t="shared" si="22"/>
        <v>20500</v>
      </c>
      <c r="AB192" s="21">
        <v>25900</v>
      </c>
      <c r="AC192" s="21" t="str">
        <f t="shared" si="24"/>
        <v>25900</v>
      </c>
      <c r="AD192" s="21" t="str">
        <f t="shared" si="23"/>
        <v>25900</v>
      </c>
      <c r="AE192" s="7" t="s">
        <v>1006</v>
      </c>
      <c r="AF192" s="2" t="str">
        <f t="shared" si="25"/>
        <v>Top Thấp</v>
      </c>
    </row>
    <row r="193" spans="1:32">
      <c r="A193" s="7" t="s">
        <v>1146</v>
      </c>
      <c r="B193" s="8" t="s">
        <v>1147</v>
      </c>
      <c r="C193" s="8">
        <f>193/14131</f>
        <v>1.3657915221852664E-2</v>
      </c>
      <c r="D193" s="13" t="s">
        <v>1148</v>
      </c>
      <c r="E193" s="8">
        <f>100/2597</f>
        <v>3.850596842510589E-2</v>
      </c>
      <c r="F193" s="13" t="s">
        <v>1149</v>
      </c>
      <c r="G193" s="8">
        <f>89/2496</f>
        <v>3.565705128205128E-2</v>
      </c>
      <c r="H193" s="7" t="s">
        <v>28</v>
      </c>
      <c r="I193" s="7" t="s">
        <v>29</v>
      </c>
      <c r="J193" s="7" t="s">
        <v>1582</v>
      </c>
      <c r="K193" s="11" t="s">
        <v>52</v>
      </c>
      <c r="L193" s="7">
        <v>0.4</v>
      </c>
      <c r="M193" s="7">
        <v>48999</v>
      </c>
      <c r="N193" s="7" t="s">
        <v>31</v>
      </c>
      <c r="O193" s="7">
        <v>1248</v>
      </c>
      <c r="P193" s="7">
        <v>29</v>
      </c>
      <c r="Q193" s="11">
        <v>0.9</v>
      </c>
      <c r="R193" s="12">
        <v>19410</v>
      </c>
      <c r="S193" s="8" t="str">
        <f t="shared" si="19"/>
        <v>19410</v>
      </c>
      <c r="T193" s="8" t="str">
        <f t="shared" si="20"/>
        <v>19410</v>
      </c>
      <c r="U193" s="12">
        <v>4586</v>
      </c>
      <c r="V193" s="8" t="str">
        <f t="shared" si="26"/>
        <v>4586</v>
      </c>
      <c r="W193" s="8" t="s">
        <v>32</v>
      </c>
      <c r="X193" s="49">
        <v>1950998</v>
      </c>
      <c r="Y193" s="21" t="str">
        <f t="shared" si="21"/>
        <v>1950998</v>
      </c>
      <c r="Z193" s="21">
        <v>12410</v>
      </c>
      <c r="AA193" s="52" t="str">
        <f t="shared" si="22"/>
        <v>12410</v>
      </c>
      <c r="AB193" s="21">
        <v>17100</v>
      </c>
      <c r="AC193" s="21" t="str">
        <f t="shared" si="24"/>
        <v>17100</v>
      </c>
      <c r="AD193" s="21" t="str">
        <f t="shared" si="23"/>
        <v>17100</v>
      </c>
      <c r="AE193" s="7" t="s">
        <v>1006</v>
      </c>
      <c r="AF193" s="2" t="str">
        <f t="shared" si="25"/>
        <v>Top Thấp</v>
      </c>
    </row>
    <row r="194" spans="1:32">
      <c r="A194" s="7" t="s">
        <v>1150</v>
      </c>
      <c r="B194" s="8" t="s">
        <v>1151</v>
      </c>
      <c r="C194" s="7">
        <f>194/14131</f>
        <v>1.372868162196589E-2</v>
      </c>
      <c r="D194" s="9" t="s">
        <v>1497</v>
      </c>
      <c r="E194" s="7">
        <f>21/5830</f>
        <v>3.6020583190394511E-3</v>
      </c>
      <c r="F194" s="9" t="s">
        <v>1498</v>
      </c>
      <c r="G194" s="7">
        <f>8/719</f>
        <v>1.1126564673157162E-2</v>
      </c>
      <c r="H194" s="7" t="s">
        <v>103</v>
      </c>
      <c r="I194" s="7" t="s">
        <v>176</v>
      </c>
      <c r="J194" s="7" t="s">
        <v>824</v>
      </c>
      <c r="K194" s="11" t="s">
        <v>52</v>
      </c>
      <c r="L194" s="11">
        <v>0.41</v>
      </c>
      <c r="M194" s="7">
        <v>151</v>
      </c>
      <c r="N194" s="7" t="s">
        <v>1581</v>
      </c>
      <c r="O194" s="7">
        <v>0</v>
      </c>
      <c r="P194" s="7">
        <v>0</v>
      </c>
      <c r="Q194" s="11">
        <v>0.56000000000000005</v>
      </c>
      <c r="R194" s="12">
        <v>0</v>
      </c>
      <c r="S194" s="8" t="str">
        <f t="shared" ref="S194:S257" si="27">SUBSTITUTE(R194, ",", "")</f>
        <v>0</v>
      </c>
      <c r="T194" s="8" t="str">
        <f t="shared" ref="T194:T257" si="28">SUBSTITUTE(S194, ".", "")</f>
        <v>0</v>
      </c>
      <c r="U194" s="12">
        <v>0</v>
      </c>
      <c r="V194" s="8" t="str">
        <f t="shared" si="26"/>
        <v>0</v>
      </c>
      <c r="W194" s="8" t="s">
        <v>32</v>
      </c>
      <c r="X194" s="49">
        <v>2905394</v>
      </c>
      <c r="Y194" s="21" t="str">
        <f t="shared" ref="Y194:Y257" si="29">SUBSTITUTE(X194, ",", "")</f>
        <v>2905394</v>
      </c>
      <c r="Z194" s="21">
        <v>34100</v>
      </c>
      <c r="AA194" s="52" t="str">
        <f t="shared" ref="AA194:AA257" si="30">SUBSTITUTE(Z194, ",", "")</f>
        <v>34100</v>
      </c>
      <c r="AB194" s="21">
        <v>32100</v>
      </c>
      <c r="AC194" s="21" t="str">
        <f t="shared" si="24"/>
        <v>32100</v>
      </c>
      <c r="AD194" s="21" t="str">
        <f t="shared" ref="AD194:AD257" si="31">SUBSTITUTE(AC194, "$", "")</f>
        <v>32100</v>
      </c>
      <c r="AE194" s="7" t="s">
        <v>1006</v>
      </c>
      <c r="AF194" s="2" t="str">
        <f t="shared" si="25"/>
        <v>Top Thấp</v>
      </c>
    </row>
    <row r="195" spans="1:32">
      <c r="A195" s="7" t="s">
        <v>947</v>
      </c>
      <c r="B195" s="8" t="s">
        <v>1644</v>
      </c>
      <c r="C195" s="8">
        <f>195/14131</f>
        <v>1.3799448022079117E-2</v>
      </c>
      <c r="D195" s="13" t="s">
        <v>1643</v>
      </c>
      <c r="E195" s="8">
        <f>63/2785</f>
        <v>2.2621184919210054E-2</v>
      </c>
      <c r="F195" s="13" t="s">
        <v>1158</v>
      </c>
      <c r="G195" s="8">
        <f>15/369</f>
        <v>4.065040650406504E-2</v>
      </c>
      <c r="H195" s="7" t="s">
        <v>49</v>
      </c>
      <c r="I195" s="7" t="s">
        <v>50</v>
      </c>
      <c r="J195" s="7" t="s">
        <v>1057</v>
      </c>
      <c r="K195" s="11" t="s">
        <v>52</v>
      </c>
      <c r="L195" s="7">
        <v>0.24</v>
      </c>
      <c r="M195" s="7">
        <v>80199</v>
      </c>
      <c r="N195" s="7" t="s">
        <v>1642</v>
      </c>
      <c r="O195" s="7">
        <v>1163</v>
      </c>
      <c r="P195" s="7">
        <v>24</v>
      </c>
      <c r="Q195" s="11">
        <v>0.78</v>
      </c>
      <c r="R195" s="12">
        <v>12892</v>
      </c>
      <c r="S195" s="8" t="str">
        <f t="shared" si="27"/>
        <v>12892</v>
      </c>
      <c r="T195" s="8" t="str">
        <f t="shared" si="28"/>
        <v>12892</v>
      </c>
      <c r="U195" s="12">
        <v>9546</v>
      </c>
      <c r="V195" s="8" t="str">
        <f t="shared" si="26"/>
        <v>9546</v>
      </c>
      <c r="W195" s="8" t="s">
        <v>32</v>
      </c>
      <c r="X195" s="49">
        <v>1446763</v>
      </c>
      <c r="Y195" s="21" t="str">
        <f t="shared" si="29"/>
        <v>1446763</v>
      </c>
      <c r="Z195" s="21">
        <v>30000</v>
      </c>
      <c r="AA195" s="52" t="str">
        <f t="shared" si="30"/>
        <v>30000</v>
      </c>
      <c r="AB195" s="21">
        <v>29165</v>
      </c>
      <c r="AC195" s="21" t="str">
        <f t="shared" ref="AC195:AC258" si="32">SUBSTITUTE(AB195, ",", "")</f>
        <v>29165</v>
      </c>
      <c r="AD195" s="21" t="str">
        <f t="shared" si="31"/>
        <v>29165</v>
      </c>
      <c r="AE195" s="7" t="s">
        <v>1006</v>
      </c>
      <c r="AF195" s="2" t="str">
        <f t="shared" ref="AF195:AF258" si="33">IF(OR(AE195="TOP50", AE195="Top100", AE195="Top150"),"Top Cao","Top Thấp")</f>
        <v>Top Thấp</v>
      </c>
    </row>
    <row r="196" spans="1:32">
      <c r="A196" s="7" t="s">
        <v>1152</v>
      </c>
      <c r="B196" s="8" t="s">
        <v>1580</v>
      </c>
      <c r="C196" s="8">
        <f>196/14131</f>
        <v>1.3870214422192342E-2</v>
      </c>
      <c r="D196" s="13" t="s">
        <v>1579</v>
      </c>
      <c r="E196" s="8">
        <f>101/2597</f>
        <v>3.8891028109356948E-2</v>
      </c>
      <c r="F196" s="13" t="s">
        <v>1578</v>
      </c>
      <c r="G196" s="8">
        <f>90/2496</f>
        <v>3.6057692307692304E-2</v>
      </c>
      <c r="H196" s="7" t="s">
        <v>28</v>
      </c>
      <c r="I196" s="7" t="s">
        <v>29</v>
      </c>
      <c r="J196" s="7" t="s">
        <v>366</v>
      </c>
      <c r="K196" s="11" t="s">
        <v>52</v>
      </c>
      <c r="L196" s="7">
        <v>0.43</v>
      </c>
      <c r="M196" s="7">
        <v>72575</v>
      </c>
      <c r="N196" s="7" t="s">
        <v>31</v>
      </c>
      <c r="O196" s="7">
        <v>1145</v>
      </c>
      <c r="P196" s="7">
        <v>25</v>
      </c>
      <c r="Q196" s="11">
        <v>0.99</v>
      </c>
      <c r="R196" s="12">
        <v>16839</v>
      </c>
      <c r="S196" s="8" t="str">
        <f t="shared" si="27"/>
        <v>16839</v>
      </c>
      <c r="T196" s="8" t="str">
        <f t="shared" si="28"/>
        <v>16839</v>
      </c>
      <c r="U196" s="12">
        <v>8080</v>
      </c>
      <c r="V196" s="8" t="str">
        <f t="shared" si="26"/>
        <v>8080</v>
      </c>
      <c r="W196" s="8" t="s">
        <v>32</v>
      </c>
      <c r="X196" s="49">
        <v>2585370</v>
      </c>
      <c r="Y196" s="21" t="str">
        <f t="shared" si="29"/>
        <v>2585370</v>
      </c>
      <c r="Z196" s="21">
        <v>10091</v>
      </c>
      <c r="AA196" s="52" t="str">
        <f t="shared" si="30"/>
        <v>10091</v>
      </c>
      <c r="AB196" s="21">
        <v>16920</v>
      </c>
      <c r="AC196" s="21" t="str">
        <f t="shared" si="32"/>
        <v>16920</v>
      </c>
      <c r="AD196" s="21" t="str">
        <f t="shared" si="31"/>
        <v>16920</v>
      </c>
      <c r="AE196" s="7" t="s">
        <v>1006</v>
      </c>
      <c r="AF196" s="2" t="str">
        <f t="shared" si="33"/>
        <v>Top Thấp</v>
      </c>
    </row>
    <row r="197" spans="1:32">
      <c r="A197" s="7" t="s">
        <v>1154</v>
      </c>
      <c r="B197" s="8" t="s">
        <v>1155</v>
      </c>
      <c r="C197" s="7">
        <f>197/14131</f>
        <v>1.394098082230557E-2</v>
      </c>
      <c r="D197" s="20" t="s">
        <v>1331</v>
      </c>
      <c r="E197" s="7">
        <f>102/2597</f>
        <v>3.9276087793608007E-2</v>
      </c>
      <c r="F197" s="9" t="s">
        <v>1332</v>
      </c>
      <c r="G197" s="7">
        <f>12/101</f>
        <v>0.11881188118811881</v>
      </c>
      <c r="H197" s="7" t="s">
        <v>28</v>
      </c>
      <c r="I197" s="7" t="s">
        <v>306</v>
      </c>
      <c r="J197" s="7" t="s">
        <v>373</v>
      </c>
      <c r="K197" s="11" t="s">
        <v>52</v>
      </c>
      <c r="L197" s="11">
        <v>0.5</v>
      </c>
      <c r="M197" s="12">
        <v>86773</v>
      </c>
      <c r="N197" s="7" t="s">
        <v>1577</v>
      </c>
      <c r="O197" s="7">
        <v>0</v>
      </c>
      <c r="P197" s="7">
        <v>0</v>
      </c>
      <c r="Q197" s="11">
        <v>0.92</v>
      </c>
      <c r="R197" s="12">
        <v>0</v>
      </c>
      <c r="S197" s="8" t="str">
        <f t="shared" si="27"/>
        <v>0</v>
      </c>
      <c r="T197" s="8" t="str">
        <f t="shared" si="28"/>
        <v>0</v>
      </c>
      <c r="U197" s="12">
        <v>0</v>
      </c>
      <c r="V197" s="8" t="str">
        <f t="shared" si="26"/>
        <v>0</v>
      </c>
      <c r="W197" s="8" t="s">
        <v>32</v>
      </c>
      <c r="X197" s="49">
        <v>2182629</v>
      </c>
      <c r="Y197" s="21" t="str">
        <f t="shared" si="29"/>
        <v>2182629</v>
      </c>
      <c r="Z197" s="21">
        <v>23189</v>
      </c>
      <c r="AA197" s="52" t="str">
        <f t="shared" si="30"/>
        <v>23189</v>
      </c>
      <c r="AB197" s="21">
        <v>25540</v>
      </c>
      <c r="AC197" s="21" t="str">
        <f t="shared" si="32"/>
        <v>25540</v>
      </c>
      <c r="AD197" s="21" t="str">
        <f t="shared" si="31"/>
        <v>25540</v>
      </c>
      <c r="AE197" s="7" t="s">
        <v>1006</v>
      </c>
      <c r="AF197" s="2" t="str">
        <f t="shared" si="33"/>
        <v>Top Thấp</v>
      </c>
    </row>
    <row r="198" spans="1:32">
      <c r="A198" s="7" t="s">
        <v>1159</v>
      </c>
      <c r="B198" s="8" t="s">
        <v>1160</v>
      </c>
      <c r="C198" s="8">
        <f>198/14131</f>
        <v>1.4011747222418795E-2</v>
      </c>
      <c r="D198" s="13" t="s">
        <v>1161</v>
      </c>
      <c r="E198" s="8">
        <f>103/2597</f>
        <v>3.9661147477859066E-2</v>
      </c>
      <c r="F198" s="13" t="s">
        <v>1162</v>
      </c>
      <c r="G198" s="8">
        <f>91/2496</f>
        <v>3.6458333333333336E-2</v>
      </c>
      <c r="H198" s="7" t="s">
        <v>28</v>
      </c>
      <c r="I198" s="7" t="s">
        <v>29</v>
      </c>
      <c r="J198" s="7" t="s">
        <v>1308</v>
      </c>
      <c r="K198" s="11" t="s">
        <v>52</v>
      </c>
      <c r="L198" s="7">
        <v>0.41</v>
      </c>
      <c r="M198" s="7">
        <v>48378</v>
      </c>
      <c r="N198" s="7" t="s">
        <v>31</v>
      </c>
      <c r="O198" s="7">
        <v>1235</v>
      </c>
      <c r="P198" s="7">
        <v>26</v>
      </c>
      <c r="Q198" s="11">
        <v>0.85</v>
      </c>
      <c r="R198" s="12">
        <v>38581</v>
      </c>
      <c r="S198" s="8" t="str">
        <f t="shared" si="27"/>
        <v>38581</v>
      </c>
      <c r="T198" s="8" t="str">
        <f t="shared" si="28"/>
        <v>38581</v>
      </c>
      <c r="U198" s="12">
        <v>8450</v>
      </c>
      <c r="V198" s="8" t="str">
        <f t="shared" si="26"/>
        <v>8450</v>
      </c>
      <c r="W198" s="8" t="s">
        <v>32</v>
      </c>
      <c r="X198" s="49">
        <v>1623181</v>
      </c>
      <c r="Y198" s="21" t="str">
        <f t="shared" si="29"/>
        <v>1623181</v>
      </c>
      <c r="Z198" s="21">
        <v>10409</v>
      </c>
      <c r="AA198" s="52" t="str">
        <f t="shared" si="30"/>
        <v>10409</v>
      </c>
      <c r="AB198" s="21">
        <v>8713</v>
      </c>
      <c r="AC198" s="21" t="str">
        <f t="shared" si="32"/>
        <v>8713</v>
      </c>
      <c r="AD198" s="21" t="str">
        <f t="shared" si="31"/>
        <v>8713</v>
      </c>
      <c r="AE198" s="7" t="s">
        <v>1006</v>
      </c>
      <c r="AF198" s="2" t="str">
        <f t="shared" si="33"/>
        <v>Top Thấp</v>
      </c>
    </row>
    <row r="199" spans="1:32">
      <c r="A199" s="7" t="s">
        <v>1156</v>
      </c>
      <c r="B199" s="8" t="s">
        <v>1164</v>
      </c>
      <c r="C199" s="8">
        <f>199/14131</f>
        <v>1.4082513622532022E-2</v>
      </c>
      <c r="D199" s="13" t="s">
        <v>1576</v>
      </c>
      <c r="E199" s="8">
        <f>64/2785</f>
        <v>2.2980251346499104E-2</v>
      </c>
      <c r="F199" s="13" t="s">
        <v>1575</v>
      </c>
      <c r="G199" s="8">
        <f>16/369</f>
        <v>4.3360433604336043E-2</v>
      </c>
      <c r="H199" s="7" t="s">
        <v>49</v>
      </c>
      <c r="I199" s="7" t="s">
        <v>50</v>
      </c>
      <c r="J199" s="7" t="s">
        <v>1214</v>
      </c>
      <c r="K199" s="11" t="s">
        <v>52</v>
      </c>
      <c r="L199" s="7">
        <v>0.78</v>
      </c>
      <c r="M199" s="7">
        <v>52599</v>
      </c>
      <c r="N199" s="7" t="s">
        <v>1574</v>
      </c>
      <c r="O199" s="7">
        <v>0</v>
      </c>
      <c r="P199" s="7">
        <v>0</v>
      </c>
      <c r="Q199" s="11">
        <v>0.56000000000000005</v>
      </c>
      <c r="R199" s="12">
        <v>0</v>
      </c>
      <c r="S199" s="8" t="str">
        <f t="shared" si="27"/>
        <v>0</v>
      </c>
      <c r="T199" s="8" t="str">
        <f t="shared" si="28"/>
        <v>0</v>
      </c>
      <c r="U199" s="12">
        <v>0</v>
      </c>
      <c r="V199" s="8" t="str">
        <f t="shared" si="26"/>
        <v>0</v>
      </c>
      <c r="W199" s="8" t="s">
        <v>32</v>
      </c>
      <c r="X199" s="49">
        <v>1334034</v>
      </c>
      <c r="Y199" s="21" t="str">
        <f t="shared" si="29"/>
        <v>1334034</v>
      </c>
      <c r="Z199" s="21">
        <v>12100</v>
      </c>
      <c r="AA199" s="52" t="str">
        <f t="shared" si="30"/>
        <v>12100</v>
      </c>
      <c r="AB199" s="21">
        <v>15900</v>
      </c>
      <c r="AC199" s="21" t="str">
        <f t="shared" si="32"/>
        <v>15900</v>
      </c>
      <c r="AD199" s="21" t="str">
        <f t="shared" si="31"/>
        <v>15900</v>
      </c>
      <c r="AE199" s="7" t="s">
        <v>1006</v>
      </c>
      <c r="AF199" s="2" t="str">
        <f t="shared" si="33"/>
        <v>Top Thấp</v>
      </c>
    </row>
    <row r="200" spans="1:32">
      <c r="A200" s="7" t="s">
        <v>1167</v>
      </c>
      <c r="B200" s="8" t="s">
        <v>1168</v>
      </c>
      <c r="C200" s="7">
        <f>200/14131</f>
        <v>1.4153280022645248E-2</v>
      </c>
      <c r="D200" s="9" t="s">
        <v>1169</v>
      </c>
      <c r="E200" s="7">
        <f>88/2597</f>
        <v>3.3885252214093185E-2</v>
      </c>
      <c r="F200" s="9" t="s">
        <v>1170</v>
      </c>
      <c r="G200" s="7">
        <f>1/32</f>
        <v>3.125E-2</v>
      </c>
      <c r="H200" s="7" t="s">
        <v>28</v>
      </c>
      <c r="I200" s="7" t="s">
        <v>29</v>
      </c>
      <c r="J200" s="7" t="s">
        <v>84</v>
      </c>
      <c r="K200" s="11" t="s">
        <v>52</v>
      </c>
      <c r="L200" s="11">
        <v>0.48</v>
      </c>
      <c r="M200" s="12">
        <v>86314</v>
      </c>
      <c r="N200" s="7" t="s">
        <v>31</v>
      </c>
      <c r="O200" s="7">
        <v>1390</v>
      </c>
      <c r="P200" s="7">
        <v>31</v>
      </c>
      <c r="Q200" s="11">
        <v>0.82</v>
      </c>
      <c r="R200" s="12">
        <v>17999</v>
      </c>
      <c r="S200" s="8" t="str">
        <f t="shared" si="27"/>
        <v>17999</v>
      </c>
      <c r="T200" s="8" t="str">
        <f t="shared" si="28"/>
        <v>17999</v>
      </c>
      <c r="U200" s="12">
        <v>8609</v>
      </c>
      <c r="V200" s="8" t="str">
        <f t="shared" si="26"/>
        <v>8609</v>
      </c>
      <c r="W200" s="8" t="s">
        <v>32</v>
      </c>
      <c r="X200" s="49">
        <v>3057741</v>
      </c>
      <c r="Y200" s="21" t="str">
        <f t="shared" si="29"/>
        <v>3057741</v>
      </c>
      <c r="Z200" s="21">
        <v>10370</v>
      </c>
      <c r="AA200" s="52" t="str">
        <f t="shared" si="30"/>
        <v>10370</v>
      </c>
      <c r="AB200" s="21">
        <v>11370</v>
      </c>
      <c r="AC200" s="21" t="str">
        <f t="shared" si="32"/>
        <v>11370</v>
      </c>
      <c r="AD200" s="21" t="str">
        <f t="shared" si="31"/>
        <v>11370</v>
      </c>
      <c r="AE200" s="7" t="s">
        <v>1006</v>
      </c>
      <c r="AF200" s="2" t="str">
        <f t="shared" si="33"/>
        <v>Top Thấp</v>
      </c>
    </row>
    <row r="201" spans="1:32">
      <c r="A201" s="37" t="s">
        <v>1171</v>
      </c>
      <c r="B201" s="8" t="s">
        <v>1172</v>
      </c>
      <c r="C201" s="8">
        <v>1.4224046000000001E-2</v>
      </c>
      <c r="D201" s="13" t="s">
        <v>1173</v>
      </c>
      <c r="E201" s="8">
        <v>2.3339318000000001E-2</v>
      </c>
      <c r="F201" s="13" t="s">
        <v>1174</v>
      </c>
      <c r="G201" s="13" t="s">
        <v>1175</v>
      </c>
      <c r="H201" s="7" t="s">
        <v>49</v>
      </c>
      <c r="I201" s="7" t="s">
        <v>864</v>
      </c>
      <c r="J201" s="7" t="s">
        <v>519</v>
      </c>
      <c r="K201" s="11" t="s">
        <v>52</v>
      </c>
      <c r="L201" s="11">
        <v>0.55000000000000004</v>
      </c>
      <c r="M201" s="12">
        <v>67301</v>
      </c>
      <c r="N201" s="24" t="s">
        <v>611</v>
      </c>
      <c r="O201" s="7">
        <v>0</v>
      </c>
      <c r="P201" s="7">
        <v>0</v>
      </c>
      <c r="Q201" s="11">
        <v>0.63</v>
      </c>
      <c r="R201" s="7">
        <v>5700</v>
      </c>
      <c r="S201" s="8" t="str">
        <f t="shared" si="27"/>
        <v>5700</v>
      </c>
      <c r="T201" s="8" t="str">
        <f t="shared" si="28"/>
        <v>5700</v>
      </c>
      <c r="U201" s="7">
        <v>5900</v>
      </c>
      <c r="V201" s="8" t="str">
        <f t="shared" si="26"/>
        <v>5900</v>
      </c>
      <c r="W201" s="25" t="s">
        <v>395</v>
      </c>
      <c r="X201" s="49">
        <v>2649916</v>
      </c>
      <c r="Y201" s="21" t="str">
        <f t="shared" si="29"/>
        <v>2649916</v>
      </c>
      <c r="Z201" s="21">
        <v>15700</v>
      </c>
      <c r="AA201" s="52" t="str">
        <f t="shared" si="30"/>
        <v>15700</v>
      </c>
      <c r="AB201" s="21">
        <v>21700</v>
      </c>
      <c r="AC201" s="21" t="str">
        <f t="shared" si="32"/>
        <v>21700</v>
      </c>
      <c r="AD201" s="21" t="str">
        <f t="shared" si="31"/>
        <v>21700</v>
      </c>
      <c r="AE201" s="7" t="s">
        <v>1176</v>
      </c>
      <c r="AF201" s="2" t="str">
        <f t="shared" si="33"/>
        <v>Top Thấp</v>
      </c>
    </row>
    <row r="202" spans="1:32">
      <c r="A202" s="24" t="s">
        <v>1177</v>
      </c>
      <c r="B202" s="8" t="s">
        <v>1178</v>
      </c>
      <c r="C202" s="7">
        <f>202/14131</f>
        <v>1.42948128228717E-2</v>
      </c>
      <c r="D202" s="9" t="s">
        <v>1169</v>
      </c>
      <c r="E202" s="7">
        <f>88/2597</f>
        <v>3.3885252214093185E-2</v>
      </c>
      <c r="F202" s="9" t="s">
        <v>1179</v>
      </c>
      <c r="G202" s="7">
        <f>78/2496</f>
        <v>3.125E-2</v>
      </c>
      <c r="H202" s="7" t="s">
        <v>103</v>
      </c>
      <c r="I202" s="7" t="s">
        <v>123</v>
      </c>
      <c r="J202" s="7" t="s">
        <v>814</v>
      </c>
      <c r="K202" s="11" t="s">
        <v>52</v>
      </c>
      <c r="L202" s="11">
        <v>0.87</v>
      </c>
      <c r="M202" s="12">
        <v>113931</v>
      </c>
      <c r="N202" s="24" t="s">
        <v>572</v>
      </c>
      <c r="O202" s="7">
        <v>0</v>
      </c>
      <c r="P202" s="7">
        <v>0</v>
      </c>
      <c r="Q202" s="11">
        <v>0.91</v>
      </c>
      <c r="R202" s="7">
        <v>13900</v>
      </c>
      <c r="S202" s="8" t="str">
        <f t="shared" si="27"/>
        <v>13900</v>
      </c>
      <c r="T202" s="8" t="str">
        <f t="shared" si="28"/>
        <v>13900</v>
      </c>
      <c r="U202" s="7">
        <v>12800</v>
      </c>
      <c r="V202" s="8" t="str">
        <f t="shared" si="26"/>
        <v>12800</v>
      </c>
      <c r="W202" s="25" t="s">
        <v>395</v>
      </c>
      <c r="X202" s="49">
        <v>2219391</v>
      </c>
      <c r="Y202" s="21" t="str">
        <f t="shared" si="29"/>
        <v>2219391</v>
      </c>
      <c r="Z202" s="21">
        <v>3435.95</v>
      </c>
      <c r="AA202" s="52" t="str">
        <f t="shared" si="30"/>
        <v>3435.95</v>
      </c>
      <c r="AB202" s="21">
        <v>4435.95</v>
      </c>
      <c r="AC202" s="21" t="str">
        <f t="shared" si="32"/>
        <v>4435.95</v>
      </c>
      <c r="AD202" s="21" t="str">
        <f t="shared" si="31"/>
        <v>4435.95</v>
      </c>
      <c r="AE202" s="7" t="s">
        <v>1176</v>
      </c>
      <c r="AF202" s="2" t="str">
        <f t="shared" si="33"/>
        <v>Top Thấp</v>
      </c>
    </row>
    <row r="203" spans="1:32">
      <c r="A203" s="7" t="s">
        <v>1163</v>
      </c>
      <c r="B203" s="8" t="s">
        <v>1695</v>
      </c>
      <c r="C203" s="8">
        <v>1.4365579E-2</v>
      </c>
      <c r="D203" s="13" t="s">
        <v>1696</v>
      </c>
      <c r="E203" s="8">
        <v>2.3698383999999999E-2</v>
      </c>
      <c r="F203" s="13" t="s">
        <v>1697</v>
      </c>
      <c r="G203" s="13" t="s">
        <v>1698</v>
      </c>
      <c r="H203" s="7" t="s">
        <v>49</v>
      </c>
      <c r="I203" s="7" t="s">
        <v>139</v>
      </c>
      <c r="J203" s="7" t="s">
        <v>140</v>
      </c>
      <c r="K203" s="11" t="s">
        <v>52</v>
      </c>
      <c r="L203" s="11">
        <v>0.2</v>
      </c>
      <c r="M203" s="12">
        <v>64188</v>
      </c>
      <c r="N203" s="7" t="s">
        <v>31</v>
      </c>
      <c r="O203" s="7">
        <v>1200</v>
      </c>
      <c r="P203" s="7">
        <v>28</v>
      </c>
      <c r="Q203" s="11">
        <v>0.83</v>
      </c>
      <c r="R203" s="7">
        <v>10160</v>
      </c>
      <c r="S203" s="8" t="str">
        <f t="shared" si="27"/>
        <v>10160</v>
      </c>
      <c r="T203" s="8" t="str">
        <f t="shared" si="28"/>
        <v>10160</v>
      </c>
      <c r="U203" s="7">
        <v>7750</v>
      </c>
      <c r="V203" s="8" t="str">
        <f t="shared" si="26"/>
        <v>7750</v>
      </c>
      <c r="W203" s="8" t="s">
        <v>32</v>
      </c>
      <c r="X203" s="49">
        <v>1953720</v>
      </c>
      <c r="Y203" s="21" t="str">
        <f t="shared" si="29"/>
        <v>1953720</v>
      </c>
      <c r="Z203" s="21">
        <v>18097.32</v>
      </c>
      <c r="AA203" s="52" t="str">
        <f t="shared" si="30"/>
        <v>18097.32</v>
      </c>
      <c r="AB203" s="21">
        <v>17097.32</v>
      </c>
      <c r="AC203" s="21" t="str">
        <f t="shared" si="32"/>
        <v>17097.32</v>
      </c>
      <c r="AD203" s="21" t="str">
        <f t="shared" si="31"/>
        <v>17097.32</v>
      </c>
      <c r="AE203" s="7" t="s">
        <v>1176</v>
      </c>
      <c r="AF203" s="2" t="str">
        <f t="shared" si="33"/>
        <v>Top Thấp</v>
      </c>
    </row>
    <row r="204" spans="1:32">
      <c r="A204" s="24" t="s">
        <v>1180</v>
      </c>
      <c r="B204" s="8" t="s">
        <v>1181</v>
      </c>
      <c r="C204" s="8">
        <v>1.4436345999999999E-2</v>
      </c>
      <c r="D204" s="13" t="s">
        <v>1157</v>
      </c>
      <c r="E204" s="8">
        <v>2.4057451000000001E-2</v>
      </c>
      <c r="F204" s="13" t="s">
        <v>1182</v>
      </c>
      <c r="G204" s="13" t="s">
        <v>1183</v>
      </c>
      <c r="H204" s="7" t="s">
        <v>49</v>
      </c>
      <c r="I204" s="7" t="s">
        <v>93</v>
      </c>
      <c r="J204" s="7" t="s">
        <v>519</v>
      </c>
      <c r="K204" s="11" t="s">
        <v>52</v>
      </c>
      <c r="L204" s="11">
        <v>0.35</v>
      </c>
      <c r="M204" s="12">
        <v>170826</v>
      </c>
      <c r="N204" s="24" t="s">
        <v>1577</v>
      </c>
      <c r="O204" s="7">
        <v>0</v>
      </c>
      <c r="P204" s="7">
        <v>0</v>
      </c>
      <c r="Q204" s="11">
        <v>0.95</v>
      </c>
      <c r="R204" s="7">
        <v>0</v>
      </c>
      <c r="S204" s="8" t="str">
        <f t="shared" si="27"/>
        <v>0</v>
      </c>
      <c r="T204" s="8" t="str">
        <f t="shared" si="28"/>
        <v>0</v>
      </c>
      <c r="U204" s="7">
        <v>0</v>
      </c>
      <c r="V204" s="8" t="str">
        <f t="shared" si="26"/>
        <v>0</v>
      </c>
      <c r="W204" s="25" t="s">
        <v>1595</v>
      </c>
      <c r="X204" s="49">
        <v>1654023</v>
      </c>
      <c r="Y204" s="21" t="str">
        <f t="shared" si="29"/>
        <v>1654023</v>
      </c>
      <c r="Z204" s="21">
        <v>4175</v>
      </c>
      <c r="AA204" s="52" t="str">
        <f t="shared" si="30"/>
        <v>4175</v>
      </c>
      <c r="AB204" s="21">
        <v>5175</v>
      </c>
      <c r="AC204" s="21" t="str">
        <f t="shared" si="32"/>
        <v>5175</v>
      </c>
      <c r="AD204" s="21" t="str">
        <f t="shared" si="31"/>
        <v>5175</v>
      </c>
      <c r="AE204" s="7" t="s">
        <v>1176</v>
      </c>
      <c r="AF204" s="2" t="str">
        <f t="shared" si="33"/>
        <v>Top Thấp</v>
      </c>
    </row>
    <row r="205" spans="1:32">
      <c r="A205" s="24" t="s">
        <v>1184</v>
      </c>
      <c r="B205" s="8" t="s">
        <v>1185</v>
      </c>
      <c r="C205" s="7">
        <f>205/14131</f>
        <v>1.450711202321138E-2</v>
      </c>
      <c r="D205" s="9" t="s">
        <v>1186</v>
      </c>
      <c r="E205" s="7">
        <f>108/2597</f>
        <v>4.1586445899114366E-2</v>
      </c>
      <c r="F205" s="9" t="s">
        <v>1187</v>
      </c>
      <c r="G205" s="7">
        <f>14/101</f>
        <v>0.13861386138613863</v>
      </c>
      <c r="H205" s="7" t="s">
        <v>103</v>
      </c>
      <c r="I205" s="7" t="s">
        <v>123</v>
      </c>
      <c r="J205" s="7" t="s">
        <v>1188</v>
      </c>
      <c r="K205" s="11" t="s">
        <v>52</v>
      </c>
      <c r="L205" s="11">
        <v>0.1</v>
      </c>
      <c r="M205" s="12">
        <v>155865</v>
      </c>
      <c r="N205" s="24" t="s">
        <v>572</v>
      </c>
      <c r="O205" s="7">
        <v>0</v>
      </c>
      <c r="P205" s="7">
        <v>0</v>
      </c>
      <c r="Q205" s="11">
        <v>0.81</v>
      </c>
      <c r="R205" s="7">
        <v>36000</v>
      </c>
      <c r="S205" s="8" t="str">
        <f t="shared" si="27"/>
        <v>36000</v>
      </c>
      <c r="T205" s="8" t="str">
        <f t="shared" si="28"/>
        <v>36000</v>
      </c>
      <c r="U205" s="7">
        <v>20000</v>
      </c>
      <c r="V205" s="8" t="str">
        <f t="shared" si="26"/>
        <v>20000</v>
      </c>
      <c r="W205" s="25" t="s">
        <v>395</v>
      </c>
      <c r="X205" s="49">
        <v>2507218</v>
      </c>
      <c r="Y205" s="21" t="str">
        <f t="shared" si="29"/>
        <v>2507218</v>
      </c>
      <c r="Z205" s="21">
        <v>4123.1400000000003</v>
      </c>
      <c r="AA205" s="52" t="str">
        <f t="shared" si="30"/>
        <v>4123.14</v>
      </c>
      <c r="AB205" s="21">
        <v>7123.14</v>
      </c>
      <c r="AC205" s="21" t="str">
        <f t="shared" si="32"/>
        <v>7123.14</v>
      </c>
      <c r="AD205" s="21" t="str">
        <f t="shared" si="31"/>
        <v>7123.14</v>
      </c>
      <c r="AE205" s="7" t="s">
        <v>1176</v>
      </c>
      <c r="AF205" s="2" t="str">
        <f t="shared" si="33"/>
        <v>Top Thấp</v>
      </c>
    </row>
    <row r="206" spans="1:32">
      <c r="A206" s="24" t="s">
        <v>1189</v>
      </c>
      <c r="B206" s="8" t="s">
        <v>1190</v>
      </c>
      <c r="C206" s="7">
        <f>206/14131</f>
        <v>1.4577878423324605E-2</v>
      </c>
      <c r="D206" s="9" t="s">
        <v>693</v>
      </c>
      <c r="E206" s="7">
        <f>59/2597</f>
        <v>2.2718521370812476E-2</v>
      </c>
      <c r="F206" s="9" t="s">
        <v>1191</v>
      </c>
      <c r="G206" s="7">
        <f>1/385</f>
        <v>2.5974025974025974E-3</v>
      </c>
      <c r="H206" s="7" t="s">
        <v>49</v>
      </c>
      <c r="I206" s="7" t="s">
        <v>752</v>
      </c>
      <c r="J206" s="7" t="s">
        <v>900</v>
      </c>
      <c r="K206" s="11" t="s">
        <v>52</v>
      </c>
      <c r="L206" s="11">
        <v>0.24</v>
      </c>
      <c r="M206" s="12">
        <v>74167</v>
      </c>
      <c r="N206" s="24" t="s">
        <v>754</v>
      </c>
      <c r="O206" s="7">
        <v>0</v>
      </c>
      <c r="P206" s="7">
        <v>0</v>
      </c>
      <c r="Q206" s="11">
        <v>0.72</v>
      </c>
      <c r="R206" s="7">
        <v>0</v>
      </c>
      <c r="S206" s="8" t="str">
        <f t="shared" si="27"/>
        <v>0</v>
      </c>
      <c r="T206" s="8" t="str">
        <f t="shared" si="28"/>
        <v>0</v>
      </c>
      <c r="U206" s="7">
        <v>0</v>
      </c>
      <c r="V206" s="8" t="str">
        <f t="shared" si="26"/>
        <v>0</v>
      </c>
      <c r="W206" s="25" t="s">
        <v>32</v>
      </c>
      <c r="X206" s="49">
        <v>2509319</v>
      </c>
      <c r="Y206" s="21" t="str">
        <f t="shared" si="29"/>
        <v>2509319</v>
      </c>
      <c r="Z206" s="21">
        <v>8331.01</v>
      </c>
      <c r="AA206" s="52" t="str">
        <f t="shared" si="30"/>
        <v>8331.01</v>
      </c>
      <c r="AB206" s="21">
        <v>13391</v>
      </c>
      <c r="AC206" s="21" t="str">
        <f t="shared" si="32"/>
        <v>13391</v>
      </c>
      <c r="AD206" s="21" t="str">
        <f t="shared" si="31"/>
        <v>13391</v>
      </c>
      <c r="AE206" s="7" t="s">
        <v>1176</v>
      </c>
      <c r="AF206" s="2" t="str">
        <f t="shared" si="33"/>
        <v>Top Thấp</v>
      </c>
    </row>
    <row r="207" spans="1:32">
      <c r="A207" s="37" t="s">
        <v>1569</v>
      </c>
      <c r="B207" s="8" t="s">
        <v>1570</v>
      </c>
      <c r="C207" s="7">
        <f>207/14131</f>
        <v>1.4648644823437832E-2</v>
      </c>
      <c r="D207" s="9" t="s">
        <v>524</v>
      </c>
      <c r="E207" s="7">
        <f>48/2597</f>
        <v>1.8482864844050827E-2</v>
      </c>
      <c r="F207" s="9" t="s">
        <v>525</v>
      </c>
      <c r="G207" s="7">
        <f>45/2496</f>
        <v>1.8028846153846152E-2</v>
      </c>
      <c r="H207" s="7" t="s">
        <v>49</v>
      </c>
      <c r="I207" s="7" t="s">
        <v>139</v>
      </c>
      <c r="J207" s="7" t="s">
        <v>220</v>
      </c>
      <c r="K207" s="7" t="s">
        <v>52</v>
      </c>
      <c r="L207" s="11">
        <v>0.44</v>
      </c>
      <c r="M207" s="12">
        <v>82551</v>
      </c>
      <c r="N207" s="7" t="s">
        <v>31</v>
      </c>
      <c r="O207" s="7">
        <v>1300</v>
      </c>
      <c r="P207" s="7">
        <v>0</v>
      </c>
      <c r="Q207" s="11">
        <v>0.41</v>
      </c>
      <c r="R207" s="12">
        <v>18080</v>
      </c>
      <c r="S207" s="8" t="str">
        <f t="shared" si="27"/>
        <v>18080</v>
      </c>
      <c r="T207" s="8" t="str">
        <f t="shared" si="28"/>
        <v>18080</v>
      </c>
      <c r="U207" s="7">
        <v>6600</v>
      </c>
      <c r="V207" s="8" t="str">
        <f t="shared" si="26"/>
        <v>6600</v>
      </c>
      <c r="W207" s="8" t="s">
        <v>32</v>
      </c>
      <c r="X207" s="49">
        <v>2311305</v>
      </c>
      <c r="Y207" s="21" t="str">
        <f t="shared" si="29"/>
        <v>2311305</v>
      </c>
      <c r="Z207" s="21">
        <v>34408.870000000003</v>
      </c>
      <c r="AA207" s="52" t="str">
        <f t="shared" si="30"/>
        <v>34408.87</v>
      </c>
      <c r="AB207" s="21">
        <v>32908.870000000003</v>
      </c>
      <c r="AC207" s="21" t="str">
        <f t="shared" si="32"/>
        <v>32908.87</v>
      </c>
      <c r="AD207" s="21" t="str">
        <f t="shared" si="31"/>
        <v>32908.87</v>
      </c>
      <c r="AE207" s="7" t="s">
        <v>1176</v>
      </c>
      <c r="AF207" s="2" t="str">
        <f t="shared" si="33"/>
        <v>Top Thấp</v>
      </c>
    </row>
    <row r="208" spans="1:32">
      <c r="A208" s="24" t="s">
        <v>1192</v>
      </c>
      <c r="B208" s="8" t="s">
        <v>1193</v>
      </c>
      <c r="C208" s="8">
        <v>1.4719411E-2</v>
      </c>
      <c r="D208" s="13" t="s">
        <v>1194</v>
      </c>
      <c r="E208" s="8">
        <v>4.0431267E-2</v>
      </c>
      <c r="F208" s="13" t="s">
        <v>1195</v>
      </c>
      <c r="G208" s="13" t="s">
        <v>1196</v>
      </c>
      <c r="H208" s="7" t="s">
        <v>28</v>
      </c>
      <c r="I208" s="7" t="s">
        <v>29</v>
      </c>
      <c r="J208" s="24" t="s">
        <v>40</v>
      </c>
      <c r="K208" s="11" t="s">
        <v>52</v>
      </c>
      <c r="L208" s="11">
        <v>0.65</v>
      </c>
      <c r="M208" s="12">
        <v>66257</v>
      </c>
      <c r="N208" s="24" t="s">
        <v>637</v>
      </c>
      <c r="O208" s="7">
        <v>1315</v>
      </c>
      <c r="P208" s="7">
        <v>31</v>
      </c>
      <c r="Q208" s="11">
        <v>0.82</v>
      </c>
      <c r="R208" s="12">
        <v>22868</v>
      </c>
      <c r="S208" s="8" t="str">
        <f t="shared" si="27"/>
        <v>22868</v>
      </c>
      <c r="T208" s="8" t="str">
        <f t="shared" si="28"/>
        <v>22868</v>
      </c>
      <c r="U208" s="12">
        <v>3341</v>
      </c>
      <c r="V208" s="8" t="str">
        <f t="shared" si="26"/>
        <v>3341</v>
      </c>
      <c r="W208" s="25" t="s">
        <v>32</v>
      </c>
      <c r="X208" s="49">
        <v>2241264</v>
      </c>
      <c r="Y208" s="21" t="str">
        <f t="shared" si="29"/>
        <v>2241264</v>
      </c>
      <c r="Z208" s="21">
        <v>40381</v>
      </c>
      <c r="AA208" s="52" t="str">
        <f t="shared" si="30"/>
        <v>40381</v>
      </c>
      <c r="AB208" s="21">
        <v>43381</v>
      </c>
      <c r="AC208" s="21" t="str">
        <f t="shared" si="32"/>
        <v>43381</v>
      </c>
      <c r="AD208" s="21" t="str">
        <f t="shared" si="31"/>
        <v>43381</v>
      </c>
      <c r="AE208" s="7" t="s">
        <v>1176</v>
      </c>
      <c r="AF208" s="2" t="str">
        <f t="shared" si="33"/>
        <v>Top Thấp</v>
      </c>
    </row>
    <row r="209" spans="1:32">
      <c r="A209" s="24" t="s">
        <v>1197</v>
      </c>
      <c r="B209" s="8" t="s">
        <v>1198</v>
      </c>
      <c r="C209" s="7">
        <f>209/14131</f>
        <v>1.4790177623664285E-2</v>
      </c>
      <c r="D209" s="9" t="s">
        <v>1199</v>
      </c>
      <c r="E209" s="7">
        <f>32/2597</f>
        <v>1.2321909896033885E-2</v>
      </c>
      <c r="F209" s="9" t="s">
        <v>1200</v>
      </c>
      <c r="G209" s="7">
        <f>3/23</f>
        <v>0.13043478260869565</v>
      </c>
      <c r="H209" s="7" t="s">
        <v>49</v>
      </c>
      <c r="I209" s="7" t="s">
        <v>635</v>
      </c>
      <c r="J209" s="7" t="s">
        <v>635</v>
      </c>
      <c r="K209" s="11" t="s">
        <v>52</v>
      </c>
      <c r="L209" s="11">
        <v>0.46</v>
      </c>
      <c r="M209" s="12">
        <v>82423</v>
      </c>
      <c r="N209" s="7" t="s">
        <v>637</v>
      </c>
      <c r="O209" s="7">
        <v>0</v>
      </c>
      <c r="P209" s="7">
        <v>0</v>
      </c>
      <c r="Q209" s="11">
        <v>0.56000000000000005</v>
      </c>
      <c r="R209" s="7">
        <v>7200</v>
      </c>
      <c r="S209" s="8" t="str">
        <f t="shared" si="27"/>
        <v>7200</v>
      </c>
      <c r="T209" s="8" t="str">
        <f t="shared" si="28"/>
        <v>7200</v>
      </c>
      <c r="U209" s="7">
        <v>3900</v>
      </c>
      <c r="V209" s="8" t="str">
        <f t="shared" si="26"/>
        <v>3900</v>
      </c>
      <c r="W209" s="25" t="s">
        <v>32</v>
      </c>
      <c r="X209" s="49">
        <v>2514818</v>
      </c>
      <c r="Y209" s="21" t="str">
        <f t="shared" si="29"/>
        <v>2514818</v>
      </c>
      <c r="Z209" s="21">
        <v>8382.94</v>
      </c>
      <c r="AA209" s="52" t="str">
        <f t="shared" si="30"/>
        <v>8382.94</v>
      </c>
      <c r="AB209" s="21">
        <v>10682.94</v>
      </c>
      <c r="AC209" s="21" t="str">
        <f t="shared" si="32"/>
        <v>10682.94</v>
      </c>
      <c r="AD209" s="21" t="str">
        <f t="shared" si="31"/>
        <v>10682.94</v>
      </c>
      <c r="AE209" s="7" t="s">
        <v>1176</v>
      </c>
      <c r="AF209" s="2" t="str">
        <f t="shared" si="33"/>
        <v>Top Thấp</v>
      </c>
    </row>
    <row r="210" spans="1:32">
      <c r="A210" s="24" t="s">
        <v>1201</v>
      </c>
      <c r="B210" s="8" t="s">
        <v>1202</v>
      </c>
      <c r="C210" s="8">
        <v>1.4860943999999999E-2</v>
      </c>
      <c r="D210" s="13" t="s">
        <v>1203</v>
      </c>
      <c r="E210" s="8">
        <v>2.5493716E-2</v>
      </c>
      <c r="F210" s="13" t="s">
        <v>1165</v>
      </c>
      <c r="G210" s="13" t="s">
        <v>1166</v>
      </c>
      <c r="H210" s="7" t="s">
        <v>49</v>
      </c>
      <c r="I210" s="7" t="s">
        <v>139</v>
      </c>
      <c r="J210" s="24" t="s">
        <v>140</v>
      </c>
      <c r="K210" s="11" t="s">
        <v>52</v>
      </c>
      <c r="L210" s="7">
        <v>0.17</v>
      </c>
      <c r="M210" s="7">
        <v>46419</v>
      </c>
      <c r="N210" s="24" t="s">
        <v>31</v>
      </c>
      <c r="O210" s="7">
        <v>1350</v>
      </c>
      <c r="P210" s="7">
        <v>28</v>
      </c>
      <c r="Q210" s="11">
        <v>0.75</v>
      </c>
      <c r="R210" s="7">
        <v>18932</v>
      </c>
      <c r="S210" s="8" t="str">
        <f t="shared" si="27"/>
        <v>18932</v>
      </c>
      <c r="T210" s="8" t="str">
        <f t="shared" si="28"/>
        <v>18932</v>
      </c>
      <c r="U210" s="7">
        <v>3078</v>
      </c>
      <c r="V210" s="8" t="str">
        <f t="shared" si="26"/>
        <v>3078</v>
      </c>
      <c r="W210" s="25" t="s">
        <v>32</v>
      </c>
      <c r="X210" s="49">
        <v>1765985</v>
      </c>
      <c r="Y210" s="21" t="str">
        <f t="shared" si="29"/>
        <v>1765985</v>
      </c>
      <c r="Z210" s="21">
        <v>20034</v>
      </c>
      <c r="AA210" s="52" t="str">
        <f t="shared" si="30"/>
        <v>20034</v>
      </c>
      <c r="AB210" s="21">
        <v>240780</v>
      </c>
      <c r="AC210" s="21" t="str">
        <f t="shared" si="32"/>
        <v>240780</v>
      </c>
      <c r="AD210" s="21" t="str">
        <f t="shared" si="31"/>
        <v>240780</v>
      </c>
      <c r="AE210" s="7" t="s">
        <v>1176</v>
      </c>
      <c r="AF210" s="2" t="str">
        <f t="shared" si="33"/>
        <v>Top Thấp</v>
      </c>
    </row>
    <row r="211" spans="1:32">
      <c r="A211" s="37" t="s">
        <v>1204</v>
      </c>
      <c r="B211" s="8" t="s">
        <v>1205</v>
      </c>
      <c r="C211" s="7">
        <f>211/14131</f>
        <v>1.4931710423890736E-2</v>
      </c>
      <c r="D211" s="9" t="s">
        <v>119</v>
      </c>
      <c r="E211" s="7">
        <f>8/2597</f>
        <v>3.0804774740084712E-3</v>
      </c>
      <c r="F211" s="9" t="s">
        <v>1206</v>
      </c>
      <c r="G211" s="7">
        <f>7/163</f>
        <v>4.2944785276073622E-2</v>
      </c>
      <c r="H211" s="7" t="s">
        <v>49</v>
      </c>
      <c r="I211" s="7" t="s">
        <v>864</v>
      </c>
      <c r="J211" s="7" t="s">
        <v>962</v>
      </c>
      <c r="K211" s="11" t="s">
        <v>52</v>
      </c>
      <c r="L211" s="11">
        <v>0.45</v>
      </c>
      <c r="M211" s="12">
        <v>73270</v>
      </c>
      <c r="N211" s="24" t="s">
        <v>611</v>
      </c>
      <c r="O211" s="7">
        <v>0</v>
      </c>
      <c r="P211" s="7">
        <v>0</v>
      </c>
      <c r="Q211" s="11">
        <v>0.76</v>
      </c>
      <c r="R211" s="7">
        <v>0</v>
      </c>
      <c r="S211" s="8" t="str">
        <f t="shared" si="27"/>
        <v>0</v>
      </c>
      <c r="T211" s="8" t="str">
        <f t="shared" si="28"/>
        <v>0</v>
      </c>
      <c r="U211" s="7">
        <v>0</v>
      </c>
      <c r="V211" s="8" t="str">
        <f t="shared" si="26"/>
        <v>0</v>
      </c>
      <c r="W211" s="25" t="s">
        <v>32</v>
      </c>
      <c r="X211" s="49">
        <v>2339316</v>
      </c>
      <c r="Y211" s="21" t="str">
        <f t="shared" si="29"/>
        <v>2339316</v>
      </c>
      <c r="Z211" s="21">
        <v>8150</v>
      </c>
      <c r="AA211" s="52" t="str">
        <f t="shared" si="30"/>
        <v>8150</v>
      </c>
      <c r="AB211" s="21">
        <v>9150</v>
      </c>
      <c r="AC211" s="21" t="str">
        <f t="shared" si="32"/>
        <v>9150</v>
      </c>
      <c r="AD211" s="21" t="str">
        <f t="shared" si="31"/>
        <v>9150</v>
      </c>
      <c r="AE211" s="7" t="s">
        <v>1176</v>
      </c>
      <c r="AF211" s="2" t="str">
        <f t="shared" si="33"/>
        <v>Top Thấp</v>
      </c>
    </row>
    <row r="212" spans="1:32">
      <c r="A212" s="24" t="s">
        <v>1207</v>
      </c>
      <c r="B212" s="8" t="s">
        <v>1205</v>
      </c>
      <c r="C212" s="7">
        <f>211/14131</f>
        <v>1.4931710423890736E-2</v>
      </c>
      <c r="D212" s="9" t="s">
        <v>1208</v>
      </c>
      <c r="E212" s="7">
        <f>18/5830</f>
        <v>3.0874785591766723E-3</v>
      </c>
      <c r="F212" s="9" t="s">
        <v>1209</v>
      </c>
      <c r="G212" s="7">
        <f>7/719</f>
        <v>9.7357440890125171E-3</v>
      </c>
      <c r="H212" s="7" t="s">
        <v>49</v>
      </c>
      <c r="I212" s="7" t="s">
        <v>864</v>
      </c>
      <c r="J212" s="7" t="s">
        <v>962</v>
      </c>
      <c r="K212" s="11" t="s">
        <v>52</v>
      </c>
      <c r="L212" s="11">
        <v>0.45</v>
      </c>
      <c r="M212" s="12">
        <v>73270</v>
      </c>
      <c r="N212" s="24" t="s">
        <v>611</v>
      </c>
      <c r="O212" s="7">
        <v>0</v>
      </c>
      <c r="P212" s="7">
        <v>0</v>
      </c>
      <c r="Q212" s="11">
        <v>0.85</v>
      </c>
      <c r="R212" s="7">
        <v>0</v>
      </c>
      <c r="S212" s="8" t="str">
        <f t="shared" si="27"/>
        <v>0</v>
      </c>
      <c r="T212" s="8" t="str">
        <f t="shared" si="28"/>
        <v>0</v>
      </c>
      <c r="U212" s="7">
        <v>0</v>
      </c>
      <c r="V212" s="8" t="str">
        <f t="shared" si="26"/>
        <v>0</v>
      </c>
      <c r="W212" s="25" t="s">
        <v>32</v>
      </c>
      <c r="X212" s="49">
        <v>4754197</v>
      </c>
      <c r="Y212" s="21" t="str">
        <f t="shared" si="29"/>
        <v>4754197</v>
      </c>
      <c r="Z212" s="21">
        <v>11600</v>
      </c>
      <c r="AA212" s="52" t="str">
        <f t="shared" si="30"/>
        <v>11600</v>
      </c>
      <c r="AB212" s="21">
        <v>12600</v>
      </c>
      <c r="AC212" s="21" t="str">
        <f t="shared" si="32"/>
        <v>12600</v>
      </c>
      <c r="AD212" s="21" t="str">
        <f t="shared" si="31"/>
        <v>12600</v>
      </c>
      <c r="AE212" s="7" t="s">
        <v>1176</v>
      </c>
      <c r="AF212" s="2" t="str">
        <f t="shared" si="33"/>
        <v>Top Thấp</v>
      </c>
    </row>
    <row r="213" spans="1:32">
      <c r="A213" s="24" t="s">
        <v>1210</v>
      </c>
      <c r="B213" s="8" t="s">
        <v>1211</v>
      </c>
      <c r="C213" s="7">
        <f>212/14131</f>
        <v>1.5002476824003963E-2</v>
      </c>
      <c r="D213" s="9" t="s">
        <v>1212</v>
      </c>
      <c r="E213" s="7">
        <f>3/1756</f>
        <v>1.7084282460136675E-3</v>
      </c>
      <c r="F213" s="9" t="s">
        <v>1213</v>
      </c>
      <c r="G213" s="7">
        <f>2/198</f>
        <v>1.0101010101010102E-2</v>
      </c>
      <c r="H213" s="7" t="s">
        <v>49</v>
      </c>
      <c r="I213" s="7" t="s">
        <v>50</v>
      </c>
      <c r="J213" s="7" t="s">
        <v>1214</v>
      </c>
      <c r="K213" s="11" t="s">
        <v>52</v>
      </c>
      <c r="L213" s="11">
        <v>0.28999999999999998</v>
      </c>
      <c r="M213" s="12">
        <v>84399</v>
      </c>
      <c r="N213" s="24" t="s">
        <v>765</v>
      </c>
      <c r="O213" s="7">
        <v>0</v>
      </c>
      <c r="P213" s="7">
        <v>0</v>
      </c>
      <c r="Q213" s="11">
        <v>0.92</v>
      </c>
      <c r="R213" s="7">
        <v>0</v>
      </c>
      <c r="S213" s="8" t="str">
        <f t="shared" si="27"/>
        <v>0</v>
      </c>
      <c r="T213" s="8" t="str">
        <f t="shared" si="28"/>
        <v>0</v>
      </c>
      <c r="U213" s="7">
        <v>0</v>
      </c>
      <c r="V213" s="8" t="str">
        <f t="shared" si="26"/>
        <v>0</v>
      </c>
      <c r="W213" s="25" t="s">
        <v>32</v>
      </c>
      <c r="X213" s="49">
        <v>1711099</v>
      </c>
      <c r="Y213" s="21" t="str">
        <f t="shared" si="29"/>
        <v>1711099</v>
      </c>
      <c r="Z213" s="21">
        <v>10150</v>
      </c>
      <c r="AA213" s="52" t="str">
        <f t="shared" si="30"/>
        <v>10150</v>
      </c>
      <c r="AB213" s="21">
        <v>11123</v>
      </c>
      <c r="AC213" s="21" t="str">
        <f t="shared" si="32"/>
        <v>11123</v>
      </c>
      <c r="AD213" s="21" t="str">
        <f t="shared" si="31"/>
        <v>11123</v>
      </c>
      <c r="AE213" s="7" t="s">
        <v>1176</v>
      </c>
      <c r="AF213" s="2" t="str">
        <f t="shared" si="33"/>
        <v>Top Thấp</v>
      </c>
    </row>
    <row r="214" spans="1:32">
      <c r="A214" s="24" t="s">
        <v>1215</v>
      </c>
      <c r="B214" s="8" t="s">
        <v>1216</v>
      </c>
      <c r="C214" s="8">
        <v>1.5073243E-2</v>
      </c>
      <c r="D214" s="13" t="s">
        <v>1217</v>
      </c>
      <c r="E214" s="8">
        <v>4.1166379999999997E-3</v>
      </c>
      <c r="F214" s="13" t="s">
        <v>1218</v>
      </c>
      <c r="G214" s="13" t="s">
        <v>281</v>
      </c>
      <c r="H214" s="7" t="s">
        <v>103</v>
      </c>
      <c r="I214" s="7" t="s">
        <v>123</v>
      </c>
      <c r="J214" s="24" t="s">
        <v>1188</v>
      </c>
      <c r="K214" s="11" t="s">
        <v>52</v>
      </c>
      <c r="L214" s="7">
        <v>0.73</v>
      </c>
      <c r="M214" s="7">
        <v>97744</v>
      </c>
      <c r="N214" s="24" t="s">
        <v>572</v>
      </c>
      <c r="O214" s="7">
        <v>0</v>
      </c>
      <c r="P214" s="7">
        <v>0</v>
      </c>
      <c r="Q214" s="11">
        <v>1</v>
      </c>
      <c r="R214" s="7">
        <v>0</v>
      </c>
      <c r="S214" s="8" t="str">
        <f t="shared" si="27"/>
        <v>0</v>
      </c>
      <c r="T214" s="8" t="str">
        <f t="shared" si="28"/>
        <v>0</v>
      </c>
      <c r="U214" s="7">
        <v>0</v>
      </c>
      <c r="V214" s="8" t="str">
        <f t="shared" si="26"/>
        <v>0</v>
      </c>
      <c r="W214" s="25" t="s">
        <v>395</v>
      </c>
      <c r="X214" s="49">
        <v>1663615</v>
      </c>
      <c r="Y214" s="21" t="str">
        <f t="shared" si="29"/>
        <v>1663615</v>
      </c>
      <c r="Z214" s="21">
        <v>5436.05</v>
      </c>
      <c r="AA214" s="52" t="str">
        <f t="shared" si="30"/>
        <v>5436.05</v>
      </c>
      <c r="AB214" s="21">
        <v>8436.0499999999993</v>
      </c>
      <c r="AC214" s="21" t="str">
        <f t="shared" si="32"/>
        <v>8436.05</v>
      </c>
      <c r="AD214" s="21" t="str">
        <f t="shared" si="31"/>
        <v>8436.05</v>
      </c>
      <c r="AE214" s="7" t="s">
        <v>1176</v>
      </c>
      <c r="AF214" s="2" t="str">
        <f t="shared" si="33"/>
        <v>Top Thấp</v>
      </c>
    </row>
    <row r="215" spans="1:32">
      <c r="A215" s="24" t="s">
        <v>1219</v>
      </c>
      <c r="B215" s="8" t="s">
        <v>1220</v>
      </c>
      <c r="C215" s="7">
        <f>214/14131</f>
        <v>1.5144009624230416E-2</v>
      </c>
      <c r="D215" s="9" t="s">
        <v>902</v>
      </c>
      <c r="E215" s="7">
        <f>73/2597</f>
        <v>2.8109356950327301E-2</v>
      </c>
      <c r="F215" s="9" t="s">
        <v>1221</v>
      </c>
      <c r="G215" s="7">
        <f>66/2496</f>
        <v>2.6442307692307692E-2</v>
      </c>
      <c r="H215" s="7" t="s">
        <v>49</v>
      </c>
      <c r="I215" s="7" t="s">
        <v>50</v>
      </c>
      <c r="J215" s="7" t="s">
        <v>958</v>
      </c>
      <c r="K215" s="11" t="s">
        <v>52</v>
      </c>
      <c r="L215" s="11">
        <v>0.52</v>
      </c>
      <c r="M215" s="12">
        <v>72853</v>
      </c>
      <c r="N215" s="24" t="s">
        <v>765</v>
      </c>
      <c r="O215" s="7">
        <v>0</v>
      </c>
      <c r="P215" s="7">
        <v>0</v>
      </c>
      <c r="Q215" s="11">
        <v>0.83</v>
      </c>
      <c r="R215" s="7">
        <v>0</v>
      </c>
      <c r="S215" s="8" t="str">
        <f t="shared" si="27"/>
        <v>0</v>
      </c>
      <c r="T215" s="8" t="str">
        <f t="shared" si="28"/>
        <v>0</v>
      </c>
      <c r="U215" s="7">
        <v>0</v>
      </c>
      <c r="V215" s="8" t="str">
        <f t="shared" si="26"/>
        <v>0</v>
      </c>
      <c r="W215" s="25" t="s">
        <v>32</v>
      </c>
      <c r="X215" s="49">
        <v>1388006</v>
      </c>
      <c r="Y215" s="21" t="str">
        <f t="shared" si="29"/>
        <v>1388006</v>
      </c>
      <c r="Z215" s="21">
        <v>9000</v>
      </c>
      <c r="AA215" s="52" t="str">
        <f t="shared" si="30"/>
        <v>9000</v>
      </c>
      <c r="AB215" s="21">
        <v>10976</v>
      </c>
      <c r="AC215" s="21" t="str">
        <f t="shared" si="32"/>
        <v>10976</v>
      </c>
      <c r="AD215" s="21" t="str">
        <f t="shared" si="31"/>
        <v>10976</v>
      </c>
      <c r="AE215" s="7" t="s">
        <v>1176</v>
      </c>
      <c r="AF215" s="2" t="str">
        <f t="shared" si="33"/>
        <v>Top Thấp</v>
      </c>
    </row>
    <row r="216" spans="1:32">
      <c r="A216" s="24" t="s">
        <v>1222</v>
      </c>
      <c r="B216" s="8" t="s">
        <v>1223</v>
      </c>
      <c r="C216" s="7">
        <f>215/14131</f>
        <v>1.5214776024343641E-2</v>
      </c>
      <c r="D216" s="9" t="s">
        <v>1224</v>
      </c>
      <c r="E216" s="7">
        <f>2/1756</f>
        <v>1.1389521640091116E-3</v>
      </c>
      <c r="F216" s="9" t="s">
        <v>727</v>
      </c>
      <c r="G216" s="7">
        <f>1/538</f>
        <v>1.8587360594795538E-3</v>
      </c>
      <c r="H216" s="7" t="s">
        <v>49</v>
      </c>
      <c r="I216" s="7" t="s">
        <v>139</v>
      </c>
      <c r="J216" s="7" t="s">
        <v>836</v>
      </c>
      <c r="K216" s="11" t="s">
        <v>52</v>
      </c>
      <c r="L216" s="11">
        <v>0.2</v>
      </c>
      <c r="M216" s="12">
        <v>82378</v>
      </c>
      <c r="N216" s="24" t="s">
        <v>31</v>
      </c>
      <c r="O216" s="7">
        <v>1280</v>
      </c>
      <c r="P216" s="7">
        <v>23</v>
      </c>
      <c r="Q216" s="11">
        <v>0.76</v>
      </c>
      <c r="R216" s="7">
        <v>23480</v>
      </c>
      <c r="S216" s="8" t="str">
        <f t="shared" si="27"/>
        <v>23480</v>
      </c>
      <c r="T216" s="8" t="str">
        <f t="shared" si="28"/>
        <v>23480</v>
      </c>
      <c r="U216" s="7">
        <v>8455</v>
      </c>
      <c r="V216" s="8" t="str">
        <f t="shared" si="26"/>
        <v>8455</v>
      </c>
      <c r="W216" s="25" t="s">
        <v>32</v>
      </c>
      <c r="X216" s="49">
        <v>2274397</v>
      </c>
      <c r="Y216" s="21" t="str">
        <f t="shared" si="29"/>
        <v>2274397</v>
      </c>
      <c r="Z216" s="21">
        <v>19753.8</v>
      </c>
      <c r="AA216" s="52" t="str">
        <f t="shared" si="30"/>
        <v>19753.8</v>
      </c>
      <c r="AB216" s="21">
        <v>22753.8</v>
      </c>
      <c r="AC216" s="21" t="str">
        <f t="shared" si="32"/>
        <v>22753.8</v>
      </c>
      <c r="AD216" s="21" t="str">
        <f t="shared" si="31"/>
        <v>22753.8</v>
      </c>
      <c r="AE216" s="7" t="s">
        <v>1176</v>
      </c>
      <c r="AF216" s="2" t="str">
        <f t="shared" si="33"/>
        <v>Top Thấp</v>
      </c>
    </row>
    <row r="217" spans="1:32">
      <c r="A217" s="39" t="s">
        <v>1225</v>
      </c>
      <c r="B217" s="8" t="s">
        <v>1226</v>
      </c>
      <c r="C217" s="7">
        <f>216/14131</f>
        <v>1.5285542424456868E-2</v>
      </c>
      <c r="D217" s="9" t="s">
        <v>66</v>
      </c>
      <c r="E217" s="7">
        <f>5/2597</f>
        <v>1.9252984212552945E-3</v>
      </c>
      <c r="F217" s="9" t="s">
        <v>67</v>
      </c>
      <c r="G217" s="7">
        <f>5/2496</f>
        <v>2.003205128205128E-3</v>
      </c>
      <c r="H217" s="7" t="s">
        <v>49</v>
      </c>
      <c r="I217" s="7" t="s">
        <v>802</v>
      </c>
      <c r="J217" s="7" t="s">
        <v>1227</v>
      </c>
      <c r="K217" s="11" t="s">
        <v>52</v>
      </c>
      <c r="L217" s="11">
        <v>0.75</v>
      </c>
      <c r="M217" s="12">
        <v>98537</v>
      </c>
      <c r="N217" s="24" t="s">
        <v>1685</v>
      </c>
      <c r="O217" s="7">
        <v>0</v>
      </c>
      <c r="P217" s="7">
        <v>0</v>
      </c>
      <c r="Q217" s="11">
        <v>0.62</v>
      </c>
      <c r="R217" s="7">
        <v>0</v>
      </c>
      <c r="S217" s="8" t="str">
        <f t="shared" si="27"/>
        <v>0</v>
      </c>
      <c r="T217" s="8" t="str">
        <f t="shared" si="28"/>
        <v>0</v>
      </c>
      <c r="U217" s="7">
        <v>0</v>
      </c>
      <c r="V217" s="8" t="str">
        <f t="shared" si="26"/>
        <v>0</v>
      </c>
      <c r="W217" s="25" t="s">
        <v>32</v>
      </c>
      <c r="X217" s="49">
        <v>2127002</v>
      </c>
      <c r="Y217" s="21" t="str">
        <f t="shared" si="29"/>
        <v>2127002</v>
      </c>
      <c r="Z217" s="21">
        <v>15000</v>
      </c>
      <c r="AA217" s="52" t="str">
        <f t="shared" si="30"/>
        <v>15000</v>
      </c>
      <c r="AB217" s="21">
        <v>19876</v>
      </c>
      <c r="AC217" s="21" t="str">
        <f t="shared" si="32"/>
        <v>19876</v>
      </c>
      <c r="AD217" s="21" t="str">
        <f t="shared" si="31"/>
        <v>19876</v>
      </c>
      <c r="AE217" s="7" t="s">
        <v>1176</v>
      </c>
      <c r="AF217" s="2" t="str">
        <f t="shared" si="33"/>
        <v>Top Thấp</v>
      </c>
    </row>
    <row r="218" spans="1:32">
      <c r="A218" s="24" t="s">
        <v>1228</v>
      </c>
      <c r="B218" s="8" t="s">
        <v>1229</v>
      </c>
      <c r="C218" s="8">
        <v>1.5356309E-2</v>
      </c>
      <c r="D218" s="13" t="s">
        <v>1230</v>
      </c>
      <c r="E218" s="13" t="s">
        <v>1231</v>
      </c>
      <c r="F218" s="13" t="s">
        <v>1232</v>
      </c>
      <c r="G218" s="13" t="s">
        <v>1233</v>
      </c>
      <c r="H218" s="7" t="s">
        <v>452</v>
      </c>
      <c r="I218" s="7" t="s">
        <v>453</v>
      </c>
      <c r="J218" s="7" t="s">
        <v>710</v>
      </c>
      <c r="K218" s="11" t="s">
        <v>52</v>
      </c>
      <c r="L218" s="7">
        <v>0.33</v>
      </c>
      <c r="M218" s="7">
        <v>41257</v>
      </c>
      <c r="N218" s="24" t="s">
        <v>31</v>
      </c>
      <c r="O218" s="7">
        <v>1290</v>
      </c>
      <c r="P218" s="7">
        <v>29</v>
      </c>
      <c r="Q218" s="38">
        <v>1</v>
      </c>
      <c r="R218" s="7">
        <v>46400</v>
      </c>
      <c r="S218" s="8" t="str">
        <f t="shared" si="27"/>
        <v>46400</v>
      </c>
      <c r="T218" s="8" t="str">
        <f t="shared" si="28"/>
        <v>46400</v>
      </c>
      <c r="U218" s="7">
        <v>5900</v>
      </c>
      <c r="V218" s="8" t="str">
        <f t="shared" si="26"/>
        <v>5900</v>
      </c>
      <c r="W218" s="25" t="s">
        <v>32</v>
      </c>
      <c r="X218" s="49">
        <v>1180077</v>
      </c>
      <c r="Y218" s="21" t="str">
        <f t="shared" si="29"/>
        <v>1180077</v>
      </c>
      <c r="Z218" s="21">
        <v>13665</v>
      </c>
      <c r="AA218" s="52" t="str">
        <f t="shared" si="30"/>
        <v>13665</v>
      </c>
      <c r="AB218" s="21">
        <v>18665</v>
      </c>
      <c r="AC218" s="21" t="str">
        <f t="shared" si="32"/>
        <v>18665</v>
      </c>
      <c r="AD218" s="21" t="str">
        <f t="shared" si="31"/>
        <v>18665</v>
      </c>
      <c r="AE218" s="7" t="s">
        <v>1176</v>
      </c>
      <c r="AF218" s="2" t="str">
        <f t="shared" si="33"/>
        <v>Top Thấp</v>
      </c>
    </row>
    <row r="219" spans="1:32">
      <c r="A219" s="33" t="s">
        <v>1234</v>
      </c>
      <c r="B219" s="8" t="s">
        <v>1235</v>
      </c>
      <c r="C219" s="7">
        <f>218/14131</f>
        <v>1.5427075224683321E-2</v>
      </c>
      <c r="D219" s="9" t="s">
        <v>1236</v>
      </c>
      <c r="E219" s="7">
        <f>30/5830</f>
        <v>5.1457975986277877E-3</v>
      </c>
      <c r="F219" s="9" t="s">
        <v>1237</v>
      </c>
      <c r="G219" s="7">
        <f>3/32</f>
        <v>9.375E-2</v>
      </c>
      <c r="H219" s="7" t="s">
        <v>28</v>
      </c>
      <c r="I219" s="7" t="s">
        <v>29</v>
      </c>
      <c r="J219" s="7" t="s">
        <v>30</v>
      </c>
      <c r="K219" s="46" t="s">
        <v>68</v>
      </c>
      <c r="L219" s="11">
        <v>0.18</v>
      </c>
      <c r="M219" s="12">
        <v>47052</v>
      </c>
      <c r="N219" s="7" t="s">
        <v>31</v>
      </c>
      <c r="O219" s="7">
        <v>1490</v>
      </c>
      <c r="P219" s="7">
        <v>34</v>
      </c>
      <c r="Q219" s="11">
        <v>0.82</v>
      </c>
      <c r="R219" s="12">
        <v>15747</v>
      </c>
      <c r="S219" s="8" t="str">
        <f t="shared" si="27"/>
        <v>15747</v>
      </c>
      <c r="T219" s="8" t="str">
        <f t="shared" si="28"/>
        <v>15747</v>
      </c>
      <c r="U219" s="12">
        <v>12420</v>
      </c>
      <c r="V219" s="8" t="str">
        <f t="shared" si="26"/>
        <v>12420</v>
      </c>
      <c r="W219" s="25" t="s">
        <v>32</v>
      </c>
      <c r="X219" s="49">
        <v>1317918</v>
      </c>
      <c r="Y219" s="21" t="str">
        <f t="shared" si="29"/>
        <v>1317918</v>
      </c>
      <c r="Z219" s="21">
        <v>36308</v>
      </c>
      <c r="AA219" s="52" t="str">
        <f t="shared" si="30"/>
        <v>36308</v>
      </c>
      <c r="AB219" s="21">
        <v>38927</v>
      </c>
      <c r="AC219" s="21" t="str">
        <f t="shared" si="32"/>
        <v>38927</v>
      </c>
      <c r="AD219" s="21" t="str">
        <f t="shared" si="31"/>
        <v>38927</v>
      </c>
      <c r="AE219" s="7" t="s">
        <v>1176</v>
      </c>
      <c r="AF219" s="2" t="str">
        <f t="shared" si="33"/>
        <v>Top Thấp</v>
      </c>
    </row>
    <row r="220" spans="1:32">
      <c r="A220" s="24" t="s">
        <v>1238</v>
      </c>
      <c r="B220" s="8" t="s">
        <v>1239</v>
      </c>
      <c r="C220" s="8">
        <v>1.5497842E-2</v>
      </c>
      <c r="D220" s="13" t="s">
        <v>1240</v>
      </c>
      <c r="E220" s="8">
        <v>2.7648115000000001E-2</v>
      </c>
      <c r="F220" s="13" t="s">
        <v>1241</v>
      </c>
      <c r="G220" s="13" t="s">
        <v>1242</v>
      </c>
      <c r="H220" s="7" t="s">
        <v>49</v>
      </c>
      <c r="I220" s="7" t="s">
        <v>890</v>
      </c>
      <c r="J220" s="24" t="s">
        <v>1699</v>
      </c>
      <c r="K220" s="11" t="s">
        <v>52</v>
      </c>
      <c r="L220" s="7">
        <v>0.61</v>
      </c>
      <c r="M220" s="12">
        <v>52164</v>
      </c>
      <c r="N220" s="24" t="s">
        <v>1629</v>
      </c>
      <c r="O220" s="7">
        <v>0</v>
      </c>
      <c r="P220" s="7">
        <v>0</v>
      </c>
      <c r="Q220" s="11">
        <v>0.68</v>
      </c>
      <c r="R220" s="7">
        <v>0</v>
      </c>
      <c r="S220" s="8" t="str">
        <f t="shared" si="27"/>
        <v>0</v>
      </c>
      <c r="T220" s="8" t="str">
        <f t="shared" si="28"/>
        <v>0</v>
      </c>
      <c r="U220" s="7">
        <v>6440</v>
      </c>
      <c r="V220" s="8" t="str">
        <f t="shared" si="26"/>
        <v>6440</v>
      </c>
      <c r="W220" s="25" t="s">
        <v>32</v>
      </c>
      <c r="X220" s="49">
        <v>817458</v>
      </c>
      <c r="Y220" s="21" t="str">
        <f t="shared" si="29"/>
        <v>817458</v>
      </c>
      <c r="Z220" s="21">
        <v>7350</v>
      </c>
      <c r="AA220" s="52" t="str">
        <f t="shared" si="30"/>
        <v>7350</v>
      </c>
      <c r="AB220" s="21">
        <v>10350</v>
      </c>
      <c r="AC220" s="21" t="str">
        <f t="shared" si="32"/>
        <v>10350</v>
      </c>
      <c r="AD220" s="21" t="str">
        <f t="shared" si="31"/>
        <v>10350</v>
      </c>
      <c r="AE220" s="7" t="s">
        <v>1176</v>
      </c>
      <c r="AF220" s="2" t="str">
        <f t="shared" si="33"/>
        <v>Top Thấp</v>
      </c>
    </row>
    <row r="221" spans="1:32">
      <c r="A221" s="24" t="s">
        <v>1243</v>
      </c>
      <c r="B221" s="8" t="s">
        <v>1244</v>
      </c>
      <c r="C221" s="8">
        <v>1.5568607999999999E-2</v>
      </c>
      <c r="D221" s="13" t="s">
        <v>1245</v>
      </c>
      <c r="E221" s="8">
        <v>4.288165E-3</v>
      </c>
      <c r="F221" s="13" t="s">
        <v>1246</v>
      </c>
      <c r="G221" s="13" t="s">
        <v>1247</v>
      </c>
      <c r="H221" s="7" t="s">
        <v>103</v>
      </c>
      <c r="I221" s="7" t="s">
        <v>176</v>
      </c>
      <c r="J221" s="24" t="s">
        <v>1700</v>
      </c>
      <c r="K221" s="11" t="s">
        <v>52</v>
      </c>
      <c r="L221" s="11">
        <v>0.32</v>
      </c>
      <c r="M221" s="12">
        <v>95465</v>
      </c>
      <c r="N221" s="24" t="s">
        <v>463</v>
      </c>
      <c r="O221" s="7">
        <v>0</v>
      </c>
      <c r="P221" s="7">
        <v>0</v>
      </c>
      <c r="Q221" s="11">
        <v>0.53</v>
      </c>
      <c r="R221" s="7">
        <v>0</v>
      </c>
      <c r="S221" s="8" t="str">
        <f t="shared" si="27"/>
        <v>0</v>
      </c>
      <c r="T221" s="8" t="str">
        <f t="shared" si="28"/>
        <v>0</v>
      </c>
      <c r="U221" s="7">
        <v>0</v>
      </c>
      <c r="V221" s="8" t="str">
        <f t="shared" si="26"/>
        <v>0</v>
      </c>
      <c r="W221" s="25" t="s">
        <v>32</v>
      </c>
      <c r="X221" s="49">
        <v>1710282</v>
      </c>
      <c r="Y221" s="21" t="str">
        <f t="shared" si="29"/>
        <v>1710282</v>
      </c>
      <c r="Z221" s="21">
        <v>33818.36</v>
      </c>
      <c r="AA221" s="52" t="str">
        <f t="shared" si="30"/>
        <v>33818.36</v>
      </c>
      <c r="AB221" s="21">
        <v>37818.36</v>
      </c>
      <c r="AC221" s="21" t="str">
        <f t="shared" si="32"/>
        <v>37818.36</v>
      </c>
      <c r="AD221" s="21" t="str">
        <f t="shared" si="31"/>
        <v>37818.36</v>
      </c>
      <c r="AE221" s="7" t="s">
        <v>1176</v>
      </c>
      <c r="AF221" s="2" t="str">
        <f t="shared" si="33"/>
        <v>Top Thấp</v>
      </c>
    </row>
    <row r="222" spans="1:32">
      <c r="A222" s="24" t="s">
        <v>1248</v>
      </c>
      <c r="B222" s="8" t="s">
        <v>1249</v>
      </c>
      <c r="C222" s="8">
        <v>1.5639374000000001E-2</v>
      </c>
      <c r="D222" s="13" t="s">
        <v>1250</v>
      </c>
      <c r="E222" s="8">
        <v>2.8007180999999999E-2</v>
      </c>
      <c r="F222" s="13" t="s">
        <v>1251</v>
      </c>
      <c r="G222" s="13" t="s">
        <v>1252</v>
      </c>
      <c r="H222" s="7" t="s">
        <v>49</v>
      </c>
      <c r="I222" s="7" t="s">
        <v>50</v>
      </c>
      <c r="J222" s="24" t="s">
        <v>662</v>
      </c>
      <c r="K222" s="11" t="s">
        <v>52</v>
      </c>
      <c r="L222" s="11">
        <v>0.18</v>
      </c>
      <c r="M222" s="12">
        <v>69850</v>
      </c>
      <c r="N222" s="24" t="s">
        <v>1686</v>
      </c>
      <c r="O222" s="7">
        <v>0</v>
      </c>
      <c r="P222" s="7">
        <v>0</v>
      </c>
      <c r="Q222" s="11">
        <v>0.79</v>
      </c>
      <c r="R222" s="7">
        <v>0</v>
      </c>
      <c r="S222" s="8" t="str">
        <f t="shared" si="27"/>
        <v>0</v>
      </c>
      <c r="T222" s="8" t="str">
        <f t="shared" si="28"/>
        <v>0</v>
      </c>
      <c r="U222" s="7">
        <v>0</v>
      </c>
      <c r="V222" s="8" t="str">
        <f t="shared" si="26"/>
        <v>0</v>
      </c>
      <c r="W222" s="25" t="s">
        <v>32</v>
      </c>
      <c r="X222" s="49">
        <v>2238945</v>
      </c>
      <c r="Y222" s="21" t="str">
        <f t="shared" si="29"/>
        <v>2238945</v>
      </c>
      <c r="Z222" s="21">
        <v>9200</v>
      </c>
      <c r="AA222" s="52" t="str">
        <f t="shared" si="30"/>
        <v>9200</v>
      </c>
      <c r="AB222" s="21">
        <v>102000</v>
      </c>
      <c r="AC222" s="21" t="str">
        <f t="shared" si="32"/>
        <v>102000</v>
      </c>
      <c r="AD222" s="21" t="str">
        <f t="shared" si="31"/>
        <v>102000</v>
      </c>
      <c r="AE222" s="7" t="s">
        <v>1176</v>
      </c>
      <c r="AF222" s="2" t="str">
        <f t="shared" si="33"/>
        <v>Top Thấp</v>
      </c>
    </row>
    <row r="223" spans="1:32">
      <c r="A223" s="24" t="s">
        <v>1253</v>
      </c>
      <c r="B223" s="8" t="s">
        <v>1254</v>
      </c>
      <c r="C223" s="7">
        <f>222/14131</f>
        <v>1.5710140825136224E-2</v>
      </c>
      <c r="D223" s="8" t="s">
        <v>1255</v>
      </c>
      <c r="E223" s="7">
        <f>68/2597</f>
        <v>2.6184058529072005E-2</v>
      </c>
      <c r="F223" s="9" t="s">
        <v>823</v>
      </c>
      <c r="G223" s="7">
        <f>62/2496</f>
        <v>2.4839743589743588E-2</v>
      </c>
      <c r="H223" s="7" t="s">
        <v>28</v>
      </c>
      <c r="I223" s="7" t="s">
        <v>306</v>
      </c>
      <c r="J223" s="7" t="s">
        <v>534</v>
      </c>
      <c r="K223" s="11" t="s">
        <v>52</v>
      </c>
      <c r="L223" s="11">
        <v>0.78</v>
      </c>
      <c r="M223" s="12">
        <v>72138</v>
      </c>
      <c r="N223" s="24" t="s">
        <v>31</v>
      </c>
      <c r="O223" s="7">
        <v>1200</v>
      </c>
      <c r="P223" s="7">
        <v>26</v>
      </c>
      <c r="Q223" s="11">
        <v>0.75</v>
      </c>
      <c r="R223" s="7">
        <v>11687</v>
      </c>
      <c r="S223" s="8" t="str">
        <f t="shared" si="27"/>
        <v>11687</v>
      </c>
      <c r="T223" s="8" t="str">
        <f t="shared" si="28"/>
        <v>11687</v>
      </c>
      <c r="U223" s="7">
        <v>3490</v>
      </c>
      <c r="V223" s="8" t="str">
        <f t="shared" si="26"/>
        <v>3490</v>
      </c>
      <c r="W223" s="25" t="s">
        <v>1595</v>
      </c>
      <c r="X223" s="49">
        <v>1966889</v>
      </c>
      <c r="Y223" s="21" t="str">
        <f t="shared" si="29"/>
        <v>1966889</v>
      </c>
      <c r="Z223" s="21">
        <v>15589.86</v>
      </c>
      <c r="AA223" s="52" t="str">
        <f t="shared" si="30"/>
        <v>15589.86</v>
      </c>
      <c r="AB223" s="21">
        <v>18589.86</v>
      </c>
      <c r="AC223" s="21" t="str">
        <f t="shared" si="32"/>
        <v>18589.86</v>
      </c>
      <c r="AD223" s="21" t="str">
        <f t="shared" si="31"/>
        <v>18589.86</v>
      </c>
      <c r="AE223" s="7" t="s">
        <v>1176</v>
      </c>
      <c r="AF223" s="2" t="str">
        <f t="shared" si="33"/>
        <v>Top Thấp</v>
      </c>
    </row>
    <row r="224" spans="1:32">
      <c r="A224" s="33" t="s">
        <v>1256</v>
      </c>
      <c r="B224" s="8" t="s">
        <v>1257</v>
      </c>
      <c r="C224" s="8">
        <v>1.5780907E-2</v>
      </c>
      <c r="D224" s="13" t="s">
        <v>1258</v>
      </c>
      <c r="E224" s="8">
        <v>2.8366248E-2</v>
      </c>
      <c r="F224" s="13" t="s">
        <v>1259</v>
      </c>
      <c r="G224" s="13" t="s">
        <v>1037</v>
      </c>
      <c r="H224" s="7" t="s">
        <v>49</v>
      </c>
      <c r="I224" s="7" t="s">
        <v>792</v>
      </c>
      <c r="J224" s="24" t="s">
        <v>1701</v>
      </c>
      <c r="K224" s="11" t="s">
        <v>52</v>
      </c>
      <c r="L224" s="11">
        <v>0.28999999999999998</v>
      </c>
      <c r="M224" s="12">
        <v>64365</v>
      </c>
      <c r="N224" s="24" t="s">
        <v>794</v>
      </c>
      <c r="O224" s="7">
        <v>0</v>
      </c>
      <c r="P224" s="7">
        <v>0</v>
      </c>
      <c r="Q224" s="11">
        <v>0.76</v>
      </c>
      <c r="R224" s="7">
        <v>0</v>
      </c>
      <c r="S224" s="8" t="str">
        <f t="shared" si="27"/>
        <v>0</v>
      </c>
      <c r="T224" s="8" t="str">
        <f t="shared" si="28"/>
        <v>0</v>
      </c>
      <c r="U224" s="7">
        <v>0</v>
      </c>
      <c r="V224" s="8" t="str">
        <f t="shared" si="26"/>
        <v>0</v>
      </c>
      <c r="W224" s="8" t="s">
        <v>32</v>
      </c>
      <c r="X224" s="49">
        <v>1910390</v>
      </c>
      <c r="Y224" s="21" t="str">
        <f t="shared" si="29"/>
        <v>1910390</v>
      </c>
      <c r="Z224" s="21">
        <v>21498.38</v>
      </c>
      <c r="AA224" s="52" t="str">
        <f t="shared" si="30"/>
        <v>21498.38</v>
      </c>
      <c r="AB224" s="21">
        <v>29498.38</v>
      </c>
      <c r="AC224" s="21" t="str">
        <f t="shared" si="32"/>
        <v>29498.38</v>
      </c>
      <c r="AD224" s="21" t="str">
        <f t="shared" si="31"/>
        <v>29498.38</v>
      </c>
      <c r="AE224" s="7" t="s">
        <v>1176</v>
      </c>
      <c r="AF224" s="2" t="str">
        <f t="shared" si="33"/>
        <v>Top Thấp</v>
      </c>
    </row>
    <row r="225" spans="1:32">
      <c r="A225" s="24" t="s">
        <v>1260</v>
      </c>
      <c r="B225" s="8" t="s">
        <v>1261</v>
      </c>
      <c r="C225" s="8">
        <v>1.5851674E-2</v>
      </c>
      <c r="D225" s="13" t="s">
        <v>1262</v>
      </c>
      <c r="E225" s="8">
        <v>4.1971505999999999E-2</v>
      </c>
      <c r="F225" s="13" t="s">
        <v>1263</v>
      </c>
      <c r="G225" s="13" t="s">
        <v>1264</v>
      </c>
      <c r="H225" s="7" t="s">
        <v>28</v>
      </c>
      <c r="I225" s="7" t="s">
        <v>29</v>
      </c>
      <c r="J225" s="24" t="s">
        <v>380</v>
      </c>
      <c r="K225" s="24" t="s">
        <v>52</v>
      </c>
      <c r="L225" s="11">
        <v>0.35</v>
      </c>
      <c r="M225" s="12">
        <v>118422</v>
      </c>
      <c r="N225" s="7" t="s">
        <v>31</v>
      </c>
      <c r="O225" s="7">
        <v>1070</v>
      </c>
      <c r="P225" s="7">
        <v>23</v>
      </c>
      <c r="Q225" s="11">
        <v>0.85</v>
      </c>
      <c r="R225" s="7">
        <v>0</v>
      </c>
      <c r="S225" s="8" t="str">
        <f t="shared" si="27"/>
        <v>0</v>
      </c>
      <c r="T225" s="8" t="str">
        <f t="shared" si="28"/>
        <v>0</v>
      </c>
      <c r="U225" s="7">
        <v>0</v>
      </c>
      <c r="V225" s="8" t="str">
        <f t="shared" si="26"/>
        <v>0</v>
      </c>
      <c r="W225" s="40" t="s">
        <v>1595</v>
      </c>
      <c r="X225" s="49">
        <v>4438050</v>
      </c>
      <c r="Y225" s="21" t="str">
        <f t="shared" si="29"/>
        <v>4438050</v>
      </c>
      <c r="Z225" s="21">
        <v>18250</v>
      </c>
      <c r="AA225" s="52" t="str">
        <f t="shared" si="30"/>
        <v>18250</v>
      </c>
      <c r="AB225" s="21">
        <v>17250</v>
      </c>
      <c r="AC225" s="21" t="str">
        <f t="shared" si="32"/>
        <v>17250</v>
      </c>
      <c r="AD225" s="21" t="str">
        <f t="shared" si="31"/>
        <v>17250</v>
      </c>
      <c r="AE225" s="7" t="s">
        <v>1176</v>
      </c>
      <c r="AF225" s="2" t="str">
        <f t="shared" si="33"/>
        <v>Top Thấp</v>
      </c>
    </row>
    <row r="226" spans="1:32">
      <c r="A226" s="24" t="s">
        <v>1265</v>
      </c>
      <c r="B226" s="8" t="s">
        <v>1266</v>
      </c>
      <c r="C226" s="7">
        <f>225/14131</f>
        <v>1.5922440025475906E-2</v>
      </c>
      <c r="D226" s="9" t="s">
        <v>1267</v>
      </c>
      <c r="E226" s="7">
        <f>119/2597</f>
        <v>4.5822102425876012E-2</v>
      </c>
      <c r="F226" s="9" t="s">
        <v>1268</v>
      </c>
      <c r="G226" s="7">
        <f>104/2496</f>
        <v>4.1666666666666664E-2</v>
      </c>
      <c r="H226" s="7" t="s">
        <v>28</v>
      </c>
      <c r="I226" s="7" t="s">
        <v>29</v>
      </c>
      <c r="J226" s="7" t="s">
        <v>389</v>
      </c>
      <c r="K226" s="46" t="s">
        <v>68</v>
      </c>
      <c r="L226" s="11">
        <v>0.1</v>
      </c>
      <c r="M226" s="12">
        <v>58674</v>
      </c>
      <c r="N226" s="7" t="s">
        <v>31</v>
      </c>
      <c r="O226" s="7">
        <v>1435</v>
      </c>
      <c r="P226" s="7">
        <v>32</v>
      </c>
      <c r="Q226" s="11">
        <v>0.72</v>
      </c>
      <c r="R226" s="12">
        <v>8700</v>
      </c>
      <c r="S226" s="8" t="str">
        <f t="shared" si="27"/>
        <v>8700</v>
      </c>
      <c r="T226" s="8" t="str">
        <f t="shared" si="28"/>
        <v>8700</v>
      </c>
      <c r="U226" s="12">
        <v>5347</v>
      </c>
      <c r="V226" s="8" t="str">
        <f t="shared" si="26"/>
        <v>5347</v>
      </c>
      <c r="W226" s="25" t="s">
        <v>32</v>
      </c>
      <c r="X226" s="49">
        <v>1791796</v>
      </c>
      <c r="Y226" s="21" t="str">
        <f t="shared" si="29"/>
        <v>1791796</v>
      </c>
      <c r="Z226" s="21">
        <v>29882</v>
      </c>
      <c r="AA226" s="52" t="str">
        <f t="shared" si="30"/>
        <v>29882</v>
      </c>
      <c r="AB226" s="21">
        <v>45048</v>
      </c>
      <c r="AC226" s="21" t="str">
        <f t="shared" si="32"/>
        <v>45048</v>
      </c>
      <c r="AD226" s="21" t="str">
        <f t="shared" si="31"/>
        <v>45048</v>
      </c>
      <c r="AE226" s="7" t="s">
        <v>1176</v>
      </c>
      <c r="AF226" s="2" t="str">
        <f t="shared" si="33"/>
        <v>Top Thấp</v>
      </c>
    </row>
    <row r="227" spans="1:32">
      <c r="A227" s="7" t="s">
        <v>1269</v>
      </c>
      <c r="B227" s="8" t="s">
        <v>1270</v>
      </c>
      <c r="C227" s="8">
        <v>1.5993205999999999E-2</v>
      </c>
      <c r="D227" s="13" t="s">
        <v>1271</v>
      </c>
      <c r="E227" s="8">
        <v>4.2741624999999998E-2</v>
      </c>
      <c r="F227" s="13" t="s">
        <v>1272</v>
      </c>
      <c r="G227" s="13" t="s">
        <v>1273</v>
      </c>
      <c r="H227" s="7" t="s">
        <v>28</v>
      </c>
      <c r="I227" s="7" t="s">
        <v>29</v>
      </c>
      <c r="J227" s="7" t="s">
        <v>61</v>
      </c>
      <c r="K227" s="7" t="s">
        <v>52</v>
      </c>
      <c r="L227" s="11">
        <v>0.85</v>
      </c>
      <c r="M227" s="12">
        <v>60952</v>
      </c>
      <c r="N227" s="7" t="s">
        <v>31</v>
      </c>
      <c r="O227" s="7">
        <v>1245</v>
      </c>
      <c r="P227" s="7">
        <v>26</v>
      </c>
      <c r="Q227" s="11">
        <v>1</v>
      </c>
      <c r="R227" s="12">
        <v>21152</v>
      </c>
      <c r="S227" s="8" t="str">
        <f t="shared" si="27"/>
        <v>21152</v>
      </c>
      <c r="T227" s="8" t="str">
        <f t="shared" si="28"/>
        <v>21152</v>
      </c>
      <c r="U227" s="12">
        <v>6890</v>
      </c>
      <c r="V227" s="8" t="str">
        <f t="shared" si="26"/>
        <v>6890</v>
      </c>
      <c r="W227" s="25" t="s">
        <v>32</v>
      </c>
      <c r="X227" s="49">
        <v>1449170</v>
      </c>
      <c r="Y227" s="21" t="str">
        <f t="shared" si="29"/>
        <v>1449170</v>
      </c>
      <c r="Z227" s="21">
        <v>10298</v>
      </c>
      <c r="AA227" s="52" t="str">
        <f t="shared" si="30"/>
        <v>10298</v>
      </c>
      <c r="AB227" s="21">
        <v>10298</v>
      </c>
      <c r="AC227" s="21" t="str">
        <f t="shared" si="32"/>
        <v>10298</v>
      </c>
      <c r="AD227" s="21" t="str">
        <f t="shared" si="31"/>
        <v>10298</v>
      </c>
      <c r="AE227" s="7" t="s">
        <v>1176</v>
      </c>
      <c r="AF227" s="2" t="str">
        <f t="shared" si="33"/>
        <v>Top Thấp</v>
      </c>
    </row>
    <row r="228" spans="1:32">
      <c r="A228" s="7" t="s">
        <v>1274</v>
      </c>
      <c r="B228" s="8" t="s">
        <v>1275</v>
      </c>
      <c r="C228" s="7">
        <f>227/14131</f>
        <v>1.6063972825702356E-2</v>
      </c>
      <c r="D228" s="9" t="s">
        <v>364</v>
      </c>
      <c r="E228" s="7">
        <f>34/2597</f>
        <v>1.3092029264536002E-2</v>
      </c>
      <c r="F228" s="9" t="s">
        <v>1276</v>
      </c>
      <c r="G228" s="7">
        <f>32/2496</f>
        <v>1.282051282051282E-2</v>
      </c>
      <c r="H228" s="7" t="s">
        <v>49</v>
      </c>
      <c r="I228" s="7" t="s">
        <v>752</v>
      </c>
      <c r="J228" s="7" t="s">
        <v>900</v>
      </c>
      <c r="K228" s="11" t="s">
        <v>52</v>
      </c>
      <c r="L228" s="11">
        <v>0.41</v>
      </c>
      <c r="M228" s="12">
        <v>75773</v>
      </c>
      <c r="N228" s="7" t="s">
        <v>754</v>
      </c>
      <c r="O228" s="7">
        <v>0</v>
      </c>
      <c r="P228" s="7">
        <v>0</v>
      </c>
      <c r="Q228" s="11">
        <v>0.83</v>
      </c>
      <c r="R228" s="7">
        <v>0</v>
      </c>
      <c r="S228" s="8" t="str">
        <f t="shared" si="27"/>
        <v>0</v>
      </c>
      <c r="T228" s="8" t="str">
        <f t="shared" si="28"/>
        <v>0</v>
      </c>
      <c r="U228" s="7">
        <v>0</v>
      </c>
      <c r="V228" s="8" t="str">
        <f t="shared" si="26"/>
        <v>0</v>
      </c>
      <c r="W228" s="25" t="s">
        <v>32</v>
      </c>
      <c r="X228" s="49">
        <v>1819212</v>
      </c>
      <c r="Y228" s="21" t="str">
        <f t="shared" si="29"/>
        <v>1819212</v>
      </c>
      <c r="Z228" s="21">
        <v>10323.48</v>
      </c>
      <c r="AA228" s="52" t="str">
        <f t="shared" si="30"/>
        <v>10323.48</v>
      </c>
      <c r="AB228" s="21">
        <v>11323.48</v>
      </c>
      <c r="AC228" s="21" t="str">
        <f t="shared" si="32"/>
        <v>11323.48</v>
      </c>
      <c r="AD228" s="21" t="str">
        <f t="shared" si="31"/>
        <v>11323.48</v>
      </c>
      <c r="AE228" s="7" t="s">
        <v>1176</v>
      </c>
      <c r="AF228" s="2" t="str">
        <f t="shared" si="33"/>
        <v>Top Thấp</v>
      </c>
    </row>
    <row r="229" spans="1:32">
      <c r="A229" s="7" t="s">
        <v>1277</v>
      </c>
      <c r="B229" s="8" t="s">
        <v>1278</v>
      </c>
      <c r="C229" s="8">
        <v>1.6134738999999999E-2</v>
      </c>
      <c r="D229" s="13" t="s">
        <v>1279</v>
      </c>
      <c r="E229" s="8">
        <v>4.3126684999999998E-2</v>
      </c>
      <c r="F229" s="13" t="s">
        <v>1280</v>
      </c>
      <c r="G229" s="13" t="s">
        <v>1281</v>
      </c>
      <c r="H229" s="7" t="s">
        <v>28</v>
      </c>
      <c r="I229" s="7" t="s">
        <v>306</v>
      </c>
      <c r="J229" s="7" t="s">
        <v>481</v>
      </c>
      <c r="K229" s="11" t="s">
        <v>52</v>
      </c>
      <c r="L229" s="11">
        <v>0.52</v>
      </c>
      <c r="M229" s="12">
        <v>79869</v>
      </c>
      <c r="N229" s="24" t="s">
        <v>31</v>
      </c>
      <c r="O229" s="7">
        <v>0</v>
      </c>
      <c r="P229" s="7">
        <v>0</v>
      </c>
      <c r="Q229" s="11">
        <v>0.78</v>
      </c>
      <c r="R229" s="7">
        <v>25065</v>
      </c>
      <c r="S229" s="8" t="str">
        <f t="shared" si="27"/>
        <v>25065</v>
      </c>
      <c r="T229" s="8" t="str">
        <f t="shared" si="28"/>
        <v>25065</v>
      </c>
      <c r="U229" s="7">
        <v>3720</v>
      </c>
      <c r="V229" s="8" t="str">
        <f t="shared" si="26"/>
        <v>3720</v>
      </c>
      <c r="W229" s="25" t="s">
        <v>395</v>
      </c>
      <c r="X229" s="49">
        <v>1926105</v>
      </c>
      <c r="Y229" s="21" t="str">
        <f t="shared" si="29"/>
        <v>1926105</v>
      </c>
      <c r="Z229" s="21">
        <v>16124</v>
      </c>
      <c r="AA229" s="52" t="str">
        <f t="shared" si="30"/>
        <v>16124</v>
      </c>
      <c r="AB229" s="21">
        <v>18124</v>
      </c>
      <c r="AC229" s="21" t="str">
        <f t="shared" si="32"/>
        <v>18124</v>
      </c>
      <c r="AD229" s="21" t="str">
        <f t="shared" si="31"/>
        <v>18124</v>
      </c>
      <c r="AE229" s="7" t="s">
        <v>1176</v>
      </c>
      <c r="AF229" s="2" t="str">
        <f t="shared" si="33"/>
        <v>Top Thấp</v>
      </c>
    </row>
    <row r="230" spans="1:32">
      <c r="A230" s="7" t="s">
        <v>1282</v>
      </c>
      <c r="B230" s="8" t="s">
        <v>1283</v>
      </c>
      <c r="C230" s="8">
        <v>1.6205506000000001E-2</v>
      </c>
      <c r="D230" s="13" t="s">
        <v>1284</v>
      </c>
      <c r="E230" s="8">
        <v>2.9084380999999999E-2</v>
      </c>
      <c r="F230" s="13" t="s">
        <v>1285</v>
      </c>
      <c r="G230" s="13" t="s">
        <v>1286</v>
      </c>
      <c r="H230" s="7" t="s">
        <v>49</v>
      </c>
      <c r="I230" s="7" t="s">
        <v>504</v>
      </c>
      <c r="J230" s="7" t="s">
        <v>472</v>
      </c>
      <c r="K230" s="11" t="s">
        <v>52</v>
      </c>
      <c r="L230" s="7">
        <v>0.84</v>
      </c>
      <c r="M230" s="7">
        <v>47910</v>
      </c>
      <c r="N230" s="7" t="s">
        <v>765</v>
      </c>
      <c r="O230" s="7">
        <v>0</v>
      </c>
      <c r="P230" s="7">
        <v>0</v>
      </c>
      <c r="Q230" s="11">
        <v>0.53</v>
      </c>
      <c r="R230" s="7">
        <v>0</v>
      </c>
      <c r="S230" s="8" t="str">
        <f t="shared" si="27"/>
        <v>0</v>
      </c>
      <c r="T230" s="8" t="str">
        <f t="shared" si="28"/>
        <v>0</v>
      </c>
      <c r="U230" s="7">
        <v>0</v>
      </c>
      <c r="V230" s="8" t="str">
        <f t="shared" si="26"/>
        <v>0</v>
      </c>
      <c r="W230" s="25" t="s">
        <v>395</v>
      </c>
      <c r="X230" s="49">
        <v>2310747</v>
      </c>
      <c r="Y230" s="21" t="str">
        <f t="shared" si="29"/>
        <v>2310747</v>
      </c>
      <c r="Z230" s="21">
        <v>9807.27</v>
      </c>
      <c r="AA230" s="52" t="str">
        <f t="shared" si="30"/>
        <v>9807.27</v>
      </c>
      <c r="AB230" s="21">
        <v>10907.27</v>
      </c>
      <c r="AC230" s="21" t="str">
        <f t="shared" si="32"/>
        <v>10907.27</v>
      </c>
      <c r="AD230" s="21" t="str">
        <f t="shared" si="31"/>
        <v>10907.27</v>
      </c>
      <c r="AE230" s="7" t="s">
        <v>1176</v>
      </c>
      <c r="AF230" s="2" t="str">
        <f t="shared" si="33"/>
        <v>Top Thấp</v>
      </c>
    </row>
    <row r="231" spans="1:32">
      <c r="A231" s="35" t="s">
        <v>1287</v>
      </c>
      <c r="B231" s="8" t="s">
        <v>1288</v>
      </c>
      <c r="C231" s="8">
        <v>1.6276272000000001E-2</v>
      </c>
      <c r="D231" s="13" t="s">
        <v>1289</v>
      </c>
      <c r="E231" s="8">
        <v>2.9443447000000001E-2</v>
      </c>
      <c r="F231" s="13" t="s">
        <v>1290</v>
      </c>
      <c r="G231" s="13" t="s">
        <v>1291</v>
      </c>
      <c r="H231" s="7" t="s">
        <v>49</v>
      </c>
      <c r="I231" s="7" t="s">
        <v>890</v>
      </c>
      <c r="J231" s="7" t="s">
        <v>505</v>
      </c>
      <c r="K231" s="11" t="s">
        <v>52</v>
      </c>
      <c r="L231" s="11">
        <v>0.39</v>
      </c>
      <c r="M231" s="12">
        <v>87789</v>
      </c>
      <c r="N231" s="7" t="s">
        <v>1629</v>
      </c>
      <c r="O231" s="7">
        <v>0</v>
      </c>
      <c r="P231" s="7">
        <v>0</v>
      </c>
      <c r="Q231" s="11">
        <v>0.69</v>
      </c>
      <c r="R231" s="7">
        <v>0</v>
      </c>
      <c r="S231" s="8" t="str">
        <f t="shared" si="27"/>
        <v>0</v>
      </c>
      <c r="T231" s="8" t="str">
        <f t="shared" si="28"/>
        <v>0</v>
      </c>
      <c r="U231" s="7">
        <v>0</v>
      </c>
      <c r="V231" s="8" t="str">
        <f t="shared" si="26"/>
        <v>0</v>
      </c>
      <c r="W231" s="25" t="s">
        <v>32</v>
      </c>
      <c r="X231" s="49">
        <v>1937852</v>
      </c>
      <c r="Y231" s="21" t="str">
        <f t="shared" si="29"/>
        <v>1937852</v>
      </c>
      <c r="Z231" s="21">
        <v>8270.6</v>
      </c>
      <c r="AA231" s="52" t="str">
        <f t="shared" si="30"/>
        <v>8270.6</v>
      </c>
      <c r="AB231" s="21">
        <v>10270.6</v>
      </c>
      <c r="AC231" s="21" t="str">
        <f t="shared" si="32"/>
        <v>10270.6</v>
      </c>
      <c r="AD231" s="21" t="str">
        <f t="shared" si="31"/>
        <v>10270.6</v>
      </c>
      <c r="AE231" s="7" t="s">
        <v>1176</v>
      </c>
      <c r="AF231" s="2" t="str">
        <f t="shared" si="33"/>
        <v>Top Thấp</v>
      </c>
    </row>
    <row r="232" spans="1:32">
      <c r="A232" s="7" t="s">
        <v>1292</v>
      </c>
      <c r="B232" s="8" t="s">
        <v>1293</v>
      </c>
      <c r="C232" s="8">
        <v>1.6347038000000001E-2</v>
      </c>
      <c r="D232" s="13" t="s">
        <v>1294</v>
      </c>
      <c r="E232" s="8">
        <v>4.3511743999999998E-2</v>
      </c>
      <c r="F232" s="13" t="s">
        <v>1295</v>
      </c>
      <c r="G232" s="13" t="s">
        <v>1296</v>
      </c>
      <c r="H232" s="7" t="s">
        <v>28</v>
      </c>
      <c r="I232" s="7" t="s">
        <v>29</v>
      </c>
      <c r="J232" s="7" t="s">
        <v>981</v>
      </c>
      <c r="K232" s="11" t="s">
        <v>52</v>
      </c>
      <c r="L232" s="7">
        <v>0.63</v>
      </c>
      <c r="M232" s="7">
        <v>44002</v>
      </c>
      <c r="N232" s="24" t="s">
        <v>31</v>
      </c>
      <c r="O232" s="7">
        <v>1260</v>
      </c>
      <c r="P232" s="7">
        <v>28</v>
      </c>
      <c r="Q232" s="11">
        <v>0.94</v>
      </c>
      <c r="R232" s="12">
        <v>59996</v>
      </c>
      <c r="S232" s="8" t="str">
        <f t="shared" si="27"/>
        <v>59996</v>
      </c>
      <c r="T232" s="8" t="str">
        <f t="shared" si="28"/>
        <v>59996</v>
      </c>
      <c r="U232" s="12">
        <v>10314</v>
      </c>
      <c r="V232" s="8" t="str">
        <f t="shared" si="26"/>
        <v>10314</v>
      </c>
      <c r="W232" s="25" t="s">
        <v>32</v>
      </c>
      <c r="X232" s="49">
        <v>1155979</v>
      </c>
      <c r="Y232" s="21" t="str">
        <f t="shared" si="29"/>
        <v>1155979</v>
      </c>
      <c r="Z232" s="21">
        <v>10078</v>
      </c>
      <c r="AA232" s="52" t="str">
        <f t="shared" si="30"/>
        <v>10078</v>
      </c>
      <c r="AB232" s="21">
        <v>12882</v>
      </c>
      <c r="AC232" s="21" t="str">
        <f t="shared" si="32"/>
        <v>12882</v>
      </c>
      <c r="AD232" s="21" t="str">
        <f t="shared" si="31"/>
        <v>12882</v>
      </c>
      <c r="AE232" s="7" t="s">
        <v>1176</v>
      </c>
      <c r="AF232" s="2" t="str">
        <f t="shared" si="33"/>
        <v>Top Thấp</v>
      </c>
    </row>
    <row r="233" spans="1:32">
      <c r="A233" s="7" t="s">
        <v>1297</v>
      </c>
      <c r="B233" s="8" t="s">
        <v>1298</v>
      </c>
      <c r="C233" s="7">
        <f>232/14131</f>
        <v>1.6417804826268489E-2</v>
      </c>
      <c r="D233" s="9" t="s">
        <v>926</v>
      </c>
      <c r="E233" s="7">
        <f>12/5830</f>
        <v>2.058319039451115E-3</v>
      </c>
      <c r="F233" s="9" t="s">
        <v>1299</v>
      </c>
      <c r="G233" s="7">
        <f>1/144</f>
        <v>6.9444444444444441E-3</v>
      </c>
      <c r="H233" s="7" t="s">
        <v>49</v>
      </c>
      <c r="I233" s="7" t="s">
        <v>139</v>
      </c>
      <c r="J233" s="7" t="s">
        <v>140</v>
      </c>
      <c r="K233" s="11" t="s">
        <v>52</v>
      </c>
      <c r="L233" s="11">
        <v>0.41</v>
      </c>
      <c r="M233" s="12">
        <v>66061</v>
      </c>
      <c r="N233" s="24" t="s">
        <v>31</v>
      </c>
      <c r="O233" s="7">
        <v>1300</v>
      </c>
      <c r="P233" s="7">
        <v>29</v>
      </c>
      <c r="Q233" s="11">
        <v>0.91</v>
      </c>
      <c r="R233" s="7">
        <v>13700</v>
      </c>
      <c r="S233" s="8" t="str">
        <f t="shared" si="27"/>
        <v>13700</v>
      </c>
      <c r="T233" s="8" t="str">
        <f t="shared" si="28"/>
        <v>13700</v>
      </c>
      <c r="U233" s="7">
        <v>5000</v>
      </c>
      <c r="V233" s="8" t="str">
        <f t="shared" si="26"/>
        <v>5000</v>
      </c>
      <c r="W233" s="25" t="s">
        <v>32</v>
      </c>
      <c r="X233" s="49">
        <v>1799087</v>
      </c>
      <c r="Y233" s="21" t="str">
        <f t="shared" si="29"/>
        <v>1799087</v>
      </c>
      <c r="Z233" s="21">
        <v>18424.38</v>
      </c>
      <c r="AA233" s="52" t="str">
        <f t="shared" si="30"/>
        <v>18424.38</v>
      </c>
      <c r="AB233" s="21">
        <v>21424.38</v>
      </c>
      <c r="AC233" s="21" t="str">
        <f t="shared" si="32"/>
        <v>21424.38</v>
      </c>
      <c r="AD233" s="21" t="str">
        <f t="shared" si="31"/>
        <v>21424.38</v>
      </c>
      <c r="AE233" s="7" t="s">
        <v>1176</v>
      </c>
      <c r="AF233" s="2" t="str">
        <f t="shared" si="33"/>
        <v>Top Thấp</v>
      </c>
    </row>
    <row r="234" spans="1:32">
      <c r="A234" s="7" t="s">
        <v>1300</v>
      </c>
      <c r="B234" s="8" t="s">
        <v>1301</v>
      </c>
      <c r="C234" s="8">
        <v>1.6488571E-2</v>
      </c>
      <c r="D234" s="13" t="s">
        <v>1302</v>
      </c>
      <c r="E234" s="8">
        <v>4.3896803999999998E-2</v>
      </c>
      <c r="F234" s="13" t="s">
        <v>1303</v>
      </c>
      <c r="G234" s="13" t="s">
        <v>1304</v>
      </c>
      <c r="H234" s="7" t="s">
        <v>28</v>
      </c>
      <c r="I234" s="7" t="s">
        <v>29</v>
      </c>
      <c r="J234" s="7" t="s">
        <v>436</v>
      </c>
      <c r="K234" s="11" t="s">
        <v>52</v>
      </c>
      <c r="L234" s="7">
        <v>0.3</v>
      </c>
      <c r="M234" s="7">
        <v>44300</v>
      </c>
      <c r="N234" s="24" t="s">
        <v>31</v>
      </c>
      <c r="O234" s="7">
        <v>1185</v>
      </c>
      <c r="P234" s="7">
        <v>25</v>
      </c>
      <c r="Q234" s="11">
        <v>0.85</v>
      </c>
      <c r="R234" s="12">
        <v>21394</v>
      </c>
      <c r="S234" s="8" t="str">
        <f t="shared" si="27"/>
        <v>21394</v>
      </c>
      <c r="T234" s="8" t="str">
        <f t="shared" si="28"/>
        <v>21394</v>
      </c>
      <c r="U234" s="12">
        <v>7200</v>
      </c>
      <c r="V234" s="8" t="str">
        <f t="shared" si="26"/>
        <v>7200</v>
      </c>
      <c r="W234" s="25" t="s">
        <v>32</v>
      </c>
      <c r="X234" s="49">
        <v>1610121</v>
      </c>
      <c r="Y234" s="21" t="str">
        <f t="shared" si="29"/>
        <v>1610121</v>
      </c>
      <c r="Z234" s="21">
        <v>13623</v>
      </c>
      <c r="AA234" s="52" t="str">
        <f t="shared" si="30"/>
        <v>13623</v>
      </c>
      <c r="AB234" s="21">
        <v>15623</v>
      </c>
      <c r="AC234" s="21" t="str">
        <f t="shared" si="32"/>
        <v>15623</v>
      </c>
      <c r="AD234" s="21" t="str">
        <f t="shared" si="31"/>
        <v>15623</v>
      </c>
      <c r="AE234" s="7" t="s">
        <v>1176</v>
      </c>
      <c r="AF234" s="2" t="str">
        <f t="shared" si="33"/>
        <v>Top Thấp</v>
      </c>
    </row>
    <row r="235" spans="1:32">
      <c r="A235" s="7" t="s">
        <v>1305</v>
      </c>
      <c r="B235" s="8" t="s">
        <v>1306</v>
      </c>
      <c r="C235" s="7">
        <f>234/14131</f>
        <v>1.655933762649494E-2</v>
      </c>
      <c r="D235" s="9" t="s">
        <v>1307</v>
      </c>
      <c r="E235" s="7">
        <f>6/5830</f>
        <v>1.0291595197255575E-3</v>
      </c>
      <c r="F235" s="9" t="s">
        <v>701</v>
      </c>
      <c r="G235" s="7">
        <f>3/719</f>
        <v>4.172461752433936E-3</v>
      </c>
      <c r="H235" s="7" t="s">
        <v>28</v>
      </c>
      <c r="I235" s="7" t="s">
        <v>29</v>
      </c>
      <c r="J235" s="7" t="s">
        <v>1308</v>
      </c>
      <c r="K235" s="46" t="s">
        <v>68</v>
      </c>
      <c r="L235" s="11">
        <v>0.09</v>
      </c>
      <c r="M235" s="12">
        <v>114240</v>
      </c>
      <c r="N235" s="24" t="s">
        <v>31</v>
      </c>
      <c r="O235" s="7">
        <v>0</v>
      </c>
      <c r="P235" s="7">
        <v>0</v>
      </c>
      <c r="Q235" s="11">
        <v>0.67</v>
      </c>
      <c r="R235" s="7">
        <v>0</v>
      </c>
      <c r="S235" s="8" t="str">
        <f t="shared" si="27"/>
        <v>0</v>
      </c>
      <c r="T235" s="8" t="str">
        <f t="shared" si="28"/>
        <v>0</v>
      </c>
      <c r="U235" s="12">
        <v>1596</v>
      </c>
      <c r="V235" s="8" t="str">
        <f t="shared" si="26"/>
        <v>1596</v>
      </c>
      <c r="W235" s="25" t="s">
        <v>32</v>
      </c>
      <c r="X235" s="49">
        <v>4550608</v>
      </c>
      <c r="Y235" s="21" t="str">
        <f t="shared" si="29"/>
        <v>4550608</v>
      </c>
      <c r="Z235" s="21">
        <v>37665</v>
      </c>
      <c r="AA235" s="52" t="str">
        <f t="shared" si="30"/>
        <v>37665</v>
      </c>
      <c r="AB235" s="21">
        <v>39665</v>
      </c>
      <c r="AC235" s="21" t="str">
        <f t="shared" si="32"/>
        <v>39665</v>
      </c>
      <c r="AD235" s="21" t="str">
        <f t="shared" si="31"/>
        <v>39665</v>
      </c>
      <c r="AE235" s="7" t="s">
        <v>1176</v>
      </c>
      <c r="AF235" s="2" t="str">
        <f t="shared" si="33"/>
        <v>Top Thấp</v>
      </c>
    </row>
    <row r="236" spans="1:32">
      <c r="A236" s="7" t="s">
        <v>1309</v>
      </c>
      <c r="B236" s="8" t="s">
        <v>1310</v>
      </c>
      <c r="C236" s="7">
        <f>236/14131</f>
        <v>1.6700870426721394E-2</v>
      </c>
      <c r="D236" s="9" t="s">
        <v>218</v>
      </c>
      <c r="E236" s="7">
        <f>29/2597</f>
        <v>1.1166730843280709E-2</v>
      </c>
      <c r="F236" s="9" t="s">
        <v>1311</v>
      </c>
      <c r="G236" s="7">
        <f>2/88</f>
        <v>2.2727272727272728E-2</v>
      </c>
      <c r="H236" s="7" t="s">
        <v>28</v>
      </c>
      <c r="I236" s="7" t="s">
        <v>29</v>
      </c>
      <c r="J236" s="7" t="s">
        <v>436</v>
      </c>
      <c r="K236" s="11" t="s">
        <v>52</v>
      </c>
      <c r="L236" s="11">
        <v>0.91</v>
      </c>
      <c r="M236" s="12">
        <v>50862</v>
      </c>
      <c r="N236" s="24" t="s">
        <v>31</v>
      </c>
      <c r="O236" s="7">
        <v>1245</v>
      </c>
      <c r="P236" s="7">
        <v>28</v>
      </c>
      <c r="Q236" s="11">
        <v>0.79</v>
      </c>
      <c r="R236" s="12">
        <v>26882</v>
      </c>
      <c r="S236" s="8" t="str">
        <f t="shared" si="27"/>
        <v>26882</v>
      </c>
      <c r="T236" s="8" t="str">
        <f t="shared" si="28"/>
        <v>26882</v>
      </c>
      <c r="U236" s="12">
        <v>11746</v>
      </c>
      <c r="V236" s="8" t="str">
        <f t="shared" si="26"/>
        <v>11746</v>
      </c>
      <c r="W236" s="25" t="s">
        <v>32</v>
      </c>
      <c r="X236" s="49">
        <v>1034335</v>
      </c>
      <c r="Y236" s="21" t="str">
        <f t="shared" si="29"/>
        <v>1034335</v>
      </c>
      <c r="Z236" s="21">
        <v>10110</v>
      </c>
      <c r="AA236" s="52" t="str">
        <f t="shared" si="30"/>
        <v>10110</v>
      </c>
      <c r="AB236" s="21">
        <v>14110</v>
      </c>
      <c r="AC236" s="21" t="str">
        <f t="shared" si="32"/>
        <v>14110</v>
      </c>
      <c r="AD236" s="21" t="str">
        <f t="shared" si="31"/>
        <v>14110</v>
      </c>
      <c r="AE236" s="7" t="s">
        <v>1176</v>
      </c>
      <c r="AF236" s="2" t="str">
        <f t="shared" si="33"/>
        <v>Top Thấp</v>
      </c>
    </row>
    <row r="237" spans="1:32">
      <c r="A237" s="7" t="s">
        <v>1312</v>
      </c>
      <c r="B237" s="8" t="s">
        <v>1313</v>
      </c>
      <c r="C237" s="7">
        <f>237/14131</f>
        <v>1.6771636826834618E-2</v>
      </c>
      <c r="D237" s="9" t="s">
        <v>862</v>
      </c>
      <c r="E237" s="7">
        <f>69/2597</f>
        <v>2.6569118213323067E-2</v>
      </c>
      <c r="F237" s="9" t="s">
        <v>1314</v>
      </c>
      <c r="G237" s="7">
        <f>63/2496</f>
        <v>2.5240384615384616E-2</v>
      </c>
      <c r="H237" s="7" t="s">
        <v>28</v>
      </c>
      <c r="I237" s="7" t="s">
        <v>29</v>
      </c>
      <c r="J237" s="7" t="s">
        <v>1315</v>
      </c>
      <c r="K237" s="11" t="s">
        <v>52</v>
      </c>
      <c r="L237" s="11">
        <v>0.97</v>
      </c>
      <c r="M237" s="12">
        <v>2264</v>
      </c>
      <c r="N237" s="24" t="s">
        <v>31</v>
      </c>
      <c r="O237" s="7">
        <v>0</v>
      </c>
      <c r="P237" s="7">
        <v>0</v>
      </c>
      <c r="Q237" s="11">
        <v>0.76</v>
      </c>
      <c r="R237" s="12">
        <v>24931</v>
      </c>
      <c r="S237" s="8" t="str">
        <f t="shared" si="27"/>
        <v>24931</v>
      </c>
      <c r="T237" s="8" t="str">
        <f t="shared" si="28"/>
        <v>24931</v>
      </c>
      <c r="U237" s="12">
        <v>6595</v>
      </c>
      <c r="V237" s="8" t="str">
        <f t="shared" si="26"/>
        <v>6595</v>
      </c>
      <c r="W237" s="25" t="s">
        <v>32</v>
      </c>
      <c r="X237" s="49">
        <v>1069343</v>
      </c>
      <c r="Y237" s="21" t="str">
        <f t="shared" si="29"/>
        <v>1069343</v>
      </c>
      <c r="Z237" s="21">
        <v>10448</v>
      </c>
      <c r="AA237" s="52" t="str">
        <f t="shared" si="30"/>
        <v>10448</v>
      </c>
      <c r="AB237" s="21">
        <v>14448</v>
      </c>
      <c r="AC237" s="21" t="str">
        <f t="shared" si="32"/>
        <v>14448</v>
      </c>
      <c r="AD237" s="21" t="str">
        <f t="shared" si="31"/>
        <v>14448</v>
      </c>
      <c r="AE237" s="7" t="s">
        <v>1176</v>
      </c>
      <c r="AF237" s="2" t="str">
        <f t="shared" si="33"/>
        <v>Top Thấp</v>
      </c>
    </row>
    <row r="238" spans="1:32">
      <c r="A238" s="7" t="s">
        <v>1316</v>
      </c>
      <c r="B238" s="8" t="s">
        <v>1317</v>
      </c>
      <c r="C238" s="8">
        <v>1.6842402999999999E-2</v>
      </c>
      <c r="D238" s="13" t="s">
        <v>1318</v>
      </c>
      <c r="E238" s="8">
        <v>3.0520645999999998E-2</v>
      </c>
      <c r="F238" s="13" t="s">
        <v>1319</v>
      </c>
      <c r="G238" s="13" t="s">
        <v>1320</v>
      </c>
      <c r="H238" s="7" t="s">
        <v>49</v>
      </c>
      <c r="I238" s="7" t="s">
        <v>802</v>
      </c>
      <c r="J238" s="7" t="s">
        <v>1702</v>
      </c>
      <c r="K238" s="11" t="s">
        <v>52</v>
      </c>
      <c r="L238" s="7">
        <v>0.35</v>
      </c>
      <c r="M238" s="7">
        <v>61369</v>
      </c>
      <c r="N238" s="7" t="s">
        <v>187</v>
      </c>
      <c r="O238" s="7">
        <v>0</v>
      </c>
      <c r="P238" s="7">
        <v>0</v>
      </c>
      <c r="Q238" s="11">
        <v>0.94</v>
      </c>
      <c r="R238" s="7">
        <v>0</v>
      </c>
      <c r="S238" s="8" t="str">
        <f t="shared" si="27"/>
        <v>0</v>
      </c>
      <c r="T238" s="8" t="str">
        <f t="shared" si="28"/>
        <v>0</v>
      </c>
      <c r="U238" s="7">
        <v>0</v>
      </c>
      <c r="V238" s="8" t="str">
        <f t="shared" si="26"/>
        <v>0</v>
      </c>
      <c r="W238" s="8" t="s">
        <v>32</v>
      </c>
      <c r="X238" s="49">
        <v>1657850</v>
      </c>
      <c r="Y238" s="21" t="str">
        <f t="shared" si="29"/>
        <v>1657850</v>
      </c>
      <c r="Z238" s="21">
        <v>9133</v>
      </c>
      <c r="AA238" s="52" t="str">
        <f t="shared" si="30"/>
        <v>9133</v>
      </c>
      <c r="AB238" s="21">
        <v>10090</v>
      </c>
      <c r="AC238" s="21" t="str">
        <f t="shared" si="32"/>
        <v>10090</v>
      </c>
      <c r="AD238" s="21" t="str">
        <f t="shared" si="31"/>
        <v>10090</v>
      </c>
      <c r="AE238" s="7" t="s">
        <v>1176</v>
      </c>
      <c r="AF238" s="2" t="str">
        <f t="shared" si="33"/>
        <v>Top Thấp</v>
      </c>
    </row>
    <row r="239" spans="1:32">
      <c r="A239" s="7" t="s">
        <v>1321</v>
      </c>
      <c r="B239" s="8" t="s">
        <v>1322</v>
      </c>
      <c r="C239" s="7">
        <f>239/14131</f>
        <v>1.6913169627061072E-2</v>
      </c>
      <c r="D239" s="8" t="s">
        <v>577</v>
      </c>
      <c r="E239" s="7">
        <f>51/2597</f>
        <v>1.9638043896804003E-2</v>
      </c>
      <c r="F239" s="9" t="s">
        <v>1323</v>
      </c>
      <c r="G239" s="7">
        <f>48/2496</f>
        <v>1.9230769230769232E-2</v>
      </c>
      <c r="H239" s="7" t="s">
        <v>156</v>
      </c>
      <c r="I239" s="7" t="s">
        <v>166</v>
      </c>
      <c r="J239" s="7" t="s">
        <v>1324</v>
      </c>
      <c r="K239" s="11" t="s">
        <v>52</v>
      </c>
      <c r="L239" s="11">
        <v>0.1</v>
      </c>
      <c r="M239" s="12">
        <v>108814</v>
      </c>
      <c r="N239" s="26" t="s">
        <v>427</v>
      </c>
      <c r="O239" s="7">
        <v>0</v>
      </c>
      <c r="P239" s="7">
        <v>0</v>
      </c>
      <c r="Q239" s="11">
        <v>0.75</v>
      </c>
      <c r="R239" s="7">
        <v>0</v>
      </c>
      <c r="S239" s="8" t="str">
        <f t="shared" si="27"/>
        <v>0</v>
      </c>
      <c r="T239" s="8" t="str">
        <f t="shared" si="28"/>
        <v>0</v>
      </c>
      <c r="U239" s="7">
        <v>0</v>
      </c>
      <c r="V239" s="8" t="str">
        <f t="shared" si="26"/>
        <v>0</v>
      </c>
      <c r="W239" s="25" t="s">
        <v>32</v>
      </c>
      <c r="X239" s="49">
        <v>1300586</v>
      </c>
      <c r="Y239" s="21" t="str">
        <f t="shared" si="29"/>
        <v>1300586</v>
      </c>
      <c r="Z239" s="21">
        <v>29600</v>
      </c>
      <c r="AA239" s="52" t="str">
        <f t="shared" si="30"/>
        <v>29600</v>
      </c>
      <c r="AB239" s="21">
        <v>31998</v>
      </c>
      <c r="AC239" s="21" t="str">
        <f t="shared" si="32"/>
        <v>31998</v>
      </c>
      <c r="AD239" s="21" t="str">
        <f t="shared" si="31"/>
        <v>31998</v>
      </c>
      <c r="AE239" s="7" t="s">
        <v>1176</v>
      </c>
      <c r="AF239" s="2" t="str">
        <f t="shared" si="33"/>
        <v>Top Thấp</v>
      </c>
    </row>
    <row r="240" spans="1:32">
      <c r="A240" s="35" t="s">
        <v>1325</v>
      </c>
      <c r="B240" s="8" t="s">
        <v>1326</v>
      </c>
      <c r="C240" s="7">
        <f>240/14131</f>
        <v>1.6983936027174299E-2</v>
      </c>
      <c r="D240" s="9" t="s">
        <v>1327</v>
      </c>
      <c r="E240" s="7">
        <f>16/5830</f>
        <v>2.7444253859348197E-3</v>
      </c>
      <c r="F240" s="9" t="s">
        <v>1328</v>
      </c>
      <c r="G240" s="7">
        <f>6/719</f>
        <v>8.3449235048678721E-3</v>
      </c>
      <c r="H240" s="7" t="s">
        <v>49</v>
      </c>
      <c r="I240" s="7" t="s">
        <v>890</v>
      </c>
      <c r="J240" s="7" t="s">
        <v>213</v>
      </c>
      <c r="K240" s="11" t="s">
        <v>52</v>
      </c>
      <c r="L240" s="11">
        <v>0.39</v>
      </c>
      <c r="M240" s="12">
        <v>96062</v>
      </c>
      <c r="N240" s="24" t="s">
        <v>1629</v>
      </c>
      <c r="O240" s="7">
        <v>0</v>
      </c>
      <c r="P240" s="7">
        <v>0</v>
      </c>
      <c r="Q240" s="11">
        <v>0.69</v>
      </c>
      <c r="R240" s="7">
        <v>44700</v>
      </c>
      <c r="S240" s="8" t="str">
        <f t="shared" si="27"/>
        <v>44700</v>
      </c>
      <c r="T240" s="8" t="str">
        <f t="shared" si="28"/>
        <v>44700</v>
      </c>
      <c r="U240" s="7">
        <v>33600</v>
      </c>
      <c r="V240" s="8" t="str">
        <f t="shared" si="26"/>
        <v>33600</v>
      </c>
      <c r="W240" s="34" t="s">
        <v>32</v>
      </c>
      <c r="X240" s="49">
        <v>2094330</v>
      </c>
      <c r="Y240" s="21" t="str">
        <f t="shared" si="29"/>
        <v>2094330</v>
      </c>
      <c r="Z240" s="21">
        <v>7654</v>
      </c>
      <c r="AA240" s="52" t="str">
        <f t="shared" si="30"/>
        <v>7654</v>
      </c>
      <c r="AB240" s="21">
        <v>8765</v>
      </c>
      <c r="AC240" s="21" t="str">
        <f t="shared" si="32"/>
        <v>8765</v>
      </c>
      <c r="AD240" s="21" t="str">
        <f t="shared" si="31"/>
        <v>8765</v>
      </c>
      <c r="AE240" s="7" t="s">
        <v>1176</v>
      </c>
      <c r="AF240" s="2" t="str">
        <f t="shared" si="33"/>
        <v>Top Thấp</v>
      </c>
    </row>
    <row r="241" spans="1:32">
      <c r="A241" s="24" t="s">
        <v>1329</v>
      </c>
      <c r="B241" s="8" t="s">
        <v>1330</v>
      </c>
      <c r="C241" s="7">
        <f>241/14131</f>
        <v>1.7054702427287523E-2</v>
      </c>
      <c r="D241" s="9" t="s">
        <v>1331</v>
      </c>
      <c r="E241" s="7">
        <f>102/2597</f>
        <v>3.9276087793608007E-2</v>
      </c>
      <c r="F241" s="9" t="s">
        <v>1332</v>
      </c>
      <c r="G241" s="7">
        <f>12/101</f>
        <v>0.11881188118811881</v>
      </c>
      <c r="H241" s="7" t="s">
        <v>49</v>
      </c>
      <c r="I241" s="7" t="s">
        <v>792</v>
      </c>
      <c r="J241" s="7" t="s">
        <v>327</v>
      </c>
      <c r="K241" s="11" t="s">
        <v>52</v>
      </c>
      <c r="L241" s="11">
        <v>0.39</v>
      </c>
      <c r="M241" s="12">
        <v>75131</v>
      </c>
      <c r="N241" s="24" t="s">
        <v>1687</v>
      </c>
      <c r="O241" s="7">
        <v>0</v>
      </c>
      <c r="P241" s="7">
        <v>0</v>
      </c>
      <c r="Q241" s="11">
        <v>0.61</v>
      </c>
      <c r="R241" s="7">
        <v>0</v>
      </c>
      <c r="S241" s="8" t="str">
        <f t="shared" si="27"/>
        <v>0</v>
      </c>
      <c r="T241" s="8" t="str">
        <f t="shared" si="28"/>
        <v>0</v>
      </c>
      <c r="U241" s="7">
        <v>0</v>
      </c>
      <c r="V241" s="8" t="str">
        <f t="shared" si="26"/>
        <v>0</v>
      </c>
      <c r="W241" s="25" t="s">
        <v>32</v>
      </c>
      <c r="X241" s="49">
        <v>1742877</v>
      </c>
      <c r="Y241" s="21" t="str">
        <f t="shared" si="29"/>
        <v>1742877</v>
      </c>
      <c r="Z241" s="21">
        <v>13065.98</v>
      </c>
      <c r="AA241" s="52" t="str">
        <f t="shared" si="30"/>
        <v>13065.98</v>
      </c>
      <c r="AB241" s="21">
        <v>15765.98</v>
      </c>
      <c r="AC241" s="21" t="str">
        <f t="shared" si="32"/>
        <v>15765.98</v>
      </c>
      <c r="AD241" s="21" t="str">
        <f t="shared" si="31"/>
        <v>15765.98</v>
      </c>
      <c r="AE241" s="7" t="s">
        <v>1176</v>
      </c>
      <c r="AF241" s="2" t="str">
        <f t="shared" si="33"/>
        <v>Top Thấp</v>
      </c>
    </row>
    <row r="242" spans="1:32">
      <c r="A242" s="37" t="s">
        <v>1571</v>
      </c>
      <c r="B242" s="8" t="s">
        <v>1572</v>
      </c>
      <c r="C242" s="7">
        <f>242/14131</f>
        <v>1.712546882740075E-2</v>
      </c>
      <c r="D242" s="9" t="s">
        <v>323</v>
      </c>
      <c r="E242" s="7">
        <f>31/2597</f>
        <v>1.1936850211782826E-2</v>
      </c>
      <c r="F242" s="9" t="s">
        <v>1573</v>
      </c>
      <c r="G242" s="7">
        <f>2/63</f>
        <v>3.1746031746031744E-2</v>
      </c>
      <c r="H242" s="7" t="s">
        <v>49</v>
      </c>
      <c r="I242" s="7" t="s">
        <v>1522</v>
      </c>
      <c r="J242" s="7" t="s">
        <v>1523</v>
      </c>
      <c r="K242" s="7" t="s">
        <v>52</v>
      </c>
      <c r="L242" s="11">
        <v>0.2</v>
      </c>
      <c r="M242" s="12">
        <v>65180</v>
      </c>
      <c r="N242" s="7" t="s">
        <v>31</v>
      </c>
      <c r="O242" s="7">
        <v>1090</v>
      </c>
      <c r="P242" s="7">
        <v>0</v>
      </c>
      <c r="Q242" s="11">
        <v>0.73</v>
      </c>
      <c r="R242" s="12">
        <v>24600</v>
      </c>
      <c r="S242" s="8" t="str">
        <f t="shared" si="27"/>
        <v>24600</v>
      </c>
      <c r="T242" s="8" t="str">
        <f t="shared" si="28"/>
        <v>24600</v>
      </c>
      <c r="U242" s="7">
        <v>37905</v>
      </c>
      <c r="V242" s="8" t="str">
        <f t="shared" si="26"/>
        <v>37905</v>
      </c>
      <c r="W242" s="8" t="s">
        <v>32</v>
      </c>
      <c r="X242" s="49">
        <v>1545696</v>
      </c>
      <c r="Y242" s="21" t="str">
        <f t="shared" si="29"/>
        <v>1545696</v>
      </c>
      <c r="Z242" s="21">
        <v>19800</v>
      </c>
      <c r="AA242" s="52" t="str">
        <f t="shared" si="30"/>
        <v>19800</v>
      </c>
      <c r="AB242" s="21">
        <v>23800</v>
      </c>
      <c r="AC242" s="21" t="str">
        <f t="shared" si="32"/>
        <v>23800</v>
      </c>
      <c r="AD242" s="21" t="str">
        <f t="shared" si="31"/>
        <v>23800</v>
      </c>
      <c r="AE242" s="7" t="s">
        <v>1176</v>
      </c>
      <c r="AF242" s="2" t="str">
        <f t="shared" si="33"/>
        <v>Top Thấp</v>
      </c>
    </row>
    <row r="243" spans="1:32">
      <c r="A243" s="24" t="s">
        <v>1333</v>
      </c>
      <c r="B243" s="8" t="s">
        <v>1334</v>
      </c>
      <c r="C243" s="8">
        <v>1.7267002E-2</v>
      </c>
      <c r="D243" s="13" t="s">
        <v>1335</v>
      </c>
      <c r="E243" s="8">
        <v>3.1956911999999997E-2</v>
      </c>
      <c r="F243" s="13" t="s">
        <v>1336</v>
      </c>
      <c r="G243" s="13" t="s">
        <v>1337</v>
      </c>
      <c r="H243" s="7" t="s">
        <v>49</v>
      </c>
      <c r="I243" s="7" t="s">
        <v>890</v>
      </c>
      <c r="J243" s="24" t="s">
        <v>1703</v>
      </c>
      <c r="K243" s="11" t="s">
        <v>52</v>
      </c>
      <c r="L243" s="11">
        <v>0.38</v>
      </c>
      <c r="M243" s="12">
        <v>91249</v>
      </c>
      <c r="N243" s="24" t="s">
        <v>1629</v>
      </c>
      <c r="O243" s="7">
        <v>0</v>
      </c>
      <c r="P243" s="7">
        <v>0</v>
      </c>
      <c r="Q243" s="11">
        <v>0.71</v>
      </c>
      <c r="R243" s="7">
        <v>0</v>
      </c>
      <c r="S243" s="8" t="str">
        <f t="shared" si="27"/>
        <v>0</v>
      </c>
      <c r="T243" s="8" t="str">
        <f t="shared" si="28"/>
        <v>0</v>
      </c>
      <c r="U243" s="7">
        <v>0</v>
      </c>
      <c r="V243" s="8" t="str">
        <f t="shared" si="26"/>
        <v>0</v>
      </c>
      <c r="W243" s="25" t="s">
        <v>32</v>
      </c>
      <c r="X243" s="49">
        <v>2017894</v>
      </c>
      <c r="Y243" s="21" t="str">
        <f t="shared" si="29"/>
        <v>2017894</v>
      </c>
      <c r="Z243" s="21">
        <v>16135.9</v>
      </c>
      <c r="AA243" s="52" t="str">
        <f t="shared" si="30"/>
        <v>16135.9</v>
      </c>
      <c r="AB243" s="21">
        <v>19635.900000000001</v>
      </c>
      <c r="AC243" s="21" t="str">
        <f t="shared" si="32"/>
        <v>19635.9</v>
      </c>
      <c r="AD243" s="21" t="str">
        <f t="shared" si="31"/>
        <v>19635.9</v>
      </c>
      <c r="AE243" s="7" t="s">
        <v>1176</v>
      </c>
      <c r="AF243" s="2" t="str">
        <f t="shared" si="33"/>
        <v>Top Thấp</v>
      </c>
    </row>
    <row r="244" spans="1:32">
      <c r="A244" s="24" t="s">
        <v>1338</v>
      </c>
      <c r="B244" s="8" t="s">
        <v>1339</v>
      </c>
      <c r="C244" s="7">
        <f>245/14131</f>
        <v>1.7337768027740428E-2</v>
      </c>
      <c r="D244" s="9" t="s">
        <v>1340</v>
      </c>
      <c r="E244" s="7">
        <f>27/5830</f>
        <v>4.6312178387650088E-3</v>
      </c>
      <c r="F244" s="9" t="s">
        <v>1341</v>
      </c>
      <c r="G244" s="7">
        <f>11/960</f>
        <v>1.1458333333333333E-2</v>
      </c>
      <c r="H244" s="7" t="s">
        <v>49</v>
      </c>
      <c r="I244" s="7" t="s">
        <v>890</v>
      </c>
      <c r="J244" s="7" t="s">
        <v>265</v>
      </c>
      <c r="K244" s="11" t="s">
        <v>52</v>
      </c>
      <c r="L244" s="11">
        <v>0.28000000000000003</v>
      </c>
      <c r="M244" s="12">
        <v>72986</v>
      </c>
      <c r="N244" s="24" t="s">
        <v>1688</v>
      </c>
      <c r="O244" s="7">
        <v>0</v>
      </c>
      <c r="P244" s="7">
        <v>0</v>
      </c>
      <c r="Q244" s="11">
        <v>0.88</v>
      </c>
      <c r="R244" s="7">
        <v>27700</v>
      </c>
      <c r="S244" s="8" t="str">
        <f t="shared" si="27"/>
        <v>27700</v>
      </c>
      <c r="T244" s="8" t="str">
        <f t="shared" si="28"/>
        <v>27700</v>
      </c>
      <c r="U244" s="7">
        <v>15200</v>
      </c>
      <c r="V244" s="8" t="str">
        <f t="shared" si="26"/>
        <v>15200</v>
      </c>
      <c r="W244" s="25" t="s">
        <v>32</v>
      </c>
      <c r="X244" s="49">
        <v>1270457</v>
      </c>
      <c r="Y244" s="21" t="str">
        <f t="shared" si="29"/>
        <v>1270457</v>
      </c>
      <c r="Z244" s="21">
        <v>32653.34</v>
      </c>
      <c r="AA244" s="52" t="str">
        <f t="shared" si="30"/>
        <v>32653.34</v>
      </c>
      <c r="AB244" s="21">
        <v>34253.339999999997</v>
      </c>
      <c r="AC244" s="21" t="str">
        <f t="shared" si="32"/>
        <v>34253.34</v>
      </c>
      <c r="AD244" s="21" t="str">
        <f t="shared" si="31"/>
        <v>34253.34</v>
      </c>
      <c r="AE244" s="7" t="s">
        <v>1176</v>
      </c>
      <c r="AF244" s="2" t="str">
        <f t="shared" si="33"/>
        <v>Top Thấp</v>
      </c>
    </row>
    <row r="245" spans="1:32">
      <c r="A245" s="24" t="s">
        <v>1342</v>
      </c>
      <c r="B245" s="8" t="s">
        <v>1343</v>
      </c>
      <c r="C245" s="7">
        <f>246/14131</f>
        <v>1.7408534427853655E-2</v>
      </c>
      <c r="D245" s="9" t="s">
        <v>1344</v>
      </c>
      <c r="E245" s="7">
        <f>98/2597</f>
        <v>3.7735849056603772E-2</v>
      </c>
      <c r="F245" s="9" t="s">
        <v>1345</v>
      </c>
      <c r="G245" s="7">
        <f>22/369</f>
        <v>5.9620596205962058E-2</v>
      </c>
      <c r="H245" s="7" t="s">
        <v>49</v>
      </c>
      <c r="I245" s="7" t="s">
        <v>864</v>
      </c>
      <c r="J245" s="7" t="s">
        <v>865</v>
      </c>
      <c r="K245" s="11" t="s">
        <v>52</v>
      </c>
      <c r="L245" s="11">
        <v>0.53</v>
      </c>
      <c r="M245" s="12">
        <v>70190</v>
      </c>
      <c r="N245" s="24" t="s">
        <v>611</v>
      </c>
      <c r="O245" s="7">
        <v>1200</v>
      </c>
      <c r="P245" s="7">
        <v>31</v>
      </c>
      <c r="Q245" s="11">
        <v>0.89</v>
      </c>
      <c r="R245" s="7">
        <v>19500</v>
      </c>
      <c r="S245" s="8" t="str">
        <f t="shared" si="27"/>
        <v>19500</v>
      </c>
      <c r="T245" s="8" t="str">
        <f t="shared" si="28"/>
        <v>19500</v>
      </c>
      <c r="U245" s="7">
        <v>8500</v>
      </c>
      <c r="V245" s="8" t="str">
        <f t="shared" si="26"/>
        <v>8500</v>
      </c>
      <c r="W245" s="25" t="s">
        <v>395</v>
      </c>
      <c r="X245" s="49">
        <v>2505934</v>
      </c>
      <c r="Y245" s="21" t="str">
        <f t="shared" si="29"/>
        <v>2505934</v>
      </c>
      <c r="Z245" s="21">
        <v>16969.740000000002</v>
      </c>
      <c r="AA245" s="52" t="str">
        <f t="shared" si="30"/>
        <v>16969.74</v>
      </c>
      <c r="AB245" s="21">
        <v>20969.740000000002</v>
      </c>
      <c r="AC245" s="21" t="str">
        <f t="shared" si="32"/>
        <v>20969.74</v>
      </c>
      <c r="AD245" s="21" t="str">
        <f t="shared" si="31"/>
        <v>20969.74</v>
      </c>
      <c r="AE245" s="7" t="s">
        <v>1176</v>
      </c>
      <c r="AF245" s="2" t="str">
        <f t="shared" si="33"/>
        <v>Top Thấp</v>
      </c>
    </row>
    <row r="246" spans="1:32">
      <c r="A246" s="24" t="s">
        <v>1346</v>
      </c>
      <c r="B246" s="8" t="s">
        <v>1347</v>
      </c>
      <c r="C246" s="7">
        <f>247/14131</f>
        <v>1.7479300827966882E-2</v>
      </c>
      <c r="D246" s="9" t="s">
        <v>1348</v>
      </c>
      <c r="E246" s="7">
        <f>18/59</f>
        <v>0.30508474576271188</v>
      </c>
      <c r="F246" s="9" t="s">
        <v>1349</v>
      </c>
      <c r="G246" s="7">
        <f>16/40</f>
        <v>0.4</v>
      </c>
      <c r="H246" s="7" t="s">
        <v>28</v>
      </c>
      <c r="I246" s="7" t="s">
        <v>29</v>
      </c>
      <c r="J246" s="7" t="s">
        <v>204</v>
      </c>
      <c r="K246" s="46" t="s">
        <v>68</v>
      </c>
      <c r="L246" s="11">
        <v>0.83</v>
      </c>
      <c r="M246" s="12">
        <v>54659</v>
      </c>
      <c r="N246" s="24" t="s">
        <v>31</v>
      </c>
      <c r="O246" s="7">
        <v>1310</v>
      </c>
      <c r="P246" s="7">
        <v>29</v>
      </c>
      <c r="Q246" s="11">
        <v>1</v>
      </c>
      <c r="R246" s="12">
        <v>14413</v>
      </c>
      <c r="S246" s="8" t="str">
        <f t="shared" si="27"/>
        <v>14413</v>
      </c>
      <c r="T246" s="8" t="str">
        <f t="shared" si="28"/>
        <v>14413</v>
      </c>
      <c r="U246" s="12">
        <v>8803</v>
      </c>
      <c r="V246" s="8" t="str">
        <f t="shared" si="26"/>
        <v>8803</v>
      </c>
      <c r="W246" s="25" t="s">
        <v>32</v>
      </c>
      <c r="X246" s="49">
        <v>1522258</v>
      </c>
      <c r="Y246" s="21" t="str">
        <f t="shared" si="29"/>
        <v>1522258</v>
      </c>
      <c r="Z246" s="21">
        <v>33241</v>
      </c>
      <c r="AA246" s="52" t="str">
        <f t="shared" si="30"/>
        <v>33241</v>
      </c>
      <c r="AB246" s="21">
        <v>26076</v>
      </c>
      <c r="AC246" s="21" t="str">
        <f t="shared" si="32"/>
        <v>26076</v>
      </c>
      <c r="AD246" s="21" t="str">
        <f t="shared" si="31"/>
        <v>26076</v>
      </c>
      <c r="AE246" s="7" t="s">
        <v>1176</v>
      </c>
      <c r="AF246" s="2" t="str">
        <f t="shared" si="33"/>
        <v>Top Thấp</v>
      </c>
    </row>
    <row r="247" spans="1:32">
      <c r="A247" s="24" t="s">
        <v>1350</v>
      </c>
      <c r="B247" s="8" t="s">
        <v>1351</v>
      </c>
      <c r="C247" s="8">
        <v>1.7550066999999999E-2</v>
      </c>
      <c r="D247" s="13" t="s">
        <v>1352</v>
      </c>
      <c r="E247" s="8">
        <v>3.3034110999999998E-2</v>
      </c>
      <c r="F247" s="13" t="s">
        <v>1353</v>
      </c>
      <c r="G247" s="13" t="s">
        <v>1354</v>
      </c>
      <c r="H247" s="7" t="s">
        <v>49</v>
      </c>
      <c r="I247" s="7" t="s">
        <v>139</v>
      </c>
      <c r="J247" s="24" t="s">
        <v>140</v>
      </c>
      <c r="K247" s="11" t="s">
        <v>52</v>
      </c>
      <c r="L247" s="11">
        <v>0.72</v>
      </c>
      <c r="M247" s="12">
        <v>69074</v>
      </c>
      <c r="N247" s="24" t="s">
        <v>31</v>
      </c>
      <c r="O247" s="7">
        <v>1200</v>
      </c>
      <c r="P247" s="7">
        <v>29</v>
      </c>
      <c r="Q247" s="11">
        <v>0.96</v>
      </c>
      <c r="R247" s="7">
        <v>11510</v>
      </c>
      <c r="S247" s="8" t="str">
        <f t="shared" si="27"/>
        <v>11510</v>
      </c>
      <c r="T247" s="8" t="str">
        <f t="shared" si="28"/>
        <v>11510</v>
      </c>
      <c r="U247" s="7">
        <v>6315</v>
      </c>
      <c r="V247" s="8" t="str">
        <f t="shared" ref="V247:V300" si="34">SUBSTITUTE(U247, ".", "")</f>
        <v>6315</v>
      </c>
      <c r="W247" s="25" t="s">
        <v>32</v>
      </c>
      <c r="X247" s="49">
        <v>1925935</v>
      </c>
      <c r="Y247" s="21" t="str">
        <f t="shared" si="29"/>
        <v>1925935</v>
      </c>
      <c r="Z247" s="21">
        <v>29351.24</v>
      </c>
      <c r="AA247" s="52" t="str">
        <f t="shared" si="30"/>
        <v>29351.24</v>
      </c>
      <c r="AB247" s="21">
        <v>23351.24</v>
      </c>
      <c r="AC247" s="21" t="str">
        <f t="shared" si="32"/>
        <v>23351.24</v>
      </c>
      <c r="AD247" s="21" t="str">
        <f t="shared" si="31"/>
        <v>23351.24</v>
      </c>
      <c r="AE247" s="7" t="s">
        <v>1176</v>
      </c>
      <c r="AF247" s="2" t="str">
        <f t="shared" si="33"/>
        <v>Top Thấp</v>
      </c>
    </row>
    <row r="248" spans="1:32">
      <c r="A248" s="24" t="s">
        <v>1355</v>
      </c>
      <c r="B248" s="8" t="s">
        <v>1356</v>
      </c>
      <c r="C248" s="7">
        <f>249/14131</f>
        <v>1.7620833628193333E-2</v>
      </c>
      <c r="D248" s="9" t="s">
        <v>1357</v>
      </c>
      <c r="E248" s="7">
        <f>62/2597</f>
        <v>2.3873700423565652E-2</v>
      </c>
      <c r="F248" s="9" t="s">
        <v>1128</v>
      </c>
      <c r="G248" s="7">
        <f>14/369</f>
        <v>3.7940379403794036E-2</v>
      </c>
      <c r="H248" s="7" t="s">
        <v>103</v>
      </c>
      <c r="I248" s="7" t="s">
        <v>176</v>
      </c>
      <c r="J248" s="7" t="s">
        <v>177</v>
      </c>
      <c r="K248" s="11" t="s">
        <v>52</v>
      </c>
      <c r="L248" s="11">
        <v>0.1</v>
      </c>
      <c r="M248" s="12">
        <v>121840</v>
      </c>
      <c r="N248" s="24" t="s">
        <v>463</v>
      </c>
      <c r="O248" s="7">
        <v>0</v>
      </c>
      <c r="P248" s="7">
        <v>0</v>
      </c>
      <c r="Q248" s="11">
        <v>0.77</v>
      </c>
      <c r="R248" s="7">
        <v>4940</v>
      </c>
      <c r="S248" s="8" t="str">
        <f t="shared" si="27"/>
        <v>4940</v>
      </c>
      <c r="T248" s="8" t="str">
        <f t="shared" si="28"/>
        <v>4940</v>
      </c>
      <c r="U248" s="7">
        <v>5095</v>
      </c>
      <c r="V248" s="8" t="str">
        <f t="shared" si="34"/>
        <v>5095</v>
      </c>
      <c r="W248" s="25" t="s">
        <v>32</v>
      </c>
      <c r="X248" s="49">
        <v>2155591</v>
      </c>
      <c r="Y248" s="21" t="str">
        <f t="shared" si="29"/>
        <v>2155591</v>
      </c>
      <c r="Z248" s="21">
        <v>27257.67</v>
      </c>
      <c r="AA248" s="52" t="str">
        <f t="shared" si="30"/>
        <v>27257.67</v>
      </c>
      <c r="AB248" s="21">
        <v>25257.67</v>
      </c>
      <c r="AC248" s="21" t="str">
        <f t="shared" si="32"/>
        <v>25257.67</v>
      </c>
      <c r="AD248" s="21" t="str">
        <f t="shared" si="31"/>
        <v>25257.67</v>
      </c>
      <c r="AE248" s="7" t="s">
        <v>1176</v>
      </c>
      <c r="AF248" s="2" t="str">
        <f t="shared" si="33"/>
        <v>Top Thấp</v>
      </c>
    </row>
    <row r="249" spans="1:32">
      <c r="A249" s="24" t="s">
        <v>1358</v>
      </c>
      <c r="B249" s="8" t="s">
        <v>1359</v>
      </c>
      <c r="C249" s="8">
        <v>1.7691599999999998E-2</v>
      </c>
      <c r="D249" s="13" t="s">
        <v>1360</v>
      </c>
      <c r="E249" s="8">
        <v>3.3393178000000003E-2</v>
      </c>
      <c r="F249" s="13" t="s">
        <v>1361</v>
      </c>
      <c r="G249" s="13" t="s">
        <v>1362</v>
      </c>
      <c r="H249" s="7" t="s">
        <v>49</v>
      </c>
      <c r="I249" s="7" t="s">
        <v>504</v>
      </c>
      <c r="J249" s="24" t="s">
        <v>307</v>
      </c>
      <c r="K249" s="11" t="s">
        <v>52</v>
      </c>
      <c r="L249" s="11">
        <v>0.31</v>
      </c>
      <c r="M249" s="12">
        <v>59603</v>
      </c>
      <c r="N249" s="24" t="s">
        <v>602</v>
      </c>
      <c r="O249" s="7">
        <v>0</v>
      </c>
      <c r="P249" s="7">
        <v>0</v>
      </c>
      <c r="Q249" s="11">
        <v>0.79</v>
      </c>
      <c r="R249" s="7">
        <v>8000</v>
      </c>
      <c r="S249" s="8" t="str">
        <f t="shared" si="27"/>
        <v>8000</v>
      </c>
      <c r="T249" s="8" t="str">
        <f t="shared" si="28"/>
        <v>8000</v>
      </c>
      <c r="U249" s="7">
        <v>3000</v>
      </c>
      <c r="V249" s="8" t="str">
        <f t="shared" si="34"/>
        <v>3000</v>
      </c>
      <c r="W249" s="25" t="s">
        <v>32</v>
      </c>
      <c r="X249" s="49">
        <v>1988889</v>
      </c>
      <c r="Y249" s="21" t="str">
        <f t="shared" si="29"/>
        <v>1988889</v>
      </c>
      <c r="Z249" s="21">
        <v>8275.73</v>
      </c>
      <c r="AA249" s="52" t="str">
        <f t="shared" si="30"/>
        <v>8275.73</v>
      </c>
      <c r="AB249" s="21">
        <v>9275.73</v>
      </c>
      <c r="AC249" s="21" t="str">
        <f t="shared" si="32"/>
        <v>9275.73</v>
      </c>
      <c r="AD249" s="21" t="str">
        <f t="shared" si="31"/>
        <v>9275.73</v>
      </c>
      <c r="AE249" s="7" t="s">
        <v>1176</v>
      </c>
      <c r="AF249" s="2" t="str">
        <f t="shared" si="33"/>
        <v>Top Thấp</v>
      </c>
    </row>
    <row r="250" spans="1:32">
      <c r="A250" s="24" t="s">
        <v>1363</v>
      </c>
      <c r="B250" s="8" t="s">
        <v>1364</v>
      </c>
      <c r="C250" s="7">
        <f>251/14131</f>
        <v>1.7762366428419787E-2</v>
      </c>
      <c r="D250" s="20" t="s">
        <v>129</v>
      </c>
      <c r="E250" s="7">
        <f>10/2597</f>
        <v>3.850596842510589E-3</v>
      </c>
      <c r="F250" s="9" t="s">
        <v>130</v>
      </c>
      <c r="G250" s="7">
        <f>10/2496</f>
        <v>4.0064102564102561E-3</v>
      </c>
      <c r="H250" s="7" t="s">
        <v>103</v>
      </c>
      <c r="I250" s="7" t="s">
        <v>123</v>
      </c>
      <c r="J250" s="7" t="s">
        <v>953</v>
      </c>
      <c r="K250" s="11" t="s">
        <v>52</v>
      </c>
      <c r="L250" s="11">
        <v>0.1</v>
      </c>
      <c r="M250" s="12">
        <v>95863</v>
      </c>
      <c r="N250" s="24" t="s">
        <v>31</v>
      </c>
      <c r="O250" s="7">
        <v>1200</v>
      </c>
      <c r="P250" s="7">
        <v>26</v>
      </c>
      <c r="Q250" s="11">
        <v>0.96</v>
      </c>
      <c r="R250" s="7">
        <v>16400</v>
      </c>
      <c r="S250" s="8" t="str">
        <f t="shared" si="27"/>
        <v>16400</v>
      </c>
      <c r="T250" s="8" t="str">
        <f t="shared" si="28"/>
        <v>16400</v>
      </c>
      <c r="U250" s="7">
        <v>8000</v>
      </c>
      <c r="V250" s="8" t="str">
        <f t="shared" si="34"/>
        <v>8000</v>
      </c>
      <c r="W250" s="25" t="s">
        <v>32</v>
      </c>
      <c r="X250" s="49">
        <v>2105738</v>
      </c>
      <c r="Y250" s="21" t="str">
        <f t="shared" si="29"/>
        <v>2105738</v>
      </c>
      <c r="Z250" s="21">
        <v>53987</v>
      </c>
      <c r="AA250" s="52" t="str">
        <f t="shared" si="30"/>
        <v>53987</v>
      </c>
      <c r="AB250" s="21">
        <v>57987</v>
      </c>
      <c r="AC250" s="21" t="str">
        <f t="shared" si="32"/>
        <v>57987</v>
      </c>
      <c r="AD250" s="21" t="str">
        <f t="shared" si="31"/>
        <v>57987</v>
      </c>
      <c r="AE250" s="7" t="s">
        <v>1365</v>
      </c>
      <c r="AF250" s="2" t="str">
        <f t="shared" si="33"/>
        <v>Top Thấp</v>
      </c>
    </row>
    <row r="251" spans="1:32">
      <c r="A251" s="33" t="s">
        <v>1366</v>
      </c>
      <c r="B251" s="8" t="s">
        <v>1367</v>
      </c>
      <c r="C251" s="8">
        <v>1.7833133000000001E-2</v>
      </c>
      <c r="D251" s="13" t="s">
        <v>1368</v>
      </c>
      <c r="E251" s="8">
        <v>3.3752244000000001E-2</v>
      </c>
      <c r="F251" s="13" t="s">
        <v>1369</v>
      </c>
      <c r="G251" s="13" t="s">
        <v>1370</v>
      </c>
      <c r="H251" s="7" t="s">
        <v>49</v>
      </c>
      <c r="I251" s="7" t="s">
        <v>1704</v>
      </c>
      <c r="J251" s="24" t="s">
        <v>249</v>
      </c>
      <c r="K251" s="11" t="s">
        <v>52</v>
      </c>
      <c r="L251" s="7">
        <v>0.46</v>
      </c>
      <c r="M251" s="7">
        <v>57373</v>
      </c>
      <c r="N251" s="24" t="s">
        <v>427</v>
      </c>
      <c r="O251" s="7">
        <v>0</v>
      </c>
      <c r="P251" s="7">
        <v>0</v>
      </c>
      <c r="Q251" s="11">
        <v>0.65</v>
      </c>
      <c r="R251" s="7">
        <v>8555</v>
      </c>
      <c r="S251" s="8" t="str">
        <f t="shared" si="27"/>
        <v>8555</v>
      </c>
      <c r="T251" s="8" t="str">
        <f t="shared" si="28"/>
        <v>8555</v>
      </c>
      <c r="U251" s="7">
        <v>0</v>
      </c>
      <c r="V251" s="8" t="str">
        <f t="shared" si="34"/>
        <v>0</v>
      </c>
      <c r="W251" s="8" t="s">
        <v>32</v>
      </c>
      <c r="X251" s="49">
        <v>1580143</v>
      </c>
      <c r="Y251" s="21" t="str">
        <f t="shared" si="29"/>
        <v>1580143</v>
      </c>
      <c r="Z251" s="21">
        <v>11969.74</v>
      </c>
      <c r="AA251" s="52" t="str">
        <f t="shared" si="30"/>
        <v>11969.74</v>
      </c>
      <c r="AB251" s="21">
        <v>16969.740000000002</v>
      </c>
      <c r="AC251" s="21" t="str">
        <f t="shared" si="32"/>
        <v>16969.74</v>
      </c>
      <c r="AD251" s="21" t="str">
        <f t="shared" si="31"/>
        <v>16969.74</v>
      </c>
      <c r="AE251" s="7" t="s">
        <v>1365</v>
      </c>
      <c r="AF251" s="2" t="str">
        <f t="shared" si="33"/>
        <v>Top Thấp</v>
      </c>
    </row>
    <row r="252" spans="1:32">
      <c r="A252" s="24" t="s">
        <v>1371</v>
      </c>
      <c r="B252" s="8" t="s">
        <v>1372</v>
      </c>
      <c r="C252" s="7">
        <f>253/14131</f>
        <v>1.7903899228646238E-2</v>
      </c>
      <c r="D252" s="9" t="s">
        <v>371</v>
      </c>
      <c r="E252" s="7">
        <f>36/2597</f>
        <v>1.3862148633038121E-2</v>
      </c>
      <c r="F252" s="9" t="s">
        <v>933</v>
      </c>
      <c r="G252" s="7">
        <f>4/369</f>
        <v>1.0840108401084011E-2</v>
      </c>
      <c r="H252" s="7" t="s">
        <v>49</v>
      </c>
      <c r="I252" s="7" t="s">
        <v>50</v>
      </c>
      <c r="J252" s="7" t="s">
        <v>1373</v>
      </c>
      <c r="K252" s="11" t="s">
        <v>52</v>
      </c>
      <c r="L252" s="11">
        <v>0.35</v>
      </c>
      <c r="M252" s="12">
        <v>66163</v>
      </c>
      <c r="N252" s="24" t="s">
        <v>765</v>
      </c>
      <c r="O252" s="7">
        <v>0</v>
      </c>
      <c r="P252" s="7">
        <v>0</v>
      </c>
      <c r="Q252" s="11">
        <v>0.72</v>
      </c>
      <c r="R252" s="7">
        <v>0</v>
      </c>
      <c r="S252" s="8" t="str">
        <f t="shared" si="27"/>
        <v>0</v>
      </c>
      <c r="T252" s="8" t="str">
        <f t="shared" si="28"/>
        <v>0</v>
      </c>
      <c r="U252" s="7">
        <v>0</v>
      </c>
      <c r="V252" s="8" t="str">
        <f t="shared" si="34"/>
        <v>0</v>
      </c>
      <c r="W252" s="25" t="s">
        <v>32</v>
      </c>
      <c r="X252" s="49">
        <v>1808524</v>
      </c>
      <c r="Y252" s="21" t="str">
        <f t="shared" si="29"/>
        <v>1808524</v>
      </c>
      <c r="Z252" s="21">
        <v>27600</v>
      </c>
      <c r="AA252" s="52" t="str">
        <f t="shared" si="30"/>
        <v>27600</v>
      </c>
      <c r="AB252" s="21">
        <v>29613</v>
      </c>
      <c r="AC252" s="21" t="str">
        <f t="shared" si="32"/>
        <v>29613</v>
      </c>
      <c r="AD252" s="21" t="str">
        <f t="shared" si="31"/>
        <v>29613</v>
      </c>
      <c r="AE252" s="7" t="s">
        <v>1365</v>
      </c>
      <c r="AF252" s="2" t="str">
        <f t="shared" si="33"/>
        <v>Top Thấp</v>
      </c>
    </row>
    <row r="253" spans="1:32">
      <c r="A253" s="24" t="s">
        <v>1374</v>
      </c>
      <c r="B253" s="8" t="s">
        <v>1375</v>
      </c>
      <c r="C253" s="7">
        <f>254/14131</f>
        <v>1.7974665628759465E-2</v>
      </c>
      <c r="D253" s="9" t="s">
        <v>317</v>
      </c>
      <c r="E253" s="7">
        <f>30/2597</f>
        <v>1.1551790527531768E-2</v>
      </c>
      <c r="F253" s="9" t="s">
        <v>318</v>
      </c>
      <c r="G253" s="7">
        <f>28/2496</f>
        <v>1.1217948717948718E-2</v>
      </c>
      <c r="H253" s="7" t="s">
        <v>103</v>
      </c>
      <c r="I253" s="7" t="s">
        <v>123</v>
      </c>
      <c r="J253" s="7" t="s">
        <v>1376</v>
      </c>
      <c r="K253" s="11" t="s">
        <v>52</v>
      </c>
      <c r="L253" s="11">
        <v>0.3</v>
      </c>
      <c r="M253" s="12">
        <v>109526</v>
      </c>
      <c r="N253" s="24" t="s">
        <v>572</v>
      </c>
      <c r="O253" s="7">
        <v>0</v>
      </c>
      <c r="P253" s="7">
        <v>0</v>
      </c>
      <c r="Q253" s="11">
        <v>0.82</v>
      </c>
      <c r="R253" s="7">
        <v>32226</v>
      </c>
      <c r="S253" s="8" t="str">
        <f t="shared" si="27"/>
        <v>32226</v>
      </c>
      <c r="T253" s="8" t="str">
        <f t="shared" si="28"/>
        <v>32226</v>
      </c>
      <c r="U253" s="7">
        <v>34494</v>
      </c>
      <c r="V253" s="8" t="str">
        <f t="shared" si="34"/>
        <v>34494</v>
      </c>
      <c r="W253" s="25" t="s">
        <v>395</v>
      </c>
      <c r="X253" s="49">
        <v>1894300</v>
      </c>
      <c r="Y253" s="21" t="str">
        <f t="shared" si="29"/>
        <v>1894300</v>
      </c>
      <c r="Z253" s="21">
        <v>9653.25</v>
      </c>
      <c r="AA253" s="52" t="str">
        <f t="shared" si="30"/>
        <v>9653.25</v>
      </c>
      <c r="AB253" s="21">
        <v>11653.25</v>
      </c>
      <c r="AC253" s="21" t="str">
        <f t="shared" si="32"/>
        <v>11653.25</v>
      </c>
      <c r="AD253" s="21" t="str">
        <f t="shared" si="31"/>
        <v>11653.25</v>
      </c>
      <c r="AE253" s="7" t="s">
        <v>1365</v>
      </c>
      <c r="AF253" s="2" t="str">
        <f t="shared" si="33"/>
        <v>Top Thấp</v>
      </c>
    </row>
    <row r="254" spans="1:32">
      <c r="A254" s="24" t="s">
        <v>1377</v>
      </c>
      <c r="B254" s="8" t="s">
        <v>1378</v>
      </c>
      <c r="C254" s="7">
        <f>255/14131</f>
        <v>1.8045432028872693E-2</v>
      </c>
      <c r="D254" s="8" t="s">
        <v>408</v>
      </c>
      <c r="E254" s="7">
        <f>40/2597</f>
        <v>1.5402387370042356E-2</v>
      </c>
      <c r="F254" s="9" t="s">
        <v>409</v>
      </c>
      <c r="G254" s="7">
        <f>37/2496</f>
        <v>1.4823717948717948E-2</v>
      </c>
      <c r="H254" s="7" t="s">
        <v>156</v>
      </c>
      <c r="I254" s="7" t="s">
        <v>166</v>
      </c>
      <c r="J254" s="7" t="s">
        <v>1379</v>
      </c>
      <c r="K254" s="11" t="s">
        <v>52</v>
      </c>
      <c r="L254" s="11">
        <v>0.1</v>
      </c>
      <c r="M254" s="12">
        <v>127651</v>
      </c>
      <c r="N254" s="24" t="s">
        <v>427</v>
      </c>
      <c r="O254" s="7">
        <v>0</v>
      </c>
      <c r="P254" s="7">
        <v>0</v>
      </c>
      <c r="Q254" s="11">
        <v>0.73</v>
      </c>
      <c r="R254" s="7">
        <v>0</v>
      </c>
      <c r="S254" s="8" t="str">
        <f t="shared" si="27"/>
        <v>0</v>
      </c>
      <c r="T254" s="8" t="str">
        <f t="shared" si="28"/>
        <v>0</v>
      </c>
      <c r="U254" s="7">
        <v>0</v>
      </c>
      <c r="V254" s="8" t="str">
        <f t="shared" si="34"/>
        <v>0</v>
      </c>
      <c r="W254" s="25" t="s">
        <v>32</v>
      </c>
      <c r="X254" s="49">
        <v>1611433</v>
      </c>
      <c r="Y254" s="21" t="str">
        <f t="shared" si="29"/>
        <v>1611433</v>
      </c>
      <c r="Z254" s="21">
        <v>16135.9</v>
      </c>
      <c r="AA254" s="52" t="str">
        <f t="shared" si="30"/>
        <v>16135.9</v>
      </c>
      <c r="AB254" s="21">
        <v>19135.900000000001</v>
      </c>
      <c r="AC254" s="21" t="str">
        <f t="shared" si="32"/>
        <v>19135.9</v>
      </c>
      <c r="AD254" s="21" t="str">
        <f t="shared" si="31"/>
        <v>19135.9</v>
      </c>
      <c r="AE254" s="7" t="s">
        <v>1365</v>
      </c>
      <c r="AF254" s="2" t="str">
        <f t="shared" si="33"/>
        <v>Top Thấp</v>
      </c>
    </row>
    <row r="255" spans="1:32">
      <c r="A255" s="24" t="s">
        <v>1380</v>
      </c>
      <c r="B255" s="8" t="s">
        <v>1381</v>
      </c>
      <c r="C255" s="7">
        <f>256/14131</f>
        <v>1.8116198428985916E-2</v>
      </c>
      <c r="D255" s="8" t="s">
        <v>1382</v>
      </c>
      <c r="E255" s="7">
        <f>117/2597</f>
        <v>4.5051983057373894E-2</v>
      </c>
      <c r="F255" s="9" t="s">
        <v>1383</v>
      </c>
      <c r="G255" s="7">
        <f>102/2496</f>
        <v>4.0865384615384616E-2</v>
      </c>
      <c r="H255" s="7" t="s">
        <v>452</v>
      </c>
      <c r="I255" s="7" t="s">
        <v>453</v>
      </c>
      <c r="J255" s="7" t="s">
        <v>1384</v>
      </c>
      <c r="K255" s="11" t="s">
        <v>52</v>
      </c>
      <c r="L255" s="11">
        <v>0.77</v>
      </c>
      <c r="M255" s="12">
        <v>70038</v>
      </c>
      <c r="N255" s="24" t="s">
        <v>31</v>
      </c>
      <c r="O255" s="7">
        <v>1080</v>
      </c>
      <c r="P255" s="7">
        <v>0</v>
      </c>
      <c r="Q255" s="11">
        <v>0.89</v>
      </c>
      <c r="R255" s="7">
        <v>37790</v>
      </c>
      <c r="S255" s="8" t="str">
        <f t="shared" si="27"/>
        <v>37790</v>
      </c>
      <c r="T255" s="8" t="str">
        <f t="shared" si="28"/>
        <v>37790</v>
      </c>
      <c r="U255" s="7">
        <v>11310</v>
      </c>
      <c r="V255" s="8" t="str">
        <f t="shared" si="34"/>
        <v>11310</v>
      </c>
      <c r="W255" s="25" t="s">
        <v>32</v>
      </c>
      <c r="X255" s="49">
        <v>1429132</v>
      </c>
      <c r="Y255" s="21" t="str">
        <f t="shared" si="29"/>
        <v>1429132</v>
      </c>
      <c r="Z255" s="21">
        <v>41600</v>
      </c>
      <c r="AA255" s="52" t="str">
        <f t="shared" si="30"/>
        <v>41600</v>
      </c>
      <c r="AB255" s="21">
        <v>45600</v>
      </c>
      <c r="AC255" s="21" t="str">
        <f t="shared" si="32"/>
        <v>45600</v>
      </c>
      <c r="AD255" s="21" t="str">
        <f t="shared" si="31"/>
        <v>45600</v>
      </c>
      <c r="AE255" s="7" t="s">
        <v>1365</v>
      </c>
      <c r="AF255" s="2" t="str">
        <f t="shared" si="33"/>
        <v>Top Thấp</v>
      </c>
    </row>
    <row r="256" spans="1:32">
      <c r="A256" s="24" t="s">
        <v>1385</v>
      </c>
      <c r="B256" s="8" t="s">
        <v>1386</v>
      </c>
      <c r="C256" s="8">
        <v>1.8186964999999999E-2</v>
      </c>
      <c r="D256" s="13" t="s">
        <v>1387</v>
      </c>
      <c r="E256" s="8">
        <v>3.4470377000000003E-2</v>
      </c>
      <c r="F256" s="13" t="s">
        <v>1388</v>
      </c>
      <c r="G256" s="13" t="s">
        <v>1389</v>
      </c>
      <c r="H256" s="7" t="s">
        <v>49</v>
      </c>
      <c r="I256" s="7" t="s">
        <v>139</v>
      </c>
      <c r="J256" s="24" t="s">
        <v>140</v>
      </c>
      <c r="K256" s="11" t="s">
        <v>52</v>
      </c>
      <c r="L256" s="11">
        <v>0.61</v>
      </c>
      <c r="M256" s="12">
        <v>56105</v>
      </c>
      <c r="N256" s="24" t="s">
        <v>31</v>
      </c>
      <c r="O256" s="7">
        <v>1300</v>
      </c>
      <c r="P256" s="7">
        <v>0</v>
      </c>
      <c r="Q256" s="11">
        <v>0.96</v>
      </c>
      <c r="R256" s="7">
        <v>11925</v>
      </c>
      <c r="S256" s="8" t="str">
        <f t="shared" si="27"/>
        <v>11925</v>
      </c>
      <c r="T256" s="8" t="str">
        <f t="shared" si="28"/>
        <v>11925</v>
      </c>
      <c r="U256" s="7">
        <v>5394</v>
      </c>
      <c r="V256" s="8" t="str">
        <f t="shared" si="34"/>
        <v>5394</v>
      </c>
      <c r="W256" s="25" t="s">
        <v>395</v>
      </c>
      <c r="X256" s="49">
        <v>1716936</v>
      </c>
      <c r="Y256" s="21" t="str">
        <f t="shared" si="29"/>
        <v>1716936</v>
      </c>
      <c r="Z256" s="21">
        <v>20922</v>
      </c>
      <c r="AA256" s="52" t="str">
        <f t="shared" si="30"/>
        <v>20922</v>
      </c>
      <c r="AB256" s="21">
        <v>25922</v>
      </c>
      <c r="AC256" s="21" t="str">
        <f t="shared" si="32"/>
        <v>25922</v>
      </c>
      <c r="AD256" s="21" t="str">
        <f t="shared" si="31"/>
        <v>25922</v>
      </c>
      <c r="AE256" s="7" t="s">
        <v>1365</v>
      </c>
      <c r="AF256" s="2" t="str">
        <f t="shared" si="33"/>
        <v>Top Thấp</v>
      </c>
    </row>
    <row r="257" spans="1:32">
      <c r="A257" s="24" t="s">
        <v>1390</v>
      </c>
      <c r="B257" s="8" t="s">
        <v>1391</v>
      </c>
      <c r="C257" s="7">
        <f>258/14131</f>
        <v>1.8257731229212371E-2</v>
      </c>
      <c r="D257" s="9" t="s">
        <v>1392</v>
      </c>
      <c r="E257" s="7">
        <f>17/5830</f>
        <v>2.915951972555746E-3</v>
      </c>
      <c r="F257" s="9" t="s">
        <v>1393</v>
      </c>
      <c r="G257" s="7">
        <f>6/960</f>
        <v>6.2500000000000003E-3</v>
      </c>
      <c r="H257" s="7" t="s">
        <v>49</v>
      </c>
      <c r="I257" s="7" t="s">
        <v>50</v>
      </c>
      <c r="J257" s="7" t="s">
        <v>636</v>
      </c>
      <c r="K257" s="11" t="s">
        <v>52</v>
      </c>
      <c r="L257" s="11">
        <v>0.37</v>
      </c>
      <c r="M257" s="12">
        <v>64180</v>
      </c>
      <c r="N257" s="24" t="s">
        <v>1686</v>
      </c>
      <c r="O257" s="7">
        <v>0</v>
      </c>
      <c r="P257" s="7">
        <v>0</v>
      </c>
      <c r="Q257" s="11">
        <v>0.79</v>
      </c>
      <c r="R257" s="7">
        <v>26500</v>
      </c>
      <c r="S257" s="8" t="str">
        <f t="shared" si="27"/>
        <v>26500</v>
      </c>
      <c r="T257" s="8" t="str">
        <f t="shared" si="28"/>
        <v>26500</v>
      </c>
      <c r="U257" s="7">
        <v>16200</v>
      </c>
      <c r="V257" s="8" t="str">
        <f t="shared" si="34"/>
        <v>16200</v>
      </c>
      <c r="W257" s="25" t="s">
        <v>32</v>
      </c>
      <c r="X257" s="49">
        <v>1734901</v>
      </c>
      <c r="Y257" s="21" t="str">
        <f t="shared" si="29"/>
        <v>1734901</v>
      </c>
      <c r="Z257" s="21">
        <v>9810</v>
      </c>
      <c r="AA257" s="52" t="str">
        <f t="shared" si="30"/>
        <v>9810</v>
      </c>
      <c r="AB257" s="21">
        <v>12810</v>
      </c>
      <c r="AC257" s="21" t="str">
        <f t="shared" si="32"/>
        <v>12810</v>
      </c>
      <c r="AD257" s="21" t="str">
        <f t="shared" si="31"/>
        <v>12810</v>
      </c>
      <c r="AE257" s="7" t="s">
        <v>1365</v>
      </c>
      <c r="AF257" s="2" t="str">
        <f t="shared" si="33"/>
        <v>Top Thấp</v>
      </c>
    </row>
    <row r="258" spans="1:32">
      <c r="A258" s="24" t="s">
        <v>1394</v>
      </c>
      <c r="B258" s="8" t="s">
        <v>1395</v>
      </c>
      <c r="C258" s="7">
        <f>259/14131</f>
        <v>1.8328497629325598E-2</v>
      </c>
      <c r="D258" s="9" t="s">
        <v>1059</v>
      </c>
      <c r="E258" s="7">
        <f>116/2597</f>
        <v>4.4666923373122835E-2</v>
      </c>
      <c r="F258" s="9" t="s">
        <v>1396</v>
      </c>
      <c r="G258" s="7">
        <f>26/369</f>
        <v>7.0460704607046065E-2</v>
      </c>
      <c r="H258" s="7" t="s">
        <v>49</v>
      </c>
      <c r="I258" s="7" t="s">
        <v>50</v>
      </c>
      <c r="J258" s="7" t="s">
        <v>1397</v>
      </c>
      <c r="K258" s="11" t="s">
        <v>52</v>
      </c>
      <c r="L258" s="11">
        <v>0.4</v>
      </c>
      <c r="M258" s="12">
        <v>61510</v>
      </c>
      <c r="N258" s="24" t="s">
        <v>765</v>
      </c>
      <c r="O258" s="7">
        <v>0</v>
      </c>
      <c r="P258" s="7">
        <v>0</v>
      </c>
      <c r="Q258" s="11">
        <v>0.77</v>
      </c>
      <c r="R258" s="7">
        <v>0</v>
      </c>
      <c r="S258" s="8" t="str">
        <f t="shared" ref="S258:S300" si="35">SUBSTITUTE(R258, ",", "")</f>
        <v>0</v>
      </c>
      <c r="T258" s="8" t="str">
        <f t="shared" ref="T258:T300" si="36">SUBSTITUTE(S258, ".", "")</f>
        <v>0</v>
      </c>
      <c r="U258" s="7">
        <v>0</v>
      </c>
      <c r="V258" s="8" t="str">
        <f t="shared" si="34"/>
        <v>0</v>
      </c>
      <c r="W258" s="8" t="s">
        <v>32</v>
      </c>
      <c r="X258" s="49">
        <v>1732484</v>
      </c>
      <c r="Y258" s="21" t="str">
        <f t="shared" ref="Y258:Y300" si="37">SUBSTITUTE(X258, ",", "")</f>
        <v>1732484</v>
      </c>
      <c r="Z258" s="21">
        <v>20922</v>
      </c>
      <c r="AA258" s="52" t="str">
        <f t="shared" ref="AA258:AA300" si="38">SUBSTITUTE(Z258, ",", "")</f>
        <v>20922</v>
      </c>
      <c r="AB258" s="21">
        <v>25922</v>
      </c>
      <c r="AC258" s="21" t="str">
        <f t="shared" si="32"/>
        <v>25922</v>
      </c>
      <c r="AD258" s="21" t="str">
        <f t="shared" ref="AD258:AD300" si="39">SUBSTITUTE(AC258, "$", "")</f>
        <v>25922</v>
      </c>
      <c r="AE258" s="7" t="s">
        <v>1365</v>
      </c>
      <c r="AF258" s="2" t="str">
        <f t="shared" si="33"/>
        <v>Top Thấp</v>
      </c>
    </row>
    <row r="259" spans="1:32">
      <c r="A259" s="24" t="s">
        <v>1398</v>
      </c>
      <c r="B259" s="8" t="s">
        <v>1399</v>
      </c>
      <c r="C259" s="8">
        <v>1.8399263999999999E-2</v>
      </c>
      <c r="D259" s="13" t="s">
        <v>1400</v>
      </c>
      <c r="E259" s="8">
        <v>9.0579699999999996E-4</v>
      </c>
      <c r="F259" s="13" t="s">
        <v>1401</v>
      </c>
      <c r="G259" s="13" t="s">
        <v>1402</v>
      </c>
      <c r="H259" s="7" t="s">
        <v>1705</v>
      </c>
      <c r="I259" s="7" t="s">
        <v>1706</v>
      </c>
      <c r="J259" s="24" t="s">
        <v>551</v>
      </c>
      <c r="K259" s="11" t="s">
        <v>52</v>
      </c>
      <c r="L259" s="11">
        <v>0.5</v>
      </c>
      <c r="M259" s="12">
        <v>74551</v>
      </c>
      <c r="N259" s="24" t="s">
        <v>31</v>
      </c>
      <c r="O259" s="7">
        <v>1120</v>
      </c>
      <c r="P259" s="7">
        <v>0</v>
      </c>
      <c r="Q259" s="11">
        <v>0.82</v>
      </c>
      <c r="R259" s="7">
        <v>17250</v>
      </c>
      <c r="S259" s="8" t="str">
        <f t="shared" si="35"/>
        <v>17250</v>
      </c>
      <c r="T259" s="8" t="str">
        <f t="shared" si="36"/>
        <v>17250</v>
      </c>
      <c r="U259" s="7">
        <v>10500</v>
      </c>
      <c r="V259" s="8" t="str">
        <f t="shared" si="34"/>
        <v>10500</v>
      </c>
      <c r="W259" s="25" t="s">
        <v>32</v>
      </c>
      <c r="X259" s="49">
        <v>1738499</v>
      </c>
      <c r="Y259" s="21" t="str">
        <f t="shared" si="37"/>
        <v>1738499</v>
      </c>
      <c r="Z259" s="21">
        <v>16135.9</v>
      </c>
      <c r="AA259" s="52" t="str">
        <f t="shared" si="38"/>
        <v>16135.9</v>
      </c>
      <c r="AB259" s="21">
        <v>19135.900000000001</v>
      </c>
      <c r="AC259" s="21" t="str">
        <f t="shared" ref="AC259:AC300" si="40">SUBSTITUTE(AB259, ",", "")</f>
        <v>19135.9</v>
      </c>
      <c r="AD259" s="21" t="str">
        <f t="shared" si="39"/>
        <v>19135.9</v>
      </c>
      <c r="AE259" s="7" t="s">
        <v>1365</v>
      </c>
      <c r="AF259" s="2" t="str">
        <f t="shared" ref="AF259:AF300" si="41">IF(OR(AE259="TOP50", AE259="Top100", AE259="Top150"),"Top Cao","Top Thấp")</f>
        <v>Top Thấp</v>
      </c>
    </row>
    <row r="260" spans="1:32">
      <c r="A260" s="24" t="s">
        <v>1403</v>
      </c>
      <c r="B260" s="8" t="s">
        <v>1404</v>
      </c>
      <c r="C260" s="7">
        <f>261/14131</f>
        <v>1.8470030429552049E-2</v>
      </c>
      <c r="D260" s="9" t="s">
        <v>599</v>
      </c>
      <c r="E260" s="7">
        <f>52/2597</f>
        <v>2.0023103581055062E-2</v>
      </c>
      <c r="F260" s="9" t="s">
        <v>600</v>
      </c>
      <c r="G260" s="7">
        <f>4/101</f>
        <v>3.9603960396039604E-2</v>
      </c>
      <c r="H260" s="7" t="s">
        <v>28</v>
      </c>
      <c r="I260" s="7" t="s">
        <v>29</v>
      </c>
      <c r="J260" s="7" t="s">
        <v>149</v>
      </c>
      <c r="K260" s="46" t="s">
        <v>52</v>
      </c>
      <c r="L260" s="11">
        <v>0.79</v>
      </c>
      <c r="M260" s="12">
        <v>50741</v>
      </c>
      <c r="N260" s="24" t="s">
        <v>31</v>
      </c>
      <c r="O260" s="7">
        <v>1220</v>
      </c>
      <c r="P260" s="7">
        <v>26</v>
      </c>
      <c r="Q260" s="11">
        <v>0.85</v>
      </c>
      <c r="R260" s="12">
        <v>31685</v>
      </c>
      <c r="S260" s="8" t="str">
        <f t="shared" si="35"/>
        <v>31685</v>
      </c>
      <c r="T260" s="8" t="str">
        <f t="shared" si="36"/>
        <v>31685</v>
      </c>
      <c r="U260" s="12">
        <v>6631</v>
      </c>
      <c r="V260" s="8" t="str">
        <f t="shared" si="34"/>
        <v>6631</v>
      </c>
      <c r="W260" s="25" t="s">
        <v>32</v>
      </c>
      <c r="X260" s="49">
        <v>1207045</v>
      </c>
      <c r="Y260" s="21" t="str">
        <f t="shared" si="37"/>
        <v>1207045</v>
      </c>
      <c r="Z260" s="21">
        <v>16363</v>
      </c>
      <c r="AA260" s="52" t="str">
        <f t="shared" si="38"/>
        <v>16363</v>
      </c>
      <c r="AB260" s="21">
        <v>19363</v>
      </c>
      <c r="AC260" s="21" t="str">
        <f t="shared" si="40"/>
        <v>19363</v>
      </c>
      <c r="AD260" s="21" t="str">
        <f t="shared" si="39"/>
        <v>19363</v>
      </c>
      <c r="AE260" s="7" t="s">
        <v>1365</v>
      </c>
      <c r="AF260" s="2" t="str">
        <f t="shared" si="41"/>
        <v>Top Thấp</v>
      </c>
    </row>
    <row r="261" spans="1:32">
      <c r="A261" s="24" t="s">
        <v>1405</v>
      </c>
      <c r="B261" s="8" t="s">
        <v>1406</v>
      </c>
      <c r="C261" s="7">
        <f>262/14131</f>
        <v>1.8540796829665276E-2</v>
      </c>
      <c r="D261" s="9" t="s">
        <v>517</v>
      </c>
      <c r="E261" s="7">
        <f>47/2597</f>
        <v>1.8097805159799769E-2</v>
      </c>
      <c r="F261" s="9" t="s">
        <v>518</v>
      </c>
      <c r="G261" s="7">
        <f>44/2496</f>
        <v>1.7628205128205128E-2</v>
      </c>
      <c r="H261" s="7" t="s">
        <v>49</v>
      </c>
      <c r="I261" s="7" t="s">
        <v>1407</v>
      </c>
      <c r="J261" s="7" t="s">
        <v>1408</v>
      </c>
      <c r="K261" s="11" t="s">
        <v>52</v>
      </c>
      <c r="L261" s="11">
        <v>0.42</v>
      </c>
      <c r="M261" s="12">
        <v>79998</v>
      </c>
      <c r="N261" s="24" t="s">
        <v>1689</v>
      </c>
      <c r="O261" s="7">
        <v>0</v>
      </c>
      <c r="P261" s="7">
        <v>0</v>
      </c>
      <c r="Q261" s="11">
        <v>0.79</v>
      </c>
      <c r="R261" s="7">
        <v>0</v>
      </c>
      <c r="S261" s="8" t="str">
        <f t="shared" si="35"/>
        <v>0</v>
      </c>
      <c r="T261" s="8" t="str">
        <f t="shared" si="36"/>
        <v>0</v>
      </c>
      <c r="U261" s="7">
        <v>0</v>
      </c>
      <c r="V261" s="8" t="str">
        <f t="shared" si="34"/>
        <v>0</v>
      </c>
      <c r="W261" s="25" t="s">
        <v>395</v>
      </c>
      <c r="X261" s="49">
        <v>1602176</v>
      </c>
      <c r="Y261" s="21" t="str">
        <f t="shared" si="37"/>
        <v>1602176</v>
      </c>
      <c r="Z261" s="21">
        <v>14702.24</v>
      </c>
      <c r="AA261" s="52" t="str">
        <f t="shared" si="38"/>
        <v>14702.24</v>
      </c>
      <c r="AB261" s="21">
        <v>16702.240000000002</v>
      </c>
      <c r="AC261" s="21" t="str">
        <f t="shared" si="40"/>
        <v>16702.24</v>
      </c>
      <c r="AD261" s="21" t="str">
        <f t="shared" si="39"/>
        <v>16702.24</v>
      </c>
      <c r="AE261" s="7" t="s">
        <v>1365</v>
      </c>
      <c r="AF261" s="2" t="str">
        <f t="shared" si="41"/>
        <v>Top Thấp</v>
      </c>
    </row>
    <row r="262" spans="1:32">
      <c r="A262" s="24" t="s">
        <v>1409</v>
      </c>
      <c r="B262" s="8" t="s">
        <v>1410</v>
      </c>
      <c r="C262" s="7">
        <f>263/14131</f>
        <v>1.8611563229778503E-2</v>
      </c>
      <c r="D262" s="9" t="s">
        <v>1024</v>
      </c>
      <c r="E262" s="7">
        <f>87/2597</f>
        <v>3.3500192529842127E-2</v>
      </c>
      <c r="F262" s="9" t="s">
        <v>1411</v>
      </c>
      <c r="G262" s="7">
        <f>3/29</f>
        <v>0.10344827586206896</v>
      </c>
      <c r="H262" s="7" t="s">
        <v>49</v>
      </c>
      <c r="I262" s="7" t="s">
        <v>139</v>
      </c>
      <c r="J262" s="7" t="s">
        <v>426</v>
      </c>
      <c r="K262" s="11" t="s">
        <v>52</v>
      </c>
      <c r="L262" s="11">
        <v>0.56000000000000005</v>
      </c>
      <c r="M262" s="12">
        <v>64900</v>
      </c>
      <c r="N262" s="24" t="s">
        <v>31</v>
      </c>
      <c r="O262" s="7">
        <v>1250</v>
      </c>
      <c r="P262" s="7">
        <v>26</v>
      </c>
      <c r="Q262" s="11">
        <v>0.81</v>
      </c>
      <c r="R262" s="7">
        <v>10210</v>
      </c>
      <c r="S262" s="8" t="str">
        <f t="shared" si="35"/>
        <v>10210</v>
      </c>
      <c r="T262" s="8" t="str">
        <f t="shared" si="36"/>
        <v>10210</v>
      </c>
      <c r="U262" s="7">
        <v>3940</v>
      </c>
      <c r="V262" s="8" t="str">
        <f t="shared" si="34"/>
        <v>3940</v>
      </c>
      <c r="W262" s="25" t="s">
        <v>32</v>
      </c>
      <c r="X262" s="49">
        <v>1957086</v>
      </c>
      <c r="Y262" s="21" t="str">
        <f t="shared" si="37"/>
        <v>1957086</v>
      </c>
      <c r="Z262" s="21">
        <v>19382.04</v>
      </c>
      <c r="AA262" s="52" t="str">
        <f t="shared" si="38"/>
        <v>19382.04</v>
      </c>
      <c r="AB262" s="21">
        <v>22382.04</v>
      </c>
      <c r="AC262" s="21" t="str">
        <f t="shared" si="40"/>
        <v>22382.04</v>
      </c>
      <c r="AD262" s="21" t="str">
        <f t="shared" si="39"/>
        <v>22382.04</v>
      </c>
      <c r="AE262" s="7" t="s">
        <v>1365</v>
      </c>
      <c r="AF262" s="2" t="str">
        <f t="shared" si="41"/>
        <v>Top Thấp</v>
      </c>
    </row>
    <row r="263" spans="1:32">
      <c r="A263" s="33" t="s">
        <v>1412</v>
      </c>
      <c r="B263" s="8" t="s">
        <v>1413</v>
      </c>
      <c r="C263" s="7">
        <f>264/14131</f>
        <v>1.8682329629891727E-2</v>
      </c>
      <c r="D263" s="9" t="s">
        <v>1414</v>
      </c>
      <c r="E263" s="7">
        <f>104/2597</f>
        <v>4.0046207162110124E-2</v>
      </c>
      <c r="F263" s="9" t="s">
        <v>1415</v>
      </c>
      <c r="G263" s="7">
        <f>92/2496</f>
        <v>3.685897435897436E-2</v>
      </c>
      <c r="H263" s="7" t="s">
        <v>28</v>
      </c>
      <c r="I263" s="7" t="s">
        <v>29</v>
      </c>
      <c r="J263" s="7" t="s">
        <v>282</v>
      </c>
      <c r="K263" s="46" t="s">
        <v>52</v>
      </c>
      <c r="L263" s="11">
        <v>0.96</v>
      </c>
      <c r="M263" s="12">
        <v>55832</v>
      </c>
      <c r="N263" s="7" t="s">
        <v>31</v>
      </c>
      <c r="O263" s="7">
        <v>0</v>
      </c>
      <c r="P263" s="7">
        <v>0</v>
      </c>
      <c r="Q263" s="11">
        <v>0.93</v>
      </c>
      <c r="R263" s="12">
        <v>15619</v>
      </c>
      <c r="S263" s="8" t="str">
        <f t="shared" si="35"/>
        <v>15619</v>
      </c>
      <c r="T263" s="8" t="str">
        <f t="shared" si="36"/>
        <v>15619</v>
      </c>
      <c r="U263" s="12">
        <v>4610</v>
      </c>
      <c r="V263" s="8" t="str">
        <f t="shared" si="34"/>
        <v>4610</v>
      </c>
      <c r="W263" s="25" t="s">
        <v>32</v>
      </c>
      <c r="X263" s="49">
        <v>1340563</v>
      </c>
      <c r="Y263" s="21" t="str">
        <f t="shared" si="37"/>
        <v>1340563</v>
      </c>
      <c r="Z263" s="21">
        <v>6774</v>
      </c>
      <c r="AA263" s="52" t="str">
        <f t="shared" si="38"/>
        <v>6774</v>
      </c>
      <c r="AB263" s="21">
        <v>8774</v>
      </c>
      <c r="AC263" s="21" t="str">
        <f t="shared" si="40"/>
        <v>8774</v>
      </c>
      <c r="AD263" s="21" t="str">
        <f t="shared" si="39"/>
        <v>8774</v>
      </c>
      <c r="AE263" s="7" t="s">
        <v>1365</v>
      </c>
      <c r="AF263" s="2" t="str">
        <f t="shared" si="41"/>
        <v>Top Thấp</v>
      </c>
    </row>
    <row r="264" spans="1:32">
      <c r="A264" s="24" t="s">
        <v>1416</v>
      </c>
      <c r="B264" s="8" t="s">
        <v>1417</v>
      </c>
      <c r="C264" s="8">
        <v>1.8823862E-2</v>
      </c>
      <c r="D264" s="13" t="s">
        <v>1418</v>
      </c>
      <c r="E264" s="8">
        <v>4.6592222000000003E-2</v>
      </c>
      <c r="F264" s="13" t="s">
        <v>1419</v>
      </c>
      <c r="G264" s="13" t="s">
        <v>1420</v>
      </c>
      <c r="H264" s="7" t="s">
        <v>28</v>
      </c>
      <c r="I264" s="7" t="s">
        <v>29</v>
      </c>
      <c r="J264" s="24" t="s">
        <v>351</v>
      </c>
      <c r="K264" s="46" t="s">
        <v>52</v>
      </c>
      <c r="L264" s="11">
        <v>0.64</v>
      </c>
      <c r="M264" s="12">
        <v>45034</v>
      </c>
      <c r="N264" s="7" t="s">
        <v>31</v>
      </c>
      <c r="O264" s="7">
        <v>1325</v>
      </c>
      <c r="P264" s="7">
        <v>31</v>
      </c>
      <c r="Q264" s="11">
        <v>0.96</v>
      </c>
      <c r="R264" s="12">
        <v>11626</v>
      </c>
      <c r="S264" s="8" t="str">
        <f t="shared" si="35"/>
        <v>11626</v>
      </c>
      <c r="T264" s="8" t="str">
        <f t="shared" si="36"/>
        <v>11626</v>
      </c>
      <c r="U264" s="12">
        <v>2200</v>
      </c>
      <c r="V264" s="8" t="str">
        <f t="shared" si="34"/>
        <v>2200</v>
      </c>
      <c r="W264" s="25" t="s">
        <v>32</v>
      </c>
      <c r="X264" s="49">
        <v>1427147</v>
      </c>
      <c r="Y264" s="21" t="str">
        <f t="shared" si="37"/>
        <v>1427147</v>
      </c>
      <c r="Z264" s="21">
        <v>18366</v>
      </c>
      <c r="AA264" s="52" t="str">
        <f t="shared" si="38"/>
        <v>18366</v>
      </c>
      <c r="AB264" s="21">
        <v>20366</v>
      </c>
      <c r="AC264" s="21" t="str">
        <f t="shared" si="40"/>
        <v>20366</v>
      </c>
      <c r="AD264" s="21" t="str">
        <f t="shared" si="39"/>
        <v>20366</v>
      </c>
      <c r="AE264" s="7" t="s">
        <v>1365</v>
      </c>
      <c r="AF264" s="2" t="str">
        <f t="shared" si="41"/>
        <v>Top Thấp</v>
      </c>
    </row>
    <row r="265" spans="1:32">
      <c r="A265" s="24" t="s">
        <v>1421</v>
      </c>
      <c r="B265" s="8" t="s">
        <v>1422</v>
      </c>
      <c r="C265" s="7">
        <f>267/14131</f>
        <v>1.8894628830231405E-2</v>
      </c>
      <c r="D265" s="9" t="s">
        <v>1262</v>
      </c>
      <c r="E265" s="7">
        <f>109/2597</f>
        <v>4.1971505583365425E-2</v>
      </c>
      <c r="F265" s="9" t="s">
        <v>1423</v>
      </c>
      <c r="G265" s="7">
        <f>29/163</f>
        <v>0.17791411042944785</v>
      </c>
      <c r="H265" s="7" t="s">
        <v>28</v>
      </c>
      <c r="I265" s="7" t="s">
        <v>29</v>
      </c>
      <c r="J265" s="7" t="s">
        <v>1424</v>
      </c>
      <c r="K265" s="47" t="s">
        <v>52</v>
      </c>
      <c r="L265" s="11">
        <v>0.49</v>
      </c>
      <c r="M265" s="12">
        <v>50637</v>
      </c>
      <c r="N265" s="7" t="s">
        <v>31</v>
      </c>
      <c r="O265" s="7">
        <v>1320</v>
      </c>
      <c r="P265" s="7">
        <v>30</v>
      </c>
      <c r="Q265" s="11">
        <v>0.87</v>
      </c>
      <c r="R265" s="12">
        <v>21653</v>
      </c>
      <c r="S265" s="8" t="str">
        <f t="shared" si="35"/>
        <v>21653</v>
      </c>
      <c r="T265" s="8" t="str">
        <f t="shared" si="36"/>
        <v>21653</v>
      </c>
      <c r="U265" s="12">
        <v>5688</v>
      </c>
      <c r="V265" s="8" t="str">
        <f t="shared" si="34"/>
        <v>5688</v>
      </c>
      <c r="W265" s="25" t="s">
        <v>32</v>
      </c>
      <c r="X265" s="49">
        <v>1083571</v>
      </c>
      <c r="Y265" s="21" t="str">
        <f t="shared" si="37"/>
        <v>1083571</v>
      </c>
      <c r="Z265" s="21">
        <v>9699</v>
      </c>
      <c r="AA265" s="52" t="str">
        <f t="shared" si="38"/>
        <v>9699</v>
      </c>
      <c r="AB265" s="21">
        <v>12699</v>
      </c>
      <c r="AC265" s="21" t="str">
        <f t="shared" si="40"/>
        <v>12699</v>
      </c>
      <c r="AD265" s="21" t="str">
        <f t="shared" si="39"/>
        <v>12699</v>
      </c>
      <c r="AE265" s="7" t="s">
        <v>1365</v>
      </c>
      <c r="AF265" s="2" t="str">
        <f t="shared" si="41"/>
        <v>Top Thấp</v>
      </c>
    </row>
    <row r="266" spans="1:32">
      <c r="A266" s="24" t="s">
        <v>1425</v>
      </c>
      <c r="B266" s="8" t="s">
        <v>1426</v>
      </c>
      <c r="C266" s="8">
        <v>1.9036161999999999E-2</v>
      </c>
      <c r="D266" s="13" t="s">
        <v>1427</v>
      </c>
      <c r="E266" s="8">
        <v>3.6624775999999998E-2</v>
      </c>
      <c r="F266" s="13" t="s">
        <v>1428</v>
      </c>
      <c r="G266" s="13" t="s">
        <v>1429</v>
      </c>
      <c r="H266" s="7" t="s">
        <v>49</v>
      </c>
      <c r="I266" s="7" t="s">
        <v>139</v>
      </c>
      <c r="J266" s="24" t="s">
        <v>426</v>
      </c>
      <c r="K266" s="11" t="s">
        <v>52</v>
      </c>
      <c r="L266" s="7">
        <v>0.2</v>
      </c>
      <c r="M266" s="7">
        <v>41331</v>
      </c>
      <c r="N266" s="24" t="s">
        <v>31</v>
      </c>
      <c r="O266" s="7">
        <v>1330</v>
      </c>
      <c r="P266" s="7">
        <v>30</v>
      </c>
      <c r="Q266" s="11">
        <v>0.97</v>
      </c>
      <c r="R266" s="12">
        <v>8200</v>
      </c>
      <c r="S266" s="8" t="str">
        <f t="shared" si="35"/>
        <v>8200</v>
      </c>
      <c r="T266" s="8" t="str">
        <f t="shared" si="36"/>
        <v>8200</v>
      </c>
      <c r="U266" s="12">
        <v>2100</v>
      </c>
      <c r="V266" s="8" t="str">
        <f t="shared" si="34"/>
        <v>2100</v>
      </c>
      <c r="W266" s="25" t="s">
        <v>32</v>
      </c>
      <c r="X266" s="49">
        <v>1411094</v>
      </c>
      <c r="Y266" s="21" t="str">
        <f t="shared" si="37"/>
        <v>1411094</v>
      </c>
      <c r="Z266" s="21">
        <v>28376.32</v>
      </c>
      <c r="AA266" s="52" t="str">
        <f t="shared" si="38"/>
        <v>28376.32</v>
      </c>
      <c r="AB266" s="21">
        <v>31376.32</v>
      </c>
      <c r="AC266" s="21" t="str">
        <f t="shared" si="40"/>
        <v>31376.32</v>
      </c>
      <c r="AD266" s="21" t="str">
        <f t="shared" si="39"/>
        <v>31376.32</v>
      </c>
      <c r="AE266" s="7" t="s">
        <v>1365</v>
      </c>
      <c r="AF266" s="2" t="str">
        <f t="shared" si="41"/>
        <v>Top Thấp</v>
      </c>
    </row>
    <row r="267" spans="1:32">
      <c r="A267" s="7" t="s">
        <v>1493</v>
      </c>
      <c r="B267" s="8" t="s">
        <v>1431</v>
      </c>
      <c r="C267" s="8">
        <v>1.9177693999999999E-2</v>
      </c>
      <c r="D267" s="13" t="s">
        <v>1494</v>
      </c>
      <c r="E267" s="8">
        <v>3.9863329999999999E-3</v>
      </c>
      <c r="F267" s="13" t="s">
        <v>1486</v>
      </c>
      <c r="G267" s="13" t="s">
        <v>1487</v>
      </c>
      <c r="H267" s="7" t="s">
        <v>156</v>
      </c>
      <c r="I267" s="7" t="s">
        <v>1711</v>
      </c>
      <c r="J267" s="7" t="s">
        <v>1712</v>
      </c>
      <c r="K267" s="11" t="s">
        <v>52</v>
      </c>
      <c r="L267" s="7">
        <v>0.59</v>
      </c>
      <c r="M267" s="12">
        <v>78570</v>
      </c>
      <c r="N267" s="7" t="s">
        <v>187</v>
      </c>
      <c r="O267" s="7">
        <v>0</v>
      </c>
      <c r="P267" s="7">
        <v>0</v>
      </c>
      <c r="Q267" s="11">
        <v>0.82</v>
      </c>
      <c r="R267" s="7">
        <v>297000</v>
      </c>
      <c r="S267" s="8" t="str">
        <f t="shared" si="35"/>
        <v>297000</v>
      </c>
      <c r="T267" s="8" t="str">
        <f t="shared" si="36"/>
        <v>297000</v>
      </c>
      <c r="U267" s="7">
        <v>13500</v>
      </c>
      <c r="V267" s="8" t="str">
        <f t="shared" si="34"/>
        <v>13500</v>
      </c>
      <c r="W267" s="8" t="s">
        <v>395</v>
      </c>
      <c r="X267" s="49">
        <v>1132440</v>
      </c>
      <c r="Y267" s="21" t="str">
        <f t="shared" si="37"/>
        <v>1132440</v>
      </c>
      <c r="Z267" s="21">
        <v>21250</v>
      </c>
      <c r="AA267" s="52" t="str">
        <f t="shared" si="38"/>
        <v>21250</v>
      </c>
      <c r="AB267" s="21">
        <v>23250</v>
      </c>
      <c r="AC267" s="21" t="str">
        <f t="shared" si="40"/>
        <v>23250</v>
      </c>
      <c r="AD267" s="21" t="str">
        <f t="shared" si="39"/>
        <v>23250</v>
      </c>
      <c r="AE267" s="7" t="s">
        <v>1365</v>
      </c>
      <c r="AF267" s="2" t="str">
        <f t="shared" si="41"/>
        <v>Top Thấp</v>
      </c>
    </row>
    <row r="268" spans="1:32">
      <c r="A268" s="24" t="s">
        <v>1430</v>
      </c>
      <c r="B268" s="8" t="s">
        <v>1431</v>
      </c>
      <c r="C268" s="7">
        <f>271/14131</f>
        <v>1.917769443068431E-2</v>
      </c>
      <c r="D268" s="9" t="s">
        <v>1432</v>
      </c>
      <c r="E268" s="7">
        <f>14/5830</f>
        <v>2.4013722126929675E-3</v>
      </c>
      <c r="F268" s="9" t="s">
        <v>1433</v>
      </c>
      <c r="G268" s="7">
        <f>2/32</f>
        <v>6.25E-2</v>
      </c>
      <c r="H268" s="7" t="s">
        <v>103</v>
      </c>
      <c r="I268" s="7" t="s">
        <v>826</v>
      </c>
      <c r="J268" s="7" t="s">
        <v>1434</v>
      </c>
      <c r="K268" s="11" t="s">
        <v>52</v>
      </c>
      <c r="L268" s="11">
        <v>0.4</v>
      </c>
      <c r="M268" s="12">
        <v>83745</v>
      </c>
      <c r="N268" s="24" t="s">
        <v>1690</v>
      </c>
      <c r="O268" s="7">
        <v>0</v>
      </c>
      <c r="P268" s="7">
        <v>0</v>
      </c>
      <c r="Q268" s="11">
        <v>0.87</v>
      </c>
      <c r="R268" s="12">
        <v>9250</v>
      </c>
      <c r="S268" s="8" t="str">
        <f t="shared" si="35"/>
        <v>9250</v>
      </c>
      <c r="T268" s="8" t="str">
        <f t="shared" si="36"/>
        <v>9250</v>
      </c>
      <c r="U268" s="12">
        <v>3500</v>
      </c>
      <c r="V268" s="8" t="str">
        <f t="shared" si="34"/>
        <v>3500</v>
      </c>
      <c r="W268" s="25" t="s">
        <v>32</v>
      </c>
      <c r="X268" s="49">
        <v>2189340</v>
      </c>
      <c r="Y268" s="21" t="str">
        <f t="shared" si="37"/>
        <v>2189340</v>
      </c>
      <c r="Z268" s="21">
        <v>14925.03</v>
      </c>
      <c r="AA268" s="52" t="str">
        <f t="shared" si="38"/>
        <v>14925.03</v>
      </c>
      <c r="AB268" s="21">
        <v>18925.03</v>
      </c>
      <c r="AC268" s="21" t="str">
        <f t="shared" si="40"/>
        <v>18925.03</v>
      </c>
      <c r="AD268" s="21" t="str">
        <f t="shared" si="39"/>
        <v>18925.03</v>
      </c>
      <c r="AE268" s="7" t="s">
        <v>1365</v>
      </c>
      <c r="AF268" s="2" t="str">
        <f t="shared" si="41"/>
        <v>Top Thấp</v>
      </c>
    </row>
    <row r="269" spans="1:32">
      <c r="A269" s="24" t="s">
        <v>1435</v>
      </c>
      <c r="B269" s="8" t="s">
        <v>1436</v>
      </c>
      <c r="C269" s="7">
        <f>272/14131</f>
        <v>1.9248460830797537E-2</v>
      </c>
      <c r="D269" s="9" t="s">
        <v>570</v>
      </c>
      <c r="E269" s="7">
        <f>4/5830</f>
        <v>6.8610634648370492E-4</v>
      </c>
      <c r="F269" s="9" t="s">
        <v>571</v>
      </c>
      <c r="G269" s="7">
        <f>2/960</f>
        <v>2.0833333333333333E-3</v>
      </c>
      <c r="H269" s="7" t="s">
        <v>28</v>
      </c>
      <c r="I269" s="7" t="s">
        <v>29</v>
      </c>
      <c r="J269" s="7" t="s">
        <v>30</v>
      </c>
      <c r="K269" s="46" t="s">
        <v>68</v>
      </c>
      <c r="L269" s="11">
        <v>0.19</v>
      </c>
      <c r="M269" s="12">
        <v>34758</v>
      </c>
      <c r="N269" s="7" t="s">
        <v>31</v>
      </c>
      <c r="O269" s="7">
        <v>1475</v>
      </c>
      <c r="P269" s="7">
        <v>34</v>
      </c>
      <c r="Q269" s="11">
        <v>0.51</v>
      </c>
      <c r="R269" s="12">
        <v>9955</v>
      </c>
      <c r="S269" s="8" t="str">
        <f t="shared" si="35"/>
        <v>9955</v>
      </c>
      <c r="T269" s="8" t="str">
        <f t="shared" si="36"/>
        <v>9955</v>
      </c>
      <c r="U269" s="12">
        <v>5622</v>
      </c>
      <c r="V269" s="8" t="str">
        <f t="shared" si="34"/>
        <v>5622</v>
      </c>
      <c r="W269" s="25" t="s">
        <v>32</v>
      </c>
      <c r="X269" s="49">
        <v>952318</v>
      </c>
      <c r="Y269" s="21" t="str">
        <f t="shared" si="37"/>
        <v>952318</v>
      </c>
      <c r="Z269" s="21">
        <v>48693</v>
      </c>
      <c r="AA269" s="52" t="str">
        <f t="shared" si="38"/>
        <v>48693</v>
      </c>
      <c r="AB269" s="21">
        <v>30159</v>
      </c>
      <c r="AC269" s="21" t="str">
        <f t="shared" si="40"/>
        <v>30159</v>
      </c>
      <c r="AD269" s="21" t="str">
        <f t="shared" si="39"/>
        <v>30159</v>
      </c>
      <c r="AE269" s="7" t="s">
        <v>1365</v>
      </c>
      <c r="AF269" s="2" t="str">
        <f t="shared" si="41"/>
        <v>Top Thấp</v>
      </c>
    </row>
    <row r="270" spans="1:32">
      <c r="A270" s="24" t="s">
        <v>1437</v>
      </c>
      <c r="B270" s="8" t="s">
        <v>1438</v>
      </c>
      <c r="C270" s="7">
        <f>273/14131</f>
        <v>1.9319227230910764E-2</v>
      </c>
      <c r="D270" s="25" t="s">
        <v>1707</v>
      </c>
      <c r="E270" s="7">
        <f>103/2785</f>
        <v>3.698384201077199E-2</v>
      </c>
      <c r="F270" s="27" t="s">
        <v>1056</v>
      </c>
      <c r="G270" s="7">
        <f>4/23</f>
        <v>0.17391304347826086</v>
      </c>
      <c r="H270" s="7" t="s">
        <v>49</v>
      </c>
      <c r="I270" s="7" t="s">
        <v>93</v>
      </c>
      <c r="J270" s="7" t="s">
        <v>336</v>
      </c>
      <c r="K270" s="11" t="s">
        <v>52</v>
      </c>
      <c r="L270" s="11">
        <v>0.35</v>
      </c>
      <c r="M270" s="12">
        <v>66357</v>
      </c>
      <c r="N270" s="24" t="s">
        <v>1577</v>
      </c>
      <c r="O270" s="7">
        <v>0</v>
      </c>
      <c r="P270" s="7">
        <v>0</v>
      </c>
      <c r="Q270" s="11">
        <v>0.89</v>
      </c>
      <c r="R270" s="12">
        <v>31700</v>
      </c>
      <c r="S270" s="8" t="str">
        <f t="shared" si="35"/>
        <v>31700</v>
      </c>
      <c r="T270" s="8" t="str">
        <f t="shared" si="36"/>
        <v>31700</v>
      </c>
      <c r="U270" s="12">
        <v>5000</v>
      </c>
      <c r="V270" s="8" t="str">
        <f t="shared" si="34"/>
        <v>5000</v>
      </c>
      <c r="W270" s="25" t="s">
        <v>1595</v>
      </c>
      <c r="X270" s="49">
        <v>1934496</v>
      </c>
      <c r="Y270" s="21" t="str">
        <f t="shared" si="37"/>
        <v>1934496</v>
      </c>
      <c r="Z270" s="21">
        <v>9460.09</v>
      </c>
      <c r="AA270" s="52" t="str">
        <f t="shared" si="38"/>
        <v>9460.09</v>
      </c>
      <c r="AB270" s="21">
        <v>14460.09</v>
      </c>
      <c r="AC270" s="21" t="str">
        <f t="shared" si="40"/>
        <v>14460.09</v>
      </c>
      <c r="AD270" s="21" t="str">
        <f t="shared" si="39"/>
        <v>14460.09</v>
      </c>
      <c r="AE270" s="7" t="s">
        <v>1365</v>
      </c>
      <c r="AF270" s="2" t="str">
        <f t="shared" si="41"/>
        <v>Top Thấp</v>
      </c>
    </row>
    <row r="271" spans="1:32">
      <c r="A271" s="35" t="s">
        <v>1439</v>
      </c>
      <c r="B271" s="8" t="s">
        <v>1440</v>
      </c>
      <c r="C271" s="8">
        <v>1.9389994000000001E-2</v>
      </c>
      <c r="D271" s="13" t="s">
        <v>1441</v>
      </c>
      <c r="E271" s="8">
        <v>3.7342908000000001E-2</v>
      </c>
      <c r="F271" s="13" t="s">
        <v>1442</v>
      </c>
      <c r="G271" s="13" t="s">
        <v>1443</v>
      </c>
      <c r="H271" s="7" t="s">
        <v>49</v>
      </c>
      <c r="I271" s="7" t="s">
        <v>50</v>
      </c>
      <c r="J271" s="24" t="s">
        <v>236</v>
      </c>
      <c r="K271" s="11" t="s">
        <v>52</v>
      </c>
      <c r="L271" s="11">
        <v>0.71</v>
      </c>
      <c r="M271" s="12">
        <v>66029</v>
      </c>
      <c r="N271" s="24" t="s">
        <v>765</v>
      </c>
      <c r="O271" s="7">
        <v>0</v>
      </c>
      <c r="P271" s="7">
        <v>0</v>
      </c>
      <c r="Q271" s="11">
        <v>0.89</v>
      </c>
      <c r="R271" s="12">
        <v>13150</v>
      </c>
      <c r="S271" s="8" t="str">
        <f t="shared" si="35"/>
        <v>13150</v>
      </c>
      <c r="T271" s="8" t="str">
        <f t="shared" si="36"/>
        <v>13150</v>
      </c>
      <c r="U271" s="12">
        <v>9000</v>
      </c>
      <c r="V271" s="8" t="str">
        <f t="shared" si="34"/>
        <v>9000</v>
      </c>
      <c r="W271" s="25" t="s">
        <v>32</v>
      </c>
      <c r="X271" s="49">
        <v>1283935</v>
      </c>
      <c r="Y271" s="21" t="str">
        <f t="shared" si="37"/>
        <v>1283935</v>
      </c>
      <c r="Z271" s="21">
        <v>13467.68</v>
      </c>
      <c r="AA271" s="52" t="str">
        <f t="shared" si="38"/>
        <v>13467.68</v>
      </c>
      <c r="AB271" s="21">
        <v>17467.68</v>
      </c>
      <c r="AC271" s="21" t="str">
        <f t="shared" si="40"/>
        <v>17467.68</v>
      </c>
      <c r="AD271" s="21" t="str">
        <f t="shared" si="39"/>
        <v>17467.68</v>
      </c>
      <c r="AE271" s="7" t="s">
        <v>1365</v>
      </c>
      <c r="AF271" s="2" t="str">
        <f t="shared" si="41"/>
        <v>Top Thấp</v>
      </c>
    </row>
    <row r="272" spans="1:32">
      <c r="A272" s="35" t="s">
        <v>1444</v>
      </c>
      <c r="B272" s="8" t="s">
        <v>1445</v>
      </c>
      <c r="C272" s="8">
        <v>1.9460760000000001E-2</v>
      </c>
      <c r="D272" s="13" t="s">
        <v>1446</v>
      </c>
      <c r="E272" s="8">
        <v>4.8132461000000001E-2</v>
      </c>
      <c r="F272" s="13" t="s">
        <v>1447</v>
      </c>
      <c r="G272" s="13" t="s">
        <v>1448</v>
      </c>
      <c r="H272" s="7" t="s">
        <v>28</v>
      </c>
      <c r="I272" s="7" t="s">
        <v>29</v>
      </c>
      <c r="J272" s="24" t="s">
        <v>297</v>
      </c>
      <c r="K272" s="24" t="s">
        <v>52</v>
      </c>
      <c r="L272" s="7">
        <v>0.53</v>
      </c>
      <c r="M272" s="7">
        <v>42794</v>
      </c>
      <c r="N272" s="7" t="s">
        <v>31</v>
      </c>
      <c r="O272" s="7">
        <v>1130</v>
      </c>
      <c r="P272" s="7">
        <v>24</v>
      </c>
      <c r="Q272" s="11">
        <v>0.95</v>
      </c>
      <c r="R272" s="12">
        <v>19599</v>
      </c>
      <c r="S272" s="8" t="str">
        <f t="shared" si="35"/>
        <v>19599</v>
      </c>
      <c r="T272" s="8" t="str">
        <f t="shared" si="36"/>
        <v>19599</v>
      </c>
      <c r="U272" s="12">
        <v>5875</v>
      </c>
      <c r="V272" s="8" t="str">
        <f t="shared" si="34"/>
        <v>5875</v>
      </c>
      <c r="W272" s="25" t="s">
        <v>32</v>
      </c>
      <c r="X272" s="49">
        <v>1138921</v>
      </c>
      <c r="Y272" s="21" t="str">
        <f t="shared" si="37"/>
        <v>1138921</v>
      </c>
      <c r="Z272" s="21">
        <v>10867</v>
      </c>
      <c r="AA272" s="52" t="str">
        <f t="shared" si="38"/>
        <v>10867</v>
      </c>
      <c r="AB272" s="21">
        <v>12867</v>
      </c>
      <c r="AC272" s="21" t="str">
        <f t="shared" si="40"/>
        <v>12867</v>
      </c>
      <c r="AD272" s="21" t="str">
        <f t="shared" si="39"/>
        <v>12867</v>
      </c>
      <c r="AE272" s="7" t="s">
        <v>1365</v>
      </c>
      <c r="AF272" s="2" t="str">
        <f t="shared" si="41"/>
        <v>Top Thấp</v>
      </c>
    </row>
    <row r="273" spans="1:32">
      <c r="A273" s="35" t="s">
        <v>1449</v>
      </c>
      <c r="B273" s="8" t="s">
        <v>1450</v>
      </c>
      <c r="C273" s="7">
        <f>276/14131</f>
        <v>1.9531526431250442E-2</v>
      </c>
      <c r="D273" s="25" t="s">
        <v>956</v>
      </c>
      <c r="E273" s="7">
        <f>6/1756</f>
        <v>3.4168564920273349E-3</v>
      </c>
      <c r="F273" s="27" t="s">
        <v>957</v>
      </c>
      <c r="G273" s="7">
        <f>4/198</f>
        <v>2.0202020202020204E-2</v>
      </c>
      <c r="H273" s="7" t="s">
        <v>156</v>
      </c>
      <c r="I273" s="7" t="s">
        <v>166</v>
      </c>
      <c r="J273" s="7" t="s">
        <v>1451</v>
      </c>
      <c r="K273" s="11" t="s">
        <v>52</v>
      </c>
      <c r="L273" s="11">
        <v>0.16</v>
      </c>
      <c r="M273" s="12">
        <v>108791</v>
      </c>
      <c r="N273" s="24" t="s">
        <v>427</v>
      </c>
      <c r="O273" s="7">
        <v>0</v>
      </c>
      <c r="P273" s="7">
        <v>0</v>
      </c>
      <c r="Q273" s="11">
        <v>0.92</v>
      </c>
      <c r="R273" s="12">
        <v>0</v>
      </c>
      <c r="S273" s="8" t="str">
        <f t="shared" si="35"/>
        <v>0</v>
      </c>
      <c r="T273" s="8" t="str">
        <f t="shared" si="36"/>
        <v>0</v>
      </c>
      <c r="U273" s="12">
        <v>0</v>
      </c>
      <c r="V273" s="8" t="str">
        <f t="shared" si="34"/>
        <v>0</v>
      </c>
      <c r="W273" s="25" t="s">
        <v>32</v>
      </c>
      <c r="X273" s="49">
        <v>1223804</v>
      </c>
      <c r="Y273" s="21" t="str">
        <f t="shared" si="37"/>
        <v>1223804</v>
      </c>
      <c r="Z273" s="21">
        <v>8235.93</v>
      </c>
      <c r="AA273" s="52" t="str">
        <f t="shared" si="38"/>
        <v>8235.93</v>
      </c>
      <c r="AB273" s="21">
        <v>11235.93</v>
      </c>
      <c r="AC273" s="21" t="str">
        <f t="shared" si="40"/>
        <v>11235.93</v>
      </c>
      <c r="AD273" s="21" t="str">
        <f t="shared" si="39"/>
        <v>11235.93</v>
      </c>
      <c r="AE273" s="7" t="s">
        <v>1365</v>
      </c>
      <c r="AF273" s="2" t="str">
        <f t="shared" si="41"/>
        <v>Top Thấp</v>
      </c>
    </row>
    <row r="274" spans="1:32">
      <c r="A274" s="35" t="s">
        <v>1452</v>
      </c>
      <c r="B274" s="8" t="s">
        <v>1453</v>
      </c>
      <c r="C274" s="7">
        <f>278/14131</f>
        <v>1.9673059231476896E-2</v>
      </c>
      <c r="D274" s="28" t="s">
        <v>853</v>
      </c>
      <c r="E274" s="7">
        <f>126/2597</f>
        <v>4.8517520215633422E-2</v>
      </c>
      <c r="F274" s="27" t="s">
        <v>854</v>
      </c>
      <c r="G274" s="7">
        <f>16/101</f>
        <v>0.15841584158415842</v>
      </c>
      <c r="H274" s="7" t="s">
        <v>28</v>
      </c>
      <c r="I274" s="7" t="s">
        <v>306</v>
      </c>
      <c r="J274" s="7" t="s">
        <v>904</v>
      </c>
      <c r="K274" s="11" t="s">
        <v>52</v>
      </c>
      <c r="L274" s="11">
        <v>0.42</v>
      </c>
      <c r="M274" s="12">
        <v>81569</v>
      </c>
      <c r="N274" s="24" t="s">
        <v>31</v>
      </c>
      <c r="O274" s="7">
        <v>0</v>
      </c>
      <c r="P274" s="7">
        <v>0</v>
      </c>
      <c r="Q274" s="11">
        <v>0.83</v>
      </c>
      <c r="R274" s="12">
        <v>0</v>
      </c>
      <c r="S274" s="8" t="str">
        <f t="shared" si="35"/>
        <v>0</v>
      </c>
      <c r="T274" s="8" t="str">
        <f t="shared" si="36"/>
        <v>0</v>
      </c>
      <c r="U274" s="12">
        <v>0</v>
      </c>
      <c r="V274" s="8" t="str">
        <f t="shared" si="34"/>
        <v>0</v>
      </c>
      <c r="W274" s="25" t="s">
        <v>32</v>
      </c>
      <c r="X274" s="49">
        <v>2330027</v>
      </c>
      <c r="Y274" s="21" t="str">
        <f t="shared" si="37"/>
        <v>2330027</v>
      </c>
      <c r="Z274" s="21">
        <v>45584</v>
      </c>
      <c r="AA274" s="52" t="str">
        <f t="shared" si="38"/>
        <v>45584</v>
      </c>
      <c r="AB274" s="21">
        <v>47584</v>
      </c>
      <c r="AC274" s="21" t="str">
        <f t="shared" si="40"/>
        <v>47584</v>
      </c>
      <c r="AD274" s="21" t="str">
        <f t="shared" si="39"/>
        <v>47584</v>
      </c>
      <c r="AE274" s="7" t="s">
        <v>1365</v>
      </c>
      <c r="AF274" s="2" t="str">
        <f t="shared" si="41"/>
        <v>Top Thấp</v>
      </c>
    </row>
    <row r="275" spans="1:32">
      <c r="A275" s="24" t="s">
        <v>1455</v>
      </c>
      <c r="B275" s="8" t="s">
        <v>1456</v>
      </c>
      <c r="C275" s="8">
        <v>1.9743825999999999E-2</v>
      </c>
      <c r="D275" s="13" t="s">
        <v>1457</v>
      </c>
      <c r="E275" s="8">
        <v>5.317324E-3</v>
      </c>
      <c r="F275" s="13" t="s">
        <v>1458</v>
      </c>
      <c r="G275" s="13" t="s">
        <v>1459</v>
      </c>
      <c r="H275" s="7" t="s">
        <v>103</v>
      </c>
      <c r="I275" s="7" t="s">
        <v>123</v>
      </c>
      <c r="J275" s="7" t="s">
        <v>1096</v>
      </c>
      <c r="K275" s="11" t="s">
        <v>52</v>
      </c>
      <c r="L275" s="11">
        <v>0.36</v>
      </c>
      <c r="M275" s="12">
        <v>123799</v>
      </c>
      <c r="N275" s="24" t="s">
        <v>1691</v>
      </c>
      <c r="O275" s="7">
        <v>0</v>
      </c>
      <c r="P275" s="7">
        <v>0</v>
      </c>
      <c r="Q275" s="11">
        <v>0.76</v>
      </c>
      <c r="R275" s="12">
        <v>0</v>
      </c>
      <c r="S275" s="8" t="str">
        <f t="shared" si="35"/>
        <v>0</v>
      </c>
      <c r="T275" s="8" t="str">
        <f t="shared" si="36"/>
        <v>0</v>
      </c>
      <c r="U275" s="12">
        <v>0</v>
      </c>
      <c r="V275" s="8" t="str">
        <f t="shared" si="34"/>
        <v>0</v>
      </c>
      <c r="W275" s="25" t="s">
        <v>395</v>
      </c>
      <c r="X275" s="49">
        <v>1742401</v>
      </c>
      <c r="Y275" s="21" t="str">
        <f t="shared" si="37"/>
        <v>1742401</v>
      </c>
      <c r="Z275" s="21">
        <v>9059.2800000000007</v>
      </c>
      <c r="AA275" s="52" t="str">
        <f t="shared" si="38"/>
        <v>9059.28</v>
      </c>
      <c r="AB275" s="21">
        <v>12059.28</v>
      </c>
      <c r="AC275" s="21" t="str">
        <f t="shared" si="40"/>
        <v>12059.28</v>
      </c>
      <c r="AD275" s="21" t="str">
        <f t="shared" si="39"/>
        <v>12059.28</v>
      </c>
      <c r="AE275" s="7" t="s">
        <v>1365</v>
      </c>
      <c r="AF275" s="2" t="str">
        <f t="shared" si="41"/>
        <v>Top Thấp</v>
      </c>
    </row>
    <row r="276" spans="1:32">
      <c r="A276" s="24" t="s">
        <v>1460</v>
      </c>
      <c r="B276" s="8" t="s">
        <v>1461</v>
      </c>
      <c r="C276" s="7">
        <f>281/14131</f>
        <v>1.9885358431816574E-2</v>
      </c>
      <c r="D276" s="27" t="s">
        <v>894</v>
      </c>
      <c r="E276" s="7">
        <f>33/5830</f>
        <v>5.6603773584905656E-3</v>
      </c>
      <c r="F276" s="27" t="s">
        <v>895</v>
      </c>
      <c r="G276" s="7">
        <f>16/960</f>
        <v>1.6666666666666666E-2</v>
      </c>
      <c r="H276" s="7" t="s">
        <v>103</v>
      </c>
      <c r="I276" s="7" t="s">
        <v>123</v>
      </c>
      <c r="J276" s="7" t="s">
        <v>1462</v>
      </c>
      <c r="K276" s="11" t="s">
        <v>52</v>
      </c>
      <c r="L276" s="11">
        <v>0.3</v>
      </c>
      <c r="M276" s="12">
        <v>114900</v>
      </c>
      <c r="N276" s="24" t="s">
        <v>1692</v>
      </c>
      <c r="O276" s="7">
        <v>0</v>
      </c>
      <c r="P276" s="7">
        <v>0</v>
      </c>
      <c r="Q276" s="11">
        <v>0.84</v>
      </c>
      <c r="R276" s="12">
        <v>43000</v>
      </c>
      <c r="S276" s="8" t="str">
        <f t="shared" si="35"/>
        <v>43000</v>
      </c>
      <c r="T276" s="8" t="str">
        <f t="shared" si="36"/>
        <v>43000</v>
      </c>
      <c r="U276" s="12">
        <v>14500</v>
      </c>
      <c r="V276" s="8" t="str">
        <f t="shared" si="34"/>
        <v>14500</v>
      </c>
      <c r="W276" s="25" t="s">
        <v>32</v>
      </c>
      <c r="X276" s="49">
        <v>1621938</v>
      </c>
      <c r="Y276" s="21" t="str">
        <f t="shared" si="37"/>
        <v>1621938</v>
      </c>
      <c r="Z276" s="21">
        <v>6883.95</v>
      </c>
      <c r="AA276" s="52" t="str">
        <f t="shared" si="38"/>
        <v>6883.95</v>
      </c>
      <c r="AB276" s="21">
        <v>8883.9500000000007</v>
      </c>
      <c r="AC276" s="21" t="str">
        <f t="shared" si="40"/>
        <v>8883.95</v>
      </c>
      <c r="AD276" s="21" t="str">
        <f t="shared" si="39"/>
        <v>8883.95</v>
      </c>
      <c r="AE276" s="7" t="s">
        <v>1365</v>
      </c>
      <c r="AF276" s="2" t="str">
        <f t="shared" si="41"/>
        <v>Top Thấp</v>
      </c>
    </row>
    <row r="277" spans="1:32">
      <c r="A277" s="24" t="s">
        <v>1463</v>
      </c>
      <c r="B277" s="8" t="s">
        <v>1464</v>
      </c>
      <c r="C277" s="8">
        <v>2.0026891000000002E-2</v>
      </c>
      <c r="D277" s="13" t="s">
        <v>1465</v>
      </c>
      <c r="E277" s="8">
        <v>3.8061040999999997E-2</v>
      </c>
      <c r="F277" s="13" t="s">
        <v>1466</v>
      </c>
      <c r="G277" s="13" t="s">
        <v>1467</v>
      </c>
      <c r="H277" s="7" t="s">
        <v>49</v>
      </c>
      <c r="I277" s="7" t="s">
        <v>139</v>
      </c>
      <c r="J277" s="24" t="s">
        <v>140</v>
      </c>
      <c r="K277" s="11" t="s">
        <v>52</v>
      </c>
      <c r="L277" s="11">
        <v>0.86</v>
      </c>
      <c r="M277" s="12">
        <v>59024</v>
      </c>
      <c r="N277" s="24" t="s">
        <v>31</v>
      </c>
      <c r="O277" s="7">
        <v>1010</v>
      </c>
      <c r="P277" s="7">
        <v>19</v>
      </c>
      <c r="Q277" s="11">
        <v>0.86</v>
      </c>
      <c r="R277" s="12">
        <v>11900</v>
      </c>
      <c r="S277" s="8" t="str">
        <f t="shared" si="35"/>
        <v>11900</v>
      </c>
      <c r="T277" s="8" t="str">
        <f t="shared" si="36"/>
        <v>11900</v>
      </c>
      <c r="U277" s="12">
        <v>5100</v>
      </c>
      <c r="V277" s="8" t="str">
        <f t="shared" si="34"/>
        <v>5100</v>
      </c>
      <c r="W277" s="8" t="s">
        <v>32</v>
      </c>
      <c r="X277" s="49">
        <v>1632364</v>
      </c>
      <c r="Y277" s="21" t="str">
        <f t="shared" si="37"/>
        <v>1632364</v>
      </c>
      <c r="Z277" s="21">
        <v>34636.339999999997</v>
      </c>
      <c r="AA277" s="52" t="str">
        <f t="shared" si="38"/>
        <v>34636.34</v>
      </c>
      <c r="AB277" s="21">
        <v>38636.339999999997</v>
      </c>
      <c r="AC277" s="21" t="str">
        <f t="shared" si="40"/>
        <v>38636.34</v>
      </c>
      <c r="AD277" s="21" t="str">
        <f t="shared" si="39"/>
        <v>38636.34</v>
      </c>
      <c r="AE277" s="7" t="s">
        <v>1365</v>
      </c>
      <c r="AF277" s="2" t="str">
        <f t="shared" si="41"/>
        <v>Top Thấp</v>
      </c>
    </row>
    <row r="278" spans="1:32">
      <c r="A278" s="24" t="s">
        <v>1468</v>
      </c>
      <c r="B278" s="8" t="s">
        <v>1469</v>
      </c>
      <c r="C278" s="8">
        <v>2.0097658000000001E-2</v>
      </c>
      <c r="D278" s="13" t="s">
        <v>1470</v>
      </c>
      <c r="E278" s="8">
        <v>3.8420108000000001E-2</v>
      </c>
      <c r="F278" s="13" t="s">
        <v>1471</v>
      </c>
      <c r="G278" s="13" t="s">
        <v>1472</v>
      </c>
      <c r="H278" s="7" t="s">
        <v>49</v>
      </c>
      <c r="I278" s="7" t="s">
        <v>802</v>
      </c>
      <c r="J278" s="24" t="s">
        <v>1708</v>
      </c>
      <c r="K278" s="11" t="s">
        <v>52</v>
      </c>
      <c r="L278" s="11">
        <v>0.69</v>
      </c>
      <c r="M278" s="12">
        <v>73145</v>
      </c>
      <c r="N278" s="24" t="s">
        <v>187</v>
      </c>
      <c r="O278" s="7">
        <v>0</v>
      </c>
      <c r="P278" s="7">
        <v>0</v>
      </c>
      <c r="Q278" s="11">
        <v>0.85</v>
      </c>
      <c r="R278" s="12">
        <v>0</v>
      </c>
      <c r="S278" s="8" t="str">
        <f t="shared" si="35"/>
        <v>0</v>
      </c>
      <c r="T278" s="8" t="str">
        <f t="shared" si="36"/>
        <v>0</v>
      </c>
      <c r="U278" s="12">
        <v>0</v>
      </c>
      <c r="V278" s="8" t="str">
        <f t="shared" si="34"/>
        <v>0</v>
      </c>
      <c r="W278" s="25" t="s">
        <v>32</v>
      </c>
      <c r="X278" s="49">
        <v>1321505</v>
      </c>
      <c r="Y278" s="21" t="str">
        <f t="shared" si="37"/>
        <v>1321505</v>
      </c>
      <c r="Z278" s="21">
        <v>16989.189999999999</v>
      </c>
      <c r="AA278" s="52" t="str">
        <f t="shared" si="38"/>
        <v>16989.19</v>
      </c>
      <c r="AB278" s="21">
        <v>19989.189999999999</v>
      </c>
      <c r="AC278" s="21" t="str">
        <f t="shared" si="40"/>
        <v>19989.19</v>
      </c>
      <c r="AD278" s="21" t="str">
        <f t="shared" si="39"/>
        <v>19989.19</v>
      </c>
      <c r="AE278" s="7" t="s">
        <v>1365</v>
      </c>
      <c r="AF278" s="2" t="str">
        <f t="shared" si="41"/>
        <v>Top Thấp</v>
      </c>
    </row>
    <row r="279" spans="1:32">
      <c r="A279" s="24" t="s">
        <v>1473</v>
      </c>
      <c r="B279" s="8" t="s">
        <v>1474</v>
      </c>
      <c r="C279" s="8">
        <v>2.0168424000000001E-2</v>
      </c>
      <c r="D279" s="13" t="s">
        <v>1475</v>
      </c>
      <c r="E279" s="8">
        <v>5.8319039999999997E-3</v>
      </c>
      <c r="F279" s="13" t="s">
        <v>1476</v>
      </c>
      <c r="G279" s="13" t="s">
        <v>1477</v>
      </c>
      <c r="H279" s="7" t="s">
        <v>103</v>
      </c>
      <c r="I279" s="7" t="s">
        <v>176</v>
      </c>
      <c r="J279" s="24" t="s">
        <v>177</v>
      </c>
      <c r="K279" s="11" t="s">
        <v>52</v>
      </c>
      <c r="L279" s="11">
        <v>0.17</v>
      </c>
      <c r="M279" s="12">
        <v>60493</v>
      </c>
      <c r="N279" s="24" t="s">
        <v>463</v>
      </c>
      <c r="O279" s="7">
        <v>1380</v>
      </c>
      <c r="P279" s="7">
        <v>30</v>
      </c>
      <c r="Q279" s="11">
        <v>0.82</v>
      </c>
      <c r="R279" s="12">
        <v>42900</v>
      </c>
      <c r="S279" s="8" t="str">
        <f t="shared" si="35"/>
        <v>42900</v>
      </c>
      <c r="T279" s="8" t="str">
        <f t="shared" si="36"/>
        <v>42900</v>
      </c>
      <c r="U279" s="12">
        <v>8300</v>
      </c>
      <c r="V279" s="8" t="str">
        <f t="shared" si="34"/>
        <v>8300</v>
      </c>
      <c r="W279" s="25" t="s">
        <v>395</v>
      </c>
      <c r="X279" s="49">
        <v>722280</v>
      </c>
      <c r="Y279" s="21" t="str">
        <f t="shared" si="37"/>
        <v>722280</v>
      </c>
      <c r="Z279" s="21">
        <v>47195.65</v>
      </c>
      <c r="AA279" s="52" t="str">
        <f t="shared" si="38"/>
        <v>47195.65</v>
      </c>
      <c r="AB279" s="21">
        <v>49195.65</v>
      </c>
      <c r="AC279" s="21" t="str">
        <f t="shared" si="40"/>
        <v>49195.65</v>
      </c>
      <c r="AD279" s="21" t="str">
        <f t="shared" si="39"/>
        <v>49195.65</v>
      </c>
      <c r="AE279" s="7" t="s">
        <v>1365</v>
      </c>
      <c r="AF279" s="2" t="str">
        <f t="shared" si="41"/>
        <v>Top Thấp</v>
      </c>
    </row>
    <row r="280" spans="1:32">
      <c r="A280" s="24" t="s">
        <v>1478</v>
      </c>
      <c r="B280" s="8" t="s">
        <v>1479</v>
      </c>
      <c r="C280" s="8">
        <v>2.0309957E-2</v>
      </c>
      <c r="D280" s="13" t="s">
        <v>1480</v>
      </c>
      <c r="E280" s="8">
        <v>4.9287640000000001E-2</v>
      </c>
      <c r="F280" s="13" t="s">
        <v>1481</v>
      </c>
      <c r="G280" s="13" t="s">
        <v>1482</v>
      </c>
      <c r="H280" s="7" t="s">
        <v>28</v>
      </c>
      <c r="I280" s="7" t="s">
        <v>306</v>
      </c>
      <c r="J280" s="24" t="s">
        <v>274</v>
      </c>
      <c r="K280" s="11" t="s">
        <v>52</v>
      </c>
      <c r="L280" s="7">
        <v>0.16</v>
      </c>
      <c r="M280" s="7">
        <v>37240</v>
      </c>
      <c r="N280" s="7" t="s">
        <v>31</v>
      </c>
      <c r="O280" s="7">
        <v>1270</v>
      </c>
      <c r="P280" s="7">
        <v>26</v>
      </c>
      <c r="Q280" s="11">
        <v>0.99</v>
      </c>
      <c r="R280" s="12">
        <v>18400</v>
      </c>
      <c r="S280" s="8" t="str">
        <f t="shared" si="35"/>
        <v>18400</v>
      </c>
      <c r="T280" s="8" t="str">
        <f t="shared" si="36"/>
        <v>18400</v>
      </c>
      <c r="U280" s="12">
        <v>3300</v>
      </c>
      <c r="V280" s="8" t="str">
        <f t="shared" si="34"/>
        <v>3300</v>
      </c>
      <c r="W280" s="8" t="s">
        <v>32</v>
      </c>
      <c r="X280" s="49">
        <v>1214909</v>
      </c>
      <c r="Y280" s="21" t="str">
        <f t="shared" si="37"/>
        <v>1214909</v>
      </c>
      <c r="Z280" s="21">
        <v>40607</v>
      </c>
      <c r="AA280" s="52" t="str">
        <f t="shared" si="38"/>
        <v>40607</v>
      </c>
      <c r="AB280" s="21">
        <v>50607</v>
      </c>
      <c r="AC280" s="21" t="str">
        <f t="shared" si="40"/>
        <v>50607</v>
      </c>
      <c r="AD280" s="21" t="str">
        <f t="shared" si="39"/>
        <v>50607</v>
      </c>
      <c r="AE280" s="7" t="s">
        <v>1365</v>
      </c>
      <c r="AF280" s="2" t="str">
        <f t="shared" si="41"/>
        <v>Top Thấp</v>
      </c>
    </row>
    <row r="281" spans="1:32">
      <c r="A281" s="7" t="s">
        <v>1483</v>
      </c>
      <c r="B281" s="8" t="s">
        <v>1484</v>
      </c>
      <c r="C281" s="8">
        <v>2.0380723E-2</v>
      </c>
      <c r="D281" s="13" t="s">
        <v>1485</v>
      </c>
      <c r="E281" s="8">
        <v>3.8779174E-2</v>
      </c>
      <c r="F281" s="13" t="s">
        <v>1486</v>
      </c>
      <c r="G281" s="13" t="s">
        <v>1487</v>
      </c>
      <c r="H281" s="7" t="s">
        <v>49</v>
      </c>
      <c r="I281" s="7" t="s">
        <v>1709</v>
      </c>
      <c r="J281" s="7" t="s">
        <v>1710</v>
      </c>
      <c r="K281" s="11" t="s">
        <v>52</v>
      </c>
      <c r="L281" s="7">
        <v>0.25</v>
      </c>
      <c r="M281" s="12">
        <v>65335</v>
      </c>
      <c r="N281" s="12" t="s">
        <v>1693</v>
      </c>
      <c r="O281" s="7">
        <v>0</v>
      </c>
      <c r="P281" s="7">
        <v>19</v>
      </c>
      <c r="Q281" s="11">
        <v>0.76</v>
      </c>
      <c r="R281" s="7">
        <v>44400</v>
      </c>
      <c r="S281" s="8" t="str">
        <f t="shared" si="35"/>
        <v>44400</v>
      </c>
      <c r="T281" s="8" t="str">
        <f t="shared" si="36"/>
        <v>44400</v>
      </c>
      <c r="U281" s="7">
        <v>6200</v>
      </c>
      <c r="V281" s="8" t="str">
        <f t="shared" si="34"/>
        <v>6200</v>
      </c>
      <c r="W281" s="8" t="s">
        <v>32</v>
      </c>
      <c r="X281" s="49">
        <v>871100</v>
      </c>
      <c r="Y281" s="21" t="str">
        <f t="shared" si="37"/>
        <v>871100</v>
      </c>
      <c r="Z281" s="21">
        <v>9070.2900000000009</v>
      </c>
      <c r="AA281" s="52" t="str">
        <f t="shared" si="38"/>
        <v>9070.29</v>
      </c>
      <c r="AB281" s="21">
        <v>11070.29</v>
      </c>
      <c r="AC281" s="21" t="str">
        <f t="shared" si="40"/>
        <v>11070.29</v>
      </c>
      <c r="AD281" s="21" t="str">
        <f t="shared" si="39"/>
        <v>11070.29</v>
      </c>
      <c r="AE281" s="7" t="s">
        <v>1365</v>
      </c>
      <c r="AF281" s="2" t="str">
        <f t="shared" si="41"/>
        <v>Top Thấp</v>
      </c>
    </row>
    <row r="282" spans="1:32">
      <c r="A282" s="7" t="s">
        <v>1488</v>
      </c>
      <c r="B282" s="8" t="s">
        <v>1489</v>
      </c>
      <c r="C282" s="7">
        <f>290/14131</f>
        <v>2.0522256032835608E-2</v>
      </c>
      <c r="D282" s="9" t="s">
        <v>1490</v>
      </c>
      <c r="E282" s="7">
        <f>107/2597</f>
        <v>4.1201386214863307E-2</v>
      </c>
      <c r="F282" s="9" t="s">
        <v>1491</v>
      </c>
      <c r="G282" s="7">
        <f>94/2496</f>
        <v>3.7660256410256408E-2</v>
      </c>
      <c r="H282" s="7" t="s">
        <v>49</v>
      </c>
      <c r="I282" s="7" t="s">
        <v>139</v>
      </c>
      <c r="J282" s="7" t="s">
        <v>1492</v>
      </c>
      <c r="K282" s="11" t="s">
        <v>52</v>
      </c>
      <c r="L282" s="11">
        <v>0.31</v>
      </c>
      <c r="M282" s="12">
        <v>65591</v>
      </c>
      <c r="N282" s="7" t="s">
        <v>31</v>
      </c>
      <c r="O282" s="7">
        <v>1290</v>
      </c>
      <c r="P282" s="7">
        <v>27</v>
      </c>
      <c r="Q282" s="11">
        <v>0.72</v>
      </c>
      <c r="R282" s="7">
        <v>18795</v>
      </c>
      <c r="S282" s="8" t="str">
        <f t="shared" si="35"/>
        <v>18795</v>
      </c>
      <c r="T282" s="8" t="str">
        <f t="shared" si="36"/>
        <v>18795</v>
      </c>
      <c r="U282" s="7">
        <v>5055</v>
      </c>
      <c r="V282" s="8" t="str">
        <f t="shared" si="34"/>
        <v>5055</v>
      </c>
      <c r="W282" s="8" t="s">
        <v>32</v>
      </c>
      <c r="X282" s="49">
        <v>1516140</v>
      </c>
      <c r="Y282" s="21" t="str">
        <f t="shared" si="37"/>
        <v>1516140</v>
      </c>
      <c r="Z282" s="21">
        <v>43213.36</v>
      </c>
      <c r="AA282" s="52" t="str">
        <f t="shared" si="38"/>
        <v>43213.36</v>
      </c>
      <c r="AB282" s="21">
        <v>45213.36</v>
      </c>
      <c r="AC282" s="21" t="str">
        <f t="shared" si="40"/>
        <v>45213.36</v>
      </c>
      <c r="AD282" s="21" t="str">
        <f t="shared" si="39"/>
        <v>45213.36</v>
      </c>
      <c r="AE282" s="7" t="s">
        <v>1365</v>
      </c>
      <c r="AF282" s="2" t="str">
        <f t="shared" si="41"/>
        <v>Top Thấp</v>
      </c>
    </row>
    <row r="283" spans="1:32">
      <c r="A283" s="7" t="s">
        <v>1495</v>
      </c>
      <c r="B283" s="8" t="s">
        <v>1496</v>
      </c>
      <c r="C283" s="7">
        <f>292/14131</f>
        <v>2.0663788833062063E-2</v>
      </c>
      <c r="D283" s="9" t="s">
        <v>1497</v>
      </c>
      <c r="E283" s="7">
        <f>21/5830</f>
        <v>3.6020583190394511E-3</v>
      </c>
      <c r="F283" s="9" t="s">
        <v>1498</v>
      </c>
      <c r="G283" s="7">
        <f>8/719</f>
        <v>1.1126564673157162E-2</v>
      </c>
      <c r="H283" s="7" t="s">
        <v>49</v>
      </c>
      <c r="I283" s="7" t="s">
        <v>752</v>
      </c>
      <c r="J283" s="7" t="s">
        <v>1499</v>
      </c>
      <c r="K283" s="11" t="s">
        <v>52</v>
      </c>
      <c r="L283" s="11">
        <v>0.34</v>
      </c>
      <c r="M283" s="12">
        <v>57906</v>
      </c>
      <c r="N283" s="7" t="s">
        <v>754</v>
      </c>
      <c r="O283" s="7">
        <v>0</v>
      </c>
      <c r="P283" s="7">
        <v>0</v>
      </c>
      <c r="Q283" s="11">
        <v>0.49</v>
      </c>
      <c r="R283" s="7">
        <v>0</v>
      </c>
      <c r="S283" s="8" t="str">
        <f t="shared" si="35"/>
        <v>0</v>
      </c>
      <c r="T283" s="8" t="str">
        <f t="shared" si="36"/>
        <v>0</v>
      </c>
      <c r="U283" s="7">
        <v>0</v>
      </c>
      <c r="V283" s="8" t="str">
        <f t="shared" si="34"/>
        <v>0</v>
      </c>
      <c r="W283" s="8" t="s">
        <v>32</v>
      </c>
      <c r="X283" s="49">
        <v>1947755</v>
      </c>
      <c r="Y283" s="21" t="str">
        <f t="shared" si="37"/>
        <v>1947755</v>
      </c>
      <c r="Z283" s="21">
        <v>10443.94</v>
      </c>
      <c r="AA283" s="52" t="str">
        <f t="shared" si="38"/>
        <v>10443.94</v>
      </c>
      <c r="AB283" s="21">
        <v>16543.939999999999</v>
      </c>
      <c r="AC283" s="21" t="str">
        <f t="shared" si="40"/>
        <v>16543.94</v>
      </c>
      <c r="AD283" s="21" t="str">
        <f t="shared" si="39"/>
        <v>16543.94</v>
      </c>
      <c r="AE283" s="7" t="s">
        <v>1365</v>
      </c>
      <c r="AF283" s="2" t="str">
        <f t="shared" si="41"/>
        <v>Top Thấp</v>
      </c>
    </row>
    <row r="284" spans="1:32">
      <c r="A284" s="7" t="s">
        <v>1500</v>
      </c>
      <c r="B284" s="8" t="s">
        <v>1501</v>
      </c>
      <c r="C284" s="8">
        <v>2.0734555000000002E-2</v>
      </c>
      <c r="D284" s="13" t="s">
        <v>1502</v>
      </c>
      <c r="E284" s="8">
        <v>6.174957E-3</v>
      </c>
      <c r="F284" s="13" t="s">
        <v>1503</v>
      </c>
      <c r="G284" s="13" t="s">
        <v>1504</v>
      </c>
      <c r="H284" s="7" t="s">
        <v>103</v>
      </c>
      <c r="I284" s="7" t="s">
        <v>104</v>
      </c>
      <c r="J284" s="7" t="s">
        <v>887</v>
      </c>
      <c r="K284" s="11" t="s">
        <v>52</v>
      </c>
      <c r="L284" s="11">
        <v>0.18</v>
      </c>
      <c r="M284" s="12">
        <v>121961</v>
      </c>
      <c r="N284" s="7" t="s">
        <v>1694</v>
      </c>
      <c r="O284" s="7">
        <v>0</v>
      </c>
      <c r="P284" s="7">
        <v>0</v>
      </c>
      <c r="Q284" s="11">
        <v>0.56000000000000005</v>
      </c>
      <c r="R284" s="7">
        <v>26700</v>
      </c>
      <c r="S284" s="8" t="str">
        <f t="shared" si="35"/>
        <v>26700</v>
      </c>
      <c r="T284" s="8" t="str">
        <f t="shared" si="36"/>
        <v>26700</v>
      </c>
      <c r="U284" s="7">
        <v>12000</v>
      </c>
      <c r="V284" s="8" t="str">
        <f t="shared" si="34"/>
        <v>12000</v>
      </c>
      <c r="W284" s="8" t="s">
        <v>32</v>
      </c>
      <c r="X284" s="49">
        <v>2197857</v>
      </c>
      <c r="Y284" s="21" t="str">
        <f t="shared" si="37"/>
        <v>2197857</v>
      </c>
      <c r="Z284" s="21">
        <v>6277.89</v>
      </c>
      <c r="AA284" s="52" t="str">
        <f t="shared" si="38"/>
        <v>6277.89</v>
      </c>
      <c r="AB284" s="21">
        <v>10277.89</v>
      </c>
      <c r="AC284" s="21" t="str">
        <f t="shared" si="40"/>
        <v>10277.89</v>
      </c>
      <c r="AD284" s="21" t="str">
        <f t="shared" si="39"/>
        <v>10277.89</v>
      </c>
      <c r="AE284" s="7" t="s">
        <v>1365</v>
      </c>
      <c r="AF284" s="2" t="str">
        <f t="shared" si="41"/>
        <v>Top Thấp</v>
      </c>
    </row>
    <row r="285" spans="1:32">
      <c r="A285" s="7" t="s">
        <v>1505</v>
      </c>
      <c r="B285" s="8" t="s">
        <v>1506</v>
      </c>
      <c r="C285" s="8">
        <v>2.0805322000000001E-2</v>
      </c>
      <c r="D285" s="13" t="s">
        <v>1507</v>
      </c>
      <c r="E285" s="8">
        <v>0.20338983099999999</v>
      </c>
      <c r="F285" s="13" t="s">
        <v>1508</v>
      </c>
      <c r="G285" s="13" t="s">
        <v>1509</v>
      </c>
      <c r="H285" s="7" t="s">
        <v>452</v>
      </c>
      <c r="I285" s="7" t="s">
        <v>928</v>
      </c>
      <c r="J285" s="7" t="s">
        <v>1713</v>
      </c>
      <c r="K285" s="11" t="s">
        <v>52</v>
      </c>
      <c r="L285" s="7">
        <v>0.59</v>
      </c>
      <c r="M285" s="12">
        <v>63615</v>
      </c>
      <c r="N285" s="7" t="s">
        <v>31</v>
      </c>
      <c r="O285" s="7">
        <v>1210</v>
      </c>
      <c r="P285" s="7">
        <v>27</v>
      </c>
      <c r="Q285" s="11">
        <v>0.72</v>
      </c>
      <c r="R285" s="7">
        <v>15700</v>
      </c>
      <c r="S285" s="8" t="str">
        <f t="shared" si="35"/>
        <v>15700</v>
      </c>
      <c r="T285" s="8" t="str">
        <f t="shared" si="36"/>
        <v>15700</v>
      </c>
      <c r="U285" s="7">
        <v>5800</v>
      </c>
      <c r="V285" s="8" t="str">
        <f t="shared" si="34"/>
        <v>5800</v>
      </c>
      <c r="W285" s="8" t="s">
        <v>395</v>
      </c>
      <c r="X285" s="49">
        <v>1667772</v>
      </c>
      <c r="Y285" s="21" t="str">
        <f t="shared" si="37"/>
        <v>1667772</v>
      </c>
      <c r="Z285" s="21">
        <v>33120</v>
      </c>
      <c r="AA285" s="52" t="str">
        <f t="shared" si="38"/>
        <v>33120</v>
      </c>
      <c r="AB285" s="21">
        <v>38120</v>
      </c>
      <c r="AC285" s="21" t="str">
        <f t="shared" si="40"/>
        <v>38120</v>
      </c>
      <c r="AD285" s="21" t="str">
        <f t="shared" si="39"/>
        <v>38120</v>
      </c>
      <c r="AE285" s="7" t="s">
        <v>1365</v>
      </c>
      <c r="AF285" s="2" t="str">
        <f t="shared" si="41"/>
        <v>Top Thấp</v>
      </c>
    </row>
    <row r="286" spans="1:32">
      <c r="A286" s="7" t="s">
        <v>1510</v>
      </c>
      <c r="B286" s="8" t="s">
        <v>1511</v>
      </c>
      <c r="C286" s="8">
        <v>2.1088387E-2</v>
      </c>
      <c r="D286" s="13" t="s">
        <v>1512</v>
      </c>
      <c r="E286" s="8">
        <v>5.0442819E-2</v>
      </c>
      <c r="F286" s="13" t="s">
        <v>1513</v>
      </c>
      <c r="G286" s="13" t="s">
        <v>1514</v>
      </c>
      <c r="H286" s="7" t="s">
        <v>28</v>
      </c>
      <c r="I286" s="7" t="s">
        <v>29</v>
      </c>
      <c r="J286" s="7" t="s">
        <v>114</v>
      </c>
      <c r="K286" s="46" t="s">
        <v>68</v>
      </c>
      <c r="L286" s="11">
        <v>0.25</v>
      </c>
      <c r="M286" s="12">
        <v>58167</v>
      </c>
      <c r="N286" s="7" t="s">
        <v>31</v>
      </c>
      <c r="O286" s="7">
        <v>1290</v>
      </c>
      <c r="P286" s="7">
        <v>31</v>
      </c>
      <c r="Q286" s="11">
        <v>0.41</v>
      </c>
      <c r="R286" s="12">
        <v>5472</v>
      </c>
      <c r="S286" s="8" t="str">
        <f t="shared" si="35"/>
        <v>5472</v>
      </c>
      <c r="T286" s="8" t="str">
        <f t="shared" si="36"/>
        <v>5472</v>
      </c>
      <c r="U286" s="12">
        <v>3475</v>
      </c>
      <c r="V286" s="8" t="str">
        <f t="shared" si="34"/>
        <v>3475</v>
      </c>
      <c r="W286" s="8" t="s">
        <v>32</v>
      </c>
      <c r="X286" s="49">
        <v>1972809</v>
      </c>
      <c r="Y286" s="21" t="str">
        <f t="shared" si="37"/>
        <v>1972809</v>
      </c>
      <c r="Z286" s="21">
        <v>53244</v>
      </c>
      <c r="AA286" s="52" t="str">
        <f t="shared" si="38"/>
        <v>53244</v>
      </c>
      <c r="AB286" s="21">
        <v>24643</v>
      </c>
      <c r="AC286" s="21" t="str">
        <f t="shared" si="40"/>
        <v>24643</v>
      </c>
      <c r="AD286" s="21" t="str">
        <f t="shared" si="39"/>
        <v>24643</v>
      </c>
      <c r="AE286" s="7" t="s">
        <v>1365</v>
      </c>
      <c r="AF286" s="2" t="str">
        <f t="shared" si="41"/>
        <v>Top Thấp</v>
      </c>
    </row>
    <row r="287" spans="1:32">
      <c r="A287" s="7" t="s">
        <v>1515</v>
      </c>
      <c r="B287" s="8" t="s">
        <v>1516</v>
      </c>
      <c r="C287" s="7">
        <f>301/14131</f>
        <v>2.1300686434081097E-2</v>
      </c>
      <c r="D287" s="9" t="s">
        <v>960</v>
      </c>
      <c r="E287" s="7">
        <f>79/2597</f>
        <v>3.0419715055833654E-2</v>
      </c>
      <c r="F287" s="9" t="s">
        <v>961</v>
      </c>
      <c r="G287" s="7">
        <f>9/101</f>
        <v>8.9108910891089105E-2</v>
      </c>
      <c r="H287" s="7" t="s">
        <v>28</v>
      </c>
      <c r="I287" s="7" t="s">
        <v>29</v>
      </c>
      <c r="J287" s="7" t="s">
        <v>519</v>
      </c>
      <c r="K287" s="11" t="s">
        <v>52</v>
      </c>
      <c r="L287" s="11">
        <v>1</v>
      </c>
      <c r="M287" s="12">
        <v>45471</v>
      </c>
      <c r="N287" s="7" t="s">
        <v>31</v>
      </c>
      <c r="O287" s="7">
        <v>1170</v>
      </c>
      <c r="P287" s="7">
        <v>23</v>
      </c>
      <c r="Q287" s="11">
        <v>0.97</v>
      </c>
      <c r="R287" s="12">
        <v>28985</v>
      </c>
      <c r="S287" s="8" t="str">
        <f t="shared" si="35"/>
        <v>28985</v>
      </c>
      <c r="T287" s="8" t="str">
        <f t="shared" si="36"/>
        <v>28985</v>
      </c>
      <c r="U287" s="12">
        <v>7988</v>
      </c>
      <c r="V287" s="8" t="str">
        <f t="shared" si="34"/>
        <v>7988</v>
      </c>
      <c r="W287" s="8" t="s">
        <v>32</v>
      </c>
      <c r="X287" s="49">
        <v>1058000</v>
      </c>
      <c r="Y287" s="21" t="str">
        <f t="shared" si="37"/>
        <v>1058000</v>
      </c>
      <c r="Z287" s="21">
        <v>9831</v>
      </c>
      <c r="AA287" s="52" t="str">
        <f t="shared" si="38"/>
        <v>9831</v>
      </c>
      <c r="AB287" s="21">
        <v>11831</v>
      </c>
      <c r="AC287" s="21" t="str">
        <f t="shared" si="40"/>
        <v>11831</v>
      </c>
      <c r="AD287" s="21" t="str">
        <f t="shared" si="39"/>
        <v>11831</v>
      </c>
      <c r="AE287" s="7" t="s">
        <v>1517</v>
      </c>
      <c r="AF287" s="2" t="str">
        <f t="shared" si="41"/>
        <v>Top Thấp</v>
      </c>
    </row>
    <row r="288" spans="1:32">
      <c r="A288" s="37" t="s">
        <v>1518</v>
      </c>
      <c r="B288" s="8" t="s">
        <v>1519</v>
      </c>
      <c r="C288" s="7">
        <f>303/14131</f>
        <v>2.1442219234307551E-2</v>
      </c>
      <c r="D288" s="9" t="s">
        <v>1520</v>
      </c>
      <c r="E288" s="7">
        <f>132/2597</f>
        <v>5.0827878321139774E-2</v>
      </c>
      <c r="F288" s="9" t="s">
        <v>1521</v>
      </c>
      <c r="G288" s="7">
        <f>113/2496</f>
        <v>4.5272435897435896E-2</v>
      </c>
      <c r="H288" s="7" t="s">
        <v>49</v>
      </c>
      <c r="I288" s="7" t="s">
        <v>1522</v>
      </c>
      <c r="J288" s="7" t="s">
        <v>1523</v>
      </c>
      <c r="K288" s="11" t="s">
        <v>52</v>
      </c>
      <c r="L288" s="11">
        <v>0.34</v>
      </c>
      <c r="M288" s="12">
        <v>57123</v>
      </c>
      <c r="N288" s="7" t="s">
        <v>31</v>
      </c>
      <c r="O288" s="7">
        <v>1300</v>
      </c>
      <c r="P288" s="7">
        <v>30</v>
      </c>
      <c r="Q288" s="11">
        <v>0.72</v>
      </c>
      <c r="R288" s="7">
        <v>11800</v>
      </c>
      <c r="S288" s="8" t="str">
        <f t="shared" si="35"/>
        <v>11800</v>
      </c>
      <c r="T288" s="8" t="str">
        <f t="shared" si="36"/>
        <v>11800</v>
      </c>
      <c r="U288" s="7">
        <v>4800</v>
      </c>
      <c r="V288" s="8" t="str">
        <f t="shared" si="34"/>
        <v>4800</v>
      </c>
      <c r="W288" s="8" t="s">
        <v>395</v>
      </c>
      <c r="X288" s="49">
        <v>1703016</v>
      </c>
      <c r="Y288" s="21" t="str">
        <f t="shared" si="37"/>
        <v>1703016</v>
      </c>
      <c r="Z288" s="21">
        <v>20642.580000000002</v>
      </c>
      <c r="AA288" s="52" t="str">
        <f t="shared" si="38"/>
        <v>20642.58</v>
      </c>
      <c r="AB288" s="21">
        <v>23642.58</v>
      </c>
      <c r="AC288" s="21" t="str">
        <f t="shared" si="40"/>
        <v>23642.58</v>
      </c>
      <c r="AD288" s="21" t="str">
        <f t="shared" si="39"/>
        <v>23642.58</v>
      </c>
      <c r="AE288" s="7" t="s">
        <v>1517</v>
      </c>
      <c r="AF288" s="2" t="str">
        <f t="shared" si="41"/>
        <v>Top Thấp</v>
      </c>
    </row>
    <row r="289" spans="1:32">
      <c r="A289" s="37" t="s">
        <v>1524</v>
      </c>
      <c r="B289" s="8" t="s">
        <v>1525</v>
      </c>
      <c r="C289" s="7">
        <f>305/14131</f>
        <v>2.1583752034534002E-2</v>
      </c>
      <c r="D289" s="8" t="s">
        <v>687</v>
      </c>
      <c r="E289" s="7">
        <f>58/2597</f>
        <v>2.2333461686561418E-2</v>
      </c>
      <c r="F289" s="9" t="s">
        <v>688</v>
      </c>
      <c r="G289" s="7">
        <f>54/2496</f>
        <v>2.1634615384615384E-2</v>
      </c>
      <c r="H289" s="7" t="s">
        <v>156</v>
      </c>
      <c r="I289" s="7" t="s">
        <v>166</v>
      </c>
      <c r="J289" s="7" t="s">
        <v>167</v>
      </c>
      <c r="K289" s="11" t="s">
        <v>52</v>
      </c>
      <c r="L289" s="11">
        <v>0.09</v>
      </c>
      <c r="M289" s="12">
        <v>89162</v>
      </c>
      <c r="N289" s="7" t="s">
        <v>427</v>
      </c>
      <c r="O289" s="7">
        <v>0</v>
      </c>
      <c r="P289" s="7">
        <v>0</v>
      </c>
      <c r="Q289" s="11">
        <v>0.55000000000000004</v>
      </c>
      <c r="R289" s="7">
        <v>30960</v>
      </c>
      <c r="S289" s="8" t="str">
        <f t="shared" si="35"/>
        <v>30960</v>
      </c>
      <c r="T289" s="8" t="str">
        <f t="shared" si="36"/>
        <v>30960</v>
      </c>
      <c r="U289" s="7">
        <v>14840</v>
      </c>
      <c r="V289" s="8" t="str">
        <f t="shared" si="34"/>
        <v>14840</v>
      </c>
      <c r="W289" s="8" t="s">
        <v>32</v>
      </c>
      <c r="X289" s="49">
        <v>1071380</v>
      </c>
      <c r="Y289" s="21" t="str">
        <f t="shared" si="37"/>
        <v>1071380</v>
      </c>
      <c r="Z289" s="21">
        <v>6650.41</v>
      </c>
      <c r="AA289" s="52" t="str">
        <f t="shared" si="38"/>
        <v>6650.41</v>
      </c>
      <c r="AB289" s="21">
        <v>9650.41</v>
      </c>
      <c r="AC289" s="21" t="str">
        <f t="shared" si="40"/>
        <v>9650.41</v>
      </c>
      <c r="AD289" s="21" t="str">
        <f t="shared" si="39"/>
        <v>9650.41</v>
      </c>
      <c r="AE289" s="7" t="s">
        <v>1517</v>
      </c>
      <c r="AF289" s="2" t="str">
        <f t="shared" si="41"/>
        <v>Top Thấp</v>
      </c>
    </row>
    <row r="290" spans="1:32">
      <c r="A290" s="7" t="s">
        <v>1526</v>
      </c>
      <c r="B290" s="8" t="s">
        <v>1527</v>
      </c>
      <c r="C290" s="7">
        <f>309/14131</f>
        <v>2.1866817634986907E-2</v>
      </c>
      <c r="D290" s="9" t="s">
        <v>783</v>
      </c>
      <c r="E290" s="7">
        <f>61/2597</f>
        <v>2.3488640739314594E-2</v>
      </c>
      <c r="F290" s="9" t="s">
        <v>784</v>
      </c>
      <c r="G290" s="7">
        <f>557/2496</f>
        <v>0.22315705128205129</v>
      </c>
      <c r="H290" s="7" t="s">
        <v>28</v>
      </c>
      <c r="I290" s="7" t="s">
        <v>29</v>
      </c>
      <c r="J290" s="7" t="s">
        <v>84</v>
      </c>
      <c r="K290" s="46" t="s">
        <v>68</v>
      </c>
      <c r="L290" s="11">
        <v>0.53</v>
      </c>
      <c r="M290" s="12">
        <v>44714</v>
      </c>
      <c r="N290" s="7" t="s">
        <v>31</v>
      </c>
      <c r="O290" s="7">
        <v>1440</v>
      </c>
      <c r="P290" s="7">
        <v>33</v>
      </c>
      <c r="Q290" s="11">
        <v>0.97</v>
      </c>
      <c r="R290" s="12">
        <v>5614</v>
      </c>
      <c r="S290" s="8" t="str">
        <f t="shared" si="35"/>
        <v>5614</v>
      </c>
      <c r="T290" s="8" t="str">
        <f t="shared" si="36"/>
        <v>5614</v>
      </c>
      <c r="U290" s="12">
        <v>1160</v>
      </c>
      <c r="V290" s="8" t="str">
        <f t="shared" si="34"/>
        <v>1160</v>
      </c>
      <c r="W290" s="8" t="s">
        <v>32</v>
      </c>
      <c r="X290" s="49">
        <v>1219166</v>
      </c>
      <c r="Y290" s="21" t="str">
        <f t="shared" si="37"/>
        <v>1219166</v>
      </c>
      <c r="Z290" s="21">
        <v>35754</v>
      </c>
      <c r="AA290" s="52" t="str">
        <f t="shared" si="38"/>
        <v>35754</v>
      </c>
      <c r="AB290" s="21">
        <v>40070</v>
      </c>
      <c r="AC290" s="21" t="str">
        <f t="shared" si="40"/>
        <v>40070</v>
      </c>
      <c r="AD290" s="21" t="str">
        <f t="shared" si="39"/>
        <v>40070</v>
      </c>
      <c r="AE290" s="7" t="s">
        <v>1517</v>
      </c>
      <c r="AF290" s="2" t="str">
        <f t="shared" si="41"/>
        <v>Top Thấp</v>
      </c>
    </row>
    <row r="291" spans="1:32">
      <c r="A291" s="7" t="s">
        <v>1528</v>
      </c>
      <c r="B291" s="8" t="s">
        <v>1529</v>
      </c>
      <c r="C291" s="7">
        <f>310/14131</f>
        <v>2.1937584035100134E-2</v>
      </c>
      <c r="D291" s="9" t="s">
        <v>1015</v>
      </c>
      <c r="E291" s="7">
        <f>86/2597</f>
        <v>3.3115132845591068E-2</v>
      </c>
      <c r="F291" s="9" t="s">
        <v>1530</v>
      </c>
      <c r="G291" s="7">
        <f>7/88</f>
        <v>7.9545454545454544E-2</v>
      </c>
      <c r="H291" s="7" t="s">
        <v>49</v>
      </c>
      <c r="I291" s="7" t="s">
        <v>50</v>
      </c>
      <c r="J291" s="7" t="s">
        <v>51</v>
      </c>
      <c r="K291" s="11" t="s">
        <v>52</v>
      </c>
      <c r="L291" s="11">
        <v>0.6</v>
      </c>
      <c r="M291" s="12">
        <v>52026</v>
      </c>
      <c r="N291" s="7" t="s">
        <v>1686</v>
      </c>
      <c r="O291" s="7">
        <v>0</v>
      </c>
      <c r="P291" s="7">
        <v>0</v>
      </c>
      <c r="Q291" s="11">
        <v>0.56000000000000005</v>
      </c>
      <c r="R291" s="12">
        <v>0</v>
      </c>
      <c r="S291" s="8" t="str">
        <f t="shared" si="35"/>
        <v>0</v>
      </c>
      <c r="T291" s="8" t="str">
        <f t="shared" si="36"/>
        <v>0</v>
      </c>
      <c r="U291" s="12">
        <v>0</v>
      </c>
      <c r="V291" s="8" t="str">
        <f t="shared" si="34"/>
        <v>0</v>
      </c>
      <c r="W291" s="8" t="s">
        <v>32</v>
      </c>
      <c r="X291" s="49">
        <v>1350139</v>
      </c>
      <c r="Y291" s="21" t="str">
        <f t="shared" si="37"/>
        <v>1350139</v>
      </c>
      <c r="Z291" s="21">
        <v>6650.41</v>
      </c>
      <c r="AA291" s="52" t="str">
        <f t="shared" si="38"/>
        <v>6650.41</v>
      </c>
      <c r="AB291" s="21">
        <v>9650.41</v>
      </c>
      <c r="AC291" s="21" t="str">
        <f t="shared" si="40"/>
        <v>9650.41</v>
      </c>
      <c r="AD291" s="21" t="str">
        <f t="shared" si="39"/>
        <v>9650.41</v>
      </c>
      <c r="AE291" s="7" t="s">
        <v>1517</v>
      </c>
      <c r="AF291" s="2" t="str">
        <f t="shared" si="41"/>
        <v>Top Thấp</v>
      </c>
    </row>
    <row r="292" spans="1:32">
      <c r="A292" s="37" t="s">
        <v>1531</v>
      </c>
      <c r="B292" s="8" t="s">
        <v>1532</v>
      </c>
      <c r="C292" s="8">
        <v>2.2432949000000001E-2</v>
      </c>
      <c r="D292" s="13" t="s">
        <v>1533</v>
      </c>
      <c r="E292" s="13" t="s">
        <v>1534</v>
      </c>
      <c r="F292" s="13" t="s">
        <v>1535</v>
      </c>
      <c r="G292" s="13" t="s">
        <v>1536</v>
      </c>
      <c r="H292" s="7" t="s">
        <v>28</v>
      </c>
      <c r="I292" s="7" t="s">
        <v>29</v>
      </c>
      <c r="J292" s="7" t="s">
        <v>594</v>
      </c>
      <c r="K292" s="11" t="s">
        <v>52</v>
      </c>
      <c r="L292" s="7">
        <v>0.17</v>
      </c>
      <c r="M292" s="7">
        <v>80122</v>
      </c>
      <c r="N292" s="7" t="s">
        <v>31</v>
      </c>
      <c r="O292" s="7">
        <v>1260</v>
      </c>
      <c r="P292" s="7">
        <v>27</v>
      </c>
      <c r="Q292" s="11">
        <v>0.72</v>
      </c>
      <c r="R292" s="12">
        <v>92760</v>
      </c>
      <c r="S292" s="8" t="str">
        <f t="shared" si="35"/>
        <v>92760</v>
      </c>
      <c r="T292" s="8" t="str">
        <f t="shared" si="36"/>
        <v>92760</v>
      </c>
      <c r="U292" s="12">
        <v>68500</v>
      </c>
      <c r="V292" s="8" t="str">
        <f t="shared" si="34"/>
        <v>68500</v>
      </c>
      <c r="W292" s="8" t="s">
        <v>32</v>
      </c>
      <c r="X292" s="49">
        <v>1949691</v>
      </c>
      <c r="Y292" s="21" t="str">
        <f t="shared" si="37"/>
        <v>1949691</v>
      </c>
      <c r="Z292" s="21">
        <v>24915.41</v>
      </c>
      <c r="AA292" s="52" t="str">
        <f t="shared" si="38"/>
        <v>24915.41</v>
      </c>
      <c r="AB292" s="21">
        <v>26915.41</v>
      </c>
      <c r="AC292" s="21" t="str">
        <f t="shared" si="40"/>
        <v>26915.41</v>
      </c>
      <c r="AD292" s="21" t="str">
        <f t="shared" si="39"/>
        <v>26915.41</v>
      </c>
      <c r="AE292" s="7" t="s">
        <v>1517</v>
      </c>
      <c r="AF292" s="2" t="str">
        <f t="shared" si="41"/>
        <v>Top Thấp</v>
      </c>
    </row>
    <row r="293" spans="1:32">
      <c r="A293" s="37" t="s">
        <v>1537</v>
      </c>
      <c r="B293" s="8" t="s">
        <v>1538</v>
      </c>
      <c r="C293" s="8">
        <v>2.2999080000000002E-2</v>
      </c>
      <c r="D293" s="13" t="s">
        <v>1539</v>
      </c>
      <c r="E293" s="8">
        <v>4.4883302999999999E-2</v>
      </c>
      <c r="F293" s="13" t="s">
        <v>1540</v>
      </c>
      <c r="G293" s="13" t="s">
        <v>1541</v>
      </c>
      <c r="H293" s="7" t="s">
        <v>49</v>
      </c>
      <c r="I293" s="7" t="s">
        <v>139</v>
      </c>
      <c r="J293" s="7" t="s">
        <v>204</v>
      </c>
      <c r="K293" s="11" t="s">
        <v>52</v>
      </c>
      <c r="L293" s="7">
        <v>0.09</v>
      </c>
      <c r="M293" s="7">
        <v>34363</v>
      </c>
      <c r="N293" s="7" t="s">
        <v>31</v>
      </c>
      <c r="O293" s="7">
        <v>1130</v>
      </c>
      <c r="P293" s="7">
        <v>0</v>
      </c>
      <c r="Q293" s="11">
        <v>0.51</v>
      </c>
      <c r="R293" s="12">
        <v>12260</v>
      </c>
      <c r="S293" s="8" t="str">
        <f t="shared" si="35"/>
        <v>12260</v>
      </c>
      <c r="T293" s="8" t="str">
        <f t="shared" si="36"/>
        <v>12260</v>
      </c>
      <c r="U293" s="12">
        <v>4935</v>
      </c>
      <c r="V293" s="8" t="str">
        <f t="shared" si="34"/>
        <v>4935</v>
      </c>
      <c r="W293" s="8" t="s">
        <v>32</v>
      </c>
      <c r="X293" s="49">
        <v>1510699</v>
      </c>
      <c r="Y293" s="21" t="str">
        <f t="shared" si="37"/>
        <v>1510699</v>
      </c>
      <c r="Z293" s="21">
        <v>19214.32</v>
      </c>
      <c r="AA293" s="52" t="str">
        <f t="shared" si="38"/>
        <v>19214.32</v>
      </c>
      <c r="AB293" s="21">
        <v>29214.32</v>
      </c>
      <c r="AC293" s="21" t="str">
        <f t="shared" si="40"/>
        <v>29214.32</v>
      </c>
      <c r="AD293" s="21" t="str">
        <f t="shared" si="39"/>
        <v>29214.32</v>
      </c>
      <c r="AE293" s="7" t="s">
        <v>1517</v>
      </c>
      <c r="AF293" s="2" t="str">
        <f t="shared" si="41"/>
        <v>Top Thấp</v>
      </c>
    </row>
    <row r="294" spans="1:32">
      <c r="A294" s="7" t="s">
        <v>1542</v>
      </c>
      <c r="B294" s="8" t="s">
        <v>1543</v>
      </c>
      <c r="C294" s="8">
        <v>2.3211379000000001E-2</v>
      </c>
      <c r="D294" s="13" t="s">
        <v>1544</v>
      </c>
      <c r="E294" s="8">
        <v>5.3523295999999998E-2</v>
      </c>
      <c r="F294" s="13" t="s">
        <v>1545</v>
      </c>
      <c r="G294" s="13" t="s">
        <v>1546</v>
      </c>
      <c r="H294" s="7" t="s">
        <v>28</v>
      </c>
      <c r="I294" s="7" t="s">
        <v>29</v>
      </c>
      <c r="J294" s="7" t="s">
        <v>77</v>
      </c>
      <c r="K294" s="7" t="s">
        <v>52</v>
      </c>
      <c r="L294" s="11">
        <v>0.75</v>
      </c>
      <c r="M294" s="12">
        <v>51560</v>
      </c>
      <c r="N294" s="7" t="s">
        <v>31</v>
      </c>
      <c r="O294" s="7">
        <v>1160</v>
      </c>
      <c r="P294" s="7">
        <v>24</v>
      </c>
      <c r="Q294" s="11">
        <v>0.98</v>
      </c>
      <c r="R294" s="12">
        <v>15634</v>
      </c>
      <c r="S294" s="8" t="str">
        <f t="shared" si="35"/>
        <v>15634</v>
      </c>
      <c r="T294" s="8" t="str">
        <f t="shared" si="36"/>
        <v>15634</v>
      </c>
      <c r="U294" s="12">
        <v>6506</v>
      </c>
      <c r="V294" s="8" t="str">
        <f t="shared" si="34"/>
        <v>6506</v>
      </c>
      <c r="W294" s="8" t="s">
        <v>32</v>
      </c>
      <c r="X294" s="49">
        <v>1226128</v>
      </c>
      <c r="Y294" s="21" t="str">
        <f t="shared" si="37"/>
        <v>1226128</v>
      </c>
      <c r="Z294" s="21">
        <v>11245</v>
      </c>
      <c r="AA294" s="52" t="str">
        <f t="shared" si="38"/>
        <v>11245</v>
      </c>
      <c r="AB294" s="21">
        <v>16245</v>
      </c>
      <c r="AC294" s="21" t="str">
        <f t="shared" si="40"/>
        <v>16245</v>
      </c>
      <c r="AD294" s="21" t="str">
        <f t="shared" si="39"/>
        <v>16245</v>
      </c>
      <c r="AE294" s="7" t="s">
        <v>1517</v>
      </c>
      <c r="AF294" s="2" t="str">
        <f t="shared" si="41"/>
        <v>Top Thấp</v>
      </c>
    </row>
    <row r="295" spans="1:32">
      <c r="A295" s="7" t="s">
        <v>1547</v>
      </c>
      <c r="B295" s="8" t="s">
        <v>1548</v>
      </c>
      <c r="C295" s="7">
        <f>342/14131</f>
        <v>2.4202108838723375E-2</v>
      </c>
      <c r="D295" s="9" t="s">
        <v>378</v>
      </c>
      <c r="E295" s="7">
        <f>39/2597</f>
        <v>1.5017327685791297E-2</v>
      </c>
      <c r="F295" s="9" t="s">
        <v>379</v>
      </c>
      <c r="G295" s="7">
        <f>36/2496</f>
        <v>1.4423076923076924E-2</v>
      </c>
      <c r="H295" s="7" t="s">
        <v>28</v>
      </c>
      <c r="I295" s="7" t="s">
        <v>29</v>
      </c>
      <c r="J295" s="7" t="s">
        <v>61</v>
      </c>
      <c r="K295" s="11" t="s">
        <v>52</v>
      </c>
      <c r="L295" s="11">
        <v>0.68</v>
      </c>
      <c r="M295" s="12">
        <v>35768</v>
      </c>
      <c r="N295" s="7" t="s">
        <v>31</v>
      </c>
      <c r="O295" s="7">
        <v>1150</v>
      </c>
      <c r="P295" s="7">
        <v>24</v>
      </c>
      <c r="Q295" s="11">
        <v>0.93</v>
      </c>
      <c r="R295" s="12">
        <v>20216</v>
      </c>
      <c r="S295" s="8" t="str">
        <f t="shared" si="35"/>
        <v>20216</v>
      </c>
      <c r="T295" s="8" t="str">
        <f t="shared" si="36"/>
        <v>20216</v>
      </c>
      <c r="U295" s="12">
        <v>4361</v>
      </c>
      <c r="V295" s="8" t="str">
        <f t="shared" si="34"/>
        <v>4361</v>
      </c>
      <c r="W295" s="8" t="s">
        <v>32</v>
      </c>
      <c r="X295" s="49">
        <v>826621</v>
      </c>
      <c r="Y295" s="21" t="str">
        <f t="shared" si="37"/>
        <v>826621</v>
      </c>
      <c r="Z295" s="21">
        <v>11355</v>
      </c>
      <c r="AA295" s="52" t="str">
        <f t="shared" si="38"/>
        <v>11355</v>
      </c>
      <c r="AB295" s="21">
        <v>15355</v>
      </c>
      <c r="AC295" s="21" t="str">
        <f t="shared" si="40"/>
        <v>15355</v>
      </c>
      <c r="AD295" s="21" t="str">
        <f t="shared" si="39"/>
        <v>15355</v>
      </c>
      <c r="AE295" s="7" t="s">
        <v>1517</v>
      </c>
      <c r="AF295" s="2" t="str">
        <f t="shared" si="41"/>
        <v>Top Thấp</v>
      </c>
    </row>
    <row r="296" spans="1:32">
      <c r="A296" s="35" t="s">
        <v>1549</v>
      </c>
      <c r="B296" s="8" t="s">
        <v>1550</v>
      </c>
      <c r="C296" s="7">
        <f>356/14131</f>
        <v>2.5192838440308542E-2</v>
      </c>
      <c r="D296" s="20" t="s">
        <v>708</v>
      </c>
      <c r="E296" s="7">
        <f>6/59</f>
        <v>0.10169491525423729</v>
      </c>
      <c r="F296" s="9" t="s">
        <v>709</v>
      </c>
      <c r="G296" s="7">
        <f>6/40</f>
        <v>0.15</v>
      </c>
      <c r="H296" s="7" t="s">
        <v>452</v>
      </c>
      <c r="I296" s="7" t="s">
        <v>453</v>
      </c>
      <c r="J296" s="7" t="s">
        <v>454</v>
      </c>
      <c r="K296" s="11" t="s">
        <v>52</v>
      </c>
      <c r="L296" s="11">
        <v>0.67</v>
      </c>
      <c r="M296" s="12">
        <v>41114</v>
      </c>
      <c r="N296" s="7" t="s">
        <v>31</v>
      </c>
      <c r="O296" s="7">
        <v>0</v>
      </c>
      <c r="P296" s="7">
        <v>0</v>
      </c>
      <c r="Q296" s="11">
        <v>0.55000000000000004</v>
      </c>
      <c r="R296" s="12">
        <v>0</v>
      </c>
      <c r="S296" s="8" t="str">
        <f t="shared" si="35"/>
        <v>0</v>
      </c>
      <c r="T296" s="8" t="str">
        <f t="shared" si="36"/>
        <v>0</v>
      </c>
      <c r="U296" s="7">
        <v>0</v>
      </c>
      <c r="V296" s="8" t="str">
        <f t="shared" si="34"/>
        <v>0</v>
      </c>
      <c r="W296" s="8" t="s">
        <v>32</v>
      </c>
      <c r="X296" s="49">
        <v>777481</v>
      </c>
      <c r="Y296" s="21" t="str">
        <f t="shared" si="37"/>
        <v>777481</v>
      </c>
      <c r="Z296" s="21">
        <v>27840</v>
      </c>
      <c r="AA296" s="52" t="str">
        <f t="shared" si="38"/>
        <v>27840</v>
      </c>
      <c r="AB296" s="21">
        <v>29840</v>
      </c>
      <c r="AC296" s="21" t="str">
        <f t="shared" si="40"/>
        <v>29840</v>
      </c>
      <c r="AD296" s="21" t="str">
        <f t="shared" si="39"/>
        <v>29840</v>
      </c>
      <c r="AE296" s="7" t="s">
        <v>1551</v>
      </c>
      <c r="AF296" s="2" t="str">
        <f t="shared" si="41"/>
        <v>Top Thấp</v>
      </c>
    </row>
    <row r="297" spans="1:32">
      <c r="A297" s="7" t="s">
        <v>1552</v>
      </c>
      <c r="B297" s="8" t="s">
        <v>1553</v>
      </c>
      <c r="C297" s="7">
        <f>397/14131</f>
        <v>2.8094260844950817E-2</v>
      </c>
      <c r="D297" s="8" t="s">
        <v>287</v>
      </c>
      <c r="E297" s="7">
        <f>28/2597</f>
        <v>1.078167115902965E-2</v>
      </c>
      <c r="F297" s="9" t="s">
        <v>1554</v>
      </c>
      <c r="G297" s="7">
        <f>26/2496</f>
        <v>1.0416666666666666E-2</v>
      </c>
      <c r="H297" s="7" t="s">
        <v>49</v>
      </c>
      <c r="I297" s="7" t="s">
        <v>93</v>
      </c>
      <c r="J297" s="7" t="s">
        <v>94</v>
      </c>
      <c r="K297" s="46" t="s">
        <v>68</v>
      </c>
      <c r="L297" s="11">
        <v>0.22</v>
      </c>
      <c r="M297" s="12">
        <v>61664</v>
      </c>
      <c r="N297" s="7" t="s">
        <v>602</v>
      </c>
      <c r="O297" s="7">
        <v>0</v>
      </c>
      <c r="P297" s="7">
        <v>0</v>
      </c>
      <c r="Q297" s="11">
        <v>0.97</v>
      </c>
      <c r="R297" s="7">
        <v>0</v>
      </c>
      <c r="S297" s="8" t="str">
        <f t="shared" si="35"/>
        <v>0</v>
      </c>
      <c r="T297" s="8" t="str">
        <f t="shared" si="36"/>
        <v>0</v>
      </c>
      <c r="U297" s="7">
        <v>0</v>
      </c>
      <c r="V297" s="8" t="str">
        <f t="shared" si="34"/>
        <v>0</v>
      </c>
      <c r="W297" s="8" t="s">
        <v>1595</v>
      </c>
      <c r="X297" s="49">
        <v>1737952</v>
      </c>
      <c r="Y297" s="21" t="str">
        <f t="shared" si="37"/>
        <v>1737952</v>
      </c>
      <c r="Z297" s="21">
        <v>13550.72</v>
      </c>
      <c r="AA297" s="52" t="str">
        <f t="shared" si="38"/>
        <v>13550.72</v>
      </c>
      <c r="AB297" s="21">
        <v>17550.72</v>
      </c>
      <c r="AC297" s="21" t="str">
        <f t="shared" si="40"/>
        <v>17550.72</v>
      </c>
      <c r="AD297" s="21" t="str">
        <f t="shared" si="39"/>
        <v>17550.72</v>
      </c>
      <c r="AE297" s="7" t="s">
        <v>1551</v>
      </c>
      <c r="AF297" s="2" t="str">
        <f t="shared" si="41"/>
        <v>Top Thấp</v>
      </c>
    </row>
    <row r="298" spans="1:32">
      <c r="A298" s="7" t="s">
        <v>1555</v>
      </c>
      <c r="B298" s="8" t="s">
        <v>1556</v>
      </c>
      <c r="C298" s="8">
        <v>3.5383199999999997E-2</v>
      </c>
      <c r="D298" s="13" t="s">
        <v>1557</v>
      </c>
      <c r="E298" s="13" t="s">
        <v>1558</v>
      </c>
      <c r="F298" s="13" t="s">
        <v>1559</v>
      </c>
      <c r="G298" s="13" t="s">
        <v>1560</v>
      </c>
      <c r="H298" s="7" t="s">
        <v>28</v>
      </c>
      <c r="I298" s="7" t="s">
        <v>29</v>
      </c>
      <c r="J298" s="7" t="s">
        <v>497</v>
      </c>
      <c r="K298" s="7" t="s">
        <v>52</v>
      </c>
      <c r="L298" s="7">
        <v>0.17</v>
      </c>
      <c r="M298" s="7">
        <v>56037</v>
      </c>
      <c r="N298" s="7" t="s">
        <v>31</v>
      </c>
      <c r="O298" s="7">
        <v>1300</v>
      </c>
      <c r="P298" s="7">
        <v>27</v>
      </c>
      <c r="Q298" s="11">
        <v>0.56000000000000005</v>
      </c>
      <c r="R298" s="12">
        <v>11235</v>
      </c>
      <c r="S298" s="8" t="str">
        <f t="shared" si="35"/>
        <v>11235</v>
      </c>
      <c r="T298" s="8" t="str">
        <f t="shared" si="36"/>
        <v>11235</v>
      </c>
      <c r="U298" s="7">
        <v>2425</v>
      </c>
      <c r="V298" s="8" t="str">
        <f t="shared" si="34"/>
        <v>2425</v>
      </c>
      <c r="W298" s="8" t="s">
        <v>32</v>
      </c>
      <c r="X298" s="49">
        <v>2340344</v>
      </c>
      <c r="Y298" s="21" t="str">
        <f t="shared" si="37"/>
        <v>2340344</v>
      </c>
      <c r="Z298" s="21">
        <v>9671</v>
      </c>
      <c r="AA298" s="52" t="str">
        <f t="shared" si="38"/>
        <v>9671</v>
      </c>
      <c r="AB298" s="21">
        <v>11671</v>
      </c>
      <c r="AC298" s="21" t="str">
        <f t="shared" si="40"/>
        <v>11671</v>
      </c>
      <c r="AD298" s="21" t="str">
        <f t="shared" si="39"/>
        <v>11671</v>
      </c>
      <c r="AE298" s="7" t="s">
        <v>1561</v>
      </c>
      <c r="AF298" s="2" t="str">
        <f t="shared" si="41"/>
        <v>Top Thấp</v>
      </c>
    </row>
    <row r="299" spans="1:32">
      <c r="A299" s="37" t="s">
        <v>1562</v>
      </c>
      <c r="B299" s="8" t="s">
        <v>1563</v>
      </c>
      <c r="C299" s="7">
        <f>522/14131</f>
        <v>3.6940060859104097E-2</v>
      </c>
      <c r="D299" s="9" t="s">
        <v>1564</v>
      </c>
      <c r="E299" s="7">
        <f>8/1756</f>
        <v>4.5558086560364463E-3</v>
      </c>
      <c r="F299" s="9" t="s">
        <v>1565</v>
      </c>
      <c r="G299" s="7">
        <f>5/198</f>
        <v>2.5252525252525252E-2</v>
      </c>
      <c r="H299" s="7" t="s">
        <v>49</v>
      </c>
      <c r="I299" s="7" t="s">
        <v>1566</v>
      </c>
      <c r="J299" s="7" t="s">
        <v>1567</v>
      </c>
      <c r="K299" s="7" t="s">
        <v>52</v>
      </c>
      <c r="L299" s="11">
        <v>0.1</v>
      </c>
      <c r="M299" s="12">
        <v>14220</v>
      </c>
      <c r="N299" s="7" t="s">
        <v>1577</v>
      </c>
      <c r="O299" s="7">
        <v>0</v>
      </c>
      <c r="P299" s="7">
        <v>0</v>
      </c>
      <c r="Q299" s="11">
        <v>0.72</v>
      </c>
      <c r="R299" s="12">
        <v>0</v>
      </c>
      <c r="S299" s="8" t="str">
        <f t="shared" si="35"/>
        <v>0</v>
      </c>
      <c r="T299" s="8" t="str">
        <f t="shared" si="36"/>
        <v>0</v>
      </c>
      <c r="U299" s="7">
        <v>0</v>
      </c>
      <c r="V299" s="8" t="str">
        <f t="shared" si="34"/>
        <v>0</v>
      </c>
      <c r="W299" s="8" t="s">
        <v>32</v>
      </c>
      <c r="X299" s="49">
        <v>470025</v>
      </c>
      <c r="Y299" s="21" t="str">
        <f t="shared" si="37"/>
        <v>470025</v>
      </c>
      <c r="Z299" s="21">
        <v>7136.7</v>
      </c>
      <c r="AA299" s="52" t="str">
        <f t="shared" si="38"/>
        <v>7136.7</v>
      </c>
      <c r="AB299" s="21">
        <v>10136.700000000001</v>
      </c>
      <c r="AC299" s="21" t="str">
        <f t="shared" si="40"/>
        <v>10136.7</v>
      </c>
      <c r="AD299" s="21" t="str">
        <f t="shared" si="39"/>
        <v>10136.7</v>
      </c>
      <c r="AE299" s="7" t="s">
        <v>1568</v>
      </c>
      <c r="AF299" s="2" t="str">
        <f t="shared" si="41"/>
        <v>Top Thấp</v>
      </c>
    </row>
    <row r="300" spans="1:32">
      <c r="A300" s="7" t="s">
        <v>934</v>
      </c>
      <c r="B300" s="8" t="s">
        <v>1647</v>
      </c>
      <c r="C300" s="8">
        <f>142/14311</f>
        <v>9.9224372860037737E-3</v>
      </c>
      <c r="D300" s="13" t="s">
        <v>984</v>
      </c>
      <c r="E300" s="8">
        <f>41/2785</f>
        <v>1.4721723518850987E-2</v>
      </c>
      <c r="F300" s="13" t="s">
        <v>950</v>
      </c>
      <c r="G300" s="8">
        <f>6/369</f>
        <v>1.6260162601626018E-2</v>
      </c>
      <c r="H300" s="7" t="s">
        <v>49</v>
      </c>
      <c r="I300" s="7" t="s">
        <v>50</v>
      </c>
      <c r="J300" s="7" t="s">
        <v>1068</v>
      </c>
      <c r="K300" s="11" t="s">
        <v>52</v>
      </c>
      <c r="L300" s="7">
        <v>0.27</v>
      </c>
      <c r="M300" s="7">
        <v>77583</v>
      </c>
      <c r="N300" s="7" t="s">
        <v>1574</v>
      </c>
      <c r="O300" s="7">
        <v>1520</v>
      </c>
      <c r="P300" s="7">
        <v>45</v>
      </c>
      <c r="Q300" s="11">
        <v>0.5</v>
      </c>
      <c r="R300" s="12">
        <v>19452</v>
      </c>
      <c r="S300" s="8" t="str">
        <f t="shared" si="35"/>
        <v>19452</v>
      </c>
      <c r="T300" s="8" t="str">
        <f t="shared" si="36"/>
        <v>19452</v>
      </c>
      <c r="U300" s="12">
        <v>12652</v>
      </c>
      <c r="V300" s="8" t="str">
        <f t="shared" si="34"/>
        <v>12652</v>
      </c>
      <c r="W300" s="8" t="s">
        <v>32</v>
      </c>
      <c r="X300" s="49">
        <v>2607547</v>
      </c>
      <c r="Y300" s="21" t="str">
        <f t="shared" si="37"/>
        <v>2607547</v>
      </c>
      <c r="Z300" s="21">
        <v>16980</v>
      </c>
      <c r="AA300" s="52" t="str">
        <f t="shared" si="38"/>
        <v>16980</v>
      </c>
      <c r="AB300" s="21">
        <v>15620</v>
      </c>
      <c r="AC300" s="21" t="str">
        <f t="shared" si="40"/>
        <v>15620</v>
      </c>
      <c r="AD300" s="21" t="str">
        <f t="shared" si="39"/>
        <v>15620</v>
      </c>
      <c r="AE300" s="7" t="s">
        <v>817</v>
      </c>
      <c r="AF300" s="2" t="str">
        <f t="shared" si="41"/>
        <v>Top Cao</v>
      </c>
    </row>
    <row r="301" spans="1:32">
      <c r="A301" s="29"/>
      <c r="B301" s="30"/>
      <c r="C301" s="29"/>
      <c r="D301" s="30"/>
      <c r="E301" s="29"/>
      <c r="F301" s="30"/>
      <c r="G301" s="29"/>
      <c r="H301" s="29"/>
      <c r="I301" s="29"/>
      <c r="J301" s="29"/>
      <c r="K301" s="31"/>
      <c r="L301" s="31"/>
      <c r="M301" s="29"/>
      <c r="N301"/>
      <c r="O301" s="36"/>
      <c r="AB301" s="44"/>
      <c r="AC301" s="44"/>
      <c r="AD301" s="44"/>
      <c r="AE301" s="29"/>
    </row>
  </sheetData>
  <sortState xmlns:xlrd2="http://schemas.microsoft.com/office/spreadsheetml/2017/richdata2" ref="A3:AE301">
    <sortCondition ref="C1:C301"/>
  </sortState>
  <hyperlinks>
    <hyperlink ref="J51" r:id="rId1" tooltip="https://edurank.org/geo/virginia-state/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opLeftCell="A4" workbookViewId="0">
      <selection activeCell="E2" sqref="E2"/>
    </sheetView>
  </sheetViews>
  <sheetFormatPr defaultColWidth="9" defaultRowHeight="14.4"/>
  <cols>
    <col min="1" max="1" width="13.109375" customWidth="1"/>
    <col min="2" max="2" width="5" customWidth="1"/>
    <col min="4" max="4" width="14.33203125" customWidth="1"/>
    <col min="5" max="5" width="4" customWidth="1"/>
  </cols>
  <sheetData>
    <row r="1" spans="1:5">
      <c r="A1" s="1" t="s">
        <v>3</v>
      </c>
      <c r="D1" s="1" t="s">
        <v>5</v>
      </c>
    </row>
    <row r="2" spans="1:5">
      <c r="A2" t="s">
        <v>49</v>
      </c>
      <c r="B2">
        <v>2597</v>
      </c>
      <c r="D2" t="s">
        <v>453</v>
      </c>
      <c r="E2">
        <v>40</v>
      </c>
    </row>
    <row r="3" spans="1:5">
      <c r="A3" t="s">
        <v>28</v>
      </c>
      <c r="B3">
        <v>2597</v>
      </c>
      <c r="D3" t="s">
        <v>93</v>
      </c>
      <c r="E3">
        <v>63</v>
      </c>
    </row>
    <row r="4" spans="1:5">
      <c r="A4" t="s">
        <v>452</v>
      </c>
      <c r="B4">
        <v>59</v>
      </c>
      <c r="D4" t="s">
        <v>166</v>
      </c>
      <c r="E4">
        <v>198</v>
      </c>
    </row>
    <row r="5" spans="1:5">
      <c r="A5" t="s">
        <v>103</v>
      </c>
      <c r="B5">
        <v>5830</v>
      </c>
      <c r="D5" t="s">
        <v>306</v>
      </c>
      <c r="E5">
        <v>101</v>
      </c>
    </row>
    <row r="6" spans="1:5">
      <c r="A6" t="s">
        <v>156</v>
      </c>
      <c r="B6">
        <v>1756</v>
      </c>
      <c r="D6" t="s">
        <v>123</v>
      </c>
      <c r="E6">
        <v>960</v>
      </c>
    </row>
    <row r="7" spans="1:5">
      <c r="D7" t="s">
        <v>1074</v>
      </c>
      <c r="E7">
        <v>67</v>
      </c>
    </row>
    <row r="8" spans="1:5">
      <c r="D8" t="s">
        <v>635</v>
      </c>
      <c r="E8">
        <v>27</v>
      </c>
    </row>
    <row r="9" spans="1:5">
      <c r="D9" t="s">
        <v>1566</v>
      </c>
      <c r="E9">
        <v>224</v>
      </c>
    </row>
    <row r="10" spans="1:5">
      <c r="D10" t="s">
        <v>50</v>
      </c>
      <c r="E10">
        <v>369</v>
      </c>
    </row>
    <row r="11" spans="1:5">
      <c r="D11" t="s">
        <v>1407</v>
      </c>
      <c r="E11">
        <v>36</v>
      </c>
    </row>
    <row r="12" spans="1:5">
      <c r="D12" t="s">
        <v>1522</v>
      </c>
      <c r="E12">
        <v>32</v>
      </c>
    </row>
    <row r="13" spans="1:5">
      <c r="D13" t="s">
        <v>826</v>
      </c>
      <c r="E13">
        <v>32</v>
      </c>
    </row>
    <row r="14" spans="1:5">
      <c r="D14" t="s">
        <v>890</v>
      </c>
      <c r="E14">
        <v>88</v>
      </c>
    </row>
    <row r="15" spans="1:5">
      <c r="D15" t="s">
        <v>176</v>
      </c>
      <c r="E15">
        <v>719</v>
      </c>
    </row>
    <row r="16" spans="1:5">
      <c r="D16" t="s">
        <v>728</v>
      </c>
      <c r="E16">
        <v>538</v>
      </c>
    </row>
    <row r="17" spans="4:5">
      <c r="D17" t="s">
        <v>864</v>
      </c>
      <c r="E17">
        <v>58</v>
      </c>
    </row>
    <row r="18" spans="4:5">
      <c r="D18" t="s">
        <v>792</v>
      </c>
      <c r="E18">
        <v>29</v>
      </c>
    </row>
    <row r="19" spans="4:5">
      <c r="D19" t="s">
        <v>1111</v>
      </c>
      <c r="E19">
        <v>385</v>
      </c>
    </row>
    <row r="20" spans="4:5">
      <c r="D20" t="s">
        <v>584</v>
      </c>
      <c r="E20">
        <v>193</v>
      </c>
    </row>
    <row r="21" spans="4:5">
      <c r="D21" t="s">
        <v>104</v>
      </c>
      <c r="E21">
        <v>193</v>
      </c>
    </row>
    <row r="22" spans="4:5">
      <c r="D22" t="s">
        <v>802</v>
      </c>
      <c r="E22">
        <v>75</v>
      </c>
    </row>
    <row r="23" spans="4:5">
      <c r="D23" t="s">
        <v>752</v>
      </c>
      <c r="E23">
        <v>39</v>
      </c>
    </row>
    <row r="24" spans="4:5">
      <c r="D24" t="s">
        <v>504</v>
      </c>
      <c r="E24">
        <v>23</v>
      </c>
    </row>
    <row r="25" spans="4:5">
      <c r="D25" t="s">
        <v>973</v>
      </c>
      <c r="E25">
        <v>144</v>
      </c>
    </row>
    <row r="26" spans="4:5">
      <c r="D26" t="s">
        <v>139</v>
      </c>
      <c r="E26">
        <v>163</v>
      </c>
    </row>
    <row r="27" spans="4:5">
      <c r="D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300 universities of World(A</vt:lpstr>
      <vt:lpstr>Mô tả rank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Hoài nam</dc:creator>
  <cp:lastModifiedBy>HP</cp:lastModifiedBy>
  <dcterms:created xsi:type="dcterms:W3CDTF">2023-08-07T05:31:00Z</dcterms:created>
  <dcterms:modified xsi:type="dcterms:W3CDTF">2023-08-22T07:41:58Z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3FD2319C476E42DEB996A76050C54C5D</vt:lpwstr>
  </property>
  <property fmtid="{D5CDD505-2E9C-101B-9397-08002B2CF9AE}" pid="3" name="KSOProductBuildVer">
    <vt:lpwstr>1033-11.2.0.11537</vt:lpwstr>
  </property>
</Properties>
</file>