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Top 300 universities of World(A" sheetId="1" r:id="rId1"/>
    <sheet name="Mô tả rank " sheetId="2" r:id="rId2"/>
  </sheets>
  <calcPr calcId="144525"/>
</workbook>
</file>

<file path=xl/sharedStrings.xml><?xml version="1.0" encoding="utf-8"?>
<sst xmlns="http://schemas.openxmlformats.org/spreadsheetml/2006/main" count="3340" uniqueCount="1869">
  <si>
    <t>Name</t>
  </si>
  <si>
    <t>world_ranking</t>
  </si>
  <si>
    <t>count_world_ranking</t>
  </si>
  <si>
    <t>region_ranking</t>
  </si>
  <si>
    <t>count_region_ranking</t>
  </si>
  <si>
    <t>country_ranking</t>
  </si>
  <si>
    <t>count_country_ranking</t>
  </si>
  <si>
    <t>region</t>
  </si>
  <si>
    <t>country</t>
  </si>
  <si>
    <t>city\state</t>
  </si>
  <si>
    <t>Control</t>
  </si>
  <si>
    <t>acceptance_rate</t>
  </si>
  <si>
    <t>publication</t>
  </si>
  <si>
    <t>Language</t>
  </si>
  <si>
    <t>Average SAT</t>
  </si>
  <si>
    <t>Average ACT</t>
  </si>
  <si>
    <t>Aid receiving</t>
  </si>
  <si>
    <t>Undergraduates</t>
  </si>
  <si>
    <t>Graduates</t>
  </si>
  <si>
    <t>Highest Degree</t>
  </si>
  <si>
    <t>Citations</t>
  </si>
  <si>
    <t>Average aid awarded</t>
  </si>
  <si>
    <t>Net average cost to attend</t>
  </si>
  <si>
    <t>Top_World_Ranking</t>
  </si>
  <si>
    <t>Harvard University</t>
  </si>
  <si>
    <t>1/14131</t>
  </si>
  <si>
    <t>1/2597</t>
  </si>
  <si>
    <t>1/2496</t>
  </si>
  <si>
    <t>North America</t>
  </si>
  <si>
    <t>United States</t>
  </si>
  <si>
    <t>Massachusetts</t>
  </si>
  <si>
    <t>Private not for-profit</t>
  </si>
  <si>
    <t>English</t>
  </si>
  <si>
    <t>Doctoral</t>
  </si>
  <si>
    <t>28,121,045</t>
  </si>
  <si>
    <t>$59,840</t>
  </si>
  <si>
    <t xml:space="preserve">$13,910 </t>
  </si>
  <si>
    <t>Top50</t>
  </si>
  <si>
    <t>Stanford University</t>
  </si>
  <si>
    <t>2/14131</t>
  </si>
  <si>
    <t>2/2597</t>
  </si>
  <si>
    <t>2/2496</t>
  </si>
  <si>
    <t>California</t>
  </si>
  <si>
    <t>18,051,589</t>
  </si>
  <si>
    <t>$56,211</t>
  </si>
  <si>
    <t>$14,402</t>
  </si>
  <si>
    <t>University of Michigan - Ann Arbor</t>
  </si>
  <si>
    <t>3/14131</t>
  </si>
  <si>
    <t>3/2597</t>
  </si>
  <si>
    <t>0.001155179</t>
  </si>
  <si>
    <t>3/2496</t>
  </si>
  <si>
    <t>0.001201923</t>
  </si>
  <si>
    <t>Europe</t>
  </si>
  <si>
    <t>Germany</t>
  </si>
  <si>
    <t>Thuringia</t>
  </si>
  <si>
    <t>Public</t>
  </si>
  <si>
    <t>14,335,587</t>
  </si>
  <si>
    <t>$16,326</t>
  </si>
  <si>
    <t>$21,977</t>
  </si>
  <si>
    <t>University of California - Berkeley</t>
  </si>
  <si>
    <t>4 /14131</t>
  </si>
  <si>
    <t>4 /2597</t>
  </si>
  <si>
    <t>0.001925298</t>
  </si>
  <si>
    <t>4 /2496</t>
  </si>
  <si>
    <t>0.002003205</t>
  </si>
  <si>
    <t>Oklahoma State</t>
  </si>
  <si>
    <t>14,130,676</t>
  </si>
  <si>
    <t>$21,406</t>
  </si>
  <si>
    <t>$54,315</t>
  </si>
  <si>
    <t>Massachusetts Institute of Technology</t>
  </si>
  <si>
    <t>5/14131</t>
  </si>
  <si>
    <t>5/2597</t>
  </si>
  <si>
    <t>5/2496</t>
  </si>
  <si>
    <t>Private not-for-profit</t>
  </si>
  <si>
    <t>13,385,463</t>
  </si>
  <si>
    <t>$32,562</t>
  </si>
  <si>
    <t>$30,958</t>
  </si>
  <si>
    <t>University of California - Los Angeles</t>
  </si>
  <si>
    <t>10/14131</t>
  </si>
  <si>
    <t>9/2597</t>
  </si>
  <si>
    <t>0.002310358</t>
  </si>
  <si>
    <t>9 /2496</t>
  </si>
  <si>
    <t>0.002403846</t>
  </si>
  <si>
    <t>Kentucky</t>
  </si>
  <si>
    <t>11,607,379</t>
  </si>
  <si>
    <t>$17,592</t>
  </si>
  <si>
    <t>$46,458</t>
  </si>
  <si>
    <t>Columbia University</t>
  </si>
  <si>
    <t>6/14131</t>
  </si>
  <si>
    <t>6/2597</t>
  </si>
  <si>
    <t>6/2496</t>
  </si>
  <si>
    <t>New York State</t>
  </si>
  <si>
    <t>Private
not-for-profit</t>
  </si>
  <si>
    <t>11,059,793</t>
  </si>
  <si>
    <t>$57,726</t>
  </si>
  <si>
    <t>$12,411</t>
  </si>
  <si>
    <t>University of Cambridge</t>
  </si>
  <si>
    <t>13/14131</t>
  </si>
  <si>
    <t>2/2785</t>
  </si>
  <si>
    <t>0.000359066</t>
  </si>
  <si>
    <t>2/163</t>
  </si>
  <si>
    <t>0.006134969</t>
  </si>
  <si>
    <t>Belgium</t>
  </si>
  <si>
    <t>Brussels</t>
  </si>
  <si>
    <t>11,097,137</t>
  </si>
  <si>
    <t>$13,362</t>
  </si>
  <si>
    <t>$29,217</t>
  </si>
  <si>
    <t>University of Washington - Seattle</t>
  </si>
  <si>
    <t>7/14131</t>
  </si>
  <si>
    <t>7/2597</t>
  </si>
  <si>
    <t>0.002695418</t>
  </si>
  <si>
    <t>7/2496</t>
  </si>
  <si>
    <t>0.002804487</t>
  </si>
  <si>
    <t>Asia</t>
  </si>
  <si>
    <t>South Korea</t>
  </si>
  <si>
    <t>Seoul</t>
  </si>
  <si>
    <t>14,250,122</t>
  </si>
  <si>
    <t>$22,325</t>
  </si>
  <si>
    <t>$16,605</t>
  </si>
  <si>
    <t>University of Oxford</t>
  </si>
  <si>
    <t>8/14131</t>
  </si>
  <si>
    <t>1/2785</t>
  </si>
  <si>
    <t>0.000718133</t>
  </si>
  <si>
    <t>1/163</t>
  </si>
  <si>
    <t>0.012269939</t>
  </si>
  <si>
    <t>North Carolina</t>
  </si>
  <si>
    <t>11,917,679</t>
  </si>
  <si>
    <t>$9.250</t>
  </si>
  <si>
    <t>Yale University</t>
  </si>
  <si>
    <t>9 /14131</t>
  </si>
  <si>
    <t>8/2597</t>
  </si>
  <si>
    <t>0.003465537</t>
  </si>
  <si>
    <t>8/2496</t>
  </si>
  <si>
    <t>0.003605769</t>
  </si>
  <si>
    <t>China</t>
  </si>
  <si>
    <t>Xi'an</t>
  </si>
  <si>
    <t>11,041,652</t>
  </si>
  <si>
    <t>$58,715</t>
  </si>
  <si>
    <t xml:space="preserve">$20,605 </t>
  </si>
  <si>
    <t>Cornell University</t>
  </si>
  <si>
    <t>11/14131</t>
  </si>
  <si>
    <t>10/2597</t>
  </si>
  <si>
    <t>10/2496</t>
  </si>
  <si>
    <t>10,244,414</t>
  </si>
  <si>
    <t>$52,674</t>
  </si>
  <si>
    <t>$24,262</t>
  </si>
  <si>
    <t>University of Pennsylvania</t>
  </si>
  <si>
    <t>14 /14131</t>
  </si>
  <si>
    <t>12/2597</t>
  </si>
  <si>
    <t>0.003850597</t>
  </si>
  <si>
    <t>11/2496</t>
  </si>
  <si>
    <t>0.00400641</t>
  </si>
  <si>
    <t>United Kingdom</t>
  </si>
  <si>
    <t>England</t>
  </si>
  <si>
    <t>11,878,311</t>
  </si>
  <si>
    <t>$50,778</t>
  </si>
  <si>
    <t>$14,578</t>
  </si>
  <si>
    <t>University of Wisconsin - Madison</t>
  </si>
  <si>
    <t>16/14131</t>
  </si>
  <si>
    <t>14/2597</t>
  </si>
  <si>
    <t>0.005005776</t>
  </si>
  <si>
    <t>13/2496</t>
  </si>
  <si>
    <t>0.005208333</t>
  </si>
  <si>
    <t>Alabama</t>
  </si>
  <si>
    <t>9,482,241</t>
  </si>
  <si>
    <t>$10,932</t>
  </si>
  <si>
    <t>$22,358</t>
  </si>
  <si>
    <t>Johns Hopkins University</t>
  </si>
  <si>
    <t>15/14131</t>
  </si>
  <si>
    <t>13/2597</t>
  </si>
  <si>
    <t>12/2496</t>
  </si>
  <si>
    <t>Latin America</t>
  </si>
  <si>
    <t>Maryland</t>
  </si>
  <si>
    <t>11,751,431</t>
  </si>
  <si>
    <t>$45,373</t>
  </si>
  <si>
    <t xml:space="preserve">$20,680 </t>
  </si>
  <si>
    <t>University of Toronto</t>
  </si>
  <si>
    <t>12/14131</t>
  </si>
  <si>
    <t>11/2597</t>
  </si>
  <si>
    <t>0.005390836</t>
  </si>
  <si>
    <t>1/101</t>
  </si>
  <si>
    <t>0.00990099</t>
  </si>
  <si>
    <t>Brazil</t>
  </si>
  <si>
    <t>Belo Horizonte</t>
  </si>
  <si>
    <t>12,707,662</t>
  </si>
  <si>
    <t>$5000</t>
  </si>
  <si>
    <t>$11,267</t>
  </si>
  <si>
    <t>University of Minnesota - Twin Cities</t>
  </si>
  <si>
    <t>17/14131</t>
  </si>
  <si>
    <t>15/2597</t>
  </si>
  <si>
    <t>0.005775895</t>
  </si>
  <si>
    <t>14/2496</t>
  </si>
  <si>
    <t>0.005608974</t>
  </si>
  <si>
    <t>Japan</t>
  </si>
  <si>
    <t>Tokyo</t>
  </si>
  <si>
    <t>8,665,488</t>
  </si>
  <si>
    <t>$10,362</t>
  </si>
  <si>
    <t xml:space="preserve"> $16,654</t>
  </si>
  <si>
    <t>University of Chile</t>
  </si>
  <si>
    <t>18/14131</t>
  </si>
  <si>
    <t>16/2597</t>
  </si>
  <si>
    <t>0.006160955</t>
  </si>
  <si>
    <t>15/2496</t>
  </si>
  <si>
    <t>0.006009615</t>
  </si>
  <si>
    <t>Colorado</t>
  </si>
  <si>
    <t>Spanish</t>
  </si>
  <si>
    <t>1,058,261</t>
  </si>
  <si>
    <t>$2300</t>
  </si>
  <si>
    <t>$6,300</t>
  </si>
  <si>
    <t>University of Tokyo</t>
  </si>
  <si>
    <t>19/14131</t>
  </si>
  <si>
    <t>1/5830</t>
  </si>
  <si>
    <t>0.000171527</t>
  </si>
  <si>
    <t>1/719</t>
  </si>
  <si>
    <t>0.001390821</t>
  </si>
  <si>
    <t xml:space="preserve"> Tokyo</t>
  </si>
  <si>
    <t>Japanese , English</t>
  </si>
  <si>
    <t>8,629,585</t>
  </si>
  <si>
    <t>$1000</t>
  </si>
  <si>
    <t>$7,000</t>
  </si>
  <si>
    <t>Pennsylvania State University</t>
  </si>
  <si>
    <t>20/14131</t>
  </si>
  <si>
    <t>17/2597</t>
  </si>
  <si>
    <t>16/2496</t>
  </si>
  <si>
    <t>Pennsylvania</t>
  </si>
  <si>
    <t>7,300,912</t>
  </si>
  <si>
    <t>$8,719</t>
  </si>
  <si>
    <t>$32,528</t>
  </si>
  <si>
    <t>University of Illinois at Urbana - Champaign</t>
  </si>
  <si>
    <t>23 /14131</t>
  </si>
  <si>
    <t>19/2597</t>
  </si>
  <si>
    <t>0.006546015</t>
  </si>
  <si>
    <t>18/2496</t>
  </si>
  <si>
    <t>0.006410256</t>
  </si>
  <si>
    <t>Campania</t>
  </si>
  <si>
    <t>8,034,733</t>
  </si>
  <si>
    <t>$11,212</t>
  </si>
  <si>
    <t xml:space="preserve"> $14,635</t>
  </si>
  <si>
    <t>University College London</t>
  </si>
  <si>
    <t>21/14131</t>
  </si>
  <si>
    <t>29/2597</t>
  </si>
  <si>
    <t>27/2496</t>
  </si>
  <si>
    <t>London</t>
  </si>
  <si>
    <t>8,693,319</t>
  </si>
  <si>
    <t>$33,254</t>
  </si>
  <si>
    <t>$25,339</t>
  </si>
  <si>
    <t>Ohio State University</t>
  </si>
  <si>
    <t>22/14131</t>
  </si>
  <si>
    <t>18 /2597</t>
  </si>
  <si>
    <t>17/2496</t>
  </si>
  <si>
    <t>Columbus</t>
  </si>
  <si>
    <t>6,725,241</t>
  </si>
  <si>
    <t>$11,830</t>
  </si>
  <si>
    <t>$11,560</t>
  </si>
  <si>
    <t>University of Texas at Austin</t>
  </si>
  <si>
    <t>31/14131</t>
  </si>
  <si>
    <t>27/2597</t>
  </si>
  <si>
    <t>0.008471313</t>
  </si>
  <si>
    <t>25/2496</t>
  </si>
  <si>
    <t>0.008413462</t>
  </si>
  <si>
    <t>Baden-Wurttemberg</t>
  </si>
  <si>
    <t>6,500,532</t>
  </si>
  <si>
    <t>$12,725</t>
  </si>
  <si>
    <t>$22,499</t>
  </si>
  <si>
    <t>New York University</t>
  </si>
  <si>
    <t>26/14131</t>
  </si>
  <si>
    <t>22/2597</t>
  </si>
  <si>
    <t>21 /2496</t>
  </si>
  <si>
    <t>6,801,466</t>
  </si>
  <si>
    <t>$25,047</t>
  </si>
  <si>
    <t>$50,991</t>
  </si>
  <si>
    <t>University of Chicago</t>
  </si>
  <si>
    <t>16 /2597</t>
  </si>
  <si>
    <t>0.008856373</t>
  </si>
  <si>
    <t>0.008814103</t>
  </si>
  <si>
    <t>Porto</t>
  </si>
  <si>
    <t>8,177,819</t>
  </si>
  <si>
    <t>$48,412</t>
  </si>
  <si>
    <t>$33,727</t>
  </si>
  <si>
    <t>Princeton University</t>
  </si>
  <si>
    <t>29/14131</t>
  </si>
  <si>
    <t>25/2597</t>
  </si>
  <si>
    <t>23 /2496</t>
  </si>
  <si>
    <t>New Jersey</t>
  </si>
  <si>
    <t>6,746,169</t>
  </si>
  <si>
    <t>$47,136</t>
  </si>
  <si>
    <t>$20,908</t>
  </si>
  <si>
    <t>University of North Carolina at Chapel Hill</t>
  </si>
  <si>
    <t>30/14131</t>
  </si>
  <si>
    <t>26/2597</t>
  </si>
  <si>
    <t>0.009626492</t>
  </si>
  <si>
    <t>24/2496</t>
  </si>
  <si>
    <t>0.009615385</t>
  </si>
  <si>
    <t>Lombardy</t>
  </si>
  <si>
    <t>7,598,640</t>
  </si>
  <si>
    <t>$16,076</t>
  </si>
  <si>
    <t>$15,202</t>
  </si>
  <si>
    <t>University of California-San Diego</t>
  </si>
  <si>
    <t>25/14131</t>
  </si>
  <si>
    <t>21/2597</t>
  </si>
  <si>
    <t>0.010011552</t>
  </si>
  <si>
    <t>20/2496</t>
  </si>
  <si>
    <t>0.010016026</t>
  </si>
  <si>
    <t>British Columbia</t>
  </si>
  <si>
    <t>10,584,156</t>
  </si>
  <si>
    <t>$18,083</t>
  </si>
  <si>
    <t xml:space="preserve"> $11,176</t>
  </si>
  <si>
    <t>University of Southern California</t>
  </si>
  <si>
    <t>24/14131</t>
  </si>
  <si>
    <t>20/2597</t>
  </si>
  <si>
    <t>0.010396611</t>
  </si>
  <si>
    <t>19/2496</t>
  </si>
  <si>
    <t>0.010416667</t>
  </si>
  <si>
    <t>Kansas State</t>
  </si>
  <si>
    <t>6,636,439</t>
  </si>
  <si>
    <t>$40,690</t>
  </si>
  <si>
    <t>$26,021</t>
  </si>
  <si>
    <t>Boston University</t>
  </si>
  <si>
    <t>32/14131</t>
  </si>
  <si>
    <t>28/2597</t>
  </si>
  <si>
    <t>26 /2496</t>
  </si>
  <si>
    <t>8,087,746</t>
  </si>
  <si>
    <t>$50,486</t>
  </si>
  <si>
    <t>$25,852</t>
  </si>
  <si>
    <t>University of Florida</t>
  </si>
  <si>
    <t>28/14131</t>
  </si>
  <si>
    <t>24/2597</t>
  </si>
  <si>
    <t>0.010781671</t>
  </si>
  <si>
    <t>22/2496</t>
  </si>
  <si>
    <t>0.010817308</t>
  </si>
  <si>
    <t>West Virginia</t>
  </si>
  <si>
    <t>6,306,275</t>
  </si>
  <si>
    <t>$12,758</t>
  </si>
  <si>
    <t xml:space="preserve"> $28,658</t>
  </si>
  <si>
    <t>University of British Columbia</t>
  </si>
  <si>
    <t>27/14131</t>
  </si>
  <si>
    <t>23/2597</t>
  </si>
  <si>
    <t>0.011166731</t>
  </si>
  <si>
    <t>2/101</t>
  </si>
  <si>
    <t>0.01980198</t>
  </si>
  <si>
    <t>Canada</t>
  </si>
  <si>
    <t>Lausanne</t>
  </si>
  <si>
    <t>7,792,745</t>
  </si>
  <si>
    <t>$2051</t>
  </si>
  <si>
    <t xml:space="preserve"> $7,245</t>
  </si>
  <si>
    <t>Northwestern University</t>
  </si>
  <si>
    <t>33/14131</t>
  </si>
  <si>
    <t>Illinois</t>
  </si>
  <si>
    <t>6,698,561</t>
  </si>
  <si>
    <t>$51,087</t>
  </si>
  <si>
    <t>$29,999</t>
  </si>
  <si>
    <t>Duke University</t>
  </si>
  <si>
    <t>34/14131</t>
  </si>
  <si>
    <t>30/2597</t>
  </si>
  <si>
    <t>28/2496</t>
  </si>
  <si>
    <t>6,356,650</t>
  </si>
  <si>
    <t>$50,731</t>
  </si>
  <si>
    <t>$27,297</t>
  </si>
  <si>
    <t>University of California - Davis</t>
  </si>
  <si>
    <t>35/14131</t>
  </si>
  <si>
    <t>31/2597</t>
  </si>
  <si>
    <t>0.011551791</t>
  </si>
  <si>
    <t>29/2496</t>
  </si>
  <si>
    <t>0.011217949</t>
  </si>
  <si>
    <t>Trondheim</t>
  </si>
  <si>
    <t>7,000,255</t>
  </si>
  <si>
    <t>$17,628</t>
  </si>
  <si>
    <t>$24,110</t>
  </si>
  <si>
    <t>University of Maryland - College Park</t>
  </si>
  <si>
    <t>42 /14131</t>
  </si>
  <si>
    <t>37/2597</t>
  </si>
  <si>
    <t>0.01232191</t>
  </si>
  <si>
    <t>34 /2496</t>
  </si>
  <si>
    <t>0.012019231</t>
  </si>
  <si>
    <t>Louvain-la-Neuve</t>
  </si>
  <si>
    <t>5,436,629</t>
  </si>
  <si>
    <t>$10,645</t>
  </si>
  <si>
    <t>$23,099</t>
  </si>
  <si>
    <t>Rutgers University - New Brunswick</t>
  </si>
  <si>
    <t>37/14131</t>
  </si>
  <si>
    <t>33/2597</t>
  </si>
  <si>
    <t>31 /2496</t>
  </si>
  <si>
    <t>5,262,004</t>
  </si>
  <si>
    <t>$10,835</t>
  </si>
  <si>
    <t xml:space="preserve"> $28,245</t>
  </si>
  <si>
    <t>University of Edinburgh</t>
  </si>
  <si>
    <t>38/14131</t>
  </si>
  <si>
    <t>4/2785</t>
  </si>
  <si>
    <t>0.001436266</t>
  </si>
  <si>
    <t>4/163</t>
  </si>
  <si>
    <t>0.024539877</t>
  </si>
  <si>
    <t xml:space="preserve"> Europe</t>
  </si>
  <si>
    <t>The United Kingdom</t>
  </si>
  <si>
    <t>Vermont</t>
  </si>
  <si>
    <t>5,431,619</t>
  </si>
  <si>
    <t>$15,000</t>
  </si>
  <si>
    <t>$26,801</t>
  </si>
  <si>
    <t>University of Pittsburgh</t>
  </si>
  <si>
    <t>40 /14131</t>
  </si>
  <si>
    <t>35/2597</t>
  </si>
  <si>
    <t>0.01270697</t>
  </si>
  <si>
    <t>33/2496</t>
  </si>
  <si>
    <t>0.012419872</t>
  </si>
  <si>
    <t>7,487,307</t>
  </si>
  <si>
    <t>$12,822</t>
  </si>
  <si>
    <t xml:space="preserve"> $15,084</t>
  </si>
  <si>
    <t>Michigan State University</t>
  </si>
  <si>
    <t>39/14131</t>
  </si>
  <si>
    <t>34/2597</t>
  </si>
  <si>
    <t>32 /2496</t>
  </si>
  <si>
    <t>Michigan</t>
  </si>
  <si>
    <t>4,971,291</t>
  </si>
  <si>
    <t xml:space="preserve"> $25,297</t>
  </si>
  <si>
    <t>McGill University</t>
  </si>
  <si>
    <t>41/14131</t>
  </si>
  <si>
    <t>36/2597</t>
  </si>
  <si>
    <t>3/101</t>
  </si>
  <si>
    <t>Quebec State</t>
  </si>
  <si>
    <t>6,618,649</t>
  </si>
  <si>
    <t xml:space="preserve"> $14,000</t>
  </si>
  <si>
    <t>$33,618</t>
  </si>
  <si>
    <t>Texas A&amp;M University - College Station</t>
  </si>
  <si>
    <t>44/14131</t>
  </si>
  <si>
    <t>39/2597</t>
  </si>
  <si>
    <t>36/2496</t>
  </si>
  <si>
    <t>Texas</t>
  </si>
  <si>
    <t>4,523,966</t>
  </si>
  <si>
    <t>$10,877</t>
  </si>
  <si>
    <t xml:space="preserve"> $39,796</t>
  </si>
  <si>
    <t>Washington University in St Louis</t>
  </si>
  <si>
    <t>49/14131</t>
  </si>
  <si>
    <t>41/2597</t>
  </si>
  <si>
    <t>0.015017328</t>
  </si>
  <si>
    <t>38/2496</t>
  </si>
  <si>
    <t>0.014823718</t>
  </si>
  <si>
    <t>Louisiana</t>
  </si>
  <si>
    <t>7,335,260</t>
  </si>
  <si>
    <t>$51,288</t>
  </si>
  <si>
    <t xml:space="preserve">$28,298 </t>
  </si>
  <si>
    <t>Imperial College London</t>
  </si>
  <si>
    <t>45/14131</t>
  </si>
  <si>
    <t>5/5830</t>
  </si>
  <si>
    <t>Bachelor</t>
  </si>
  <si>
    <t>8,026,549</t>
  </si>
  <si>
    <t>$13,547</t>
  </si>
  <si>
    <t>$44,046</t>
  </si>
  <si>
    <t>University of California - San Francisco</t>
  </si>
  <si>
    <t>43/14131</t>
  </si>
  <si>
    <t>38/2597</t>
  </si>
  <si>
    <t>0.015402387</t>
  </si>
  <si>
    <t>35/2496</t>
  </si>
  <si>
    <t>0.015224359</t>
  </si>
  <si>
    <t>10,453,694</t>
  </si>
  <si>
    <t>$39,400</t>
  </si>
  <si>
    <t>$58,222</t>
  </si>
  <si>
    <t>Carnegie Mellon University</t>
  </si>
  <si>
    <t>46/14131</t>
  </si>
  <si>
    <t>40/2597</t>
  </si>
  <si>
    <t>37/2496</t>
  </si>
  <si>
    <t>4,491,663</t>
  </si>
  <si>
    <t>$39,421</t>
  </si>
  <si>
    <t>$37,450</t>
  </si>
  <si>
    <t>Tsinghua University</t>
  </si>
  <si>
    <t>47/14131</t>
  </si>
  <si>
    <t>2/5830</t>
  </si>
  <si>
    <t>1/ 960</t>
  </si>
  <si>
    <t>Beijing</t>
  </si>
  <si>
    <t>Chinese,English</t>
  </si>
  <si>
    <t>4,839,271</t>
  </si>
  <si>
    <t>$5.528</t>
  </si>
  <si>
    <t>University of Sao Paulo</t>
  </si>
  <si>
    <t>51/14131</t>
  </si>
  <si>
    <t>1/1756</t>
  </si>
  <si>
    <t>0.000569476</t>
  </si>
  <si>
    <t>1/198</t>
  </si>
  <si>
    <t>0.005050505</t>
  </si>
  <si>
    <t>Scotland</t>
  </si>
  <si>
    <t>Portuguese</t>
  </si>
  <si>
    <t>4,080,985</t>
  </si>
  <si>
    <t>$45,251</t>
  </si>
  <si>
    <t>$29600</t>
  </si>
  <si>
    <t>University of Virginia</t>
  </si>
  <si>
    <t>54/14131</t>
  </si>
  <si>
    <t>44 /2597</t>
  </si>
  <si>
    <t>0.016557566</t>
  </si>
  <si>
    <t>41/2496</t>
  </si>
  <si>
    <t>0.016025641</t>
  </si>
  <si>
    <t>Virginia</t>
  </si>
  <si>
    <t>4,204,938</t>
  </si>
  <si>
    <t>$19,612</t>
  </si>
  <si>
    <t>$30,829</t>
  </si>
  <si>
    <t>Purdue University</t>
  </si>
  <si>
    <t>50/14131</t>
  </si>
  <si>
    <t>42/ 2597</t>
  </si>
  <si>
    <t>39/2496</t>
  </si>
  <si>
    <t>Indiana</t>
  </si>
  <si>
    <t>4,147,015</t>
  </si>
  <si>
    <t>$7,324</t>
  </si>
  <si>
    <t>$17,862</t>
  </si>
  <si>
    <t>University of Melbourne</t>
  </si>
  <si>
    <t>48/14131</t>
  </si>
  <si>
    <t>1/59</t>
  </si>
  <si>
    <t>0.016949153</t>
  </si>
  <si>
    <t>1/40</t>
  </si>
  <si>
    <t>0.025</t>
  </si>
  <si>
    <t>Oceania</t>
  </si>
  <si>
    <t>Australia</t>
  </si>
  <si>
    <t>Melbourne</t>
  </si>
  <si>
    <t>6,226,895</t>
  </si>
  <si>
    <t>$21,645</t>
  </si>
  <si>
    <t>$40000</t>
  </si>
  <si>
    <t>Top100</t>
  </si>
  <si>
    <t>Kyoto University</t>
  </si>
  <si>
    <t>53/14131</t>
  </si>
  <si>
    <t>54/2597</t>
  </si>
  <si>
    <t>50/2496</t>
  </si>
  <si>
    <t>Kyoto</t>
  </si>
  <si>
    <t>Japanese;English</t>
  </si>
  <si>
    <t>6,150,572</t>
  </si>
  <si>
    <t>$11,155</t>
  </si>
  <si>
    <t>$23,100</t>
  </si>
  <si>
    <t>University of California - Irvine</t>
  </si>
  <si>
    <t>56/14131</t>
  </si>
  <si>
    <t>45/2597</t>
  </si>
  <si>
    <t>0.017712745</t>
  </si>
  <si>
    <t>42/2496</t>
  </si>
  <si>
    <t>0.017227564</t>
  </si>
  <si>
    <t>Basel</t>
  </si>
  <si>
    <t>4,547,534</t>
  </si>
  <si>
    <t>$16,868</t>
  </si>
  <si>
    <t>$20,567</t>
  </si>
  <si>
    <t>University of Munich</t>
  </si>
  <si>
    <t>57/14131</t>
  </si>
  <si>
    <t>12/2785</t>
  </si>
  <si>
    <t>0.002154399</t>
  </si>
  <si>
    <t>1/369</t>
  </si>
  <si>
    <t>0.002710027</t>
  </si>
  <si>
    <t xml:space="preserve"> Germany</t>
  </si>
  <si>
    <t>Manitoba</t>
  </si>
  <si>
    <t xml:space="preserve">German;English </t>
  </si>
  <si>
    <t>3,821,150</t>
  </si>
  <si>
    <t>$2534</t>
  </si>
  <si>
    <t>$9,145</t>
  </si>
  <si>
    <t>University of Colorado Boulder</t>
  </si>
  <si>
    <t>63/14131</t>
  </si>
  <si>
    <t>49/2597</t>
  </si>
  <si>
    <t>0.018097805</t>
  </si>
  <si>
    <t>46/2496</t>
  </si>
  <si>
    <t>0.017628205</t>
  </si>
  <si>
    <t>4,216,305</t>
  </si>
  <si>
    <t>$9,214</t>
  </si>
  <si>
    <t xml:space="preserve"> $25,813</t>
  </si>
  <si>
    <t>Arizona State University - Tempe</t>
  </si>
  <si>
    <t>58/14131</t>
  </si>
  <si>
    <t>46/2597</t>
  </si>
  <si>
    <t>43/2496</t>
  </si>
  <si>
    <t>Arizona</t>
  </si>
  <si>
    <t>3,861,089</t>
  </si>
  <si>
    <t>$12,201</t>
  </si>
  <si>
    <t>$20,439</t>
  </si>
  <si>
    <t>Swiss Federal Institute of Technology Zurich</t>
  </si>
  <si>
    <t>59/14131</t>
  </si>
  <si>
    <t>7/2,785</t>
  </si>
  <si>
    <t>1/23</t>
  </si>
  <si>
    <t>Switzerland</t>
  </si>
  <si>
    <t>Zurich</t>
  </si>
  <si>
    <t>4,679,395</t>
  </si>
  <si>
    <t>$7700</t>
  </si>
  <si>
    <t>$19865</t>
  </si>
  <si>
    <t>University of Manchester</t>
  </si>
  <si>
    <t>6/2785</t>
  </si>
  <si>
    <t>0.002513465</t>
  </si>
  <si>
    <t>6/163</t>
  </si>
  <si>
    <t>0.036809816</t>
  </si>
  <si>
    <t>5,799,688</t>
  </si>
  <si>
    <t>$9,250</t>
  </si>
  <si>
    <t>$28,000</t>
  </si>
  <si>
    <t>Georgia Institute of Technology</t>
  </si>
  <si>
    <t>60/14131</t>
  </si>
  <si>
    <t>47/2597</t>
  </si>
  <si>
    <t>44/2496</t>
  </si>
  <si>
    <t>Georgia</t>
  </si>
  <si>
    <t>4,317,753</t>
  </si>
  <si>
    <t>$14,015</t>
  </si>
  <si>
    <t>$22,590</t>
  </si>
  <si>
    <t>North Carolina State University at Raleigh</t>
  </si>
  <si>
    <t>61/14131</t>
  </si>
  <si>
    <t>48/2597</t>
  </si>
  <si>
    <t>45/2496</t>
  </si>
  <si>
    <t>3,225,566</t>
  </si>
  <si>
    <t>$9,318</t>
  </si>
  <si>
    <t>$38,542</t>
  </si>
  <si>
    <t>University of Utah</t>
  </si>
  <si>
    <t>52/14131</t>
  </si>
  <si>
    <t>43/2597</t>
  </si>
  <si>
    <t>0.018867925</t>
  </si>
  <si>
    <t>40/2496</t>
  </si>
  <si>
    <t>0.018429487</t>
  </si>
  <si>
    <t>Nova Scotia</t>
  </si>
  <si>
    <t>4,879,988</t>
  </si>
  <si>
    <t>$9,431</t>
  </si>
  <si>
    <t>$50,904</t>
  </si>
  <si>
    <t>University of New South Wales</t>
  </si>
  <si>
    <t>62 /14131</t>
  </si>
  <si>
    <t>3/59</t>
  </si>
  <si>
    <t>0.033898305</t>
  </si>
  <si>
    <t>3/40</t>
  </si>
  <si>
    <t>0.05</t>
  </si>
  <si>
    <t>4,619,867</t>
  </si>
  <si>
    <t>$34000</t>
  </si>
  <si>
    <t>$23,000</t>
  </si>
  <si>
    <t>University of Sydney</t>
  </si>
  <si>
    <t>55/14131</t>
  </si>
  <si>
    <t>2/59</t>
  </si>
  <si>
    <t>0.050847458</t>
  </si>
  <si>
    <t>2/40</t>
  </si>
  <si>
    <t>0.075</t>
  </si>
  <si>
    <t>Cape Town</t>
  </si>
  <si>
    <t>5,881,943</t>
  </si>
  <si>
    <t>$13,000</t>
  </si>
  <si>
    <t>$26,800</t>
  </si>
  <si>
    <t>University of Rochester</t>
  </si>
  <si>
    <t>84/14131</t>
  </si>
  <si>
    <t>59 /2597</t>
  </si>
  <si>
    <t>0.019252984</t>
  </si>
  <si>
    <t>55/2496</t>
  </si>
  <si>
    <t>0.018830128</t>
  </si>
  <si>
    <t xml:space="preserve"> New York State</t>
  </si>
  <si>
    <t>3,866,558</t>
  </si>
  <si>
    <t>$37,870</t>
  </si>
  <si>
    <t>$40,125</t>
  </si>
  <si>
    <t>King's College London</t>
  </si>
  <si>
    <t>66/14131</t>
  </si>
  <si>
    <t>21/2496</t>
  </si>
  <si>
    <t>Doctorate</t>
  </si>
  <si>
    <t>4,535,591</t>
  </si>
  <si>
    <t>$29,900</t>
  </si>
  <si>
    <t>Peking University</t>
  </si>
  <si>
    <t>67/14131</t>
  </si>
  <si>
    <t>4/5830</t>
  </si>
  <si>
    <t>2/960</t>
  </si>
  <si>
    <t>Chinese;English</t>
  </si>
  <si>
    <t>3,524,601</t>
  </si>
  <si>
    <t>$3000</t>
  </si>
  <si>
    <t>$13.127</t>
  </si>
  <si>
    <t>California Institute of Technology</t>
  </si>
  <si>
    <t>68/14131</t>
  </si>
  <si>
    <t>51/2597</t>
  </si>
  <si>
    <t>48 /2496</t>
  </si>
  <si>
    <t>6,002,147</t>
  </si>
  <si>
    <t>$47,556</t>
  </si>
  <si>
    <t>$30,162</t>
  </si>
  <si>
    <t>National University of Singapore</t>
  </si>
  <si>
    <t>69/14131</t>
  </si>
  <si>
    <t>1/8</t>
  </si>
  <si>
    <t>Singapore</t>
  </si>
  <si>
    <t>Singapore City</t>
  </si>
  <si>
    <t>5,239,656</t>
  </si>
  <si>
    <t>$20,120</t>
  </si>
  <si>
    <t>$42,400</t>
  </si>
  <si>
    <t>University of Iowa</t>
  </si>
  <si>
    <t>64/14131</t>
  </si>
  <si>
    <t>50/2597</t>
  </si>
  <si>
    <t>0.020023104</t>
  </si>
  <si>
    <t>47 /2496</t>
  </si>
  <si>
    <t>0.01963141</t>
  </si>
  <si>
    <t>Iowa State</t>
  </si>
  <si>
    <t>4,354,922</t>
  </si>
  <si>
    <t>$11,007</t>
  </si>
  <si>
    <t xml:space="preserve">$25,832 </t>
  </si>
  <si>
    <t>University of Alberta</t>
  </si>
  <si>
    <t>70/14131</t>
  </si>
  <si>
    <t>52/2597</t>
  </si>
  <si>
    <t>4/101</t>
  </si>
  <si>
    <t>Alberta</t>
  </si>
  <si>
    <t>French;English</t>
  </si>
  <si>
    <t>4,888,315</t>
  </si>
  <si>
    <t xml:space="preserve">$5,000 </t>
  </si>
  <si>
    <t xml:space="preserve">$10,000 </t>
  </si>
  <si>
    <t>Utrecht University</t>
  </si>
  <si>
    <t>71/14131</t>
  </si>
  <si>
    <t>10/2785</t>
  </si>
  <si>
    <t>0.003590664</t>
  </si>
  <si>
    <t>2/58</t>
  </si>
  <si>
    <t>0.034482759</t>
  </si>
  <si>
    <t>Dutch;English</t>
  </si>
  <si>
    <t>4,498,927</t>
  </si>
  <si>
    <t>$10,000</t>
  </si>
  <si>
    <t>Catholic University of Leuven</t>
  </si>
  <si>
    <t>65/14131</t>
  </si>
  <si>
    <t>4/59</t>
  </si>
  <si>
    <t>4/40</t>
  </si>
  <si>
    <t>Occupational Therapy</t>
  </si>
  <si>
    <t>5,608,376</t>
  </si>
  <si>
    <t>$9990</t>
  </si>
  <si>
    <t>$31920</t>
  </si>
  <si>
    <t>Vanderbilt University</t>
  </si>
  <si>
    <t>73/14131</t>
  </si>
  <si>
    <t>53/2597</t>
  </si>
  <si>
    <t>0.020793223</t>
  </si>
  <si>
    <t>49/2496</t>
  </si>
  <si>
    <t>0.020432692</t>
  </si>
  <si>
    <t>Tennessee</t>
  </si>
  <si>
    <t>4,485,984</t>
  </si>
  <si>
    <t>$49,730</t>
  </si>
  <si>
    <t xml:space="preserve">$27,553 </t>
  </si>
  <si>
    <t>University of Copenhagen</t>
  </si>
  <si>
    <t>72/14131</t>
  </si>
  <si>
    <t>0.003949731</t>
  </si>
  <si>
    <t>1/27</t>
  </si>
  <si>
    <t>0.037037037</t>
  </si>
  <si>
    <t>Denmark</t>
  </si>
  <si>
    <t>North Rhine-Westphalia</t>
  </si>
  <si>
    <t>Danish;English</t>
  </si>
  <si>
    <t>5,254,793</t>
  </si>
  <si>
    <t>$5480</t>
  </si>
  <si>
    <t>$18,470</t>
  </si>
  <si>
    <t>Indiana University - Bloomington</t>
  </si>
  <si>
    <t>74/14131</t>
  </si>
  <si>
    <t>3,211,726</t>
  </si>
  <si>
    <t>$11,608</t>
  </si>
  <si>
    <t>$40,480</t>
  </si>
  <si>
    <t>University of Queensland</t>
  </si>
  <si>
    <t>0.06779661</t>
  </si>
  <si>
    <t>0.1</t>
  </si>
  <si>
    <t xml:space="preserve"> $21,345</t>
  </si>
  <si>
    <t>$ 31920</t>
  </si>
  <si>
    <t>Monash University</t>
  </si>
  <si>
    <t>75/14131</t>
  </si>
  <si>
    <t>5/59</t>
  </si>
  <si>
    <t>5/40</t>
  </si>
  <si>
    <t>Publishing</t>
  </si>
  <si>
    <t>4,431,102</t>
  </si>
  <si>
    <t>$22,100</t>
  </si>
  <si>
    <t>$0</t>
  </si>
  <si>
    <t>Emory University</t>
  </si>
  <si>
    <t>77/14131</t>
  </si>
  <si>
    <t>55 /2597</t>
  </si>
  <si>
    <t>51/2496</t>
  </si>
  <si>
    <t>5,381,821</t>
  </si>
  <si>
    <t>$44,517</t>
  </si>
  <si>
    <t>$28,367</t>
  </si>
  <si>
    <t>Technical University of Munich</t>
  </si>
  <si>
    <t>79/14131</t>
  </si>
  <si>
    <t>Bavaria</t>
  </si>
  <si>
    <t>$8400</t>
  </si>
  <si>
    <t>University of Georgia</t>
  </si>
  <si>
    <t>106/14131</t>
  </si>
  <si>
    <t>64 /2597</t>
  </si>
  <si>
    <t>0.021948402</t>
  </si>
  <si>
    <t>60/2496</t>
  </si>
  <si>
    <t>0.021233974</t>
  </si>
  <si>
    <t xml:space="preserve"> North America</t>
  </si>
  <si>
    <t>2,467,318</t>
  </si>
  <si>
    <t>$11,045</t>
  </si>
  <si>
    <t>$31,120</t>
  </si>
  <si>
    <t>University of Zurich</t>
  </si>
  <si>
    <t>92/14131</t>
  </si>
  <si>
    <t>18/2785</t>
  </si>
  <si>
    <t>0.005385996</t>
  </si>
  <si>
    <t>2/23</t>
  </si>
  <si>
    <t>0.086956522</t>
  </si>
  <si>
    <t>3,961,629</t>
  </si>
  <si>
    <t>$7056</t>
  </si>
  <si>
    <t>$6045</t>
  </si>
  <si>
    <t>Iowa State University</t>
  </si>
  <si>
    <t>82/14131</t>
  </si>
  <si>
    <t>57/2597</t>
  </si>
  <si>
    <t>53/2496</t>
  </si>
  <si>
    <t>2,976,960</t>
  </si>
  <si>
    <t>$8,833</t>
  </si>
  <si>
    <t>$17,806</t>
  </si>
  <si>
    <t>Brown University</t>
  </si>
  <si>
    <t>83/14131</t>
  </si>
  <si>
    <t>58/2597</t>
  </si>
  <si>
    <t>54/2496</t>
  </si>
  <si>
    <t>Rhode Island</t>
  </si>
  <si>
    <t>3,384,684</t>
  </si>
  <si>
    <t>$55,420</t>
  </si>
  <si>
    <t>$25,028</t>
  </si>
  <si>
    <t>University of California - Santa Barbara</t>
  </si>
  <si>
    <t>59/2597</t>
  </si>
  <si>
    <t>0.022718521</t>
  </si>
  <si>
    <t>0.022035256</t>
  </si>
  <si>
    <t>4,276,303</t>
  </si>
  <si>
    <t>$18,107</t>
  </si>
  <si>
    <t>$21,581</t>
  </si>
  <si>
    <t>Osaka University</t>
  </si>
  <si>
    <t>86/14131</t>
  </si>
  <si>
    <t>6/5,830</t>
  </si>
  <si>
    <t>3/719</t>
  </si>
  <si>
    <t>Suita</t>
  </si>
  <si>
    <t>Japanese</t>
  </si>
  <si>
    <t>4,732,776</t>
  </si>
  <si>
    <t>$4000</t>
  </si>
  <si>
    <t>$11.179</t>
  </si>
  <si>
    <t>Australian National University</t>
  </si>
  <si>
    <t>87/14131</t>
  </si>
  <si>
    <t>6/59</t>
  </si>
  <si>
    <t>6/40</t>
  </si>
  <si>
    <t>Canberra</t>
  </si>
  <si>
    <t>3,739,396</t>
  </si>
  <si>
    <t>$20,000</t>
  </si>
  <si>
    <t>$34,000</t>
  </si>
  <si>
    <t>University of Helsinki</t>
  </si>
  <si>
    <t>80/14131</t>
  </si>
  <si>
    <t>13/2785</t>
  </si>
  <si>
    <t>0.006104129</t>
  </si>
  <si>
    <t>1/36</t>
  </si>
  <si>
    <t>0.027777778</t>
  </si>
  <si>
    <t>Finland</t>
  </si>
  <si>
    <t xml:space="preserve"> Helsinki</t>
  </si>
  <si>
    <t>Finnish;Swedish;English</t>
  </si>
  <si>
    <t>4,302,929</t>
  </si>
  <si>
    <t xml:space="preserve">$12000 </t>
  </si>
  <si>
    <t xml:space="preserve">$18.000 </t>
  </si>
  <si>
    <t>National Autonomous University of Mexico</t>
  </si>
  <si>
    <t>89/14131</t>
  </si>
  <si>
    <t>2/1,756</t>
  </si>
  <si>
    <t>1/538</t>
  </si>
  <si>
    <t>Mexico</t>
  </si>
  <si>
    <t>Mexico City</t>
  </si>
  <si>
    <t>1,742,726</t>
  </si>
  <si>
    <t>$17,685</t>
  </si>
  <si>
    <t>$28,470</t>
  </si>
  <si>
    <t>University of Massachusetts - Amherst</t>
  </si>
  <si>
    <t>109 /14131</t>
  </si>
  <si>
    <t>66 /2597</t>
  </si>
  <si>
    <t>0.023488641</t>
  </si>
  <si>
    <t>61/2496</t>
  </si>
  <si>
    <t>0.022836538</t>
  </si>
  <si>
    <t>2,613,778</t>
  </si>
  <si>
    <t>$10,662</t>
  </si>
  <si>
    <t>$35000</t>
  </si>
  <si>
    <t>University of Glasgow</t>
  </si>
  <si>
    <t>88/14131</t>
  </si>
  <si>
    <t>16/2785</t>
  </si>
  <si>
    <t>0.006463196</t>
  </si>
  <si>
    <t>8/163</t>
  </si>
  <si>
    <t>0.049079755</t>
  </si>
  <si>
    <t>3,473,868</t>
  </si>
  <si>
    <t>4$8,960</t>
  </si>
  <si>
    <t>Lund University</t>
  </si>
  <si>
    <t>91/14131</t>
  </si>
  <si>
    <t>19/2785</t>
  </si>
  <si>
    <t>1/39</t>
  </si>
  <si>
    <t>Sweden</t>
  </si>
  <si>
    <t>Skane County</t>
  </si>
  <si>
    <t>Swedish;English</t>
  </si>
  <si>
    <t>4,672,517</t>
  </si>
  <si>
    <t>$21510</t>
  </si>
  <si>
    <t>$25,246</t>
  </si>
  <si>
    <t>University of Vienna</t>
  </si>
  <si>
    <t>97/14131</t>
  </si>
  <si>
    <t>22/2785</t>
  </si>
  <si>
    <t>0.006822262</t>
  </si>
  <si>
    <t>1/71</t>
  </si>
  <si>
    <t>0.014084507</t>
  </si>
  <si>
    <t>Austria</t>
  </si>
  <si>
    <t>Vienna</t>
  </si>
  <si>
    <t>German</t>
  </si>
  <si>
    <t>2,515,710</t>
  </si>
  <si>
    <t>$10,596</t>
  </si>
  <si>
    <t>$28,220</t>
  </si>
  <si>
    <t>Heidelberg University - Germany</t>
  </si>
  <si>
    <t>93/14131</t>
  </si>
  <si>
    <t>3/369</t>
  </si>
  <si>
    <t>3,207,022</t>
  </si>
  <si>
    <t>$35241</t>
  </si>
  <si>
    <t>$32,900</t>
  </si>
  <si>
    <t>Virginia Polytechnic Institute and State University</t>
  </si>
  <si>
    <t>90/14131</t>
  </si>
  <si>
    <t>60/2597</t>
  </si>
  <si>
    <t>0.02425876</t>
  </si>
  <si>
    <t>56/2496</t>
  </si>
  <si>
    <t>0.023637821</t>
  </si>
  <si>
    <t>2,757,056</t>
  </si>
  <si>
    <t>$8,018</t>
  </si>
  <si>
    <t xml:space="preserve"> $18,449</t>
  </si>
  <si>
    <t>Tufts University</t>
  </si>
  <si>
    <t>96/14131</t>
  </si>
  <si>
    <t>61/2597</t>
  </si>
  <si>
    <t>57/2496</t>
  </si>
  <si>
    <t>3,076,588</t>
  </si>
  <si>
    <t>$47,937</t>
  </si>
  <si>
    <t>$31,630</t>
  </si>
  <si>
    <t>University of Oslo</t>
  </si>
  <si>
    <t>95/14131</t>
  </si>
  <si>
    <t>21/2785</t>
  </si>
  <si>
    <t>0.007540395</t>
  </si>
  <si>
    <t>1/29</t>
  </si>
  <si>
    <t>Norway</t>
  </si>
  <si>
    <t>Oslo</t>
  </si>
  <si>
    <t>Norwegian;English</t>
  </si>
  <si>
    <t>3,322,577</t>
  </si>
  <si>
    <t>$15,510</t>
  </si>
  <si>
    <t>$20,100</t>
  </si>
  <si>
    <t>University of Bologna</t>
  </si>
  <si>
    <t>98/14131</t>
  </si>
  <si>
    <t>0.007899461</t>
  </si>
  <si>
    <t>1/88</t>
  </si>
  <si>
    <t>0.011363636</t>
  </si>
  <si>
    <t>Spain</t>
  </si>
  <si>
    <t>Cerdanyola del Valles</t>
  </si>
  <si>
    <t>$17000</t>
  </si>
  <si>
    <t>University of Bristol</t>
  </si>
  <si>
    <t>99/14131</t>
  </si>
  <si>
    <t>24/2785</t>
  </si>
  <si>
    <t>0.008258528</t>
  </si>
  <si>
    <t>10/163</t>
  </si>
  <si>
    <t>0.055214724</t>
  </si>
  <si>
    <t xml:space="preserve"> United Kingdom</t>
  </si>
  <si>
    <t>4,368,505</t>
  </si>
  <si>
    <t>$37350</t>
  </si>
  <si>
    <t>University of Miami</t>
  </si>
  <si>
    <t>100/14131</t>
  </si>
  <si>
    <t>64/2597</t>
  </si>
  <si>
    <t>0.02464382</t>
  </si>
  <si>
    <t>0.024038462</t>
  </si>
  <si>
    <t>Nanjing</t>
  </si>
  <si>
    <t>University of Birmingham</t>
  </si>
  <si>
    <t>101/14131</t>
  </si>
  <si>
    <t>0.008617594</t>
  </si>
  <si>
    <t>0.061349693</t>
  </si>
  <si>
    <t>Top150</t>
  </si>
  <si>
    <t>University of Kentucky</t>
  </si>
  <si>
    <t>102/14131</t>
  </si>
  <si>
    <t>65/2597</t>
  </si>
  <si>
    <t>0.025028879</t>
  </si>
  <si>
    <t>0.024439103</t>
  </si>
  <si>
    <t>University of Illinois at Chicago</t>
  </si>
  <si>
    <t>103/14131</t>
  </si>
  <si>
    <t>66/2597</t>
  </si>
  <si>
    <t>0.025413939</t>
  </si>
  <si>
    <t>62/2496</t>
  </si>
  <si>
    <t>0.024839744</t>
  </si>
  <si>
    <t>Nagoya</t>
  </si>
  <si>
    <t>Tel Aviv University</t>
  </si>
  <si>
    <t>Israel</t>
  </si>
  <si>
    <t>Tel Aviv</t>
  </si>
  <si>
    <t>University of Montreal</t>
  </si>
  <si>
    <t>105/14131</t>
  </si>
  <si>
    <t>67/2597</t>
  </si>
  <si>
    <t>0.025798999</t>
  </si>
  <si>
    <t>5/101</t>
  </si>
  <si>
    <t>0.04950495</t>
  </si>
  <si>
    <t>Sapporo</t>
  </si>
  <si>
    <t>Uppsala University</t>
  </si>
  <si>
    <t>26/2785</t>
  </si>
  <si>
    <t>0.009335727</t>
  </si>
  <si>
    <t>2/39</t>
  </si>
  <si>
    <t>0.051282051</t>
  </si>
  <si>
    <t>Wales</t>
  </si>
  <si>
    <t>Shanghai Jiao Tong University</t>
  </si>
  <si>
    <t>107/14131</t>
  </si>
  <si>
    <t>118/2597</t>
  </si>
  <si>
    <t>103/2496</t>
  </si>
  <si>
    <t>Shanghai</t>
  </si>
  <si>
    <t>University of Barcelona</t>
  </si>
  <si>
    <t>27/2785</t>
  </si>
  <si>
    <t>0.009694794</t>
  </si>
  <si>
    <t>1/75</t>
  </si>
  <si>
    <t>0.013333333</t>
  </si>
  <si>
    <t>University of Leeds</t>
  </si>
  <si>
    <t>108/14131</t>
  </si>
  <si>
    <t>28/2785</t>
  </si>
  <si>
    <t>0.01005386</t>
  </si>
  <si>
    <t>11/163</t>
  </si>
  <si>
    <t>0.067484663</t>
  </si>
  <si>
    <t>Utah</t>
  </si>
  <si>
    <t>Zhejiang University</t>
  </si>
  <si>
    <t>109/14131</t>
  </si>
  <si>
    <t>7/5830</t>
  </si>
  <si>
    <t>0.001200686</t>
  </si>
  <si>
    <t>3/960</t>
  </si>
  <si>
    <t>0.003125</t>
  </si>
  <si>
    <t>Case Western Reserve University</t>
  </si>
  <si>
    <t>111/14131</t>
  </si>
  <si>
    <t>126/2597</t>
  </si>
  <si>
    <t>16/101</t>
  </si>
  <si>
    <t>Ohio</t>
  </si>
  <si>
    <t>Oregon State University</t>
  </si>
  <si>
    <t>112/14131</t>
  </si>
  <si>
    <t>10/5830</t>
  </si>
  <si>
    <t>4/719</t>
  </si>
  <si>
    <t>Oregon</t>
  </si>
  <si>
    <t>University of Missouri - Columbia</t>
  </si>
  <si>
    <t>69/2597</t>
  </si>
  <si>
    <t>0.026569118</t>
  </si>
  <si>
    <t>64/2496</t>
  </si>
  <si>
    <t>0.025641026</t>
  </si>
  <si>
    <t>Netherlands</t>
  </si>
  <si>
    <t>Rotterdam</t>
  </si>
  <si>
    <t>University of Kansas</t>
  </si>
  <si>
    <t>113/14131</t>
  </si>
  <si>
    <t>70/2597</t>
  </si>
  <si>
    <t>0.026954178</t>
  </si>
  <si>
    <t>65/2496</t>
  </si>
  <si>
    <t>0.026041667</t>
  </si>
  <si>
    <t>Colorado State University - Fort Collins</t>
  </si>
  <si>
    <t>114/14131</t>
  </si>
  <si>
    <t>10/59</t>
  </si>
  <si>
    <t>9/40</t>
  </si>
  <si>
    <t>University of Nottingham</t>
  </si>
  <si>
    <t>115/14131</t>
  </si>
  <si>
    <t>29/2785</t>
  </si>
  <si>
    <t>0.010412926</t>
  </si>
  <si>
    <t>12/163</t>
  </si>
  <si>
    <t>0.073619632</t>
  </si>
  <si>
    <t>Tohoku University</t>
  </si>
  <si>
    <t>116/14131</t>
  </si>
  <si>
    <t>120/2597</t>
  </si>
  <si>
    <t>105/2496</t>
  </si>
  <si>
    <t>Sendai</t>
  </si>
  <si>
    <t>University of Waterloo</t>
  </si>
  <si>
    <t>117/14131</t>
  </si>
  <si>
    <t>71/2597</t>
  </si>
  <si>
    <t>0.027339238</t>
  </si>
  <si>
    <t>6/101</t>
  </si>
  <si>
    <t>0.059405941</t>
  </si>
  <si>
    <t>Crawley</t>
  </si>
  <si>
    <t>George Washington University</t>
  </si>
  <si>
    <t>118/14131</t>
  </si>
  <si>
    <t>13/5830</t>
  </si>
  <si>
    <t>1/193</t>
  </si>
  <si>
    <t>Washington</t>
  </si>
  <si>
    <t>Sapienza University of Rome</t>
  </si>
  <si>
    <t>120/14131</t>
  </si>
  <si>
    <t>23/5830</t>
  </si>
  <si>
    <t>9/960</t>
  </si>
  <si>
    <t>Italy</t>
  </si>
  <si>
    <t>Lazio</t>
  </si>
  <si>
    <t>Georgetown University</t>
  </si>
  <si>
    <t>121/14131</t>
  </si>
  <si>
    <t>33/5830</t>
  </si>
  <si>
    <t>16/960</t>
  </si>
  <si>
    <t>Karolinska Institute</t>
  </si>
  <si>
    <t>122/14131</t>
  </si>
  <si>
    <t>78/2597</t>
  </si>
  <si>
    <t>8/101</t>
  </si>
  <si>
    <t>Stockholm</t>
  </si>
  <si>
    <t>University of Connecticut</t>
  </si>
  <si>
    <t>73/2597</t>
  </si>
  <si>
    <t>0.028109357</t>
  </si>
  <si>
    <t>67/2496</t>
  </si>
  <si>
    <t>0.026842949</t>
  </si>
  <si>
    <t>Ontario</t>
  </si>
  <si>
    <t>Ghent University</t>
  </si>
  <si>
    <t>123/14131</t>
  </si>
  <si>
    <t>99/2597</t>
  </si>
  <si>
    <t>88/2496</t>
  </si>
  <si>
    <t>Ghent</t>
  </si>
  <si>
    <t>Federal Institute of Technology Lausanne</t>
  </si>
  <si>
    <t>124/14131</t>
  </si>
  <si>
    <t>22/5830</t>
  </si>
  <si>
    <t>8/960</t>
  </si>
  <si>
    <t>University of Milan</t>
  </si>
  <si>
    <t>32/2785</t>
  </si>
  <si>
    <t>0.011490126</t>
  </si>
  <si>
    <t>3/88</t>
  </si>
  <si>
    <t>0.034090909</t>
  </si>
  <si>
    <t>Fukuoka</t>
  </si>
  <si>
    <t>University of Nebraska - Lincoln</t>
  </si>
  <si>
    <t>126/14131</t>
  </si>
  <si>
    <t>75/2597</t>
  </si>
  <si>
    <t>0.028879476</t>
  </si>
  <si>
    <t>69/2496</t>
  </si>
  <si>
    <t>0.027644231</t>
  </si>
  <si>
    <t>Delft University of Technology</t>
  </si>
  <si>
    <t>15/5830</t>
  </si>
  <si>
    <t>5/719</t>
  </si>
  <si>
    <t>Delft</t>
  </si>
  <si>
    <t>University of Hong Kong</t>
  </si>
  <si>
    <t>127/14131</t>
  </si>
  <si>
    <t>12/5830</t>
  </si>
  <si>
    <t>0.002058319</t>
  </si>
  <si>
    <t>5/960</t>
  </si>
  <si>
    <t>New Zealand</t>
  </si>
  <si>
    <t>Auckland</t>
  </si>
  <si>
    <t>University of Bonn</t>
  </si>
  <si>
    <t>128/14131</t>
  </si>
  <si>
    <t>33/2785</t>
  </si>
  <si>
    <t>0.011849192</t>
  </si>
  <si>
    <t>4/369</t>
  </si>
  <si>
    <t>0.010840108</t>
  </si>
  <si>
    <t>University of Gottingen</t>
  </si>
  <si>
    <t>130/14131</t>
  </si>
  <si>
    <t>34/2785</t>
  </si>
  <si>
    <t>0.012208259</t>
  </si>
  <si>
    <t>5/369</t>
  </si>
  <si>
    <t>0.013550136</t>
  </si>
  <si>
    <t>Bern</t>
  </si>
  <si>
    <t>University of Calgary</t>
  </si>
  <si>
    <t>131/14131</t>
  </si>
  <si>
    <t>77/2597</t>
  </si>
  <si>
    <t>0.029649596</t>
  </si>
  <si>
    <t>0.079207921</t>
  </si>
  <si>
    <t>New Mexico</t>
  </si>
  <si>
    <t>McMaster University</t>
  </si>
  <si>
    <t>1/67</t>
  </si>
  <si>
    <t>Simon Fraser University</t>
  </si>
  <si>
    <t>132/14131</t>
  </si>
  <si>
    <t>122/2597</t>
  </si>
  <si>
    <t>107/2496</t>
  </si>
  <si>
    <t>University of Hamburg</t>
  </si>
  <si>
    <t>133/14131</t>
  </si>
  <si>
    <t>35/2785</t>
  </si>
  <si>
    <t>0.012567325</t>
  </si>
  <si>
    <t>6/369</t>
  </si>
  <si>
    <t>0.016260163</t>
  </si>
  <si>
    <t>Geneva</t>
  </si>
  <si>
    <t>Chinese University of Hong Kong</t>
  </si>
  <si>
    <t>Hong Kong</t>
  </si>
  <si>
    <t>Free University of Berlin</t>
  </si>
  <si>
    <t>134/14131</t>
  </si>
  <si>
    <t>6/1756</t>
  </si>
  <si>
    <t>4/198</t>
  </si>
  <si>
    <t>Berlin</t>
  </si>
  <si>
    <t>Western University</t>
  </si>
  <si>
    <t>79/2597</t>
  </si>
  <si>
    <t>0.030419715</t>
  </si>
  <si>
    <t>9/101</t>
  </si>
  <si>
    <t>0.089108911</t>
  </si>
  <si>
    <t>Amsterdam</t>
  </si>
  <si>
    <t>University of Sheffield</t>
  </si>
  <si>
    <t>137/14131</t>
  </si>
  <si>
    <t>36/2785</t>
  </si>
  <si>
    <t>0.012926391</t>
  </si>
  <si>
    <t>13/163</t>
  </si>
  <si>
    <t>0.079754601</t>
  </si>
  <si>
    <t>University of Tennessee - Knoxville</t>
  </si>
  <si>
    <t>138/14131</t>
  </si>
  <si>
    <t>82/2597</t>
  </si>
  <si>
    <t>0.031574894</t>
  </si>
  <si>
    <t>73/2496</t>
  </si>
  <si>
    <t>0.029246795</t>
  </si>
  <si>
    <t>National Taiwan University</t>
  </si>
  <si>
    <t>139/14131</t>
  </si>
  <si>
    <t>Taiwan</t>
  </si>
  <si>
    <t>Taipei</t>
  </si>
  <si>
    <t>University of Warwick</t>
  </si>
  <si>
    <t>37/2785</t>
  </si>
  <si>
    <t>0.013285458</t>
  </si>
  <si>
    <t>14/163</t>
  </si>
  <si>
    <t>0.085889571</t>
  </si>
  <si>
    <t>Florida State University</t>
  </si>
  <si>
    <t>144/14131</t>
  </si>
  <si>
    <t>10/369</t>
  </si>
  <si>
    <t>Florida</t>
  </si>
  <si>
    <t>University of Tubingen</t>
  </si>
  <si>
    <t>146/14131</t>
  </si>
  <si>
    <t>41/2785</t>
  </si>
  <si>
    <t>0.014721724</t>
  </si>
  <si>
    <t>7/369</t>
  </si>
  <si>
    <t>0.01897019</t>
  </si>
  <si>
    <t>Humboldt University of Berlin</t>
  </si>
  <si>
    <t>147/14131</t>
  </si>
  <si>
    <t>72/2597</t>
  </si>
  <si>
    <t>8/58</t>
  </si>
  <si>
    <t>University of Southampton</t>
  </si>
  <si>
    <t>42/2785</t>
  </si>
  <si>
    <t>0.01508079</t>
  </si>
  <si>
    <t>15/163</t>
  </si>
  <si>
    <t>0.09202454</t>
  </si>
  <si>
    <t>Seoul National University</t>
  </si>
  <si>
    <t>148/14131</t>
  </si>
  <si>
    <t>University of Notre Dame</t>
  </si>
  <si>
    <t>149/14131</t>
  </si>
  <si>
    <t>85/2597</t>
  </si>
  <si>
    <t>0.032730073</t>
  </si>
  <si>
    <t>75/2496</t>
  </si>
  <si>
    <t>0.030048077</t>
  </si>
  <si>
    <t>Brandenburg</t>
  </si>
  <si>
    <t>Complutense University of Madrid</t>
  </si>
  <si>
    <t>150/14131</t>
  </si>
  <si>
    <t>Madrid</t>
  </si>
  <si>
    <t>University of Padua</t>
  </si>
  <si>
    <t>151/14131</t>
  </si>
  <si>
    <t>45/2785</t>
  </si>
  <si>
    <t>0.016157989</t>
  </si>
  <si>
    <t>4/88</t>
  </si>
  <si>
    <t>0.045454545</t>
  </si>
  <si>
    <t>Aarhus</t>
  </si>
  <si>
    <t>Top200</t>
  </si>
  <si>
    <t>Hebrew University of Jerusalem</t>
  </si>
  <si>
    <t>Jerusalem</t>
  </si>
  <si>
    <t>Aarhus University</t>
  </si>
  <si>
    <t>152/14131</t>
  </si>
  <si>
    <t>91/2597</t>
  </si>
  <si>
    <t>9/58</t>
  </si>
  <si>
    <t>Veneto</t>
  </si>
  <si>
    <t>University of South Florida</t>
  </si>
  <si>
    <t>154/14131</t>
  </si>
  <si>
    <t>86/2597</t>
  </si>
  <si>
    <t>0.033115133</t>
  </si>
  <si>
    <t>76/2496</t>
  </si>
  <si>
    <t>0.030448718</t>
  </si>
  <si>
    <t>University of Freiburg</t>
  </si>
  <si>
    <t>155/14131</t>
  </si>
  <si>
    <t>48/2785</t>
  </si>
  <si>
    <t>0.017235189</t>
  </si>
  <si>
    <t>0.027100271</t>
  </si>
  <si>
    <t>London School of Economics and Political Science</t>
  </si>
  <si>
    <t>17/163</t>
  </si>
  <si>
    <t>Washington State University</t>
  </si>
  <si>
    <t>156/14131</t>
  </si>
  <si>
    <t>87/2597</t>
  </si>
  <si>
    <t>0.033500193</t>
  </si>
  <si>
    <t>77/2496</t>
  </si>
  <si>
    <t>0.030849359</t>
  </si>
  <si>
    <t>Keio University</t>
  </si>
  <si>
    <t>157/14131</t>
  </si>
  <si>
    <t>5/163</t>
  </si>
  <si>
    <t>Hokkaido University</t>
  </si>
  <si>
    <t>158/14131</t>
  </si>
  <si>
    <t>44/2597</t>
  </si>
  <si>
    <t>8/369</t>
  </si>
  <si>
    <t>Newcastle University</t>
  </si>
  <si>
    <t>159/14131</t>
  </si>
  <si>
    <t>202/2597</t>
  </si>
  <si>
    <t>9/224</t>
  </si>
  <si>
    <t>Newcastle upon Tyne</t>
  </si>
  <si>
    <t>University of Groningen</t>
  </si>
  <si>
    <t>161/14131</t>
  </si>
  <si>
    <t>50/2785</t>
  </si>
  <si>
    <t>0.017953321</t>
  </si>
  <si>
    <t>4/58</t>
  </si>
  <si>
    <t>0.068965517</t>
  </si>
  <si>
    <t>Dartmouth College</t>
  </si>
  <si>
    <t>92/2597</t>
  </si>
  <si>
    <t>81/2496</t>
  </si>
  <si>
    <t>New Hampshire</t>
  </si>
  <si>
    <t>Leiden University</t>
  </si>
  <si>
    <t>162/14131</t>
  </si>
  <si>
    <t>80/2597</t>
  </si>
  <si>
    <t>6/39</t>
  </si>
  <si>
    <t>Leiden</t>
  </si>
  <si>
    <t>Fudan University</t>
  </si>
  <si>
    <t>165/14131</t>
  </si>
  <si>
    <t>2/75</t>
  </si>
  <si>
    <t>University of Adelaide</t>
  </si>
  <si>
    <t>167/14131</t>
  </si>
  <si>
    <t>76/2597</t>
  </si>
  <si>
    <t>3/75</t>
  </si>
  <si>
    <t>Adelaide</t>
  </si>
  <si>
    <t>University of Geneva</t>
  </si>
  <si>
    <t>168/14131</t>
  </si>
  <si>
    <t>54/2785</t>
  </si>
  <si>
    <t>0.019389587</t>
  </si>
  <si>
    <t>4/23</t>
  </si>
  <si>
    <t>0.173913043</t>
  </si>
  <si>
    <t>Hamburg State</t>
  </si>
  <si>
    <t>RWTH Aachen University</t>
  </si>
  <si>
    <t>116/2597</t>
  </si>
  <si>
    <t>101/2496</t>
  </si>
  <si>
    <t>University of New Mexico</t>
  </si>
  <si>
    <t>170/14131</t>
  </si>
  <si>
    <t>90/2597</t>
  </si>
  <si>
    <t>0.034655372</t>
  </si>
  <si>
    <t>80/2496</t>
  </si>
  <si>
    <t>0.032051282</t>
  </si>
  <si>
    <t>University of Bern</t>
  </si>
  <si>
    <t>171/14131</t>
  </si>
  <si>
    <t>56/2785</t>
  </si>
  <si>
    <t>0.02010772</t>
  </si>
  <si>
    <t>5/23</t>
  </si>
  <si>
    <t>0.217391304</t>
  </si>
  <si>
    <t>Lower Saxony</t>
  </si>
  <si>
    <t>University at Buffalo</t>
  </si>
  <si>
    <t>95/2597</t>
  </si>
  <si>
    <t>84/2496</t>
  </si>
  <si>
    <t>Charles University</t>
  </si>
  <si>
    <t>172/14131</t>
  </si>
  <si>
    <t>55/2597</t>
  </si>
  <si>
    <t>Czech Republic</t>
  </si>
  <si>
    <t>Prague</t>
  </si>
  <si>
    <t>Kyushu University</t>
  </si>
  <si>
    <t>173/14131</t>
  </si>
  <si>
    <t>Rice University</t>
  </si>
  <si>
    <t>174/14131</t>
  </si>
  <si>
    <t>110/2597</t>
  </si>
  <si>
    <t>96/2496</t>
  </si>
  <si>
    <t>University of Auckland</t>
  </si>
  <si>
    <t>7/59</t>
  </si>
  <si>
    <t>0.118644068</t>
  </si>
  <si>
    <t>0.125</t>
  </si>
  <si>
    <t>University of Oregon</t>
  </si>
  <si>
    <t>175/14131</t>
  </si>
  <si>
    <t>0.035425491</t>
  </si>
  <si>
    <t>82/2496</t>
  </si>
  <si>
    <t>0.032852564</t>
  </si>
  <si>
    <t>Nebraska</t>
  </si>
  <si>
    <t>University of California - Santa Cruz</t>
  </si>
  <si>
    <t>176/14131</t>
  </si>
  <si>
    <t>93/2597</t>
  </si>
  <si>
    <t>0.035810551</t>
  </si>
  <si>
    <t>83/2496</t>
  </si>
  <si>
    <t>0.033253205</t>
  </si>
  <si>
    <t>Temple University</t>
  </si>
  <si>
    <t>3/163</t>
  </si>
  <si>
    <t>Louisiana State University and Agricultural &amp; Mechanical College</t>
  </si>
  <si>
    <t>177/1431</t>
  </si>
  <si>
    <t>28/5830</t>
  </si>
  <si>
    <t>12/960</t>
  </si>
  <si>
    <t>University of Ottawa</t>
  </si>
  <si>
    <t>179/14131</t>
  </si>
  <si>
    <t>94/2597</t>
  </si>
  <si>
    <t>0.03619561</t>
  </si>
  <si>
    <t>11/101</t>
  </si>
  <si>
    <t>0.108910891</t>
  </si>
  <si>
    <t>Connecticut</t>
  </si>
  <si>
    <t>University of Gothenburg</t>
  </si>
  <si>
    <t>180/14131</t>
  </si>
  <si>
    <t>57/2785</t>
  </si>
  <si>
    <t>0.020466786</t>
  </si>
  <si>
    <t>4/39</t>
  </si>
  <si>
    <t>0.102564103</t>
  </si>
  <si>
    <t>Lund</t>
  </si>
  <si>
    <t>University of Liverpool</t>
  </si>
  <si>
    <t>59/2785</t>
  </si>
  <si>
    <t>0.021184919</t>
  </si>
  <si>
    <t>18/163</t>
  </si>
  <si>
    <t>0.110429448</t>
  </si>
  <si>
    <t>University of Erlangen Nuremberg</t>
  </si>
  <si>
    <t>181/14131</t>
  </si>
  <si>
    <t>58/2785</t>
  </si>
  <si>
    <t>0.020825853</t>
  </si>
  <si>
    <t>12/369</t>
  </si>
  <si>
    <t>0.032520325</t>
  </si>
  <si>
    <t>Moscow State University</t>
  </si>
  <si>
    <t>182/14131</t>
  </si>
  <si>
    <t>5/58</t>
  </si>
  <si>
    <t>Russia</t>
  </si>
  <si>
    <t>Moscow</t>
  </si>
  <si>
    <t>University of Alabama at Birmingham</t>
  </si>
  <si>
    <t>183/14131</t>
  </si>
  <si>
    <t>Nanyang Technological University</t>
  </si>
  <si>
    <t>184/14131</t>
  </si>
  <si>
    <t>16/163</t>
  </si>
  <si>
    <t>University of Western Australia</t>
  </si>
  <si>
    <t>9/59</t>
  </si>
  <si>
    <t>0.152542373</t>
  </si>
  <si>
    <t>8/40</t>
  </si>
  <si>
    <t>0.2</t>
  </si>
  <si>
    <t>University of Cologne</t>
  </si>
  <si>
    <t>185/14131</t>
  </si>
  <si>
    <t>61/2785</t>
  </si>
  <si>
    <t>0.021903052</t>
  </si>
  <si>
    <t>13/369</t>
  </si>
  <si>
    <t>0.035230352</t>
  </si>
  <si>
    <t>University of Munster</t>
  </si>
  <si>
    <t>186/14131</t>
  </si>
  <si>
    <t>62/2785</t>
  </si>
  <si>
    <t>0.022262118</t>
  </si>
  <si>
    <t>14/369</t>
  </si>
  <si>
    <t>0.037940379</t>
  </si>
  <si>
    <t>Radboud University</t>
  </si>
  <si>
    <t>187/14131</t>
  </si>
  <si>
    <t>3/5830</t>
  </si>
  <si>
    <t>2/719</t>
  </si>
  <si>
    <t>Gelderland</t>
  </si>
  <si>
    <t>University of Cincinnati</t>
  </si>
  <si>
    <t>188/14131</t>
  </si>
  <si>
    <t>96/2597</t>
  </si>
  <si>
    <t>0.03696573</t>
  </si>
  <si>
    <t>85/2496</t>
  </si>
  <si>
    <t>0.034054487</t>
  </si>
  <si>
    <t>University of Science and Technology of China</t>
  </si>
  <si>
    <t>20/5830</t>
  </si>
  <si>
    <t>0.003430532</t>
  </si>
  <si>
    <t>7/960</t>
  </si>
  <si>
    <t>0.007291667</t>
  </si>
  <si>
    <t>University of South Carolina - Columbia</t>
  </si>
  <si>
    <t>191/14131</t>
  </si>
  <si>
    <t>97/2597</t>
  </si>
  <si>
    <t>0.037350789</t>
  </si>
  <si>
    <t>86/2496</t>
  </si>
  <si>
    <t>0.034455128</t>
  </si>
  <si>
    <t>Brigham Young University - Provo</t>
  </si>
  <si>
    <t>9/88</t>
  </si>
  <si>
    <t>Karlsruhe Institute of Technology</t>
  </si>
  <si>
    <t>192/14131</t>
  </si>
  <si>
    <t>159/2597</t>
  </si>
  <si>
    <t>7/63</t>
  </si>
  <si>
    <t>University of Delaware</t>
  </si>
  <si>
    <t>193/14131</t>
  </si>
  <si>
    <t>100/2597</t>
  </si>
  <si>
    <t>0.038505968</t>
  </si>
  <si>
    <t>89/2496</t>
  </si>
  <si>
    <t>0.035657051</t>
  </si>
  <si>
    <t>Nagoya University</t>
  </si>
  <si>
    <t>194/14131</t>
  </si>
  <si>
    <t>20/369</t>
  </si>
  <si>
    <t>Wayne State University</t>
  </si>
  <si>
    <t>Barcelona</t>
  </si>
  <si>
    <t>Laval University</t>
  </si>
  <si>
    <t>197/14131</t>
  </si>
  <si>
    <t>1/63</t>
  </si>
  <si>
    <t>University of Leipzig</t>
  </si>
  <si>
    <t>67/2785</t>
  </si>
  <si>
    <t>0.024057451</t>
  </si>
  <si>
    <t>15/369</t>
  </si>
  <si>
    <t>0.040650407</t>
  </si>
  <si>
    <t>University of Houston</t>
  </si>
  <si>
    <t>198/14131</t>
  </si>
  <si>
    <t>103/2597</t>
  </si>
  <si>
    <t>0.039661147</t>
  </si>
  <si>
    <t>91/2496</t>
  </si>
  <si>
    <t>0.036458333</t>
  </si>
  <si>
    <t>University of York</t>
  </si>
  <si>
    <t>199/14131</t>
  </si>
  <si>
    <t>68/2785</t>
  </si>
  <si>
    <t>0.024416517</t>
  </si>
  <si>
    <t>21/163</t>
  </si>
  <si>
    <t>0.128834356</t>
  </si>
  <si>
    <t>Stony Brook University</t>
  </si>
  <si>
    <t>200/14131</t>
  </si>
  <si>
    <t>88/2597</t>
  </si>
  <si>
    <t>1/32</t>
  </si>
  <si>
    <t>Wageningen University</t>
  </si>
  <si>
    <t>201/14131</t>
  </si>
  <si>
    <t>65/2785</t>
  </si>
  <si>
    <t>0.023339318</t>
  </si>
  <si>
    <t>7/58</t>
  </si>
  <si>
    <t>0.120689655</t>
  </si>
  <si>
    <t>Top250</t>
  </si>
  <si>
    <t>Nanjing University</t>
  </si>
  <si>
    <t>202/14131</t>
  </si>
  <si>
    <t>78/2496</t>
  </si>
  <si>
    <t>University of Liege</t>
  </si>
  <si>
    <t>204/14131</t>
  </si>
  <si>
    <t>3/63</t>
  </si>
  <si>
    <t>0.047619048</t>
  </si>
  <si>
    <t>Huazhong University of Science and Technology</t>
  </si>
  <si>
    <t>205/14131</t>
  </si>
  <si>
    <t>108/2597</t>
  </si>
  <si>
    <t>14/101</t>
  </si>
  <si>
    <t>Wuhan</t>
  </si>
  <si>
    <t>Stockholm University</t>
  </si>
  <si>
    <t>206/14131</t>
  </si>
  <si>
    <t>1/385</t>
  </si>
  <si>
    <t>University of California - Riverside</t>
  </si>
  <si>
    <t>208/14131</t>
  </si>
  <si>
    <t>105/2597</t>
  </si>
  <si>
    <t>0.040431267</t>
  </si>
  <si>
    <t>93/2496</t>
  </si>
  <si>
    <t>0.037259615</t>
  </si>
  <si>
    <t>Technical University of Denmark</t>
  </si>
  <si>
    <t>209/14131</t>
  </si>
  <si>
    <t>32/2597</t>
  </si>
  <si>
    <t>3/23</t>
  </si>
  <si>
    <t>University of Exeter</t>
  </si>
  <si>
    <t>210/14131</t>
  </si>
  <si>
    <t>71/2785</t>
  </si>
  <si>
    <t>0.025493716</t>
  </si>
  <si>
    <t>Free University Amsterdam</t>
  </si>
  <si>
    <t>211/14131</t>
  </si>
  <si>
    <t>7/163</t>
  </si>
  <si>
    <t>University of Amsterdam</t>
  </si>
  <si>
    <t>18/5830</t>
  </si>
  <si>
    <t>7/719</t>
  </si>
  <si>
    <t>Dresden University of Technology</t>
  </si>
  <si>
    <t>212/14131</t>
  </si>
  <si>
    <t>3/1756</t>
  </si>
  <si>
    <t>2/198</t>
  </si>
  <si>
    <t>Saxony</t>
  </si>
  <si>
    <t>Wuhan University</t>
  </si>
  <si>
    <t>213/14131</t>
  </si>
  <si>
    <t>24/5830</t>
  </si>
  <si>
    <t>0.004116638</t>
  </si>
  <si>
    <t>10/960</t>
  </si>
  <si>
    <t>Technical University of Berlin</t>
  </si>
  <si>
    <t>214/14131</t>
  </si>
  <si>
    <t>66/2496</t>
  </si>
  <si>
    <t>Cardiff University</t>
  </si>
  <si>
    <t>215/14131</t>
  </si>
  <si>
    <t>2/1756</t>
  </si>
  <si>
    <t>Autonomous University of Barcelona</t>
  </si>
  <si>
    <t>216/14131</t>
  </si>
  <si>
    <t>Emilia-Romagna</t>
  </si>
  <si>
    <t>York University</t>
  </si>
  <si>
    <t>217/14131</t>
  </si>
  <si>
    <t>106/2597</t>
  </si>
  <si>
    <t>0.040816327</t>
  </si>
  <si>
    <t>13/101</t>
  </si>
  <si>
    <t>0.128712871</t>
  </si>
  <si>
    <t>Northeastern University</t>
  </si>
  <si>
    <t>218/14131</t>
  </si>
  <si>
    <t>30/5830</t>
  </si>
  <si>
    <t>3/32</t>
  </si>
  <si>
    <t>University of Turin</t>
  </si>
  <si>
    <t>219/14131</t>
  </si>
  <si>
    <t>77/2785</t>
  </si>
  <si>
    <t>0.027648115</t>
  </si>
  <si>
    <t>5/88</t>
  </si>
  <si>
    <t>0.056818182</t>
  </si>
  <si>
    <t>University of Tsukuba</t>
  </si>
  <si>
    <t>220/14131</t>
  </si>
  <si>
    <t>25/5830</t>
  </si>
  <si>
    <t>0.004288165</t>
  </si>
  <si>
    <t>9/719</t>
  </si>
  <si>
    <t>0.012517385</t>
  </si>
  <si>
    <t>Leuven</t>
  </si>
  <si>
    <t>University of Wurzburg</t>
  </si>
  <si>
    <t>221/14131</t>
  </si>
  <si>
    <t>78/2785</t>
  </si>
  <si>
    <t>0.028007181</t>
  </si>
  <si>
    <t>19/369</t>
  </si>
  <si>
    <t>0.051490515</t>
  </si>
  <si>
    <t>Dalhousie University</t>
  </si>
  <si>
    <t>222/14131</t>
  </si>
  <si>
    <t>68/2597</t>
  </si>
  <si>
    <t>University of Bergen</t>
  </si>
  <si>
    <t>223/14131</t>
  </si>
  <si>
    <t>79/2785</t>
  </si>
  <si>
    <t>0.028366248</t>
  </si>
  <si>
    <t>2/29</t>
  </si>
  <si>
    <t>University of Texas MD Anderson Cancer Center</t>
  </si>
  <si>
    <t>224/14131</t>
  </si>
  <si>
    <t>109/2597</t>
  </si>
  <si>
    <t>0.041971506</t>
  </si>
  <si>
    <t>95/2496</t>
  </si>
  <si>
    <t>0.038060897</t>
  </si>
  <si>
    <t>Tulane University of Louisiana</t>
  </si>
  <si>
    <t>225/14131</t>
  </si>
  <si>
    <t>119/2597</t>
  </si>
  <si>
    <t>104/2496</t>
  </si>
  <si>
    <t>University of Oklahoma - Norman</t>
  </si>
  <si>
    <t>226/14131</t>
  </si>
  <si>
    <t>111/2597</t>
  </si>
  <si>
    <t>0.042741625</t>
  </si>
  <si>
    <t>97/2496</t>
  </si>
  <si>
    <t>0.038862179</t>
  </si>
  <si>
    <t>KTH Royal Institute of Technology</t>
  </si>
  <si>
    <t>227/14131</t>
  </si>
  <si>
    <t>32/2496</t>
  </si>
  <si>
    <t>University of Manitoba</t>
  </si>
  <si>
    <t>228/14131</t>
  </si>
  <si>
    <t>112/2597</t>
  </si>
  <si>
    <t>0.043126685</t>
  </si>
  <si>
    <t>15/101</t>
  </si>
  <si>
    <t>0.148514851</t>
  </si>
  <si>
    <t>University of Basel</t>
  </si>
  <si>
    <t>229/14131</t>
  </si>
  <si>
    <t>81/2785</t>
  </si>
  <si>
    <t>0.029084381</t>
  </si>
  <si>
    <t>6/23</t>
  </si>
  <si>
    <t>0.260869565</t>
  </si>
  <si>
    <t>University of Pisa</t>
  </si>
  <si>
    <t>230/14131</t>
  </si>
  <si>
    <t>82/2785</t>
  </si>
  <si>
    <t>0.029443447</t>
  </si>
  <si>
    <t>6/88</t>
  </si>
  <si>
    <t>0.068181818</t>
  </si>
  <si>
    <t>University of Central Florida</t>
  </si>
  <si>
    <t>231/14131</t>
  </si>
  <si>
    <t>113/2597</t>
  </si>
  <si>
    <t>0.043511744</t>
  </si>
  <si>
    <t>98/2496</t>
  </si>
  <si>
    <t>0.039262821</t>
  </si>
  <si>
    <t>Durham University</t>
  </si>
  <si>
    <t>232/14131</t>
  </si>
  <si>
    <t>1/144</t>
  </si>
  <si>
    <t>Virginia Commonwealth University</t>
  </si>
  <si>
    <t>233/14131</t>
  </si>
  <si>
    <t>114/2597</t>
  </si>
  <si>
    <t>0.043896804</t>
  </si>
  <si>
    <t>99/2496</t>
  </si>
  <si>
    <t>0.039663462</t>
  </si>
  <si>
    <t>Baylor College of Medicine</t>
  </si>
  <si>
    <t>234/14131</t>
  </si>
  <si>
    <t>6/5830</t>
  </si>
  <si>
    <t>Houston</t>
  </si>
  <si>
    <t>George Mason University</t>
  </si>
  <si>
    <t>236/14131</t>
  </si>
  <si>
    <t>2/88</t>
  </si>
  <si>
    <t>Auburn University</t>
  </si>
  <si>
    <t>237/14131</t>
  </si>
  <si>
    <t>63/2496</t>
  </si>
  <si>
    <t>Wisconsin</t>
  </si>
  <si>
    <t>University of Valencia</t>
  </si>
  <si>
    <t>238/14131</t>
  </si>
  <si>
    <t>85/2785</t>
  </si>
  <si>
    <t>0.030520646</t>
  </si>
  <si>
    <t>4/75</t>
  </si>
  <si>
    <t>0.053333333</t>
  </si>
  <si>
    <t>Federal University of Rio de Janeiro</t>
  </si>
  <si>
    <t>239/14131</t>
  </si>
  <si>
    <t>48/2496</t>
  </si>
  <si>
    <t>Rio de Janeiro</t>
  </si>
  <si>
    <t>Federico II University of Naples</t>
  </si>
  <si>
    <t>240/14131</t>
  </si>
  <si>
    <t>16/5830</t>
  </si>
  <si>
    <t>6/719</t>
  </si>
  <si>
    <t>Norwegian University of Science and Technology</t>
  </si>
  <si>
    <t>241/14131</t>
  </si>
  <si>
    <t>102/2597</t>
  </si>
  <si>
    <t>12/101</t>
  </si>
  <si>
    <t>University of Florence</t>
  </si>
  <si>
    <t>244/14131</t>
  </si>
  <si>
    <t>89/2785</t>
  </si>
  <si>
    <t>0.031956912</t>
  </si>
  <si>
    <t>8/88</t>
  </si>
  <si>
    <t>0.090909091</t>
  </si>
  <si>
    <t>Polytechnic University of Milan</t>
  </si>
  <si>
    <t>245/14131</t>
  </si>
  <si>
    <t>27/5830</t>
  </si>
  <si>
    <t>11/960</t>
  </si>
  <si>
    <t>Erasmus University Rotterdam</t>
  </si>
  <si>
    <t>246/14131</t>
  </si>
  <si>
    <t>98/2597</t>
  </si>
  <si>
    <t>22/369</t>
  </si>
  <si>
    <t>Drexel University</t>
  </si>
  <si>
    <t>247/14131</t>
  </si>
  <si>
    <t>18/59</t>
  </si>
  <si>
    <t>16/40</t>
  </si>
  <si>
    <t>University of Leicester</t>
  </si>
  <si>
    <t>248/14131</t>
  </si>
  <si>
    <t>92/2785</t>
  </si>
  <si>
    <t>0.033034111</t>
  </si>
  <si>
    <t>24/163</t>
  </si>
  <si>
    <t>0.147239264</t>
  </si>
  <si>
    <t>Tokyo Institute of Technology</t>
  </si>
  <si>
    <t>249/14131</t>
  </si>
  <si>
    <t>62/2597</t>
  </si>
  <si>
    <t>University of Lausanne</t>
  </si>
  <si>
    <t>250/14131</t>
  </si>
  <si>
    <t>93/2785</t>
  </si>
  <si>
    <t>0.033393178</t>
  </si>
  <si>
    <t>7/23</t>
  </si>
  <si>
    <t>0.304347826</t>
  </si>
  <si>
    <t>Hong Kong Polytechnic University</t>
  </si>
  <si>
    <t>251/14131</t>
  </si>
  <si>
    <t>Top300</t>
  </si>
  <si>
    <t>University of Porto</t>
  </si>
  <si>
    <t>252/14131</t>
  </si>
  <si>
    <t>94/2785</t>
  </si>
  <si>
    <t>0.033752244</t>
  </si>
  <si>
    <t>2/95</t>
  </si>
  <si>
    <t>0.021052632</t>
  </si>
  <si>
    <t>Johannes Gutenberg University Mainz</t>
  </si>
  <si>
    <t>253/14131</t>
  </si>
  <si>
    <t>Rhineland-Palatinate</t>
  </si>
  <si>
    <t>Sun Yat - Sen University</t>
  </si>
  <si>
    <t>254/14131</t>
  </si>
  <si>
    <t>Guangzhou</t>
  </si>
  <si>
    <t>State University of Campinas</t>
  </si>
  <si>
    <t>255/14131</t>
  </si>
  <si>
    <t>Campinas</t>
  </si>
  <si>
    <t>Queensland University of Technology</t>
  </si>
  <si>
    <t>256/14131</t>
  </si>
  <si>
    <t>117/2597</t>
  </si>
  <si>
    <t>102/2496</t>
  </si>
  <si>
    <t>Brisbane</t>
  </si>
  <si>
    <t>University of Sussex</t>
  </si>
  <si>
    <t>257/14131</t>
  </si>
  <si>
    <t>96/2785</t>
  </si>
  <si>
    <t>0.034470377</t>
  </si>
  <si>
    <t>25/163</t>
  </si>
  <si>
    <t>0.153374233</t>
  </si>
  <si>
    <t>Ruhr University Bochum</t>
  </si>
  <si>
    <t>258/14131</t>
  </si>
  <si>
    <t>17/5830</t>
  </si>
  <si>
    <t>6/960</t>
  </si>
  <si>
    <t>Kiel University</t>
  </si>
  <si>
    <t>259/14131</t>
  </si>
  <si>
    <t>26/369</t>
  </si>
  <si>
    <t>Kiel</t>
  </si>
  <si>
    <t>University of Cape Town</t>
  </si>
  <si>
    <t>260/14131</t>
  </si>
  <si>
    <t>1/1104</t>
  </si>
  <si>
    <t>0.000905797</t>
  </si>
  <si>
    <t>1/26</t>
  </si>
  <si>
    <t>0.038461538</t>
  </si>
  <si>
    <t>Sydney</t>
  </si>
  <si>
    <t>University of Alabama</t>
  </si>
  <si>
    <t>261/14131</t>
  </si>
  <si>
    <t>National and Kapodistrian University of Athens</t>
  </si>
  <si>
    <t>262/14131</t>
  </si>
  <si>
    <t>Greece</t>
  </si>
  <si>
    <t>Athens</t>
  </si>
  <si>
    <t>University of Aberdeen</t>
  </si>
  <si>
    <t>263/14131</t>
  </si>
  <si>
    <t>3/29</t>
  </si>
  <si>
    <t>Kansas State University</t>
  </si>
  <si>
    <t>264/14131</t>
  </si>
  <si>
    <t>104/2597</t>
  </si>
  <si>
    <t>92/2496</t>
  </si>
  <si>
    <t>University of Vermont</t>
  </si>
  <si>
    <t>266/14131</t>
  </si>
  <si>
    <t>121/2597</t>
  </si>
  <si>
    <t>0.046592222</t>
  </si>
  <si>
    <t>106/2496</t>
  </si>
  <si>
    <t>0.042467949</t>
  </si>
  <si>
    <t>Clemson University</t>
  </si>
  <si>
    <t>267/14131</t>
  </si>
  <si>
    <t>29/163</t>
  </si>
  <si>
    <t>South Carolina</t>
  </si>
  <si>
    <t>University of St Andrews</t>
  </si>
  <si>
    <t>269/14131</t>
  </si>
  <si>
    <t>102/2785</t>
  </si>
  <si>
    <t>0.036624776</t>
  </si>
  <si>
    <t>27/163</t>
  </si>
  <si>
    <t>0.165644172</t>
  </si>
  <si>
    <t>Sao Paulo</t>
  </si>
  <si>
    <t>Technion - Israel Institute of Technology</t>
  </si>
  <si>
    <t>271/14131</t>
  </si>
  <si>
    <t>14/5830</t>
  </si>
  <si>
    <t>2/32</t>
  </si>
  <si>
    <t>Haifa</t>
  </si>
  <si>
    <t>Boston College</t>
  </si>
  <si>
    <t>272/14131</t>
  </si>
  <si>
    <t>Catholic University of Louvain</t>
  </si>
  <si>
    <t>273/14131</t>
  </si>
  <si>
    <t>124/2597</t>
  </si>
  <si>
    <t>109/2496</t>
  </si>
  <si>
    <t>University of Stuttgart</t>
  </si>
  <si>
    <t>274/14131</t>
  </si>
  <si>
    <t>104/2785</t>
  </si>
  <si>
    <t>0.037342908</t>
  </si>
  <si>
    <t>24/369</t>
  </si>
  <si>
    <t>0.06504065</t>
  </si>
  <si>
    <t>West Virginia University</t>
  </si>
  <si>
    <t>275/14131</t>
  </si>
  <si>
    <t>125/2597</t>
  </si>
  <si>
    <t>0.048132461</t>
  </si>
  <si>
    <t>110/2496</t>
  </si>
  <si>
    <t>0.044070513</t>
  </si>
  <si>
    <t>Federal University of Rio Grande do Sul</t>
  </si>
  <si>
    <t>276/14131</t>
  </si>
  <si>
    <t>22/163</t>
  </si>
  <si>
    <t>Porto Alegre</t>
  </si>
  <si>
    <t>Queen's University</t>
  </si>
  <si>
    <t>278/14131</t>
  </si>
  <si>
    <t>11/5830</t>
  </si>
  <si>
    <t>Xi'an Jiaotong University</t>
  </si>
  <si>
    <t>279/14131</t>
  </si>
  <si>
    <t>31/5830</t>
  </si>
  <si>
    <t>0.005317324</t>
  </si>
  <si>
    <t>14/960</t>
  </si>
  <si>
    <t>0.014583333</t>
  </si>
  <si>
    <t>Shandong University</t>
  </si>
  <si>
    <t>281/14131</t>
  </si>
  <si>
    <t>17/369</t>
  </si>
  <si>
    <t>Jinan</t>
  </si>
  <si>
    <t>University of Reading</t>
  </si>
  <si>
    <t>283/14131</t>
  </si>
  <si>
    <t>106/2785</t>
  </si>
  <si>
    <t>0.038061041</t>
  </si>
  <si>
    <t>28/163</t>
  </si>
  <si>
    <t>0.171779141</t>
  </si>
  <si>
    <t>University of Granada</t>
  </si>
  <si>
    <t>284/14131</t>
  </si>
  <si>
    <t>107/2785</t>
  </si>
  <si>
    <t>0.038420108</t>
  </si>
  <si>
    <t>5/75</t>
  </si>
  <si>
    <t>0.066666667</t>
  </si>
  <si>
    <t>Waseda University</t>
  </si>
  <si>
    <t>285/14131</t>
  </si>
  <si>
    <t>34/5830</t>
  </si>
  <si>
    <t>0.005831904</t>
  </si>
  <si>
    <t>11/719</t>
  </si>
  <si>
    <t>0.015299026</t>
  </si>
  <si>
    <t>Minnesota</t>
  </si>
  <si>
    <t>University of Victoria</t>
  </si>
  <si>
    <t>287/14131</t>
  </si>
  <si>
    <t>128/2597</t>
  </si>
  <si>
    <t>0.04928764</t>
  </si>
  <si>
    <t>18/101</t>
  </si>
  <si>
    <t>0.178217822</t>
  </si>
  <si>
    <t>University of Warsaw</t>
  </si>
  <si>
    <t>288/14131</t>
  </si>
  <si>
    <t>108/2785</t>
  </si>
  <si>
    <t>0.038779174</t>
  </si>
  <si>
    <t>1/127</t>
  </si>
  <si>
    <t>0.007874016</t>
  </si>
  <si>
    <t>Queen's University Belfast</t>
  </si>
  <si>
    <t>290/14131</t>
  </si>
  <si>
    <t>107/2597</t>
  </si>
  <si>
    <t>94/2496</t>
  </si>
  <si>
    <t>Northern Ireland</t>
  </si>
  <si>
    <t>University of Buenos Aires</t>
  </si>
  <si>
    <t>291/14131</t>
  </si>
  <si>
    <t>7/1756</t>
  </si>
  <si>
    <t>0.003986333</t>
  </si>
  <si>
    <t>Umea University</t>
  </si>
  <si>
    <t>292/14131</t>
  </si>
  <si>
    <t>21/5830</t>
  </si>
  <si>
    <t>8/719</t>
  </si>
  <si>
    <t>Vasterbotten</t>
  </si>
  <si>
    <t>Yonsei University</t>
  </si>
  <si>
    <t>293/14131</t>
  </si>
  <si>
    <t>36/5830</t>
  </si>
  <si>
    <t>0.006174957</t>
  </si>
  <si>
    <t>2/193</t>
  </si>
  <si>
    <t>0.010362694</t>
  </si>
  <si>
    <t>University of Otago</t>
  </si>
  <si>
    <t>294/14131</t>
  </si>
  <si>
    <t>12/59</t>
  </si>
  <si>
    <t>0.203389831</t>
  </si>
  <si>
    <t>2/8</t>
  </si>
  <si>
    <t>0.25</t>
  </si>
  <si>
    <t>Wake Forest University</t>
  </si>
  <si>
    <t>298/14131</t>
  </si>
  <si>
    <t>131/2597</t>
  </si>
  <si>
    <t>0.050442819</t>
  </si>
  <si>
    <t>112/2496</t>
  </si>
  <si>
    <t>0.044871795</t>
  </si>
  <si>
    <t>Georgia State University</t>
  </si>
  <si>
    <t>301/14131</t>
  </si>
  <si>
    <t>Top350</t>
  </si>
  <si>
    <t>Trinity College Dublin, University of Dublin</t>
  </si>
  <si>
    <t>303/14131</t>
  </si>
  <si>
    <t>132/2597</t>
  </si>
  <si>
    <t>113/2496</t>
  </si>
  <si>
    <t>Ireland</t>
  </si>
  <si>
    <t>Dublin</t>
  </si>
  <si>
    <t>Federal University of Minas Gerais</t>
  </si>
  <si>
    <t>305/14131</t>
  </si>
  <si>
    <t>Rensselaer Polytechnic Institute</t>
  </si>
  <si>
    <t>309/14131</t>
  </si>
  <si>
    <t>Friedrich Schiller University of Jena</t>
  </si>
  <si>
    <t>310/14131</t>
  </si>
  <si>
    <t>7/88</t>
  </si>
  <si>
    <t>University of London</t>
  </si>
  <si>
    <t>317/14131</t>
  </si>
  <si>
    <t>120/2785</t>
  </si>
  <si>
    <t>0.043087971</t>
  </si>
  <si>
    <t>31/163</t>
  </si>
  <si>
    <t>0.190184049</t>
  </si>
  <si>
    <t>University of East Anglia</t>
  </si>
  <si>
    <t>325/14131</t>
  </si>
  <si>
    <t>125/2785</t>
  </si>
  <si>
    <t>0.044883303</t>
  </si>
  <si>
    <t>32/163</t>
  </si>
  <si>
    <t>0.196319018</t>
  </si>
  <si>
    <t>University of Louisville</t>
  </si>
  <si>
    <t>328/14131</t>
  </si>
  <si>
    <t>139/2597</t>
  </si>
  <si>
    <t>0.053523296</t>
  </si>
  <si>
    <t>120/2496</t>
  </si>
  <si>
    <t>0.048076923</t>
  </si>
  <si>
    <t>Oklahoma State University</t>
  </si>
  <si>
    <t>342/14131</t>
  </si>
  <si>
    <t>RMIT University</t>
  </si>
  <si>
    <t>356/14131</t>
  </si>
  <si>
    <t>Top400</t>
  </si>
  <si>
    <t>Free University of Brussels</t>
  </si>
  <si>
    <t>397/14131</t>
  </si>
  <si>
    <t>26/2496</t>
  </si>
  <si>
    <t>University of Maryland, Baltimore</t>
  </si>
  <si>
    <t>500/14131</t>
  </si>
  <si>
    <t>185/2597</t>
  </si>
  <si>
    <t>0.071236042</t>
  </si>
  <si>
    <t>161/2496</t>
  </si>
  <si>
    <t>0.064503205</t>
  </si>
  <si>
    <t>Top500</t>
  </si>
  <si>
    <t>Normal Superior School</t>
  </si>
  <si>
    <t>522/14131</t>
  </si>
  <si>
    <t>8/1756</t>
  </si>
  <si>
    <t>5/198</t>
  </si>
  <si>
    <t>France</t>
  </si>
  <si>
    <t>Paris</t>
  </si>
  <si>
    <t>Top550</t>
  </si>
  <si>
    <t>Queen Mary University of London</t>
  </si>
  <si>
    <t>207/14131</t>
  </si>
  <si>
    <t>University College Dublin</t>
  </si>
  <si>
    <t>242/14131</t>
  </si>
  <si>
    <t>2/63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</si>
</sst>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-* #,##0.00\ &quot;₫&quot;_-;\-* #,##0.00\ &quot;₫&quot;_-;_-* &quot;-&quot;??\ &quot;₫&quot;_-;_-@_-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15" borderId="2" applyNumberFormat="0" applyAlignment="0" applyProtection="0"/>
    <xf numFmtId="0" fontId="7" fillId="0" borderId="3" applyNumberFormat="0" applyFill="0" applyAlignment="0" applyProtection="0"/>
    <xf numFmtId="0" fontId="0" fillId="17" borderId="4" applyNumberFormat="0" applyFont="0" applyAlignment="0" applyProtection="0"/>
    <xf numFmtId="0" fontId="0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8" fillId="22" borderId="10" applyNumberFormat="0" applyAlignment="0" applyProtection="0"/>
    <xf numFmtId="0" fontId="0" fillId="25" borderId="0" applyNumberFormat="0" applyBorder="0" applyAlignment="0" applyProtection="0"/>
    <xf numFmtId="0" fontId="12" fillId="19" borderId="0" applyNumberFormat="0" applyBorder="0" applyAlignment="0" applyProtection="0"/>
    <xf numFmtId="0" fontId="17" fillId="21" borderId="9" applyNumberFormat="0" applyAlignment="0" applyProtection="0"/>
    <xf numFmtId="0" fontId="0" fillId="14" borderId="0" applyNumberFormat="0" applyBorder="0" applyAlignment="0" applyProtection="0"/>
    <xf numFmtId="0" fontId="19" fillId="21" borderId="10" applyNumberFormat="0" applyAlignment="0" applyProtection="0"/>
    <xf numFmtId="0" fontId="9" fillId="0" borderId="6" applyNumberFormat="0" applyFill="0" applyAlignment="0" applyProtection="0"/>
    <xf numFmtId="0" fontId="2" fillId="0" borderId="5" applyNumberFormat="0" applyFill="0" applyAlignment="0" applyProtection="0"/>
    <xf numFmtId="0" fontId="11" fillId="18" borderId="0" applyNumberFormat="0" applyBorder="0" applyAlignment="0" applyProtection="0"/>
    <xf numFmtId="0" fontId="3" fillId="9" borderId="0" applyNumberFormat="0" applyBorder="0" applyAlignment="0" applyProtection="0"/>
    <xf numFmtId="0" fontId="14" fillId="20" borderId="0" applyNumberFormat="0" applyBorder="0" applyAlignment="0" applyProtection="0"/>
    <xf numFmtId="0" fontId="0" fillId="28" borderId="0" applyNumberFormat="0" applyBorder="0" applyAlignment="0" applyProtection="0"/>
    <xf numFmtId="0" fontId="0" fillId="6" borderId="0" applyNumberFormat="0" applyBorder="0" applyAlignment="0" applyProtection="0"/>
    <xf numFmtId="0" fontId="14" fillId="24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3" borderId="0" applyNumberFormat="0" applyBorder="0" applyAlignment="0" applyProtection="0"/>
    <xf numFmtId="0" fontId="14" fillId="32" borderId="0" applyNumberFormat="0" applyBorder="0" applyAlignment="0" applyProtection="0"/>
    <xf numFmtId="0" fontId="0" fillId="11" borderId="0" applyNumberFormat="0" applyBorder="0" applyAlignment="0" applyProtection="0"/>
    <xf numFmtId="0" fontId="14" fillId="34" borderId="0" applyNumberFormat="0" applyBorder="0" applyAlignment="0" applyProtection="0"/>
    <xf numFmtId="0" fontId="0" fillId="27" borderId="0" applyNumberFormat="0" applyBorder="0" applyAlignment="0" applyProtection="0"/>
    <xf numFmtId="0" fontId="0" fillId="10" borderId="0" applyNumberFormat="0" applyBorder="0" applyAlignment="0" applyProtection="0"/>
    <xf numFmtId="0" fontId="14" fillId="23" borderId="0" applyNumberFormat="0" applyBorder="0" applyAlignment="0" applyProtection="0"/>
    <xf numFmtId="0" fontId="0" fillId="16" borderId="0" applyNumberFormat="0" applyBorder="0" applyAlignment="0" applyProtection="0"/>
    <xf numFmtId="0" fontId="0" fillId="5" borderId="0" applyNumberFormat="0" applyBorder="0" applyAlignment="0" applyProtection="0"/>
    <xf numFmtId="0" fontId="14" fillId="29" borderId="0" applyNumberFormat="0" applyBorder="0" applyAlignment="0" applyProtection="0"/>
    <xf numFmtId="0" fontId="0" fillId="35" borderId="0" applyNumberFormat="0" applyBorder="0" applyAlignment="0" applyProtection="0"/>
    <xf numFmtId="0" fontId="0" fillId="26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2" borderId="0" xfId="0" applyFont="1" applyFill="1"/>
    <xf numFmtId="2" fontId="0" fillId="0" borderId="0" xfId="0" applyNumberFormat="1"/>
    <xf numFmtId="0" fontId="0" fillId="3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2" borderId="0" xfId="0" applyFill="1" applyAlignment="1">
      <alignment horizontal="right"/>
    </xf>
    <xf numFmtId="49" fontId="0" fillId="2" borderId="0" xfId="0" applyNumberFormat="1" applyFill="1" applyAlignment="1">
      <alignment horizontal="righ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17" fontId="0" fillId="2" borderId="0" xfId="0" applyNumberFormat="1" applyFill="1" applyAlignment="1">
      <alignment horizontal="right"/>
    </xf>
    <xf numFmtId="2" fontId="2" fillId="0" borderId="1" xfId="0" applyNumberFormat="1" applyFont="1" applyBorder="1"/>
    <xf numFmtId="2" fontId="0" fillId="2" borderId="0" xfId="0" applyNumberFormat="1" applyFill="1" applyAlignment="1">
      <alignment wrapText="1"/>
    </xf>
    <xf numFmtId="2" fontId="0" fillId="2" borderId="0" xfId="0" applyNumberFormat="1" applyFill="1"/>
    <xf numFmtId="3" fontId="0" fillId="2" borderId="0" xfId="0" applyNumberFormat="1" applyFill="1"/>
    <xf numFmtId="0" fontId="0" fillId="2" borderId="0" xfId="0" applyFill="1" applyAlignment="1">
      <alignment wrapText="1"/>
    </xf>
    <xf numFmtId="2" fontId="1" fillId="2" borderId="0" xfId="0" applyNumberFormat="1" applyFont="1" applyFill="1" applyAlignment="1">
      <alignment wrapText="1"/>
    </xf>
    <xf numFmtId="2" fontId="1" fillId="2" borderId="0" xfId="0" applyNumberFormat="1" applyFont="1" applyFill="1"/>
    <xf numFmtId="3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9" fontId="0" fillId="2" borderId="0" xfId="0" applyNumberFormat="1" applyFill="1"/>
    <xf numFmtId="9" fontId="0" fillId="2" borderId="0" xfId="0" applyNumberFormat="1" applyFill="1" applyAlignment="1">
      <alignment wrapText="1"/>
    </xf>
    <xf numFmtId="9" fontId="1" fillId="2" borderId="0" xfId="0" applyNumberFormat="1" applyFont="1" applyFill="1"/>
    <xf numFmtId="49" fontId="0" fillId="0" borderId="0" xfId="0" applyNumberFormat="1" applyAlignment="1">
      <alignment horizontal="right"/>
    </xf>
    <xf numFmtId="2" fontId="0" fillId="4" borderId="0" xfId="0" applyNumberFormat="1" applyFill="1"/>
    <xf numFmtId="3" fontId="0" fillId="0" borderId="0" xfId="0" applyNumberFormat="1"/>
    <xf numFmtId="17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0" fillId="2" borderId="0" xfId="0" applyFill="1" applyAlignment="1" quotePrefix="1">
      <alignment horizontal="right"/>
    </xf>
    <xf numFmtId="0" fontId="1" fillId="2" borderId="0" xfId="0" applyFont="1" applyFill="1" applyAlignment="1" quotePrefix="1">
      <alignment horizontal="right"/>
    </xf>
    <xf numFmtId="17" fontId="0" fillId="2" borderId="0" xfId="0" applyNumberFormat="1" applyFill="1" applyAlignment="1" quotePrefix="1">
      <alignment horizontal="right"/>
    </xf>
    <xf numFmtId="0" fontId="0" fillId="0" borderId="0" xfId="0" applyAlignment="1" quotePrefix="1">
      <alignment horizontal="right"/>
    </xf>
    <xf numFmtId="17" fontId="0" fillId="0" borderId="0" xfId="0" applyNumberFormat="1" applyAlignment="1" quotePrefix="1">
      <alignment horizontal="right"/>
    </xf>
    <xf numFmtId="0" fontId="0" fillId="0" borderId="0" xfId="0" applyAlignment="1" quotePrefix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rank.org/geo/virginia-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0"/>
  <sheetViews>
    <sheetView tabSelected="1" zoomScale="85" zoomScaleNormal="85" topLeftCell="A61" workbookViewId="0">
      <selection activeCell="A2" sqref="$A2:$XFD100"/>
    </sheetView>
  </sheetViews>
  <sheetFormatPr defaultColWidth="9" defaultRowHeight="14.4"/>
  <cols>
    <col min="1" max="1" width="54.287037037037" customWidth="1"/>
    <col min="2" max="2" width="14.2222222222222" style="1" customWidth="1"/>
    <col min="3" max="3" width="20.8888888888889" customWidth="1"/>
    <col min="4" max="4" width="14.8888888888889" style="1" customWidth="1"/>
    <col min="5" max="5" width="21.5555555555556" customWidth="1"/>
    <col min="6" max="6" width="16.2222222222222" style="1" customWidth="1"/>
    <col min="7" max="7" width="20" customWidth="1"/>
    <col min="8" max="8" width="14" customWidth="1"/>
    <col min="9" max="9" width="15.1111111111111" customWidth="1"/>
    <col min="10" max="10" width="20.712962962963" customWidth="1"/>
    <col min="11" max="11" width="22.4444444444444" style="4" customWidth="1"/>
    <col min="12" max="12" width="16.2222222222222" style="4" customWidth="1"/>
    <col min="13" max="13" width="11.2222222222222" customWidth="1"/>
    <col min="14" max="14" width="16.7777777777778" style="5" customWidth="1"/>
    <col min="15" max="15" width="11.8888888888889" customWidth="1"/>
    <col min="16" max="16" width="13.1388888888889" customWidth="1"/>
    <col min="17" max="17" width="12.1111111111111" customWidth="1"/>
    <col min="18" max="18" width="15.2222222222222" customWidth="1"/>
    <col min="19" max="19" width="14.287037037037" customWidth="1"/>
    <col min="20" max="20" width="14.4444444444444" customWidth="1"/>
    <col min="21" max="21" width="10.6666666666667" customWidth="1"/>
    <col min="22" max="22" width="19.7777777777778" customWidth="1"/>
    <col min="23" max="23" width="25.6666666666667" customWidth="1"/>
    <col min="24" max="24" width="19.8888888888889" customWidth="1"/>
  </cols>
  <sheetData>
    <row r="1" spans="1:24">
      <c r="A1" s="6" t="s">
        <v>0</v>
      </c>
      <c r="B1" s="7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3" t="s">
        <v>10</v>
      </c>
      <c r="L1" s="13" t="s">
        <v>11</v>
      </c>
      <c r="M1" s="6" t="s">
        <v>12</v>
      </c>
      <c r="N1" s="5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2" t="s">
        <v>22</v>
      </c>
      <c r="X1" s="6" t="s">
        <v>23</v>
      </c>
    </row>
    <row r="2" s="2" customFormat="1" spans="1:24">
      <c r="A2" s="2" t="s">
        <v>24</v>
      </c>
      <c r="B2" s="8" t="s">
        <v>25</v>
      </c>
      <c r="C2" s="2">
        <f>1/14131</f>
        <v>7.07664001132262e-5</v>
      </c>
      <c r="D2" s="31" t="s">
        <v>26</v>
      </c>
      <c r="E2" s="2">
        <f>1/2597</f>
        <v>0.000385059684251059</v>
      </c>
      <c r="F2" s="31" t="s">
        <v>27</v>
      </c>
      <c r="G2" s="2">
        <f>2/2496</f>
        <v>0.000801282051282051</v>
      </c>
      <c r="H2" s="2" t="s">
        <v>28</v>
      </c>
      <c r="I2" s="2" t="s">
        <v>29</v>
      </c>
      <c r="J2" s="2" t="s">
        <v>30</v>
      </c>
      <c r="K2" s="14" t="s">
        <v>31</v>
      </c>
      <c r="L2" s="15">
        <v>0.04</v>
      </c>
      <c r="M2" s="16">
        <v>485642</v>
      </c>
      <c r="N2" s="2" t="s">
        <v>32</v>
      </c>
      <c r="O2" s="2">
        <v>1530</v>
      </c>
      <c r="P2" s="2">
        <v>35</v>
      </c>
      <c r="Q2" s="23">
        <v>0.73</v>
      </c>
      <c r="R2" s="2">
        <v>9.579</v>
      </c>
      <c r="S2" s="2">
        <v>21.766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</row>
    <row r="3" s="2" customFormat="1" spans="1:24">
      <c r="A3" s="2" t="s">
        <v>38</v>
      </c>
      <c r="B3" s="8" t="s">
        <v>39</v>
      </c>
      <c r="C3" s="2">
        <f>2/14131</f>
        <v>0.000141532800226452</v>
      </c>
      <c r="D3" s="31" t="s">
        <v>40</v>
      </c>
      <c r="E3" s="2">
        <f>91/2597</f>
        <v>0.0350404312668464</v>
      </c>
      <c r="F3" s="31" t="s">
        <v>41</v>
      </c>
      <c r="G3" s="2">
        <f>80/2496</f>
        <v>0.032051282051282</v>
      </c>
      <c r="H3" s="2" t="s">
        <v>28</v>
      </c>
      <c r="I3" s="2" t="s">
        <v>29</v>
      </c>
      <c r="J3" s="2" t="s">
        <v>42</v>
      </c>
      <c r="K3" s="14" t="s">
        <v>31</v>
      </c>
      <c r="L3" s="15">
        <v>0.04</v>
      </c>
      <c r="M3" s="16">
        <v>349414</v>
      </c>
      <c r="N3" s="2" t="s">
        <v>32</v>
      </c>
      <c r="O3" s="2">
        <v>1520</v>
      </c>
      <c r="P3" s="2">
        <v>35</v>
      </c>
      <c r="Q3" s="24">
        <v>0.74</v>
      </c>
      <c r="R3" s="2">
        <v>7.645</v>
      </c>
      <c r="S3" s="2">
        <v>10.035</v>
      </c>
      <c r="T3" s="2" t="s">
        <v>33</v>
      </c>
      <c r="U3" s="2" t="s">
        <v>43</v>
      </c>
      <c r="V3" s="2" t="s">
        <v>44</v>
      </c>
      <c r="W3" s="2" t="s">
        <v>45</v>
      </c>
      <c r="X3" s="2" t="s">
        <v>37</v>
      </c>
    </row>
    <row r="4" s="2" customFormat="1" spans="1:24">
      <c r="A4" s="2" t="s">
        <v>46</v>
      </c>
      <c r="B4" s="8" t="s">
        <v>47</v>
      </c>
      <c r="C4" s="8">
        <v>0.000212299</v>
      </c>
      <c r="D4" s="9" t="s">
        <v>48</v>
      </c>
      <c r="E4" s="9" t="s">
        <v>49</v>
      </c>
      <c r="F4" s="9" t="s">
        <v>50</v>
      </c>
      <c r="G4" s="9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>
        <v>0.2</v>
      </c>
      <c r="M4" s="16">
        <v>371773</v>
      </c>
      <c r="N4" s="2" t="s">
        <v>32</v>
      </c>
      <c r="O4" s="2">
        <v>1530</v>
      </c>
      <c r="P4" s="2">
        <v>34</v>
      </c>
      <c r="Q4" s="23">
        <v>0.7</v>
      </c>
      <c r="R4" s="2">
        <v>32.282</v>
      </c>
      <c r="S4" s="2">
        <v>17.996</v>
      </c>
      <c r="T4" s="2" t="s">
        <v>33</v>
      </c>
      <c r="U4" s="2" t="s">
        <v>56</v>
      </c>
      <c r="V4" s="2" t="s">
        <v>57</v>
      </c>
      <c r="W4" s="2" t="s">
        <v>58</v>
      </c>
      <c r="X4" s="2" t="s">
        <v>37</v>
      </c>
    </row>
    <row r="5" s="2" customFormat="1" spans="1:24">
      <c r="A5" s="2" t="s">
        <v>59</v>
      </c>
      <c r="B5" s="8" t="s">
        <v>60</v>
      </c>
      <c r="C5" s="8">
        <v>0.000353832</v>
      </c>
      <c r="D5" s="9" t="s">
        <v>61</v>
      </c>
      <c r="E5" s="9" t="s">
        <v>62</v>
      </c>
      <c r="F5" s="9" t="s">
        <v>63</v>
      </c>
      <c r="G5" s="9" t="s">
        <v>64</v>
      </c>
      <c r="H5" s="2" t="s">
        <v>28</v>
      </c>
      <c r="I5" s="2" t="s">
        <v>29</v>
      </c>
      <c r="J5" s="2" t="s">
        <v>65</v>
      </c>
      <c r="K5" s="2" t="s">
        <v>55</v>
      </c>
      <c r="L5" s="2">
        <v>0.14</v>
      </c>
      <c r="M5" s="2">
        <v>241635</v>
      </c>
      <c r="N5" s="2" t="s">
        <v>32</v>
      </c>
      <c r="O5" s="2">
        <v>1530</v>
      </c>
      <c r="P5" s="2">
        <v>35</v>
      </c>
      <c r="Q5" s="23">
        <v>0.61</v>
      </c>
      <c r="R5" s="2">
        <v>31.814</v>
      </c>
      <c r="S5" s="2">
        <v>13.222</v>
      </c>
      <c r="T5" s="2" t="s">
        <v>33</v>
      </c>
      <c r="U5" s="2" t="s">
        <v>66</v>
      </c>
      <c r="V5" s="2" t="s">
        <v>67</v>
      </c>
      <c r="W5" s="16" t="s">
        <v>68</v>
      </c>
      <c r="X5" s="2" t="s">
        <v>37</v>
      </c>
    </row>
    <row r="6" s="2" customFormat="1" spans="1:24">
      <c r="A6" s="2" t="s">
        <v>69</v>
      </c>
      <c r="B6" s="8" t="s">
        <v>70</v>
      </c>
      <c r="C6" s="2">
        <f>5/14131</f>
        <v>0.000353832000566131</v>
      </c>
      <c r="D6" s="31" t="s">
        <v>71</v>
      </c>
      <c r="E6" s="2">
        <f>7/2597</f>
        <v>0.00269541778975741</v>
      </c>
      <c r="F6" s="9" t="s">
        <v>72</v>
      </c>
      <c r="G6" s="2">
        <f>1/23</f>
        <v>0.0434782608695652</v>
      </c>
      <c r="H6" s="2" t="s">
        <v>28</v>
      </c>
      <c r="I6" s="2" t="s">
        <v>29</v>
      </c>
      <c r="J6" s="2" t="s">
        <v>30</v>
      </c>
      <c r="K6" s="14" t="s">
        <v>73</v>
      </c>
      <c r="L6" s="15">
        <v>0.04</v>
      </c>
      <c r="M6" s="16">
        <v>236151</v>
      </c>
      <c r="N6" s="2" t="s">
        <v>32</v>
      </c>
      <c r="O6" s="2">
        <v>1525</v>
      </c>
      <c r="P6" s="2">
        <v>36</v>
      </c>
      <c r="Q6" s="23">
        <v>1</v>
      </c>
      <c r="R6" s="2">
        <v>4.638</v>
      </c>
      <c r="S6" s="2">
        <v>7.296</v>
      </c>
      <c r="T6" s="2" t="s">
        <v>33</v>
      </c>
      <c r="U6" s="2" t="s">
        <v>74</v>
      </c>
      <c r="V6" s="2" t="s">
        <v>75</v>
      </c>
      <c r="W6" s="2" t="s">
        <v>76</v>
      </c>
      <c r="X6" s="2" t="s">
        <v>37</v>
      </c>
    </row>
    <row r="7" s="2" customFormat="1" spans="1:24">
      <c r="A7" s="2" t="s">
        <v>77</v>
      </c>
      <c r="B7" s="8" t="s">
        <v>78</v>
      </c>
      <c r="C7" s="8">
        <v>0.000424598</v>
      </c>
      <c r="D7" s="9" t="s">
        <v>79</v>
      </c>
      <c r="E7" s="9" t="s">
        <v>80</v>
      </c>
      <c r="F7" s="9" t="s">
        <v>81</v>
      </c>
      <c r="G7" s="9" t="s">
        <v>82</v>
      </c>
      <c r="H7" s="2" t="s">
        <v>28</v>
      </c>
      <c r="I7" s="2" t="s">
        <v>29</v>
      </c>
      <c r="J7" s="2" t="s">
        <v>83</v>
      </c>
      <c r="K7" s="2" t="s">
        <v>55</v>
      </c>
      <c r="L7" s="2">
        <v>0.11</v>
      </c>
      <c r="M7" s="2">
        <v>247701</v>
      </c>
      <c r="N7" s="2" t="s">
        <v>32</v>
      </c>
      <c r="O7" s="2">
        <v>1460</v>
      </c>
      <c r="P7" s="2">
        <v>36</v>
      </c>
      <c r="Q7" s="23">
        <v>0.56</v>
      </c>
      <c r="R7" s="2">
        <v>32.122</v>
      </c>
      <c r="S7" s="2">
        <v>13.994</v>
      </c>
      <c r="T7" s="2" t="s">
        <v>33</v>
      </c>
      <c r="U7" s="2" t="s">
        <v>84</v>
      </c>
      <c r="V7" s="2" t="s">
        <v>85</v>
      </c>
      <c r="W7" s="2" t="s">
        <v>86</v>
      </c>
      <c r="X7" s="2" t="s">
        <v>37</v>
      </c>
    </row>
    <row r="8" s="2" customFormat="1" ht="28.8" spans="1:24">
      <c r="A8" s="2" t="s">
        <v>87</v>
      </c>
      <c r="B8" s="8" t="s">
        <v>88</v>
      </c>
      <c r="C8" s="2">
        <f>6/14131</f>
        <v>0.000424598400679357</v>
      </c>
      <c r="D8" s="31" t="s">
        <v>89</v>
      </c>
      <c r="E8" s="2">
        <f>61/2597</f>
        <v>0.0234886407393146</v>
      </c>
      <c r="F8" s="9" t="s">
        <v>90</v>
      </c>
      <c r="G8" s="2">
        <f>6/58</f>
        <v>0.103448275862069</v>
      </c>
      <c r="H8" s="2" t="s">
        <v>28</v>
      </c>
      <c r="I8" s="2" t="s">
        <v>29</v>
      </c>
      <c r="J8" s="2" t="s">
        <v>91</v>
      </c>
      <c r="K8" s="14" t="s">
        <v>92</v>
      </c>
      <c r="L8" s="15">
        <v>0.04</v>
      </c>
      <c r="M8" s="16">
        <v>261854</v>
      </c>
      <c r="N8" s="2" t="s">
        <v>32</v>
      </c>
      <c r="O8" s="2">
        <v>1520</v>
      </c>
      <c r="P8" s="2">
        <v>35</v>
      </c>
      <c r="Q8" s="23">
        <v>0.58</v>
      </c>
      <c r="R8" s="2">
        <v>8.832</v>
      </c>
      <c r="S8" s="2">
        <v>24.944</v>
      </c>
      <c r="T8" s="2" t="s">
        <v>33</v>
      </c>
      <c r="U8" s="2" t="s">
        <v>93</v>
      </c>
      <c r="V8" s="2" t="s">
        <v>94</v>
      </c>
      <c r="W8" s="2" t="s">
        <v>95</v>
      </c>
      <c r="X8" s="2" t="s">
        <v>37</v>
      </c>
    </row>
    <row r="9" s="2" customFormat="1" spans="1:24">
      <c r="A9" s="2" t="s">
        <v>96</v>
      </c>
      <c r="B9" s="8" t="s">
        <v>97</v>
      </c>
      <c r="C9" s="8">
        <v>0.000495365</v>
      </c>
      <c r="D9" s="9" t="s">
        <v>98</v>
      </c>
      <c r="E9" s="9" t="s">
        <v>99</v>
      </c>
      <c r="F9" s="9" t="s">
        <v>100</v>
      </c>
      <c r="G9" s="9" t="s">
        <v>101</v>
      </c>
      <c r="H9" s="2" t="s">
        <v>52</v>
      </c>
      <c r="I9" s="2" t="s">
        <v>102</v>
      </c>
      <c r="J9" s="2" t="s">
        <v>103</v>
      </c>
      <c r="K9" s="2" t="s">
        <v>55</v>
      </c>
      <c r="L9" s="2">
        <v>0.21</v>
      </c>
      <c r="M9" s="2">
        <v>260850</v>
      </c>
      <c r="N9" s="2" t="s">
        <v>32</v>
      </c>
      <c r="O9" s="2">
        <v>0</v>
      </c>
      <c r="P9" s="2">
        <v>0</v>
      </c>
      <c r="Q9" s="2">
        <v>0</v>
      </c>
      <c r="R9" s="16">
        <v>18000</v>
      </c>
      <c r="S9" s="2">
        <v>18.448</v>
      </c>
      <c r="T9" s="2" t="s">
        <v>33</v>
      </c>
      <c r="U9" s="2" t="s">
        <v>104</v>
      </c>
      <c r="V9" s="2" t="s">
        <v>105</v>
      </c>
      <c r="W9" s="2" t="s">
        <v>106</v>
      </c>
      <c r="X9" s="2" t="s">
        <v>37</v>
      </c>
    </row>
    <row r="10" s="2" customFormat="1" spans="1:24">
      <c r="A10" s="2" t="s">
        <v>107</v>
      </c>
      <c r="B10" s="8" t="s">
        <v>108</v>
      </c>
      <c r="C10" s="8">
        <v>0.000566131</v>
      </c>
      <c r="D10" s="9" t="s">
        <v>109</v>
      </c>
      <c r="E10" s="9" t="s">
        <v>110</v>
      </c>
      <c r="F10" s="9" t="s">
        <v>111</v>
      </c>
      <c r="G10" s="9" t="s">
        <v>112</v>
      </c>
      <c r="H10" s="2" t="s">
        <v>113</v>
      </c>
      <c r="I10" s="2" t="s">
        <v>114</v>
      </c>
      <c r="J10" s="2" t="s">
        <v>115</v>
      </c>
      <c r="K10" s="2" t="s">
        <v>55</v>
      </c>
      <c r="L10" s="2">
        <v>0.53</v>
      </c>
      <c r="M10" s="2">
        <v>270033</v>
      </c>
      <c r="N10" s="2" t="s">
        <v>32</v>
      </c>
      <c r="O10" s="2">
        <v>580</v>
      </c>
      <c r="P10" s="2">
        <v>22</v>
      </c>
      <c r="Q10" s="23">
        <v>0.54</v>
      </c>
      <c r="R10" s="2">
        <v>36.201</v>
      </c>
      <c r="S10" s="2">
        <v>16.233</v>
      </c>
      <c r="T10" s="2" t="s">
        <v>33</v>
      </c>
      <c r="U10" s="2" t="s">
        <v>116</v>
      </c>
      <c r="V10" s="2" t="s">
        <v>117</v>
      </c>
      <c r="W10" s="2" t="s">
        <v>118</v>
      </c>
      <c r="X10" s="2" t="s">
        <v>37</v>
      </c>
    </row>
    <row r="11" s="2" customFormat="1" spans="1:24">
      <c r="A11" s="2" t="s">
        <v>119</v>
      </c>
      <c r="B11" s="8" t="s">
        <v>120</v>
      </c>
      <c r="C11" s="8">
        <v>0.000707664</v>
      </c>
      <c r="D11" s="9" t="s">
        <v>121</v>
      </c>
      <c r="E11" s="9" t="s">
        <v>122</v>
      </c>
      <c r="F11" s="9" t="s">
        <v>123</v>
      </c>
      <c r="G11" s="9" t="s">
        <v>124</v>
      </c>
      <c r="H11" s="2" t="s">
        <v>28</v>
      </c>
      <c r="I11" s="2" t="s">
        <v>29</v>
      </c>
      <c r="J11" s="2" t="s">
        <v>125</v>
      </c>
      <c r="K11" s="2" t="s">
        <v>55</v>
      </c>
      <c r="L11" s="2">
        <v>0.19</v>
      </c>
      <c r="M11" s="2">
        <v>297.285</v>
      </c>
      <c r="N11" s="2" t="s">
        <v>32</v>
      </c>
      <c r="O11" s="2">
        <v>1470</v>
      </c>
      <c r="P11" s="2">
        <v>0</v>
      </c>
      <c r="Q11" s="23">
        <v>0.5</v>
      </c>
      <c r="R11" s="2">
        <v>36540</v>
      </c>
      <c r="S11" s="2">
        <v>18.201</v>
      </c>
      <c r="T11" s="2" t="s">
        <v>33</v>
      </c>
      <c r="U11" s="2" t="s">
        <v>126</v>
      </c>
      <c r="V11" s="2"/>
      <c r="W11" s="2" t="s">
        <v>127</v>
      </c>
      <c r="X11" s="2" t="s">
        <v>37</v>
      </c>
    </row>
    <row r="12" s="2" customFormat="1" spans="1:24">
      <c r="A12" s="2" t="s">
        <v>128</v>
      </c>
      <c r="B12" s="8" t="s">
        <v>129</v>
      </c>
      <c r="C12" s="8">
        <v>0.00077843</v>
      </c>
      <c r="D12" s="9" t="s">
        <v>130</v>
      </c>
      <c r="E12" s="9" t="s">
        <v>131</v>
      </c>
      <c r="F12" s="9" t="s">
        <v>132</v>
      </c>
      <c r="G12" s="9" t="s">
        <v>133</v>
      </c>
      <c r="H12" s="2" t="s">
        <v>113</v>
      </c>
      <c r="I12" s="2" t="s">
        <v>134</v>
      </c>
      <c r="J12" s="2" t="s">
        <v>135</v>
      </c>
      <c r="K12" s="2" t="s">
        <v>55</v>
      </c>
      <c r="L12" s="2">
        <v>0.05</v>
      </c>
      <c r="M12" s="2">
        <v>198095</v>
      </c>
      <c r="N12" s="2" t="s">
        <v>32</v>
      </c>
      <c r="O12" s="2">
        <v>1530</v>
      </c>
      <c r="P12" s="2">
        <v>34</v>
      </c>
      <c r="Q12" s="23">
        <v>0.66</v>
      </c>
      <c r="R12" s="2">
        <v>6.536</v>
      </c>
      <c r="S12" s="2">
        <v>8.031</v>
      </c>
      <c r="T12" s="2" t="s">
        <v>33</v>
      </c>
      <c r="U12" s="2" t="s">
        <v>136</v>
      </c>
      <c r="V12" s="2" t="s">
        <v>137</v>
      </c>
      <c r="W12" s="2" t="s">
        <v>138</v>
      </c>
      <c r="X12" s="2" t="s">
        <v>37</v>
      </c>
    </row>
    <row r="13" s="2" customFormat="1" ht="28.8" spans="1:24">
      <c r="A13" s="2" t="s">
        <v>139</v>
      </c>
      <c r="B13" s="8" t="s">
        <v>140</v>
      </c>
      <c r="C13" s="2">
        <f>11/14131</f>
        <v>0.000778430401245489</v>
      </c>
      <c r="D13" s="31" t="s">
        <v>141</v>
      </c>
      <c r="E13" s="2">
        <f>134/2597</f>
        <v>0.0515979976896419</v>
      </c>
      <c r="F13" s="31" t="s">
        <v>142</v>
      </c>
      <c r="G13" s="2">
        <f>115/2496</f>
        <v>0.046073717948718</v>
      </c>
      <c r="H13" s="2" t="s">
        <v>28</v>
      </c>
      <c r="I13" s="2" t="s">
        <v>29</v>
      </c>
      <c r="J13" s="2" t="s">
        <v>91</v>
      </c>
      <c r="K13" s="14" t="s">
        <v>92</v>
      </c>
      <c r="L13" s="15">
        <v>0.09</v>
      </c>
      <c r="M13" s="16">
        <v>244111</v>
      </c>
      <c r="N13" s="2" t="s">
        <v>32</v>
      </c>
      <c r="O13" s="2">
        <v>1505</v>
      </c>
      <c r="P13" s="2">
        <v>34</v>
      </c>
      <c r="Q13" s="23">
        <v>0.58</v>
      </c>
      <c r="R13" s="2">
        <v>15.503</v>
      </c>
      <c r="S13" s="2">
        <v>10.079</v>
      </c>
      <c r="T13" s="2" t="s">
        <v>33</v>
      </c>
      <c r="U13" s="2" t="s">
        <v>143</v>
      </c>
      <c r="V13" s="2" t="s">
        <v>144</v>
      </c>
      <c r="W13" s="2" t="s">
        <v>145</v>
      </c>
      <c r="X13" s="2" t="s">
        <v>37</v>
      </c>
    </row>
    <row r="14" s="2" customFormat="1" ht="28.8" spans="1:24">
      <c r="A14" s="2" t="s">
        <v>146</v>
      </c>
      <c r="B14" s="8" t="s">
        <v>147</v>
      </c>
      <c r="C14" s="8">
        <v>0.000849197</v>
      </c>
      <c r="D14" s="9" t="s">
        <v>148</v>
      </c>
      <c r="E14" s="9" t="s">
        <v>149</v>
      </c>
      <c r="F14" s="9" t="s">
        <v>150</v>
      </c>
      <c r="G14" s="9" t="s">
        <v>151</v>
      </c>
      <c r="H14" s="2" t="s">
        <v>52</v>
      </c>
      <c r="I14" s="2" t="s">
        <v>152</v>
      </c>
      <c r="J14" s="2" t="s">
        <v>153</v>
      </c>
      <c r="K14" s="17" t="s">
        <v>92</v>
      </c>
      <c r="L14" s="2">
        <v>0.2</v>
      </c>
      <c r="M14" s="2">
        <v>232058</v>
      </c>
      <c r="N14" s="2" t="s">
        <v>32</v>
      </c>
      <c r="O14" s="2">
        <v>1525</v>
      </c>
      <c r="P14" s="2">
        <v>34</v>
      </c>
      <c r="Q14" s="23">
        <v>0.63</v>
      </c>
      <c r="R14" s="2">
        <v>11.292</v>
      </c>
      <c r="S14" s="2">
        <v>16.746</v>
      </c>
      <c r="T14" s="2" t="s">
        <v>33</v>
      </c>
      <c r="U14" s="2" t="s">
        <v>154</v>
      </c>
      <c r="V14" s="2" t="s">
        <v>155</v>
      </c>
      <c r="W14" s="2" t="s">
        <v>156</v>
      </c>
      <c r="X14" s="2" t="s">
        <v>37</v>
      </c>
    </row>
    <row r="15" s="2" customFormat="1" spans="1:24">
      <c r="A15" s="2" t="s">
        <v>157</v>
      </c>
      <c r="B15" s="8" t="s">
        <v>158</v>
      </c>
      <c r="C15" s="8">
        <v>0.001061496</v>
      </c>
      <c r="D15" s="9" t="s">
        <v>159</v>
      </c>
      <c r="E15" s="9" t="s">
        <v>160</v>
      </c>
      <c r="F15" s="9" t="s">
        <v>161</v>
      </c>
      <c r="G15" s="9" t="s">
        <v>162</v>
      </c>
      <c r="H15" s="2" t="s">
        <v>28</v>
      </c>
      <c r="I15" s="2" t="s">
        <v>29</v>
      </c>
      <c r="J15" s="2" t="s">
        <v>163</v>
      </c>
      <c r="K15" s="2" t="s">
        <v>55</v>
      </c>
      <c r="L15" s="2">
        <v>0.6</v>
      </c>
      <c r="M15" s="2">
        <v>209504</v>
      </c>
      <c r="N15" s="2" t="s">
        <v>32</v>
      </c>
      <c r="O15" s="2">
        <v>1410</v>
      </c>
      <c r="P15" s="2">
        <v>29</v>
      </c>
      <c r="Q15" s="23">
        <v>0.64</v>
      </c>
      <c r="R15" s="2">
        <v>34.561</v>
      </c>
      <c r="S15" s="2">
        <v>12.455</v>
      </c>
      <c r="T15" s="2" t="s">
        <v>33</v>
      </c>
      <c r="U15" s="2" t="s">
        <v>164</v>
      </c>
      <c r="V15" s="2" t="s">
        <v>165</v>
      </c>
      <c r="W15" s="2" t="s">
        <v>166</v>
      </c>
      <c r="X15" s="2" t="s">
        <v>37</v>
      </c>
    </row>
    <row r="16" s="2" customFormat="1" spans="1:24">
      <c r="A16" s="2" t="s">
        <v>167</v>
      </c>
      <c r="B16" s="8" t="s">
        <v>168</v>
      </c>
      <c r="C16" s="2">
        <f>15/14131</f>
        <v>0.00106149600169839</v>
      </c>
      <c r="D16" s="31" t="s">
        <v>169</v>
      </c>
      <c r="E16" s="2">
        <f>18/2597</f>
        <v>0.00693107431651906</v>
      </c>
      <c r="F16" s="31" t="s">
        <v>170</v>
      </c>
      <c r="G16" s="2">
        <f>17/2496</f>
        <v>0.00681089743589744</v>
      </c>
      <c r="H16" s="2" t="s">
        <v>171</v>
      </c>
      <c r="I16" s="2" t="s">
        <v>29</v>
      </c>
      <c r="J16" s="2" t="s">
        <v>172</v>
      </c>
      <c r="K16" s="2" t="s">
        <v>55</v>
      </c>
      <c r="L16" s="15">
        <v>0.08</v>
      </c>
      <c r="M16" s="16">
        <v>371.163</v>
      </c>
      <c r="N16" s="2" t="s">
        <v>32</v>
      </c>
      <c r="O16" s="2">
        <v>1485</v>
      </c>
      <c r="P16" s="2">
        <v>35</v>
      </c>
      <c r="Q16" s="23">
        <v>0.71</v>
      </c>
      <c r="R16" s="2">
        <v>6.132</v>
      </c>
      <c r="S16" s="2">
        <v>25.917</v>
      </c>
      <c r="T16" s="2" t="s">
        <v>33</v>
      </c>
      <c r="U16" s="2" t="s">
        <v>173</v>
      </c>
      <c r="V16" s="2" t="s">
        <v>174</v>
      </c>
      <c r="W16" s="2" t="s">
        <v>175</v>
      </c>
      <c r="X16" s="2" t="s">
        <v>37</v>
      </c>
    </row>
    <row r="17" s="2" customFormat="1" spans="1:24">
      <c r="A17" s="2" t="s">
        <v>176</v>
      </c>
      <c r="B17" s="8" t="s">
        <v>177</v>
      </c>
      <c r="C17" s="8">
        <v>0.001132262</v>
      </c>
      <c r="D17" s="9" t="s">
        <v>178</v>
      </c>
      <c r="E17" s="9" t="s">
        <v>179</v>
      </c>
      <c r="F17" s="9" t="s">
        <v>180</v>
      </c>
      <c r="G17" s="9" t="s">
        <v>181</v>
      </c>
      <c r="H17" s="2" t="s">
        <v>171</v>
      </c>
      <c r="I17" s="2" t="s">
        <v>182</v>
      </c>
      <c r="J17" s="2" t="s">
        <v>183</v>
      </c>
      <c r="K17" s="2" t="s">
        <v>55</v>
      </c>
      <c r="L17" s="2">
        <v>0.43</v>
      </c>
      <c r="M17" s="2">
        <v>261987</v>
      </c>
      <c r="N17" s="2" t="s">
        <v>32</v>
      </c>
      <c r="O17" s="2">
        <v>0</v>
      </c>
      <c r="P17" s="2">
        <v>0</v>
      </c>
      <c r="Q17" s="23">
        <v>0.84</v>
      </c>
      <c r="R17" s="2">
        <v>70000</v>
      </c>
      <c r="S17" s="2">
        <v>25.651</v>
      </c>
      <c r="T17" s="2" t="s">
        <v>33</v>
      </c>
      <c r="U17" s="2" t="s">
        <v>184</v>
      </c>
      <c r="V17" s="2" t="s">
        <v>185</v>
      </c>
      <c r="W17" s="2" t="s">
        <v>186</v>
      </c>
      <c r="X17" s="2" t="s">
        <v>37</v>
      </c>
    </row>
    <row r="18" s="2" customFormat="1" spans="1:24">
      <c r="A18" s="2" t="s">
        <v>187</v>
      </c>
      <c r="B18" s="8" t="s">
        <v>188</v>
      </c>
      <c r="C18" s="8">
        <v>0.001203029</v>
      </c>
      <c r="D18" s="9" t="s">
        <v>189</v>
      </c>
      <c r="E18" s="9" t="s">
        <v>190</v>
      </c>
      <c r="F18" s="9" t="s">
        <v>191</v>
      </c>
      <c r="G18" s="9" t="s">
        <v>192</v>
      </c>
      <c r="H18" s="2" t="s">
        <v>113</v>
      </c>
      <c r="I18" s="2" t="s">
        <v>193</v>
      </c>
      <c r="J18" s="2" t="s">
        <v>194</v>
      </c>
      <c r="K18" s="2" t="s">
        <v>55</v>
      </c>
      <c r="L18" s="2">
        <v>0.73</v>
      </c>
      <c r="M18" s="2">
        <v>227099</v>
      </c>
      <c r="N18" s="2" t="s">
        <v>32</v>
      </c>
      <c r="O18" s="2">
        <v>1400</v>
      </c>
      <c r="P18" s="2">
        <v>30</v>
      </c>
      <c r="Q18" s="23">
        <v>0.82</v>
      </c>
      <c r="R18" s="2">
        <v>36.209</v>
      </c>
      <c r="S18" s="2">
        <v>16.167</v>
      </c>
      <c r="T18" s="2" t="s">
        <v>33</v>
      </c>
      <c r="U18" s="2" t="s">
        <v>195</v>
      </c>
      <c r="V18" s="2" t="s">
        <v>196</v>
      </c>
      <c r="W18" s="2" t="s">
        <v>197</v>
      </c>
      <c r="X18" s="2" t="s">
        <v>37</v>
      </c>
    </row>
    <row r="19" s="2" customFormat="1" spans="1:24">
      <c r="A19" s="2" t="s">
        <v>198</v>
      </c>
      <c r="B19" s="8" t="s">
        <v>199</v>
      </c>
      <c r="C19" s="8">
        <v>0.001273795</v>
      </c>
      <c r="D19" s="9" t="s">
        <v>200</v>
      </c>
      <c r="E19" s="9" t="s">
        <v>201</v>
      </c>
      <c r="F19" s="9" t="s">
        <v>202</v>
      </c>
      <c r="G19" s="9" t="s">
        <v>203</v>
      </c>
      <c r="H19" s="2" t="s">
        <v>28</v>
      </c>
      <c r="I19" s="2" t="s">
        <v>29</v>
      </c>
      <c r="J19" s="2" t="s">
        <v>204</v>
      </c>
      <c r="K19" s="2" t="s">
        <v>55</v>
      </c>
      <c r="L19" s="2">
        <v>0.27</v>
      </c>
      <c r="M19" s="2">
        <v>75.412</v>
      </c>
      <c r="N19" s="2" t="s">
        <v>205</v>
      </c>
      <c r="O19" s="2">
        <v>0</v>
      </c>
      <c r="P19" s="2">
        <v>0</v>
      </c>
      <c r="Q19" s="23">
        <v>0.82</v>
      </c>
      <c r="R19" s="16">
        <v>34819</v>
      </c>
      <c r="S19" s="16">
        <v>8960</v>
      </c>
      <c r="T19" s="2" t="s">
        <v>33</v>
      </c>
      <c r="U19" s="2" t="s">
        <v>206</v>
      </c>
      <c r="V19" s="2" t="s">
        <v>207</v>
      </c>
      <c r="W19" s="2" t="s">
        <v>208</v>
      </c>
      <c r="X19" s="2" t="s">
        <v>37</v>
      </c>
    </row>
    <row r="20" s="2" customFormat="1" spans="1:24">
      <c r="A20" s="2" t="s">
        <v>209</v>
      </c>
      <c r="B20" s="8" t="s">
        <v>210</v>
      </c>
      <c r="C20" s="8">
        <v>0.001273795</v>
      </c>
      <c r="D20" s="9" t="s">
        <v>211</v>
      </c>
      <c r="E20" s="9" t="s">
        <v>212</v>
      </c>
      <c r="F20" s="9" t="s">
        <v>213</v>
      </c>
      <c r="G20" s="9" t="s">
        <v>214</v>
      </c>
      <c r="H20" s="2" t="s">
        <v>113</v>
      </c>
      <c r="I20" s="2" t="s">
        <v>193</v>
      </c>
      <c r="J20" s="2" t="s">
        <v>215</v>
      </c>
      <c r="K20" s="2" t="s">
        <v>55</v>
      </c>
      <c r="L20" s="2">
        <v>0.35</v>
      </c>
      <c r="M20" s="2">
        <v>309445</v>
      </c>
      <c r="N20" s="2" t="s">
        <v>216</v>
      </c>
      <c r="O20" s="2">
        <v>0</v>
      </c>
      <c r="P20" s="2">
        <v>0</v>
      </c>
      <c r="Q20" s="23">
        <v>0.8</v>
      </c>
      <c r="R20" s="2">
        <v>29000</v>
      </c>
      <c r="S20" s="2">
        <v>8560</v>
      </c>
      <c r="T20" s="2" t="s">
        <v>33</v>
      </c>
      <c r="U20" s="2" t="s">
        <v>217</v>
      </c>
      <c r="V20" s="2" t="s">
        <v>218</v>
      </c>
      <c r="W20" s="2" t="s">
        <v>219</v>
      </c>
      <c r="X20" s="2" t="s">
        <v>37</v>
      </c>
    </row>
    <row r="21" s="2" customFormat="1" spans="1:24">
      <c r="A21" s="2" t="s">
        <v>220</v>
      </c>
      <c r="B21" s="8" t="s">
        <v>221</v>
      </c>
      <c r="C21" s="2">
        <f>20/14131</f>
        <v>0.00141532800226452</v>
      </c>
      <c r="D21" s="31" t="s">
        <v>222</v>
      </c>
      <c r="E21" s="2">
        <f>26/5830</f>
        <v>0.00445969125214408</v>
      </c>
      <c r="F21" s="31" t="s">
        <v>223</v>
      </c>
      <c r="G21" s="2">
        <f>10/719</f>
        <v>0.0139082058414465</v>
      </c>
      <c r="H21" s="2" t="s">
        <v>28</v>
      </c>
      <c r="I21" s="2" t="s">
        <v>29</v>
      </c>
      <c r="J21" s="2" t="s">
        <v>224</v>
      </c>
      <c r="K21" s="15" t="s">
        <v>55</v>
      </c>
      <c r="L21" s="15">
        <v>0.55</v>
      </c>
      <c r="M21" s="16">
        <v>238222</v>
      </c>
      <c r="N21" s="2" t="s">
        <v>32</v>
      </c>
      <c r="O21" s="2">
        <v>1265</v>
      </c>
      <c r="P21" s="2">
        <v>28</v>
      </c>
      <c r="Q21" s="23">
        <v>0.73</v>
      </c>
      <c r="R21" s="2">
        <v>73000</v>
      </c>
      <c r="S21" s="2">
        <v>50015</v>
      </c>
      <c r="T21" s="2" t="s">
        <v>33</v>
      </c>
      <c r="U21" s="2" t="s">
        <v>225</v>
      </c>
      <c r="V21" s="2" t="s">
        <v>226</v>
      </c>
      <c r="W21" s="2" t="s">
        <v>227</v>
      </c>
      <c r="X21" s="2" t="s">
        <v>37</v>
      </c>
    </row>
    <row r="22" s="2" customFormat="1" spans="1:24">
      <c r="A22" s="2" t="s">
        <v>228</v>
      </c>
      <c r="B22" s="8" t="s">
        <v>229</v>
      </c>
      <c r="C22" s="8">
        <v>0.001486094</v>
      </c>
      <c r="D22" s="9" t="s">
        <v>230</v>
      </c>
      <c r="E22" s="9" t="s">
        <v>231</v>
      </c>
      <c r="F22" s="9" t="s">
        <v>232</v>
      </c>
      <c r="G22" s="9" t="s">
        <v>233</v>
      </c>
      <c r="H22" s="2" t="s">
        <v>28</v>
      </c>
      <c r="I22" s="2" t="s">
        <v>29</v>
      </c>
      <c r="J22" s="2" t="s">
        <v>234</v>
      </c>
      <c r="K22" s="15" t="s">
        <v>55</v>
      </c>
      <c r="L22" s="2">
        <v>0.6</v>
      </c>
      <c r="M22" s="2">
        <v>202516</v>
      </c>
      <c r="N22" s="2" t="s">
        <v>32</v>
      </c>
      <c r="O22" s="2">
        <v>1415</v>
      </c>
      <c r="P22" s="2">
        <v>32</v>
      </c>
      <c r="Q22" s="23">
        <v>0.85</v>
      </c>
      <c r="R22" s="2">
        <v>34.779</v>
      </c>
      <c r="S22" s="2">
        <v>21.828</v>
      </c>
      <c r="T22" s="2" t="s">
        <v>33</v>
      </c>
      <c r="U22" s="2" t="s">
        <v>235</v>
      </c>
      <c r="V22" s="2" t="s">
        <v>236</v>
      </c>
      <c r="W22" s="2" t="s">
        <v>237</v>
      </c>
      <c r="X22" s="2" t="s">
        <v>37</v>
      </c>
    </row>
    <row r="23" s="2" customFormat="1" spans="1:24">
      <c r="A23" s="2" t="s">
        <v>238</v>
      </c>
      <c r="B23" s="8" t="s">
        <v>239</v>
      </c>
      <c r="C23" s="2">
        <f>21/14131</f>
        <v>0.00148609440237775</v>
      </c>
      <c r="D23" s="31" t="s">
        <v>240</v>
      </c>
      <c r="E23" s="2">
        <f>29/2597</f>
        <v>0.0111667308432807</v>
      </c>
      <c r="F23" s="31" t="s">
        <v>241</v>
      </c>
      <c r="G23" s="2">
        <f>27/2496</f>
        <v>0.0108173076923077</v>
      </c>
      <c r="H23" s="2" t="s">
        <v>52</v>
      </c>
      <c r="I23" s="2" t="s">
        <v>152</v>
      </c>
      <c r="J23" s="2" t="s">
        <v>242</v>
      </c>
      <c r="K23" s="15" t="s">
        <v>55</v>
      </c>
      <c r="L23" s="15">
        <v>0.28</v>
      </c>
      <c r="M23" s="16">
        <v>234591</v>
      </c>
      <c r="N23" s="2" t="s">
        <v>32</v>
      </c>
      <c r="O23" s="2">
        <v>1490</v>
      </c>
      <c r="P23" s="2">
        <v>32</v>
      </c>
      <c r="Q23" s="23">
        <v>0.67</v>
      </c>
      <c r="R23" s="2">
        <v>40000</v>
      </c>
      <c r="S23" s="2">
        <v>35000</v>
      </c>
      <c r="T23" s="2" t="s">
        <v>33</v>
      </c>
      <c r="U23" s="2" t="s">
        <v>243</v>
      </c>
      <c r="V23" s="2" t="s">
        <v>244</v>
      </c>
      <c r="W23" s="2" t="s">
        <v>245</v>
      </c>
      <c r="X23" s="2" t="s">
        <v>37</v>
      </c>
    </row>
    <row r="24" s="2" customFormat="1" spans="1:24">
      <c r="A24" s="2" t="s">
        <v>246</v>
      </c>
      <c r="B24" s="8" t="s">
        <v>247</v>
      </c>
      <c r="C24" s="2">
        <f>22/14131</f>
        <v>0.00155686080249098</v>
      </c>
      <c r="D24" s="31" t="s">
        <v>248</v>
      </c>
      <c r="E24" s="2">
        <f>93/2597</f>
        <v>0.0358105506353485</v>
      </c>
      <c r="F24" s="31" t="s">
        <v>249</v>
      </c>
      <c r="G24" s="2">
        <f>82/2496</f>
        <v>0.0328525641025641</v>
      </c>
      <c r="H24" s="2" t="s">
        <v>28</v>
      </c>
      <c r="I24" s="2" t="s">
        <v>29</v>
      </c>
      <c r="J24" s="2" t="s">
        <v>250</v>
      </c>
      <c r="K24" s="15" t="s">
        <v>55</v>
      </c>
      <c r="L24" s="15">
        <v>0.57</v>
      </c>
      <c r="M24" s="16">
        <v>267222</v>
      </c>
      <c r="N24" s="2" t="s">
        <v>32</v>
      </c>
      <c r="O24" s="2">
        <v>1345</v>
      </c>
      <c r="P24" s="2">
        <v>29</v>
      </c>
      <c r="Q24" s="23">
        <v>0.83</v>
      </c>
      <c r="R24" s="2">
        <v>47.106</v>
      </c>
      <c r="S24" s="2">
        <v>14.571</v>
      </c>
      <c r="T24" s="2" t="s">
        <v>33</v>
      </c>
      <c r="U24" s="2" t="s">
        <v>251</v>
      </c>
      <c r="V24" s="2" t="s">
        <v>252</v>
      </c>
      <c r="W24" s="2" t="s">
        <v>253</v>
      </c>
      <c r="X24" s="2" t="s">
        <v>37</v>
      </c>
    </row>
    <row r="25" s="2" customFormat="1" spans="1:24">
      <c r="A25" s="2" t="s">
        <v>254</v>
      </c>
      <c r="B25" s="8" t="s">
        <v>255</v>
      </c>
      <c r="C25" s="8">
        <v>0.001839926</v>
      </c>
      <c r="D25" s="9" t="s">
        <v>256</v>
      </c>
      <c r="E25" s="9" t="s">
        <v>257</v>
      </c>
      <c r="F25" s="9" t="s">
        <v>258</v>
      </c>
      <c r="G25" s="9" t="s">
        <v>259</v>
      </c>
      <c r="H25" s="2" t="s">
        <v>28</v>
      </c>
      <c r="I25" s="2" t="s">
        <v>29</v>
      </c>
      <c r="J25" s="2" t="s">
        <v>260</v>
      </c>
      <c r="K25" s="2" t="s">
        <v>55</v>
      </c>
      <c r="L25" s="2">
        <v>0.29</v>
      </c>
      <c r="M25" s="2">
        <v>194.245</v>
      </c>
      <c r="N25" s="2" t="s">
        <v>32</v>
      </c>
      <c r="O25" s="2">
        <v>1365</v>
      </c>
      <c r="P25" s="2">
        <v>30</v>
      </c>
      <c r="Q25" s="23">
        <v>0.71</v>
      </c>
      <c r="R25" s="2">
        <v>40.916</v>
      </c>
      <c r="S25" s="2">
        <v>11.075</v>
      </c>
      <c r="T25" s="2" t="s">
        <v>33</v>
      </c>
      <c r="U25" s="2" t="s">
        <v>261</v>
      </c>
      <c r="V25" s="2" t="s">
        <v>262</v>
      </c>
      <c r="W25" s="2" t="s">
        <v>263</v>
      </c>
      <c r="X25" s="2" t="s">
        <v>37</v>
      </c>
    </row>
    <row r="26" s="3" customFormat="1" ht="28.8" spans="1:24">
      <c r="A26" s="3" t="s">
        <v>264</v>
      </c>
      <c r="B26" s="10" t="s">
        <v>265</v>
      </c>
      <c r="C26" s="3">
        <f>26/14131</f>
        <v>0.00183992640294388</v>
      </c>
      <c r="D26" s="32" t="s">
        <v>266</v>
      </c>
      <c r="E26" s="3">
        <f>70/2597</f>
        <v>0.0269541778975741</v>
      </c>
      <c r="F26" s="32" t="s">
        <v>267</v>
      </c>
      <c r="G26" s="3">
        <f>3/27</f>
        <v>0.111111111111111</v>
      </c>
      <c r="H26" s="3" t="s">
        <v>28</v>
      </c>
      <c r="I26" s="3" t="s">
        <v>29</v>
      </c>
      <c r="J26" s="3" t="s">
        <v>91</v>
      </c>
      <c r="K26" s="18" t="s">
        <v>92</v>
      </c>
      <c r="L26" s="19">
        <v>0.13</v>
      </c>
      <c r="M26" s="20">
        <v>180929</v>
      </c>
      <c r="N26" s="2" t="s">
        <v>32</v>
      </c>
      <c r="O26" s="3">
        <v>1510</v>
      </c>
      <c r="P26" s="3">
        <v>34</v>
      </c>
      <c r="Q26" s="25">
        <v>0.78</v>
      </c>
      <c r="R26" s="3">
        <v>28.772</v>
      </c>
      <c r="S26" s="3">
        <v>29.454</v>
      </c>
      <c r="T26" s="3" t="s">
        <v>33</v>
      </c>
      <c r="U26" s="3" t="s">
        <v>268</v>
      </c>
      <c r="V26" s="3" t="s">
        <v>269</v>
      </c>
      <c r="W26" s="3" t="s">
        <v>270</v>
      </c>
      <c r="X26" s="3" t="s">
        <v>37</v>
      </c>
    </row>
    <row r="27" s="3" customFormat="1" ht="28.8" spans="1:24">
      <c r="A27" s="3" t="s">
        <v>271</v>
      </c>
      <c r="B27" s="10" t="s">
        <v>199</v>
      </c>
      <c r="C27" s="10">
        <v>0.001910693</v>
      </c>
      <c r="D27" s="11" t="s">
        <v>272</v>
      </c>
      <c r="E27" s="11" t="s">
        <v>273</v>
      </c>
      <c r="F27" s="11" t="s">
        <v>202</v>
      </c>
      <c r="G27" s="11" t="s">
        <v>274</v>
      </c>
      <c r="H27" s="3" t="s">
        <v>52</v>
      </c>
      <c r="I27" s="3" t="s">
        <v>29</v>
      </c>
      <c r="J27" s="3" t="s">
        <v>275</v>
      </c>
      <c r="K27" s="21" t="s">
        <v>92</v>
      </c>
      <c r="L27" s="3">
        <v>0.06</v>
      </c>
      <c r="M27" s="3">
        <v>148394</v>
      </c>
      <c r="N27" s="2" t="s">
        <v>32</v>
      </c>
      <c r="O27" s="3">
        <v>1545</v>
      </c>
      <c r="P27" s="3">
        <v>34</v>
      </c>
      <c r="Q27" s="25">
        <v>0.58</v>
      </c>
      <c r="R27" s="3">
        <v>7.636</v>
      </c>
      <c r="S27" s="3">
        <v>11.196</v>
      </c>
      <c r="T27" s="3" t="s">
        <v>33</v>
      </c>
      <c r="U27" s="3" t="s">
        <v>276</v>
      </c>
      <c r="V27" s="3" t="s">
        <v>277</v>
      </c>
      <c r="W27" s="3" t="s">
        <v>278</v>
      </c>
      <c r="X27" s="3" t="s">
        <v>37</v>
      </c>
    </row>
    <row r="28" s="3" customFormat="1" ht="28.8" spans="1:24">
      <c r="A28" s="3" t="s">
        <v>279</v>
      </c>
      <c r="B28" s="10" t="s">
        <v>280</v>
      </c>
      <c r="C28" s="3">
        <f>29/14131</f>
        <v>0.00205222560328356</v>
      </c>
      <c r="D28" s="32" t="s">
        <v>281</v>
      </c>
      <c r="E28" s="3">
        <f>114/2597</f>
        <v>0.0438968040046207</v>
      </c>
      <c r="F28" s="11" t="s">
        <v>282</v>
      </c>
      <c r="G28" s="3">
        <f>2/32</f>
        <v>0.0625</v>
      </c>
      <c r="H28" s="3" t="s">
        <v>28</v>
      </c>
      <c r="I28" s="3" t="s">
        <v>29</v>
      </c>
      <c r="J28" s="3" t="s">
        <v>283</v>
      </c>
      <c r="K28" s="18" t="s">
        <v>92</v>
      </c>
      <c r="L28" s="19">
        <v>0.04</v>
      </c>
      <c r="M28" s="20">
        <v>135884</v>
      </c>
      <c r="N28" s="2" t="s">
        <v>32</v>
      </c>
      <c r="O28" s="3">
        <v>1515</v>
      </c>
      <c r="P28" s="3">
        <v>34</v>
      </c>
      <c r="Q28" s="25">
        <v>0.66</v>
      </c>
      <c r="R28" s="3">
        <v>5.321</v>
      </c>
      <c r="S28" s="3">
        <v>3.157</v>
      </c>
      <c r="T28" s="3" t="s">
        <v>33</v>
      </c>
      <c r="U28" s="3" t="s">
        <v>284</v>
      </c>
      <c r="V28" s="3" t="s">
        <v>285</v>
      </c>
      <c r="W28" s="3" t="s">
        <v>286</v>
      </c>
      <c r="X28" s="3" t="s">
        <v>37</v>
      </c>
    </row>
    <row r="29" s="3" customFormat="1" spans="1:24">
      <c r="A29" s="3" t="s">
        <v>287</v>
      </c>
      <c r="B29" s="10" t="s">
        <v>288</v>
      </c>
      <c r="C29" s="10">
        <v>0.002052226</v>
      </c>
      <c r="D29" s="11" t="s">
        <v>289</v>
      </c>
      <c r="E29" s="11" t="s">
        <v>290</v>
      </c>
      <c r="F29" s="11" t="s">
        <v>291</v>
      </c>
      <c r="G29" s="11" t="s">
        <v>292</v>
      </c>
      <c r="H29" s="3" t="s">
        <v>28</v>
      </c>
      <c r="I29" s="3" t="s">
        <v>29</v>
      </c>
      <c r="J29" s="3" t="s">
        <v>293</v>
      </c>
      <c r="K29" s="3" t="s">
        <v>55</v>
      </c>
      <c r="L29" s="3">
        <v>0.2</v>
      </c>
      <c r="M29" s="3">
        <v>164047</v>
      </c>
      <c r="N29" s="2" t="s">
        <v>32</v>
      </c>
      <c r="O29" s="3">
        <v>1260</v>
      </c>
      <c r="P29" s="3">
        <v>25</v>
      </c>
      <c r="Q29" s="25">
        <v>0.6</v>
      </c>
      <c r="R29" s="3">
        <v>19.845</v>
      </c>
      <c r="S29" s="3">
        <v>11.796</v>
      </c>
      <c r="T29" s="3" t="s">
        <v>33</v>
      </c>
      <c r="U29" s="3" t="s">
        <v>294</v>
      </c>
      <c r="V29" s="3" t="s">
        <v>295</v>
      </c>
      <c r="W29" s="3" t="s">
        <v>296</v>
      </c>
      <c r="X29" s="3" t="s">
        <v>37</v>
      </c>
    </row>
    <row r="30" s="3" customFormat="1" spans="1:24">
      <c r="A30" s="3" t="s">
        <v>297</v>
      </c>
      <c r="B30" s="10" t="s">
        <v>298</v>
      </c>
      <c r="C30" s="10">
        <v>0.002122992</v>
      </c>
      <c r="D30" s="11" t="s">
        <v>299</v>
      </c>
      <c r="E30" s="11" t="s">
        <v>300</v>
      </c>
      <c r="F30" s="11" t="s">
        <v>301</v>
      </c>
      <c r="G30" s="11" t="s">
        <v>302</v>
      </c>
      <c r="H30" s="3" t="s">
        <v>28</v>
      </c>
      <c r="I30" s="3" t="s">
        <v>29</v>
      </c>
      <c r="J30" s="3" t="s">
        <v>303</v>
      </c>
      <c r="K30" s="3" t="s">
        <v>55</v>
      </c>
      <c r="L30" s="3">
        <v>0.34</v>
      </c>
      <c r="M30" s="3">
        <v>179956</v>
      </c>
      <c r="N30" s="2" t="s">
        <v>32</v>
      </c>
      <c r="O30" s="3">
        <v>1360</v>
      </c>
      <c r="P30" s="3">
        <v>29</v>
      </c>
      <c r="Q30" s="25">
        <v>0.54</v>
      </c>
      <c r="R30" s="3">
        <v>33.343</v>
      </c>
      <c r="S30" s="3">
        <v>8.542</v>
      </c>
      <c r="T30" s="3" t="s">
        <v>33</v>
      </c>
      <c r="U30" s="3" t="s">
        <v>304</v>
      </c>
      <c r="V30" s="3" t="s">
        <v>305</v>
      </c>
      <c r="W30" s="3" t="s">
        <v>306</v>
      </c>
      <c r="X30" s="3" t="s">
        <v>37</v>
      </c>
    </row>
    <row r="31" s="3" customFormat="1" ht="28.8" spans="1:24">
      <c r="A31" s="3" t="s">
        <v>307</v>
      </c>
      <c r="B31" s="10" t="s">
        <v>308</v>
      </c>
      <c r="C31" s="10">
        <v>0.002193758</v>
      </c>
      <c r="D31" s="11" t="s">
        <v>309</v>
      </c>
      <c r="E31" s="11" t="s">
        <v>310</v>
      </c>
      <c r="F31" s="11" t="s">
        <v>311</v>
      </c>
      <c r="G31" s="11" t="s">
        <v>312</v>
      </c>
      <c r="H31" s="3" t="s">
        <v>28</v>
      </c>
      <c r="I31" s="3" t="s">
        <v>29</v>
      </c>
      <c r="J31" s="3" t="s">
        <v>313</v>
      </c>
      <c r="K31" s="21" t="s">
        <v>92</v>
      </c>
      <c r="L31" s="3">
        <v>0.13</v>
      </c>
      <c r="M31" s="3">
        <v>193.958</v>
      </c>
      <c r="N31" s="2" t="s">
        <v>32</v>
      </c>
      <c r="O31" s="3">
        <v>1475</v>
      </c>
      <c r="P31" s="3">
        <v>34</v>
      </c>
      <c r="Q31" s="25">
        <v>0.76</v>
      </c>
      <c r="R31" s="3">
        <v>20.79</v>
      </c>
      <c r="S31" s="3">
        <v>28.528</v>
      </c>
      <c r="T31" s="3" t="s">
        <v>33</v>
      </c>
      <c r="U31" s="3" t="s">
        <v>314</v>
      </c>
      <c r="V31" s="3" t="s">
        <v>315</v>
      </c>
      <c r="W31" s="3" t="s">
        <v>316</v>
      </c>
      <c r="X31" s="3" t="s">
        <v>37</v>
      </c>
    </row>
    <row r="32" s="3" customFormat="1" ht="28.8" spans="1:24">
      <c r="A32" s="3" t="s">
        <v>317</v>
      </c>
      <c r="B32" s="10" t="s">
        <v>318</v>
      </c>
      <c r="C32" s="3">
        <f>32/14131</f>
        <v>0.00226452480362324</v>
      </c>
      <c r="D32" s="32" t="s">
        <v>319</v>
      </c>
      <c r="E32" s="3">
        <f>17/2597</f>
        <v>0.006546014632268</v>
      </c>
      <c r="F32" s="32" t="s">
        <v>320</v>
      </c>
      <c r="G32" s="3">
        <f>16/2496</f>
        <v>0.00641025641025641</v>
      </c>
      <c r="H32" s="3" t="s">
        <v>28</v>
      </c>
      <c r="I32" s="3" t="s">
        <v>29</v>
      </c>
      <c r="J32" s="3" t="s">
        <v>30</v>
      </c>
      <c r="K32" s="18" t="s">
        <v>92</v>
      </c>
      <c r="L32" s="19">
        <v>0.19</v>
      </c>
      <c r="M32" s="20">
        <v>196755</v>
      </c>
      <c r="N32" s="2" t="s">
        <v>32</v>
      </c>
      <c r="O32" s="3">
        <v>1440</v>
      </c>
      <c r="P32" s="3">
        <v>33</v>
      </c>
      <c r="Q32" s="25">
        <v>0.58</v>
      </c>
      <c r="R32" s="3">
        <v>18.229</v>
      </c>
      <c r="S32" s="3">
        <v>17.875</v>
      </c>
      <c r="T32" s="3" t="s">
        <v>33</v>
      </c>
      <c r="U32" s="3" t="s">
        <v>321</v>
      </c>
      <c r="V32" s="3" t="s">
        <v>322</v>
      </c>
      <c r="W32" s="3" t="s">
        <v>323</v>
      </c>
      <c r="X32" s="3" t="s">
        <v>37</v>
      </c>
    </row>
    <row r="33" s="3" customFormat="1" spans="1:24">
      <c r="A33" s="3" t="s">
        <v>324</v>
      </c>
      <c r="B33" s="10" t="s">
        <v>325</v>
      </c>
      <c r="C33" s="10">
        <v>0.002264525</v>
      </c>
      <c r="D33" s="11" t="s">
        <v>326</v>
      </c>
      <c r="E33" s="11" t="s">
        <v>327</v>
      </c>
      <c r="F33" s="11" t="s">
        <v>328</v>
      </c>
      <c r="G33" s="11" t="s">
        <v>329</v>
      </c>
      <c r="H33" s="3" t="s">
        <v>28</v>
      </c>
      <c r="I33" s="3" t="s">
        <v>29</v>
      </c>
      <c r="J33" s="3" t="s">
        <v>330</v>
      </c>
      <c r="K33" s="3" t="s">
        <v>55</v>
      </c>
      <c r="L33" s="3">
        <v>0.3</v>
      </c>
      <c r="M33" s="3">
        <v>174050</v>
      </c>
      <c r="N33" s="2" t="s">
        <v>32</v>
      </c>
      <c r="O33" s="3">
        <v>1385</v>
      </c>
      <c r="P33" s="3">
        <v>31</v>
      </c>
      <c r="Q33" s="25">
        <v>0.94</v>
      </c>
      <c r="R33" s="3">
        <v>34.876</v>
      </c>
      <c r="S33" s="3">
        <v>20.905</v>
      </c>
      <c r="T33" s="3" t="s">
        <v>33</v>
      </c>
      <c r="U33" s="3" t="s">
        <v>331</v>
      </c>
      <c r="V33" s="3" t="s">
        <v>332</v>
      </c>
      <c r="W33" s="3" t="s">
        <v>333</v>
      </c>
      <c r="X33" s="3" t="s">
        <v>37</v>
      </c>
    </row>
    <row r="34" s="2" customFormat="1" ht="28.8" spans="1:24">
      <c r="A34" s="2" t="s">
        <v>334</v>
      </c>
      <c r="B34" s="8" t="s">
        <v>335</v>
      </c>
      <c r="C34" s="8">
        <v>0.002335291</v>
      </c>
      <c r="D34" s="9" t="s">
        <v>336</v>
      </c>
      <c r="E34" s="9" t="s">
        <v>337</v>
      </c>
      <c r="F34" s="9" t="s">
        <v>338</v>
      </c>
      <c r="G34" s="9" t="s">
        <v>339</v>
      </c>
      <c r="H34" s="2" t="s">
        <v>28</v>
      </c>
      <c r="I34" s="2" t="s">
        <v>340</v>
      </c>
      <c r="J34" s="2" t="s">
        <v>341</v>
      </c>
      <c r="K34" s="17" t="s">
        <v>92</v>
      </c>
      <c r="L34" s="2">
        <v>0.71</v>
      </c>
      <c r="M34" s="2">
        <v>184212</v>
      </c>
      <c r="N34" s="2" t="s">
        <v>32</v>
      </c>
      <c r="O34" s="2">
        <v>1350</v>
      </c>
      <c r="P34" s="2">
        <v>36</v>
      </c>
      <c r="Q34" s="23">
        <v>0.76</v>
      </c>
      <c r="R34" s="2">
        <v>18.206</v>
      </c>
      <c r="S34" s="2">
        <v>9.581</v>
      </c>
      <c r="T34" s="2" t="s">
        <v>33</v>
      </c>
      <c r="U34" s="2" t="s">
        <v>342</v>
      </c>
      <c r="V34" s="2" t="s">
        <v>343</v>
      </c>
      <c r="W34" s="2" t="s">
        <v>344</v>
      </c>
      <c r="X34" s="2" t="s">
        <v>37</v>
      </c>
    </row>
    <row r="35" s="2" customFormat="1" ht="28.8" spans="1:24">
      <c r="A35" s="2" t="s">
        <v>345</v>
      </c>
      <c r="B35" s="8" t="s">
        <v>346</v>
      </c>
      <c r="C35" s="2">
        <f>33/14131</f>
        <v>0.00233529120373647</v>
      </c>
      <c r="D35" s="31" t="s">
        <v>240</v>
      </c>
      <c r="E35" s="2">
        <f>8/5830</f>
        <v>0.00137221269296741</v>
      </c>
      <c r="F35" s="31" t="s">
        <v>241</v>
      </c>
      <c r="G35" s="2">
        <f>1/32</f>
        <v>0.03125</v>
      </c>
      <c r="H35" s="2" t="s">
        <v>28</v>
      </c>
      <c r="I35" s="2" t="s">
        <v>29</v>
      </c>
      <c r="J35" s="2" t="s">
        <v>347</v>
      </c>
      <c r="K35" s="14" t="s">
        <v>92</v>
      </c>
      <c r="L35" s="15">
        <v>0.07</v>
      </c>
      <c r="M35" s="16">
        <v>162562</v>
      </c>
      <c r="N35" s="2" t="s">
        <v>32</v>
      </c>
      <c r="O35" s="2">
        <v>1520</v>
      </c>
      <c r="P35" s="2">
        <v>35</v>
      </c>
      <c r="Q35" s="23">
        <v>0.66</v>
      </c>
      <c r="R35" s="2">
        <v>8.847</v>
      </c>
      <c r="S35" s="2">
        <v>14.562</v>
      </c>
      <c r="T35" s="2" t="s">
        <v>33</v>
      </c>
      <c r="U35" s="2" t="s">
        <v>348</v>
      </c>
      <c r="V35" s="2" t="s">
        <v>349</v>
      </c>
      <c r="W35" s="2" t="s">
        <v>350</v>
      </c>
      <c r="X35" s="2" t="s">
        <v>37</v>
      </c>
    </row>
    <row r="36" s="2" customFormat="1" ht="28.8" spans="1:24">
      <c r="A36" s="2" t="s">
        <v>351</v>
      </c>
      <c r="B36" s="8" t="s">
        <v>352</v>
      </c>
      <c r="C36" s="2">
        <f>34/14131</f>
        <v>0.00240605760384969</v>
      </c>
      <c r="D36" s="8" t="s">
        <v>353</v>
      </c>
      <c r="E36" s="2">
        <f>97/2597</f>
        <v>0.0373507893723527</v>
      </c>
      <c r="F36" s="31" t="s">
        <v>354</v>
      </c>
      <c r="G36" s="2">
        <f>21/369</f>
        <v>0.0569105691056911</v>
      </c>
      <c r="H36" s="2" t="s">
        <v>28</v>
      </c>
      <c r="I36" s="2" t="s">
        <v>29</v>
      </c>
      <c r="J36" s="2" t="s">
        <v>125</v>
      </c>
      <c r="K36" s="14" t="s">
        <v>92</v>
      </c>
      <c r="L36" s="15">
        <v>0.06</v>
      </c>
      <c r="M36" s="16">
        <v>164412</v>
      </c>
      <c r="N36" s="2" t="s">
        <v>32</v>
      </c>
      <c r="O36" s="2">
        <v>1513</v>
      </c>
      <c r="P36" s="2">
        <v>34</v>
      </c>
      <c r="Q36" s="23">
        <v>0.61</v>
      </c>
      <c r="R36" s="2">
        <v>6.883</v>
      </c>
      <c r="S36" s="2">
        <v>10.737</v>
      </c>
      <c r="T36" s="2" t="s">
        <v>33</v>
      </c>
      <c r="U36" s="2" t="s">
        <v>355</v>
      </c>
      <c r="V36" s="2" t="s">
        <v>356</v>
      </c>
      <c r="W36" s="2" t="s">
        <v>357</v>
      </c>
      <c r="X36" s="2" t="s">
        <v>37</v>
      </c>
    </row>
    <row r="37" s="2" customFormat="1" spans="1:24">
      <c r="A37" s="2" t="s">
        <v>358</v>
      </c>
      <c r="B37" s="8" t="s">
        <v>359</v>
      </c>
      <c r="C37" s="8">
        <v>0.002406058</v>
      </c>
      <c r="D37" s="9" t="s">
        <v>360</v>
      </c>
      <c r="E37" s="9" t="s">
        <v>361</v>
      </c>
      <c r="F37" s="9" t="s">
        <v>362</v>
      </c>
      <c r="G37" s="9" t="s">
        <v>363</v>
      </c>
      <c r="H37" s="2" t="s">
        <v>28</v>
      </c>
      <c r="I37" s="2" t="s">
        <v>29</v>
      </c>
      <c r="J37" s="2" t="s">
        <v>364</v>
      </c>
      <c r="K37" s="2" t="s">
        <v>55</v>
      </c>
      <c r="L37" s="2">
        <v>0.49</v>
      </c>
      <c r="M37" s="2">
        <v>202703</v>
      </c>
      <c r="N37" s="2" t="s">
        <v>32</v>
      </c>
      <c r="O37" s="2">
        <v>1280</v>
      </c>
      <c r="P37" s="2">
        <v>28</v>
      </c>
      <c r="Q37" s="23">
        <v>0.65</v>
      </c>
      <c r="R37" s="2">
        <v>31.657</v>
      </c>
      <c r="S37" s="2">
        <v>8.393</v>
      </c>
      <c r="T37" s="2" t="s">
        <v>33</v>
      </c>
      <c r="U37" s="2" t="s">
        <v>365</v>
      </c>
      <c r="V37" s="2" t="s">
        <v>366</v>
      </c>
      <c r="W37" s="2" t="s">
        <v>367</v>
      </c>
      <c r="X37" s="2" t="s">
        <v>37</v>
      </c>
    </row>
    <row r="38" s="2" customFormat="1" spans="1:24">
      <c r="A38" s="2" t="s">
        <v>368</v>
      </c>
      <c r="B38" s="8" t="s">
        <v>369</v>
      </c>
      <c r="C38" s="8">
        <v>0.00254759</v>
      </c>
      <c r="D38" s="9" t="s">
        <v>370</v>
      </c>
      <c r="E38" s="9" t="s">
        <v>371</v>
      </c>
      <c r="F38" s="9" t="s">
        <v>372</v>
      </c>
      <c r="G38" s="9" t="s">
        <v>373</v>
      </c>
      <c r="H38" s="2" t="s">
        <v>28</v>
      </c>
      <c r="I38" s="2" t="s">
        <v>29</v>
      </c>
      <c r="J38" s="2" t="s">
        <v>374</v>
      </c>
      <c r="K38" s="2" t="s">
        <v>55</v>
      </c>
      <c r="L38" s="2">
        <v>0.52</v>
      </c>
      <c r="M38" s="2">
        <v>140073</v>
      </c>
      <c r="N38" s="2" t="s">
        <v>32</v>
      </c>
      <c r="O38" s="2">
        <v>1420</v>
      </c>
      <c r="P38" s="2">
        <v>32</v>
      </c>
      <c r="Q38" s="23">
        <v>0.68</v>
      </c>
      <c r="R38" s="2">
        <v>30.922</v>
      </c>
      <c r="S38" s="2">
        <v>10350</v>
      </c>
      <c r="T38" s="2" t="s">
        <v>33</v>
      </c>
      <c r="U38" s="2" t="s">
        <v>375</v>
      </c>
      <c r="V38" s="2" t="s">
        <v>376</v>
      </c>
      <c r="W38" s="2" t="s">
        <v>377</v>
      </c>
      <c r="X38" s="2" t="s">
        <v>37</v>
      </c>
    </row>
    <row r="39" s="2" customFormat="1" spans="1:24">
      <c r="A39" s="2" t="s">
        <v>378</v>
      </c>
      <c r="B39" s="8" t="s">
        <v>379</v>
      </c>
      <c r="C39" s="2">
        <f>37/14131</f>
        <v>0.00261835680418937</v>
      </c>
      <c r="D39" s="31" t="s">
        <v>380</v>
      </c>
      <c r="E39" s="2">
        <f>110/2597</f>
        <v>0.0423565652676165</v>
      </c>
      <c r="F39" s="9" t="s">
        <v>381</v>
      </c>
      <c r="G39" s="2">
        <f>7/39</f>
        <v>0.179487179487179</v>
      </c>
      <c r="H39" s="2" t="s">
        <v>28</v>
      </c>
      <c r="I39" s="2" t="s">
        <v>29</v>
      </c>
      <c r="J39" s="2" t="s">
        <v>283</v>
      </c>
      <c r="K39" s="2" t="s">
        <v>55</v>
      </c>
      <c r="L39" s="15">
        <v>0.68</v>
      </c>
      <c r="M39" s="16">
        <v>167260</v>
      </c>
      <c r="N39" s="2" t="s">
        <v>32</v>
      </c>
      <c r="O39" s="2">
        <v>1355</v>
      </c>
      <c r="P39" s="2">
        <v>30</v>
      </c>
      <c r="Q39" s="23">
        <v>0.69</v>
      </c>
      <c r="R39" s="2">
        <v>36.152</v>
      </c>
      <c r="S39" s="2">
        <v>14.652</v>
      </c>
      <c r="T39" s="2" t="s">
        <v>33</v>
      </c>
      <c r="U39" s="2" t="s">
        <v>382</v>
      </c>
      <c r="V39" s="2" t="s">
        <v>383</v>
      </c>
      <c r="W39" s="2" t="s">
        <v>384</v>
      </c>
      <c r="X39" s="2" t="s">
        <v>37</v>
      </c>
    </row>
    <row r="40" s="2" customFormat="1" spans="1:24">
      <c r="A40" s="2" t="s">
        <v>385</v>
      </c>
      <c r="B40" s="8" t="s">
        <v>386</v>
      </c>
      <c r="C40" s="8">
        <v>0.002618357</v>
      </c>
      <c r="D40" s="9" t="s">
        <v>387</v>
      </c>
      <c r="E40" s="9" t="s">
        <v>388</v>
      </c>
      <c r="F40" s="9" t="s">
        <v>389</v>
      </c>
      <c r="G40" s="9" t="s">
        <v>390</v>
      </c>
      <c r="H40" s="2" t="s">
        <v>391</v>
      </c>
      <c r="I40" s="2" t="s">
        <v>392</v>
      </c>
      <c r="J40" s="2" t="s">
        <v>393</v>
      </c>
      <c r="K40" s="2" t="s">
        <v>55</v>
      </c>
      <c r="L40" s="2">
        <v>0.51</v>
      </c>
      <c r="M40" s="2">
        <v>142627</v>
      </c>
      <c r="N40" s="2" t="s">
        <v>32</v>
      </c>
      <c r="O40" s="2">
        <v>1290</v>
      </c>
      <c r="P40" s="2">
        <v>27</v>
      </c>
      <c r="Q40" s="23">
        <v>0.7</v>
      </c>
      <c r="R40" s="2">
        <v>35.152</v>
      </c>
      <c r="S40" s="2">
        <v>14.637</v>
      </c>
      <c r="T40" s="2" t="s">
        <v>33</v>
      </c>
      <c r="U40" s="2" t="s">
        <v>394</v>
      </c>
      <c r="V40" s="2" t="s">
        <v>395</v>
      </c>
      <c r="W40" s="2" t="s">
        <v>396</v>
      </c>
      <c r="X40" s="2" t="s">
        <v>37</v>
      </c>
    </row>
    <row r="41" s="2" customFormat="1" spans="1:24">
      <c r="A41" s="2" t="s">
        <v>397</v>
      </c>
      <c r="B41" s="8" t="s">
        <v>398</v>
      </c>
      <c r="C41" s="8">
        <v>0.002689123</v>
      </c>
      <c r="D41" s="9" t="s">
        <v>399</v>
      </c>
      <c r="E41" s="9" t="s">
        <v>400</v>
      </c>
      <c r="F41" s="9" t="s">
        <v>401</v>
      </c>
      <c r="G41" s="9" t="s">
        <v>402</v>
      </c>
      <c r="H41" s="2" t="s">
        <v>28</v>
      </c>
      <c r="I41" s="2" t="s">
        <v>29</v>
      </c>
      <c r="J41" s="2" t="s">
        <v>30</v>
      </c>
      <c r="K41" s="2" t="s">
        <v>55</v>
      </c>
      <c r="L41" s="2">
        <v>0.67</v>
      </c>
      <c r="M41" s="2">
        <v>176141</v>
      </c>
      <c r="N41" s="2" t="s">
        <v>32</v>
      </c>
      <c r="O41" s="2">
        <v>1360</v>
      </c>
      <c r="P41" s="2">
        <v>31</v>
      </c>
      <c r="Q41" s="23">
        <v>0.78</v>
      </c>
      <c r="R41" s="2">
        <v>23.885</v>
      </c>
      <c r="S41" s="2">
        <v>9.345</v>
      </c>
      <c r="T41" s="2" t="s">
        <v>33</v>
      </c>
      <c r="U41" s="2" t="s">
        <v>403</v>
      </c>
      <c r="V41" s="2" t="s">
        <v>404</v>
      </c>
      <c r="W41" s="2" t="s">
        <v>405</v>
      </c>
      <c r="X41" s="2" t="s">
        <v>37</v>
      </c>
    </row>
    <row r="42" s="2" customFormat="1" spans="1:24">
      <c r="A42" s="2" t="s">
        <v>406</v>
      </c>
      <c r="B42" s="8" t="s">
        <v>407</v>
      </c>
      <c r="C42" s="2">
        <f>39/14131</f>
        <v>0.00275988960441582</v>
      </c>
      <c r="D42" s="31" t="s">
        <v>408</v>
      </c>
      <c r="E42" s="2">
        <f>74/2597</f>
        <v>0.0284944166345784</v>
      </c>
      <c r="F42" s="31" t="s">
        <v>409</v>
      </c>
      <c r="G42" s="2">
        <f>18/369</f>
        <v>0.0487804878048781</v>
      </c>
      <c r="H42" s="2" t="s">
        <v>28</v>
      </c>
      <c r="I42" s="2" t="s">
        <v>29</v>
      </c>
      <c r="J42" s="2" t="s">
        <v>410</v>
      </c>
      <c r="K42" s="15" t="s">
        <v>55</v>
      </c>
      <c r="L42" s="15">
        <v>0.83</v>
      </c>
      <c r="M42" s="16">
        <v>160395</v>
      </c>
      <c r="N42" s="2" t="s">
        <v>32</v>
      </c>
      <c r="O42" s="2">
        <v>1210</v>
      </c>
      <c r="P42" s="2">
        <v>26</v>
      </c>
      <c r="Q42" s="23">
        <v>0.72</v>
      </c>
      <c r="R42" s="2">
        <v>38.574</v>
      </c>
      <c r="S42" s="2">
        <v>11.085</v>
      </c>
      <c r="T42" s="2" t="s">
        <v>33</v>
      </c>
      <c r="U42" s="2" t="s">
        <v>411</v>
      </c>
      <c r="V42" s="2" t="s">
        <v>404</v>
      </c>
      <c r="W42" s="2" t="s">
        <v>412</v>
      </c>
      <c r="X42" s="2" t="s">
        <v>37</v>
      </c>
    </row>
    <row r="43" s="2" customFormat="1" ht="28.8" spans="1:24">
      <c r="A43" s="2" t="s">
        <v>413</v>
      </c>
      <c r="B43" s="8" t="s">
        <v>414</v>
      </c>
      <c r="C43" s="2">
        <f>41/14131</f>
        <v>0.00290142240464228</v>
      </c>
      <c r="D43" s="8" t="s">
        <v>415</v>
      </c>
      <c r="E43" s="2">
        <f>103/2597</f>
        <v>0.0396611474778591</v>
      </c>
      <c r="F43" s="31" t="s">
        <v>416</v>
      </c>
      <c r="G43" s="2">
        <f>4/63</f>
        <v>0.0634920634920635</v>
      </c>
      <c r="H43" s="2" t="s">
        <v>28</v>
      </c>
      <c r="I43" s="2" t="s">
        <v>340</v>
      </c>
      <c r="J43" s="2" t="s">
        <v>417</v>
      </c>
      <c r="K43" s="21" t="s">
        <v>92</v>
      </c>
      <c r="L43" s="15">
        <v>0.47</v>
      </c>
      <c r="M43" s="16">
        <v>198741</v>
      </c>
      <c r="N43" s="2" t="s">
        <v>32</v>
      </c>
      <c r="O43" s="2">
        <v>1000</v>
      </c>
      <c r="P43" s="2">
        <v>33</v>
      </c>
      <c r="Q43" s="23">
        <v>0.75</v>
      </c>
      <c r="R43" s="2">
        <v>28880</v>
      </c>
      <c r="S43" s="16">
        <v>39500</v>
      </c>
      <c r="T43" s="2" t="s">
        <v>33</v>
      </c>
      <c r="U43" s="2" t="s">
        <v>418</v>
      </c>
      <c r="V43" s="2" t="s">
        <v>419</v>
      </c>
      <c r="W43" s="2" t="s">
        <v>420</v>
      </c>
      <c r="X43" s="2" t="s">
        <v>37</v>
      </c>
    </row>
    <row r="44" s="2" customFormat="1" spans="1:24">
      <c r="A44" s="2" t="s">
        <v>421</v>
      </c>
      <c r="B44" s="8" t="s">
        <v>422</v>
      </c>
      <c r="C44" s="2">
        <f>44/14131</f>
        <v>0.00311372160498195</v>
      </c>
      <c r="D44" s="31" t="s">
        <v>423</v>
      </c>
      <c r="E44" s="2">
        <f>100/2597</f>
        <v>0.0385059684251059</v>
      </c>
      <c r="F44" s="31" t="s">
        <v>424</v>
      </c>
      <c r="G44" s="2">
        <f>26/163</f>
        <v>0.159509202453988</v>
      </c>
      <c r="H44" s="2" t="s">
        <v>28</v>
      </c>
      <c r="I44" s="2" t="s">
        <v>29</v>
      </c>
      <c r="J44" s="2" t="s">
        <v>425</v>
      </c>
      <c r="K44" s="15" t="s">
        <v>55</v>
      </c>
      <c r="L44" s="15">
        <v>0.64</v>
      </c>
      <c r="M44" s="16">
        <v>160923</v>
      </c>
      <c r="N44" s="2" t="s">
        <v>32</v>
      </c>
      <c r="O44" s="2">
        <v>1260</v>
      </c>
      <c r="P44" s="2">
        <v>28</v>
      </c>
      <c r="Q44" s="23">
        <v>0.78</v>
      </c>
      <c r="R44" s="2">
        <v>56.723</v>
      </c>
      <c r="S44" s="2">
        <v>15.807</v>
      </c>
      <c r="T44" s="2" t="s">
        <v>33</v>
      </c>
      <c r="U44" s="2" t="s">
        <v>426</v>
      </c>
      <c r="V44" s="2" t="s">
        <v>427</v>
      </c>
      <c r="W44" s="2" t="s">
        <v>428</v>
      </c>
      <c r="X44" s="2" t="s">
        <v>37</v>
      </c>
    </row>
    <row r="45" s="2" customFormat="1" ht="28.8" spans="1:24">
      <c r="A45" s="2" t="s">
        <v>429</v>
      </c>
      <c r="B45" s="8" t="s">
        <v>430</v>
      </c>
      <c r="C45" s="8">
        <v>0.003113722</v>
      </c>
      <c r="D45" s="9" t="s">
        <v>431</v>
      </c>
      <c r="E45" s="9" t="s">
        <v>432</v>
      </c>
      <c r="F45" s="9" t="s">
        <v>433</v>
      </c>
      <c r="G45" s="9" t="s">
        <v>434</v>
      </c>
      <c r="H45" s="2" t="s">
        <v>28</v>
      </c>
      <c r="I45" s="2" t="s">
        <v>29</v>
      </c>
      <c r="J45" s="2" t="s">
        <v>435</v>
      </c>
      <c r="K45" s="17" t="s">
        <v>92</v>
      </c>
      <c r="L45" s="2">
        <v>0.13</v>
      </c>
      <c r="M45" s="2">
        <v>147171</v>
      </c>
      <c r="N45" s="2" t="s">
        <v>32</v>
      </c>
      <c r="O45" s="2">
        <v>1530</v>
      </c>
      <c r="P45" s="2">
        <v>34</v>
      </c>
      <c r="Q45" s="23">
        <v>0.53</v>
      </c>
      <c r="R45" s="2">
        <v>8.034</v>
      </c>
      <c r="S45" s="2">
        <v>8.939</v>
      </c>
      <c r="T45" s="2" t="s">
        <v>33</v>
      </c>
      <c r="U45" s="2" t="s">
        <v>436</v>
      </c>
      <c r="V45" s="2" t="s">
        <v>437</v>
      </c>
      <c r="W45" s="2" t="s">
        <v>438</v>
      </c>
      <c r="X45" s="2" t="s">
        <v>37</v>
      </c>
    </row>
    <row r="46" s="2" customFormat="1" spans="1:24">
      <c r="A46" s="2" t="s">
        <v>439</v>
      </c>
      <c r="B46" s="8" t="s">
        <v>440</v>
      </c>
      <c r="C46" s="2">
        <f>45/14131</f>
        <v>0.00318448800509518</v>
      </c>
      <c r="D46" s="31" t="s">
        <v>441</v>
      </c>
      <c r="E46" s="2">
        <f>5/5830</f>
        <v>0.000857632933104631</v>
      </c>
      <c r="F46" s="31" t="s">
        <v>123</v>
      </c>
      <c r="G46" s="2">
        <f>1/193</f>
        <v>0.00518134715025907</v>
      </c>
      <c r="H46" s="2" t="s">
        <v>52</v>
      </c>
      <c r="I46" s="2" t="s">
        <v>152</v>
      </c>
      <c r="J46" s="2" t="s">
        <v>242</v>
      </c>
      <c r="K46" s="2" t="s">
        <v>55</v>
      </c>
      <c r="L46" s="15">
        <v>0.15</v>
      </c>
      <c r="M46" s="16">
        <v>225700</v>
      </c>
      <c r="N46" s="2" t="s">
        <v>32</v>
      </c>
      <c r="O46" s="2">
        <v>1350</v>
      </c>
      <c r="P46" s="2">
        <v>31</v>
      </c>
      <c r="Q46" s="23">
        <v>0.69</v>
      </c>
      <c r="R46" s="2">
        <v>20000</v>
      </c>
      <c r="S46" s="2">
        <v>15857</v>
      </c>
      <c r="T46" s="2" t="s">
        <v>442</v>
      </c>
      <c r="U46" s="2" t="s">
        <v>443</v>
      </c>
      <c r="V46" s="2" t="s">
        <v>444</v>
      </c>
      <c r="W46" s="2" t="s">
        <v>445</v>
      </c>
      <c r="X46" s="2" t="s">
        <v>37</v>
      </c>
    </row>
    <row r="47" s="2" customFormat="1" spans="1:24">
      <c r="A47" s="2" t="s">
        <v>446</v>
      </c>
      <c r="B47" s="8" t="s">
        <v>447</v>
      </c>
      <c r="C47" s="8">
        <v>0.003255254</v>
      </c>
      <c r="D47" s="9" t="s">
        <v>448</v>
      </c>
      <c r="E47" s="9" t="s">
        <v>449</v>
      </c>
      <c r="F47" s="9" t="s">
        <v>450</v>
      </c>
      <c r="G47" s="9" t="s">
        <v>451</v>
      </c>
      <c r="H47" s="2" t="s">
        <v>28</v>
      </c>
      <c r="I47" s="2" t="s">
        <v>29</v>
      </c>
      <c r="J47" s="2" t="s">
        <v>153</v>
      </c>
      <c r="K47" s="2" t="s">
        <v>55</v>
      </c>
      <c r="L47" s="2">
        <v>0.18</v>
      </c>
      <c r="M47" s="2">
        <v>160816</v>
      </c>
      <c r="N47" s="2" t="s">
        <v>32</v>
      </c>
      <c r="O47" s="2">
        <v>1233</v>
      </c>
      <c r="P47" s="2">
        <v>26</v>
      </c>
      <c r="Q47" s="23">
        <v>0.97</v>
      </c>
      <c r="R47" s="2">
        <v>4.151</v>
      </c>
      <c r="S47" s="2">
        <v>3.165</v>
      </c>
      <c r="T47" s="2" t="s">
        <v>33</v>
      </c>
      <c r="U47" s="2" t="s">
        <v>452</v>
      </c>
      <c r="V47" s="2" t="s">
        <v>453</v>
      </c>
      <c r="W47" s="2" t="s">
        <v>454</v>
      </c>
      <c r="X47" s="2" t="s">
        <v>37</v>
      </c>
    </row>
    <row r="48" s="2" customFormat="1" ht="28.8" spans="1:24">
      <c r="A48" s="2" t="s">
        <v>455</v>
      </c>
      <c r="B48" s="8" t="s">
        <v>456</v>
      </c>
      <c r="C48" s="2">
        <f>46/14131</f>
        <v>0.00325525440520841</v>
      </c>
      <c r="D48" s="31" t="s">
        <v>457</v>
      </c>
      <c r="E48" s="2">
        <f>69/2597</f>
        <v>0.0265691182133231</v>
      </c>
      <c r="F48" s="31" t="s">
        <v>458</v>
      </c>
      <c r="G48" s="2">
        <f>20/163</f>
        <v>0.122699386503067</v>
      </c>
      <c r="H48" s="2" t="s">
        <v>28</v>
      </c>
      <c r="I48" s="2" t="s">
        <v>29</v>
      </c>
      <c r="J48" s="2" t="s">
        <v>224</v>
      </c>
      <c r="K48" s="14" t="s">
        <v>92</v>
      </c>
      <c r="L48" s="15">
        <v>0.14</v>
      </c>
      <c r="M48" s="16">
        <v>110823</v>
      </c>
      <c r="N48" s="2" t="s">
        <v>32</v>
      </c>
      <c r="O48" s="2">
        <v>1520</v>
      </c>
      <c r="P48" s="2">
        <v>34</v>
      </c>
      <c r="Q48" s="23">
        <v>0.59</v>
      </c>
      <c r="R48" s="2">
        <v>6.932</v>
      </c>
      <c r="S48" s="2">
        <v>8.125</v>
      </c>
      <c r="T48" s="2" t="s">
        <v>33</v>
      </c>
      <c r="U48" s="2" t="s">
        <v>459</v>
      </c>
      <c r="V48" s="2" t="s">
        <v>460</v>
      </c>
      <c r="W48" s="2" t="s">
        <v>461</v>
      </c>
      <c r="X48" s="2" t="s">
        <v>37</v>
      </c>
    </row>
    <row r="49" s="2" customFormat="1" spans="1:24">
      <c r="A49" s="2" t="s">
        <v>462</v>
      </c>
      <c r="B49" s="8" t="s">
        <v>463</v>
      </c>
      <c r="C49" s="2">
        <f>47/14131</f>
        <v>0.00332602080532163</v>
      </c>
      <c r="D49" s="33" t="s">
        <v>464</v>
      </c>
      <c r="E49" s="2">
        <f>83/2597</f>
        <v>0.0319599537928379</v>
      </c>
      <c r="F49" s="31" t="s">
        <v>465</v>
      </c>
      <c r="G49" s="2">
        <f>23/163</f>
        <v>0.141104294478528</v>
      </c>
      <c r="H49" s="2" t="s">
        <v>113</v>
      </c>
      <c r="I49" s="2" t="s">
        <v>134</v>
      </c>
      <c r="J49" s="2" t="s">
        <v>466</v>
      </c>
      <c r="K49" s="2" t="s">
        <v>55</v>
      </c>
      <c r="L49" s="15">
        <v>0.3</v>
      </c>
      <c r="M49" s="16">
        <v>242510</v>
      </c>
      <c r="N49" s="2" t="s">
        <v>467</v>
      </c>
      <c r="O49" s="2">
        <v>1500</v>
      </c>
      <c r="P49" s="2">
        <v>0</v>
      </c>
      <c r="Q49" s="23">
        <v>0.8</v>
      </c>
      <c r="R49" s="2">
        <v>400</v>
      </c>
      <c r="S49" s="2">
        <v>200</v>
      </c>
      <c r="T49" s="2" t="s">
        <v>442</v>
      </c>
      <c r="U49" s="2" t="s">
        <v>468</v>
      </c>
      <c r="V49" s="2" t="s">
        <v>218</v>
      </c>
      <c r="W49" s="2" t="s">
        <v>469</v>
      </c>
      <c r="X49" s="2" t="s">
        <v>37</v>
      </c>
    </row>
    <row r="50" s="2" customFormat="1" spans="1:24">
      <c r="A50" s="2" t="s">
        <v>470</v>
      </c>
      <c r="B50" s="8" t="s">
        <v>471</v>
      </c>
      <c r="C50" s="8">
        <v>0.003396787</v>
      </c>
      <c r="D50" s="9" t="s">
        <v>472</v>
      </c>
      <c r="E50" s="9" t="s">
        <v>473</v>
      </c>
      <c r="F50" s="9" t="s">
        <v>474</v>
      </c>
      <c r="G50" s="9" t="s">
        <v>475</v>
      </c>
      <c r="H50" s="2" t="s">
        <v>52</v>
      </c>
      <c r="I50" s="2" t="s">
        <v>152</v>
      </c>
      <c r="J50" s="2" t="s">
        <v>476</v>
      </c>
      <c r="K50" s="2" t="s">
        <v>55</v>
      </c>
      <c r="L50" s="2">
        <v>0.09</v>
      </c>
      <c r="M50" s="2">
        <v>261797</v>
      </c>
      <c r="N50" s="2" t="s">
        <v>477</v>
      </c>
      <c r="O50" s="2">
        <v>1153</v>
      </c>
      <c r="P50" s="2">
        <v>28</v>
      </c>
      <c r="Q50" s="23">
        <v>0.55</v>
      </c>
      <c r="R50" s="2">
        <v>9140</v>
      </c>
      <c r="S50" s="2">
        <v>10021</v>
      </c>
      <c r="T50" s="2" t="s">
        <v>33</v>
      </c>
      <c r="U50" s="2" t="s">
        <v>478</v>
      </c>
      <c r="V50" s="2" t="s">
        <v>479</v>
      </c>
      <c r="W50" s="17" t="s">
        <v>480</v>
      </c>
      <c r="X50" s="2" t="s">
        <v>37</v>
      </c>
    </row>
    <row r="51" s="2" customFormat="1" spans="1:24">
      <c r="A51" s="2" t="s">
        <v>481</v>
      </c>
      <c r="B51" s="8" t="s">
        <v>482</v>
      </c>
      <c r="C51" s="8">
        <v>0.00353832</v>
      </c>
      <c r="D51" s="9" t="s">
        <v>483</v>
      </c>
      <c r="E51" s="9" t="s">
        <v>484</v>
      </c>
      <c r="F51" s="9" t="s">
        <v>485</v>
      </c>
      <c r="G51" s="9" t="s">
        <v>486</v>
      </c>
      <c r="H51" s="2" t="s">
        <v>28</v>
      </c>
      <c r="I51" s="2" t="s">
        <v>29</v>
      </c>
      <c r="J51" s="2" t="s">
        <v>487</v>
      </c>
      <c r="K51" s="2" t="s">
        <v>55</v>
      </c>
      <c r="L51" s="2">
        <v>0.21</v>
      </c>
      <c r="M51" s="2">
        <v>103343</v>
      </c>
      <c r="N51" s="2" t="s">
        <v>32</v>
      </c>
      <c r="O51" s="2">
        <v>1440</v>
      </c>
      <c r="P51" s="2">
        <v>34</v>
      </c>
      <c r="Q51" s="23">
        <v>0.63</v>
      </c>
      <c r="R51" s="2">
        <v>17.294</v>
      </c>
      <c r="S51" s="2">
        <v>8.711</v>
      </c>
      <c r="T51" s="2" t="s">
        <v>33</v>
      </c>
      <c r="U51" s="2" t="s">
        <v>488</v>
      </c>
      <c r="V51" s="2" t="s">
        <v>489</v>
      </c>
      <c r="W51" s="2" t="s">
        <v>490</v>
      </c>
      <c r="X51" s="2" t="s">
        <v>37</v>
      </c>
    </row>
    <row r="52" s="2" customFormat="1" spans="1:24">
      <c r="A52" s="2" t="s">
        <v>491</v>
      </c>
      <c r="B52" s="8" t="s">
        <v>492</v>
      </c>
      <c r="C52" s="2">
        <f>50/14131</f>
        <v>0.00353832000566131</v>
      </c>
      <c r="D52" s="31" t="s">
        <v>493</v>
      </c>
      <c r="E52" s="2">
        <f>2/5830</f>
        <v>0.000343053173241852</v>
      </c>
      <c r="F52" s="31" t="s">
        <v>494</v>
      </c>
      <c r="G52" s="2">
        <f>1/960</f>
        <v>0.00104166666666667</v>
      </c>
      <c r="H52" s="2" t="s">
        <v>28</v>
      </c>
      <c r="I52" s="2" t="s">
        <v>29</v>
      </c>
      <c r="J52" s="2" t="s">
        <v>495</v>
      </c>
      <c r="K52" s="2" t="s">
        <v>55</v>
      </c>
      <c r="L52" s="15">
        <v>0.69</v>
      </c>
      <c r="M52" s="16">
        <v>136182</v>
      </c>
      <c r="N52" s="2" t="s">
        <v>32</v>
      </c>
      <c r="O52" s="2">
        <v>1310</v>
      </c>
      <c r="P52" s="2">
        <v>30</v>
      </c>
      <c r="Q52" s="23">
        <v>0.69</v>
      </c>
      <c r="R52" s="2">
        <v>37.806</v>
      </c>
      <c r="S52" s="2">
        <v>12.538</v>
      </c>
      <c r="T52" s="2" t="s">
        <v>33</v>
      </c>
      <c r="U52" s="2" t="s">
        <v>496</v>
      </c>
      <c r="V52" s="2" t="s">
        <v>497</v>
      </c>
      <c r="W52" s="2" t="s">
        <v>498</v>
      </c>
      <c r="X52" s="2" t="s">
        <v>37</v>
      </c>
    </row>
    <row r="53" s="2" customFormat="1" spans="1:24">
      <c r="A53" s="2" t="s">
        <v>499</v>
      </c>
      <c r="B53" s="8" t="s">
        <v>500</v>
      </c>
      <c r="C53" s="8">
        <v>0.003750619</v>
      </c>
      <c r="D53" s="9" t="s">
        <v>501</v>
      </c>
      <c r="E53" s="9" t="s">
        <v>502</v>
      </c>
      <c r="F53" s="9" t="s">
        <v>503</v>
      </c>
      <c r="G53" s="9" t="s">
        <v>504</v>
      </c>
      <c r="H53" s="2" t="s">
        <v>505</v>
      </c>
      <c r="I53" s="2" t="s">
        <v>506</v>
      </c>
      <c r="J53" s="2" t="s">
        <v>507</v>
      </c>
      <c r="K53" s="2" t="s">
        <v>55</v>
      </c>
      <c r="L53" s="2">
        <v>0.75</v>
      </c>
      <c r="M53" s="2">
        <v>155134</v>
      </c>
      <c r="N53" s="2" t="s">
        <v>32</v>
      </c>
      <c r="O53" s="2">
        <v>1330</v>
      </c>
      <c r="P53" s="2">
        <v>28</v>
      </c>
      <c r="Q53" s="23">
        <v>0.77</v>
      </c>
      <c r="R53" s="2">
        <v>50645</v>
      </c>
      <c r="S53" s="2">
        <v>26125</v>
      </c>
      <c r="T53" s="2" t="s">
        <v>33</v>
      </c>
      <c r="U53" s="2" t="s">
        <v>508</v>
      </c>
      <c r="V53" s="2" t="s">
        <v>509</v>
      </c>
      <c r="W53" s="2" t="s">
        <v>510</v>
      </c>
      <c r="X53" s="2" t="s">
        <v>511</v>
      </c>
    </row>
    <row r="54" s="2" customFormat="1" spans="1:24">
      <c r="A54" s="2" t="s">
        <v>512</v>
      </c>
      <c r="B54" s="8" t="s">
        <v>513</v>
      </c>
      <c r="C54" s="2">
        <f>53/14131</f>
        <v>0.00375061920600099</v>
      </c>
      <c r="D54" s="31" t="s">
        <v>514</v>
      </c>
      <c r="E54" s="2">
        <f>54/2597</f>
        <v>0.0207932229495572</v>
      </c>
      <c r="F54" s="31" t="s">
        <v>515</v>
      </c>
      <c r="G54" s="2">
        <f>50/2496</f>
        <v>0.0200320512820513</v>
      </c>
      <c r="H54" s="2" t="s">
        <v>113</v>
      </c>
      <c r="I54" s="2" t="s">
        <v>193</v>
      </c>
      <c r="J54" s="2" t="s">
        <v>516</v>
      </c>
      <c r="K54" s="2" t="s">
        <v>55</v>
      </c>
      <c r="L54" s="15">
        <v>0.11</v>
      </c>
      <c r="M54" s="16">
        <v>249138</v>
      </c>
      <c r="N54" s="2" t="s">
        <v>517</v>
      </c>
      <c r="O54" s="2">
        <v>0</v>
      </c>
      <c r="P54" s="2">
        <v>0</v>
      </c>
      <c r="Q54" s="23">
        <v>0.92</v>
      </c>
      <c r="R54" s="2">
        <v>22.455</v>
      </c>
      <c r="S54" s="2"/>
      <c r="T54" s="2" t="s">
        <v>442</v>
      </c>
      <c r="U54" s="2" t="s">
        <v>518</v>
      </c>
      <c r="V54" s="2" t="s">
        <v>519</v>
      </c>
      <c r="W54" s="2" t="s">
        <v>520</v>
      </c>
      <c r="X54" s="2" t="s">
        <v>511</v>
      </c>
    </row>
    <row r="55" s="2" customFormat="1" spans="1:24">
      <c r="A55" s="2" t="s">
        <v>521</v>
      </c>
      <c r="B55" s="8" t="s">
        <v>522</v>
      </c>
      <c r="C55" s="8">
        <v>0.003962918</v>
      </c>
      <c r="D55" s="9" t="s">
        <v>523</v>
      </c>
      <c r="E55" s="9" t="s">
        <v>524</v>
      </c>
      <c r="F55" s="9" t="s">
        <v>525</v>
      </c>
      <c r="G55" s="9" t="s">
        <v>526</v>
      </c>
      <c r="H55" s="2" t="s">
        <v>28</v>
      </c>
      <c r="I55" s="2" t="s">
        <v>29</v>
      </c>
      <c r="J55" s="2" t="s">
        <v>527</v>
      </c>
      <c r="K55" s="2" t="s">
        <v>55</v>
      </c>
      <c r="L55" s="2">
        <v>0.29</v>
      </c>
      <c r="M55" s="2">
        <v>101320</v>
      </c>
      <c r="N55" s="2" t="s">
        <v>32</v>
      </c>
      <c r="O55" s="2">
        <v>1440</v>
      </c>
      <c r="P55" s="2">
        <v>31</v>
      </c>
      <c r="Q55" s="23">
        <v>0.79</v>
      </c>
      <c r="R55" s="2">
        <v>29.449</v>
      </c>
      <c r="S55" s="2">
        <v>7.056</v>
      </c>
      <c r="T55" s="2" t="s">
        <v>33</v>
      </c>
      <c r="U55" s="2" t="s">
        <v>528</v>
      </c>
      <c r="V55" s="2" t="s">
        <v>529</v>
      </c>
      <c r="W55" s="2" t="s">
        <v>530</v>
      </c>
      <c r="X55" s="2" t="s">
        <v>511</v>
      </c>
    </row>
    <row r="56" s="2" customFormat="1" spans="1:24">
      <c r="A56" s="2" t="s">
        <v>531</v>
      </c>
      <c r="B56" s="8" t="s">
        <v>532</v>
      </c>
      <c r="C56" s="8">
        <v>0.004033685</v>
      </c>
      <c r="D56" s="9" t="s">
        <v>533</v>
      </c>
      <c r="E56" s="9" t="s">
        <v>534</v>
      </c>
      <c r="F56" s="9" t="s">
        <v>535</v>
      </c>
      <c r="G56" s="9" t="s">
        <v>536</v>
      </c>
      <c r="H56" s="2" t="s">
        <v>52</v>
      </c>
      <c r="I56" s="2" t="s">
        <v>537</v>
      </c>
      <c r="J56" s="2" t="s">
        <v>538</v>
      </c>
      <c r="K56" s="2" t="s">
        <v>55</v>
      </c>
      <c r="L56" s="2">
        <v>0.08</v>
      </c>
      <c r="M56" s="2">
        <v>145451</v>
      </c>
      <c r="N56" s="2" t="s">
        <v>539</v>
      </c>
      <c r="O56" s="2">
        <v>0</v>
      </c>
      <c r="P56" s="2">
        <v>0</v>
      </c>
      <c r="Q56" s="23">
        <v>0.56</v>
      </c>
      <c r="R56" s="2">
        <v>44000</v>
      </c>
      <c r="S56" s="2">
        <v>12211</v>
      </c>
      <c r="T56" s="2" t="s">
        <v>33</v>
      </c>
      <c r="U56" s="2" t="s">
        <v>540</v>
      </c>
      <c r="V56" s="2" t="s">
        <v>541</v>
      </c>
      <c r="W56" s="2" t="s">
        <v>542</v>
      </c>
      <c r="X56" s="2" t="s">
        <v>511</v>
      </c>
    </row>
    <row r="57" s="2" customFormat="1" spans="1:24">
      <c r="A57" s="2" t="s">
        <v>543</v>
      </c>
      <c r="B57" s="8" t="s">
        <v>544</v>
      </c>
      <c r="C57" s="8">
        <v>0.004104451</v>
      </c>
      <c r="D57" s="9" t="s">
        <v>545</v>
      </c>
      <c r="E57" s="9" t="s">
        <v>546</v>
      </c>
      <c r="F57" s="9" t="s">
        <v>547</v>
      </c>
      <c r="G57" s="9" t="s">
        <v>548</v>
      </c>
      <c r="H57" s="2" t="s">
        <v>28</v>
      </c>
      <c r="I57" s="2" t="s">
        <v>29</v>
      </c>
      <c r="J57" s="2" t="s">
        <v>204</v>
      </c>
      <c r="K57" s="2" t="s">
        <v>55</v>
      </c>
      <c r="L57" s="2">
        <v>0.84</v>
      </c>
      <c r="M57" s="2">
        <v>104806</v>
      </c>
      <c r="N57" s="2" t="s">
        <v>32</v>
      </c>
      <c r="O57" s="2">
        <v>1280</v>
      </c>
      <c r="P57" s="2">
        <v>28</v>
      </c>
      <c r="Q57" s="23">
        <v>0.65</v>
      </c>
      <c r="R57" s="2">
        <v>30.886</v>
      </c>
      <c r="S57" s="2">
        <v>8.114</v>
      </c>
      <c r="T57" s="2" t="s">
        <v>33</v>
      </c>
      <c r="U57" s="2" t="s">
        <v>549</v>
      </c>
      <c r="V57" s="2" t="s">
        <v>550</v>
      </c>
      <c r="W57" s="2" t="s">
        <v>551</v>
      </c>
      <c r="X57" s="2" t="s">
        <v>511</v>
      </c>
    </row>
    <row r="58" s="2" customFormat="1" spans="1:24">
      <c r="A58" s="2" t="s">
        <v>552</v>
      </c>
      <c r="B58" s="8" t="s">
        <v>553</v>
      </c>
      <c r="C58" s="2">
        <f>58/14131</f>
        <v>0.00410445120656712</v>
      </c>
      <c r="D58" s="31" t="s">
        <v>554</v>
      </c>
      <c r="E58" s="2">
        <f>144/2597</f>
        <v>0.0554485945321525</v>
      </c>
      <c r="F58" s="31" t="s">
        <v>555</v>
      </c>
      <c r="G58" s="2">
        <f>124/2496</f>
        <v>0.0496794871794872</v>
      </c>
      <c r="H58" s="2" t="s">
        <v>28</v>
      </c>
      <c r="I58" s="2" t="s">
        <v>29</v>
      </c>
      <c r="J58" s="2" t="s">
        <v>556</v>
      </c>
      <c r="K58" s="2" t="s">
        <v>55</v>
      </c>
      <c r="L58" s="15">
        <v>0.88</v>
      </c>
      <c r="M58" s="16">
        <v>129794</v>
      </c>
      <c r="N58" s="2" t="s">
        <v>32</v>
      </c>
      <c r="O58" s="2">
        <v>1240</v>
      </c>
      <c r="P58" s="2">
        <v>28</v>
      </c>
      <c r="Q58" s="23">
        <v>0.92</v>
      </c>
      <c r="R58" s="2">
        <v>64.716</v>
      </c>
      <c r="S58" s="2">
        <v>13.165</v>
      </c>
      <c r="T58" s="2" t="s">
        <v>33</v>
      </c>
      <c r="U58" s="2" t="s">
        <v>557</v>
      </c>
      <c r="V58" s="2" t="s">
        <v>558</v>
      </c>
      <c r="W58" s="2" t="s">
        <v>559</v>
      </c>
      <c r="X58" s="2" t="s">
        <v>511</v>
      </c>
    </row>
    <row r="59" s="2" customFormat="1" spans="1:24">
      <c r="A59" s="3" t="s">
        <v>560</v>
      </c>
      <c r="B59" s="8" t="s">
        <v>561</v>
      </c>
      <c r="C59" s="2">
        <f>59/14131</f>
        <v>0.00417521760668035</v>
      </c>
      <c r="D59" s="31" t="s">
        <v>562</v>
      </c>
      <c r="E59" s="2">
        <f>19/5830</f>
        <v>0.0032590051457976</v>
      </c>
      <c r="F59" s="31" t="s">
        <v>563</v>
      </c>
      <c r="G59" s="2">
        <f>2/193</f>
        <v>0.0103626943005181</v>
      </c>
      <c r="H59" s="2" t="s">
        <v>52</v>
      </c>
      <c r="I59" s="2" t="s">
        <v>564</v>
      </c>
      <c r="J59" s="2" t="s">
        <v>565</v>
      </c>
      <c r="K59" s="2" t="s">
        <v>55</v>
      </c>
      <c r="L59" s="15">
        <v>0.27</v>
      </c>
      <c r="M59" s="16">
        <v>130033</v>
      </c>
      <c r="N59" s="2" t="s">
        <v>539</v>
      </c>
      <c r="O59" s="2">
        <v>0</v>
      </c>
      <c r="P59" s="2">
        <v>0</v>
      </c>
      <c r="Q59" s="23">
        <v>0.8</v>
      </c>
      <c r="R59" s="2">
        <v>23420</v>
      </c>
      <c r="S59" s="2">
        <v>6600</v>
      </c>
      <c r="T59" s="2" t="s">
        <v>33</v>
      </c>
      <c r="U59" s="2" t="s">
        <v>566</v>
      </c>
      <c r="V59" s="2" t="s">
        <v>567</v>
      </c>
      <c r="W59" s="2" t="s">
        <v>568</v>
      </c>
      <c r="X59" s="2" t="s">
        <v>511</v>
      </c>
    </row>
    <row r="60" s="2" customFormat="1" spans="1:24">
      <c r="A60" s="3" t="s">
        <v>569</v>
      </c>
      <c r="B60" s="8" t="s">
        <v>532</v>
      </c>
      <c r="C60" s="8">
        <v>0.004245984</v>
      </c>
      <c r="D60" s="9" t="s">
        <v>570</v>
      </c>
      <c r="E60" s="9" t="s">
        <v>571</v>
      </c>
      <c r="F60" s="9" t="s">
        <v>572</v>
      </c>
      <c r="G60" s="9" t="s">
        <v>573</v>
      </c>
      <c r="H60" s="2" t="s">
        <v>52</v>
      </c>
      <c r="I60" s="2" t="s">
        <v>152</v>
      </c>
      <c r="J60" s="2" t="s">
        <v>153</v>
      </c>
      <c r="K60" s="2" t="s">
        <v>55</v>
      </c>
      <c r="L60" s="2">
        <v>0.27</v>
      </c>
      <c r="M60" s="2">
        <v>151596</v>
      </c>
      <c r="N60" s="2" t="s">
        <v>32</v>
      </c>
      <c r="O60" s="2">
        <v>1070</v>
      </c>
      <c r="P60" s="2">
        <v>24</v>
      </c>
      <c r="Q60" s="23">
        <v>0.54</v>
      </c>
      <c r="R60" s="2">
        <v>19900</v>
      </c>
      <c r="S60" s="2">
        <v>12522</v>
      </c>
      <c r="T60" s="2" t="s">
        <v>33</v>
      </c>
      <c r="U60" s="2" t="s">
        <v>574</v>
      </c>
      <c r="V60" s="2" t="s">
        <v>575</v>
      </c>
      <c r="W60" s="2" t="s">
        <v>576</v>
      </c>
      <c r="X60" s="2" t="s">
        <v>511</v>
      </c>
    </row>
    <row r="61" s="2" customFormat="1" spans="1:24">
      <c r="A61" s="2" t="s">
        <v>577</v>
      </c>
      <c r="B61" s="8" t="s">
        <v>578</v>
      </c>
      <c r="C61" s="2">
        <f>60/14131</f>
        <v>0.00424598400679357</v>
      </c>
      <c r="D61" s="31" t="s">
        <v>579</v>
      </c>
      <c r="E61" s="2">
        <f>9/5830</f>
        <v>0.00154373927958834</v>
      </c>
      <c r="F61" s="31" t="s">
        <v>580</v>
      </c>
      <c r="G61" s="2">
        <f>4/960</f>
        <v>0.00416666666666667</v>
      </c>
      <c r="H61" s="2" t="s">
        <v>28</v>
      </c>
      <c r="I61" s="2" t="s">
        <v>29</v>
      </c>
      <c r="J61" s="2" t="s">
        <v>581</v>
      </c>
      <c r="K61" s="2" t="s">
        <v>55</v>
      </c>
      <c r="L61" s="15">
        <v>0.16</v>
      </c>
      <c r="M61" s="16">
        <v>139691</v>
      </c>
      <c r="N61" s="2" t="s">
        <v>32</v>
      </c>
      <c r="O61" s="2">
        <v>1405</v>
      </c>
      <c r="P61" s="2">
        <v>32</v>
      </c>
      <c r="Q61" s="23">
        <v>0.72</v>
      </c>
      <c r="R61" s="2">
        <v>17.461</v>
      </c>
      <c r="S61" s="2">
        <v>26.398</v>
      </c>
      <c r="T61" s="2" t="s">
        <v>33</v>
      </c>
      <c r="U61" s="2" t="s">
        <v>582</v>
      </c>
      <c r="V61" s="2" t="s">
        <v>583</v>
      </c>
      <c r="W61" s="2" t="s">
        <v>584</v>
      </c>
      <c r="X61" s="2" t="s">
        <v>511</v>
      </c>
    </row>
    <row r="62" s="2" customFormat="1" spans="1:24">
      <c r="A62" s="2" t="s">
        <v>585</v>
      </c>
      <c r="B62" s="8" t="s">
        <v>586</v>
      </c>
      <c r="C62" s="2">
        <f>61/14131</f>
        <v>0.0043167504069068</v>
      </c>
      <c r="D62" s="31" t="s">
        <v>587</v>
      </c>
      <c r="E62" s="2">
        <f>12/2597</f>
        <v>0.00462071621101271</v>
      </c>
      <c r="F62" s="31" t="s">
        <v>588</v>
      </c>
      <c r="G62" s="2">
        <f>1/369</f>
        <v>0.002710027100271</v>
      </c>
      <c r="H62" s="2" t="s">
        <v>28</v>
      </c>
      <c r="I62" s="2" t="s">
        <v>29</v>
      </c>
      <c r="J62" s="2" t="s">
        <v>125</v>
      </c>
      <c r="K62" s="2" t="s">
        <v>55</v>
      </c>
      <c r="L62" s="15">
        <v>0.47</v>
      </c>
      <c r="M62" s="16">
        <v>127795</v>
      </c>
      <c r="N62" s="2" t="s">
        <v>32</v>
      </c>
      <c r="O62" s="2">
        <v>1355</v>
      </c>
      <c r="P62" s="2">
        <v>30</v>
      </c>
      <c r="Q62" s="23">
        <v>0.74</v>
      </c>
      <c r="R62" s="2">
        <v>26.505</v>
      </c>
      <c r="S62" s="2">
        <v>10.326</v>
      </c>
      <c r="T62" s="2" t="s">
        <v>33</v>
      </c>
      <c r="U62" s="2" t="s">
        <v>589</v>
      </c>
      <c r="V62" s="2" t="s">
        <v>590</v>
      </c>
      <c r="W62" s="2" t="s">
        <v>591</v>
      </c>
      <c r="X62" s="2" t="s">
        <v>511</v>
      </c>
    </row>
    <row r="63" s="2" customFormat="1" spans="1:24">
      <c r="A63" s="2" t="s">
        <v>592</v>
      </c>
      <c r="B63" s="8" t="s">
        <v>593</v>
      </c>
      <c r="C63" s="8">
        <v>0.004458283</v>
      </c>
      <c r="D63" s="9" t="s">
        <v>594</v>
      </c>
      <c r="E63" s="9" t="s">
        <v>595</v>
      </c>
      <c r="F63" s="9" t="s">
        <v>596</v>
      </c>
      <c r="G63" s="9" t="s">
        <v>597</v>
      </c>
      <c r="H63" s="2" t="s">
        <v>28</v>
      </c>
      <c r="I63" s="2" t="s">
        <v>29</v>
      </c>
      <c r="J63" s="2" t="s">
        <v>598</v>
      </c>
      <c r="K63" s="2" t="s">
        <v>55</v>
      </c>
      <c r="L63" s="2">
        <v>0.95</v>
      </c>
      <c r="M63" s="2">
        <v>110449</v>
      </c>
      <c r="N63" s="2" t="s">
        <v>32</v>
      </c>
      <c r="O63" s="2">
        <v>1285</v>
      </c>
      <c r="P63" s="2">
        <v>26</v>
      </c>
      <c r="Q63" s="23">
        <v>0.89</v>
      </c>
      <c r="R63" s="2">
        <v>25.826</v>
      </c>
      <c r="S63" s="2">
        <v>8.638</v>
      </c>
      <c r="T63" s="2" t="s">
        <v>33</v>
      </c>
      <c r="U63" s="2" t="s">
        <v>599</v>
      </c>
      <c r="V63" s="2" t="s">
        <v>600</v>
      </c>
      <c r="W63" s="2" t="s">
        <v>601</v>
      </c>
      <c r="X63" s="2" t="s">
        <v>511</v>
      </c>
    </row>
    <row r="64" s="2" customFormat="1" spans="1:24">
      <c r="A64" s="2" t="s">
        <v>602</v>
      </c>
      <c r="B64" s="8" t="s">
        <v>603</v>
      </c>
      <c r="C64" s="8">
        <v>0.00452905</v>
      </c>
      <c r="D64" s="9" t="s">
        <v>604</v>
      </c>
      <c r="E64" s="9" t="s">
        <v>605</v>
      </c>
      <c r="F64" s="9" t="s">
        <v>606</v>
      </c>
      <c r="G64" s="9" t="s">
        <v>607</v>
      </c>
      <c r="H64" s="2" t="s">
        <v>505</v>
      </c>
      <c r="I64" s="2" t="s">
        <v>506</v>
      </c>
      <c r="J64" s="2" t="s">
        <v>163</v>
      </c>
      <c r="K64" s="2" t="s">
        <v>55</v>
      </c>
      <c r="L64" s="2">
        <v>0.6</v>
      </c>
      <c r="M64" s="2">
        <v>135814</v>
      </c>
      <c r="N64" s="2" t="s">
        <v>32</v>
      </c>
      <c r="O64" s="2">
        <v>1370</v>
      </c>
      <c r="P64" s="2">
        <v>27</v>
      </c>
      <c r="Q64" s="23">
        <v>0.89</v>
      </c>
      <c r="R64" s="2">
        <v>34000</v>
      </c>
      <c r="S64" s="2">
        <v>25000</v>
      </c>
      <c r="T64" s="2" t="s">
        <v>33</v>
      </c>
      <c r="U64" s="2" t="s">
        <v>608</v>
      </c>
      <c r="V64" s="2" t="s">
        <v>609</v>
      </c>
      <c r="W64" s="2" t="s">
        <v>610</v>
      </c>
      <c r="X64" s="2" t="s">
        <v>511</v>
      </c>
    </row>
    <row r="65" s="2" customFormat="1" spans="1:24">
      <c r="A65" s="2" t="s">
        <v>611</v>
      </c>
      <c r="B65" s="8" t="s">
        <v>612</v>
      </c>
      <c r="C65" s="8">
        <v>0.004599816</v>
      </c>
      <c r="D65" s="9" t="s">
        <v>613</v>
      </c>
      <c r="E65" s="9" t="s">
        <v>614</v>
      </c>
      <c r="F65" s="9" t="s">
        <v>615</v>
      </c>
      <c r="G65" s="9" t="s">
        <v>616</v>
      </c>
      <c r="H65" s="2" t="s">
        <v>505</v>
      </c>
      <c r="I65" s="2" t="s">
        <v>506</v>
      </c>
      <c r="J65" s="2" t="s">
        <v>617</v>
      </c>
      <c r="K65" s="27"/>
      <c r="L65" s="2">
        <v>0.3</v>
      </c>
      <c r="M65" s="2">
        <v>166488</v>
      </c>
      <c r="N65" s="2" t="s">
        <v>32</v>
      </c>
      <c r="O65" s="2">
        <v>1200</v>
      </c>
      <c r="P65" s="2">
        <v>28</v>
      </c>
      <c r="Q65" s="23">
        <v>0.64</v>
      </c>
      <c r="R65" s="2">
        <v>63.602</v>
      </c>
      <c r="S65" s="2">
        <v>20880</v>
      </c>
      <c r="T65" s="2" t="s">
        <v>33</v>
      </c>
      <c r="U65" s="2" t="s">
        <v>618</v>
      </c>
      <c r="V65" s="2" t="s">
        <v>619</v>
      </c>
      <c r="W65" s="2" t="s">
        <v>620</v>
      </c>
      <c r="X65" s="2" t="s">
        <v>511</v>
      </c>
    </row>
    <row r="66" s="2" customFormat="1" ht="28.8" spans="1:24">
      <c r="A66" s="2" t="s">
        <v>621</v>
      </c>
      <c r="B66" s="8" t="s">
        <v>622</v>
      </c>
      <c r="C66" s="8">
        <v>0.004670582</v>
      </c>
      <c r="D66" s="9" t="s">
        <v>623</v>
      </c>
      <c r="E66" s="9" t="s">
        <v>624</v>
      </c>
      <c r="F66" s="9" t="s">
        <v>625</v>
      </c>
      <c r="G66" s="9" t="s">
        <v>626</v>
      </c>
      <c r="H66" s="2" t="s">
        <v>28</v>
      </c>
      <c r="I66" s="2" t="s">
        <v>29</v>
      </c>
      <c r="J66" s="2" t="s">
        <v>627</v>
      </c>
      <c r="K66" s="17" t="s">
        <v>92</v>
      </c>
      <c r="L66" s="2">
        <v>0.41</v>
      </c>
      <c r="M66" s="2">
        <v>100238</v>
      </c>
      <c r="N66" s="2" t="s">
        <v>32</v>
      </c>
      <c r="O66" s="2">
        <v>1445</v>
      </c>
      <c r="P66" s="2">
        <v>33</v>
      </c>
      <c r="Q66" s="23">
        <v>0.78</v>
      </c>
      <c r="R66" s="2">
        <v>6.568</v>
      </c>
      <c r="S66" s="2">
        <v>5.471</v>
      </c>
      <c r="T66" s="2" t="s">
        <v>33</v>
      </c>
      <c r="U66" s="2" t="s">
        <v>628</v>
      </c>
      <c r="V66" s="2" t="s">
        <v>629</v>
      </c>
      <c r="W66" s="2" t="s">
        <v>630</v>
      </c>
      <c r="X66" s="2" t="s">
        <v>511</v>
      </c>
    </row>
    <row r="67" s="2" customFormat="1" spans="1:24">
      <c r="A67" s="2" t="s">
        <v>631</v>
      </c>
      <c r="B67" s="8" t="s">
        <v>632</v>
      </c>
      <c r="C67" s="2">
        <f>66/14131</f>
        <v>0.00467058240747293</v>
      </c>
      <c r="D67" s="31" t="s">
        <v>266</v>
      </c>
      <c r="E67" s="2">
        <f>22/2597</f>
        <v>0.0084713130535233</v>
      </c>
      <c r="F67" s="31" t="s">
        <v>633</v>
      </c>
      <c r="G67" s="2">
        <f>212496</f>
        <v>212496</v>
      </c>
      <c r="H67" s="2" t="s">
        <v>52</v>
      </c>
      <c r="I67" s="2" t="s">
        <v>152</v>
      </c>
      <c r="J67" s="2" t="s">
        <v>242</v>
      </c>
      <c r="K67" s="2" t="s">
        <v>55</v>
      </c>
      <c r="L67" s="15">
        <v>0.13</v>
      </c>
      <c r="M67" s="16">
        <v>154234</v>
      </c>
      <c r="N67" s="2" t="s">
        <v>32</v>
      </c>
      <c r="O67" s="2">
        <v>1190</v>
      </c>
      <c r="P67" s="2">
        <v>29</v>
      </c>
      <c r="Q67" s="23">
        <v>0.57</v>
      </c>
      <c r="R67" s="2">
        <v>13.568</v>
      </c>
      <c r="S67" s="2">
        <v>5.945</v>
      </c>
      <c r="T67" s="2" t="s">
        <v>634</v>
      </c>
      <c r="U67" s="2" t="s">
        <v>635</v>
      </c>
      <c r="V67" s="2" t="s">
        <v>575</v>
      </c>
      <c r="W67" s="2" t="s">
        <v>636</v>
      </c>
      <c r="X67" s="2" t="s">
        <v>511</v>
      </c>
    </row>
    <row r="68" s="2" customFormat="1" spans="1:24">
      <c r="A68" s="2" t="s">
        <v>637</v>
      </c>
      <c r="B68" s="8" t="s">
        <v>638</v>
      </c>
      <c r="C68" s="2">
        <f>67/14131</f>
        <v>0.00474134880758616</v>
      </c>
      <c r="D68" s="31" t="s">
        <v>639</v>
      </c>
      <c r="E68" s="2">
        <f>33/2597</f>
        <v>0.0127069695802849</v>
      </c>
      <c r="F68" s="31" t="s">
        <v>640</v>
      </c>
      <c r="G68" s="2">
        <f>4/58</f>
        <v>0.0689655172413793</v>
      </c>
      <c r="H68" s="2" t="s">
        <v>113</v>
      </c>
      <c r="I68" s="2" t="s">
        <v>134</v>
      </c>
      <c r="J68" s="2" t="s">
        <v>466</v>
      </c>
      <c r="K68" s="2" t="s">
        <v>55</v>
      </c>
      <c r="L68" s="15">
        <v>0.29</v>
      </c>
      <c r="M68" s="16">
        <v>160461</v>
      </c>
      <c r="N68" s="2" t="s">
        <v>641</v>
      </c>
      <c r="O68" s="2">
        <v>1400</v>
      </c>
      <c r="P68" s="2">
        <v>30</v>
      </c>
      <c r="Q68" s="23">
        <v>0.77</v>
      </c>
      <c r="R68" s="2">
        <v>35.915</v>
      </c>
      <c r="S68" s="2">
        <v>17120</v>
      </c>
      <c r="T68" s="2" t="s">
        <v>442</v>
      </c>
      <c r="U68" s="2" t="s">
        <v>642</v>
      </c>
      <c r="V68" s="2" t="s">
        <v>643</v>
      </c>
      <c r="W68" s="2" t="s">
        <v>644</v>
      </c>
      <c r="X68" s="2" t="s">
        <v>511</v>
      </c>
    </row>
    <row r="69" s="2" customFormat="1" ht="28.8" spans="1:24">
      <c r="A69" s="2" t="s">
        <v>645</v>
      </c>
      <c r="B69" s="8" t="s">
        <v>646</v>
      </c>
      <c r="C69" s="2">
        <f>68/14131</f>
        <v>0.00481211520769938</v>
      </c>
      <c r="D69" s="31" t="s">
        <v>647</v>
      </c>
      <c r="E69" s="2">
        <f>42/2597</f>
        <v>0.0161725067385445</v>
      </c>
      <c r="F69" s="31" t="s">
        <v>648</v>
      </c>
      <c r="G69" s="2">
        <f>39/2496</f>
        <v>0.015625</v>
      </c>
      <c r="H69" s="2" t="s">
        <v>28</v>
      </c>
      <c r="I69" s="2" t="s">
        <v>29</v>
      </c>
      <c r="J69" s="2" t="s">
        <v>42</v>
      </c>
      <c r="K69" s="14" t="s">
        <v>92</v>
      </c>
      <c r="L69" s="15">
        <v>0.04</v>
      </c>
      <c r="M69" s="16">
        <v>108657</v>
      </c>
      <c r="N69" s="2" t="s">
        <v>32</v>
      </c>
      <c r="O69" s="2">
        <v>1540</v>
      </c>
      <c r="P69" s="2">
        <v>35</v>
      </c>
      <c r="Q69" s="23">
        <v>0.67</v>
      </c>
      <c r="R69" s="2">
        <v>987</v>
      </c>
      <c r="S69" s="2">
        <v>1410</v>
      </c>
      <c r="T69" s="2" t="s">
        <v>33</v>
      </c>
      <c r="U69" s="2" t="s">
        <v>649</v>
      </c>
      <c r="V69" s="2" t="s">
        <v>650</v>
      </c>
      <c r="W69" s="2" t="s">
        <v>651</v>
      </c>
      <c r="X69" s="2" t="s">
        <v>511</v>
      </c>
    </row>
    <row r="70" s="2" customFormat="1" spans="1:24">
      <c r="A70" s="2" t="s">
        <v>652</v>
      </c>
      <c r="B70" s="8" t="s">
        <v>653</v>
      </c>
      <c r="C70" s="2">
        <f>69/14131</f>
        <v>0.00488288160781261</v>
      </c>
      <c r="D70" s="31" t="s">
        <v>441</v>
      </c>
      <c r="E70" s="2">
        <f>94/2597</f>
        <v>0.0361956103195995</v>
      </c>
      <c r="F70" s="31" t="s">
        <v>654</v>
      </c>
      <c r="G70" s="2">
        <f>83/2496</f>
        <v>0.0332532051282051</v>
      </c>
      <c r="H70" s="2" t="s">
        <v>113</v>
      </c>
      <c r="I70" s="2" t="s">
        <v>655</v>
      </c>
      <c r="J70" s="2" t="s">
        <v>656</v>
      </c>
      <c r="K70" s="2" t="s">
        <v>55</v>
      </c>
      <c r="L70" s="15">
        <v>0.49</v>
      </c>
      <c r="M70" s="16">
        <v>181956</v>
      </c>
      <c r="N70" s="2" t="s">
        <v>32</v>
      </c>
      <c r="O70" s="2">
        <v>1250</v>
      </c>
      <c r="P70" s="2">
        <v>29</v>
      </c>
      <c r="Q70" s="23">
        <v>0.35</v>
      </c>
      <c r="R70" s="2">
        <v>30.098</v>
      </c>
      <c r="S70" s="2">
        <v>2.555</v>
      </c>
      <c r="T70" s="2" t="s">
        <v>33</v>
      </c>
      <c r="U70" s="2" t="s">
        <v>657</v>
      </c>
      <c r="V70" s="2" t="s">
        <v>658</v>
      </c>
      <c r="W70" s="2" t="s">
        <v>659</v>
      </c>
      <c r="X70" s="2" t="s">
        <v>511</v>
      </c>
    </row>
    <row r="71" s="2" customFormat="1" spans="1:24">
      <c r="A71" s="2" t="s">
        <v>660</v>
      </c>
      <c r="B71" s="8" t="s">
        <v>661</v>
      </c>
      <c r="C71" s="8">
        <v>0.004882882</v>
      </c>
      <c r="D71" s="9" t="s">
        <v>662</v>
      </c>
      <c r="E71" s="9" t="s">
        <v>663</v>
      </c>
      <c r="F71" s="9" t="s">
        <v>664</v>
      </c>
      <c r="G71" s="9" t="s">
        <v>665</v>
      </c>
      <c r="H71" s="2" t="s">
        <v>28</v>
      </c>
      <c r="I71" s="2" t="s">
        <v>29</v>
      </c>
      <c r="J71" s="2" t="s">
        <v>666</v>
      </c>
      <c r="K71" s="2" t="s">
        <v>55</v>
      </c>
      <c r="L71" s="2">
        <v>0.86</v>
      </c>
      <c r="M71" s="2">
        <v>96816</v>
      </c>
      <c r="N71" s="2" t="s">
        <v>32</v>
      </c>
      <c r="O71" s="2">
        <v>1240</v>
      </c>
      <c r="P71" s="2">
        <v>26</v>
      </c>
      <c r="Q71" s="23">
        <v>0.87</v>
      </c>
      <c r="R71" s="2">
        <v>21.608</v>
      </c>
      <c r="S71" s="2">
        <v>8.301</v>
      </c>
      <c r="T71" s="2" t="s">
        <v>33</v>
      </c>
      <c r="U71" s="2" t="s">
        <v>667</v>
      </c>
      <c r="V71" s="2" t="s">
        <v>668</v>
      </c>
      <c r="W71" s="2" t="s">
        <v>669</v>
      </c>
      <c r="X71" s="2" t="s">
        <v>511</v>
      </c>
    </row>
    <row r="72" s="2" customFormat="1" spans="1:24">
      <c r="A72" s="2" t="s">
        <v>670</v>
      </c>
      <c r="B72" s="8" t="s">
        <v>671</v>
      </c>
      <c r="C72" s="2">
        <f>70/14131</f>
        <v>0.00495364800792584</v>
      </c>
      <c r="D72" s="8" t="s">
        <v>672</v>
      </c>
      <c r="E72" s="2">
        <f>70/2597</f>
        <v>0.0269541778975741</v>
      </c>
      <c r="F72" s="31" t="s">
        <v>673</v>
      </c>
      <c r="G72" s="2">
        <f>64/2496</f>
        <v>0.0256410256410256</v>
      </c>
      <c r="H72" s="2" t="s">
        <v>28</v>
      </c>
      <c r="I72" s="2" t="s">
        <v>340</v>
      </c>
      <c r="J72" s="2" t="s">
        <v>674</v>
      </c>
      <c r="K72" s="15"/>
      <c r="L72" s="15">
        <v>0.58</v>
      </c>
      <c r="M72" s="16">
        <v>183446</v>
      </c>
      <c r="N72" s="2" t="s">
        <v>675</v>
      </c>
      <c r="O72" s="2">
        <v>1200</v>
      </c>
      <c r="P72" s="2">
        <v>26</v>
      </c>
      <c r="Q72" s="23">
        <v>0.72</v>
      </c>
      <c r="R72" s="2">
        <v>15421</v>
      </c>
      <c r="S72" s="2">
        <v>7043</v>
      </c>
      <c r="T72" s="2" t="s">
        <v>33</v>
      </c>
      <c r="U72" s="2" t="s">
        <v>676</v>
      </c>
      <c r="V72" s="2" t="s">
        <v>677</v>
      </c>
      <c r="W72" s="2" t="s">
        <v>678</v>
      </c>
      <c r="X72" s="2" t="s">
        <v>511</v>
      </c>
    </row>
    <row r="73" s="2" customFormat="1" spans="1:24">
      <c r="A73" s="2" t="s">
        <v>679</v>
      </c>
      <c r="B73" s="8" t="s">
        <v>680</v>
      </c>
      <c r="C73" s="8">
        <v>0.005024414</v>
      </c>
      <c r="D73" s="9" t="s">
        <v>681</v>
      </c>
      <c r="E73" s="9" t="s">
        <v>682</v>
      </c>
      <c r="F73" s="9" t="s">
        <v>683</v>
      </c>
      <c r="G73" s="9" t="s">
        <v>684</v>
      </c>
      <c r="H73" s="2" t="s">
        <v>28</v>
      </c>
      <c r="I73" s="2" t="s">
        <v>29</v>
      </c>
      <c r="J73" s="2" t="s">
        <v>224</v>
      </c>
      <c r="K73" s="2" t="s">
        <v>55</v>
      </c>
      <c r="L73" s="2">
        <v>0.14</v>
      </c>
      <c r="M73" s="2">
        <v>123328</v>
      </c>
      <c r="N73" s="2" t="s">
        <v>685</v>
      </c>
      <c r="O73" s="2">
        <v>0</v>
      </c>
      <c r="P73" s="2">
        <v>0</v>
      </c>
      <c r="Q73" s="23">
        <v>0.47</v>
      </c>
      <c r="R73" s="2">
        <v>25000</v>
      </c>
      <c r="S73" s="2">
        <v>10111</v>
      </c>
      <c r="T73" s="2" t="s">
        <v>33</v>
      </c>
      <c r="U73" s="2" t="s">
        <v>686</v>
      </c>
      <c r="V73" s="2" t="s">
        <v>185</v>
      </c>
      <c r="W73" s="2" t="s">
        <v>687</v>
      </c>
      <c r="X73" s="2" t="s">
        <v>511</v>
      </c>
    </row>
    <row r="74" s="2" customFormat="1" spans="1:24">
      <c r="A74" s="2" t="s">
        <v>688</v>
      </c>
      <c r="B74" s="8" t="s">
        <v>689</v>
      </c>
      <c r="C74" s="2">
        <f>71/14131</f>
        <v>0.00502441440803906</v>
      </c>
      <c r="D74" s="31" t="s">
        <v>690</v>
      </c>
      <c r="E74" s="2">
        <f>115/2597</f>
        <v>0.0442818636888718</v>
      </c>
      <c r="F74" s="31" t="s">
        <v>691</v>
      </c>
      <c r="G74" s="2">
        <f>100/2496</f>
        <v>0.0400641025641026</v>
      </c>
      <c r="H74" s="2" t="s">
        <v>505</v>
      </c>
      <c r="I74" s="2" t="s">
        <v>506</v>
      </c>
      <c r="J74" s="2" t="s">
        <v>692</v>
      </c>
      <c r="K74" s="2" t="s">
        <v>55</v>
      </c>
      <c r="L74" s="15">
        <v>0.49</v>
      </c>
      <c r="M74" s="16">
        <v>175141</v>
      </c>
      <c r="N74" s="2" t="s">
        <v>32</v>
      </c>
      <c r="O74" s="2">
        <v>1300</v>
      </c>
      <c r="P74" s="2">
        <v>28</v>
      </c>
      <c r="Q74" s="23">
        <v>0.5</v>
      </c>
      <c r="R74" s="2">
        <v>48.771</v>
      </c>
      <c r="S74" s="2">
        <v>15666</v>
      </c>
      <c r="T74" s="2" t="s">
        <v>33</v>
      </c>
      <c r="U74" s="2" t="s">
        <v>693</v>
      </c>
      <c r="V74" s="2" t="s">
        <v>694</v>
      </c>
      <c r="W74" s="2" t="s">
        <v>695</v>
      </c>
      <c r="X74" s="2" t="s">
        <v>511</v>
      </c>
    </row>
    <row r="75" s="2" customFormat="1" ht="28.8" spans="1:24">
      <c r="A75" s="2" t="s">
        <v>696</v>
      </c>
      <c r="B75" s="8" t="s">
        <v>697</v>
      </c>
      <c r="C75" s="8">
        <v>0.005095181</v>
      </c>
      <c r="D75" s="9" t="s">
        <v>698</v>
      </c>
      <c r="E75" s="9" t="s">
        <v>699</v>
      </c>
      <c r="F75" s="9" t="s">
        <v>700</v>
      </c>
      <c r="G75" s="9" t="s">
        <v>701</v>
      </c>
      <c r="H75" s="2" t="s">
        <v>28</v>
      </c>
      <c r="I75" s="2" t="s">
        <v>29</v>
      </c>
      <c r="J75" s="2" t="s">
        <v>702</v>
      </c>
      <c r="K75" s="17" t="s">
        <v>92</v>
      </c>
      <c r="L75" s="2">
        <v>0.07</v>
      </c>
      <c r="M75" s="2">
        <v>95375</v>
      </c>
      <c r="N75" s="2" t="s">
        <v>32</v>
      </c>
      <c r="O75" s="2">
        <v>1525</v>
      </c>
      <c r="P75" s="2">
        <v>35</v>
      </c>
      <c r="Q75" s="23">
        <v>0.7</v>
      </c>
      <c r="R75" s="2">
        <v>7.111</v>
      </c>
      <c r="S75" s="2">
        <v>6.685</v>
      </c>
      <c r="T75" s="2" t="s">
        <v>33</v>
      </c>
      <c r="U75" s="2" t="s">
        <v>703</v>
      </c>
      <c r="V75" s="2" t="s">
        <v>704</v>
      </c>
      <c r="W75" s="2" t="s">
        <v>705</v>
      </c>
      <c r="X75" s="2" t="s">
        <v>511</v>
      </c>
    </row>
    <row r="76" s="2" customFormat="1" ht="28.8" spans="1:24">
      <c r="A76" s="2" t="s">
        <v>706</v>
      </c>
      <c r="B76" s="8" t="s">
        <v>707</v>
      </c>
      <c r="C76" s="8">
        <v>0.005165947</v>
      </c>
      <c r="D76" s="9" t="s">
        <v>681</v>
      </c>
      <c r="E76" s="9" t="s">
        <v>708</v>
      </c>
      <c r="F76" s="9" t="s">
        <v>709</v>
      </c>
      <c r="G76" s="9" t="s">
        <v>710</v>
      </c>
      <c r="H76" s="2" t="s">
        <v>52</v>
      </c>
      <c r="I76" s="2" t="s">
        <v>711</v>
      </c>
      <c r="J76" s="2" t="s">
        <v>712</v>
      </c>
      <c r="K76" s="17" t="s">
        <v>92</v>
      </c>
      <c r="L76" s="2">
        <v>0.37</v>
      </c>
      <c r="M76" s="2">
        <v>136745</v>
      </c>
      <c r="N76" s="2" t="s">
        <v>713</v>
      </c>
      <c r="O76" s="2">
        <v>0</v>
      </c>
      <c r="P76" s="2">
        <v>0</v>
      </c>
      <c r="Q76" s="23">
        <v>0.81</v>
      </c>
      <c r="R76" s="2">
        <v>15015</v>
      </c>
      <c r="S76" s="2">
        <v>6201</v>
      </c>
      <c r="T76" s="2" t="s">
        <v>33</v>
      </c>
      <c r="U76" s="2" t="s">
        <v>714</v>
      </c>
      <c r="V76" s="2" t="s">
        <v>715</v>
      </c>
      <c r="W76" s="2" t="s">
        <v>716</v>
      </c>
      <c r="X76" s="2" t="s">
        <v>511</v>
      </c>
    </row>
    <row r="77" s="2" customFormat="1" spans="1:24">
      <c r="A77" s="2" t="s">
        <v>717</v>
      </c>
      <c r="B77" s="8" t="s">
        <v>718</v>
      </c>
      <c r="C77" s="2">
        <f>74/14131</f>
        <v>0.00523671360837874</v>
      </c>
      <c r="D77" s="9" t="s">
        <v>514</v>
      </c>
      <c r="E77" s="2">
        <f>5/1756</f>
        <v>0.00284738041002278</v>
      </c>
      <c r="F77" s="9" t="s">
        <v>515</v>
      </c>
      <c r="G77" s="2">
        <f>3/198</f>
        <v>0.0151515151515152</v>
      </c>
      <c r="H77" s="2" t="s">
        <v>28</v>
      </c>
      <c r="I77" s="2" t="s">
        <v>29</v>
      </c>
      <c r="J77" s="2" t="s">
        <v>495</v>
      </c>
      <c r="K77" s="15" t="s">
        <v>55</v>
      </c>
      <c r="L77" s="15">
        <v>0.85</v>
      </c>
      <c r="M77" s="16">
        <v>120015</v>
      </c>
      <c r="N77" s="2" t="s">
        <v>32</v>
      </c>
      <c r="O77" s="2">
        <v>1270</v>
      </c>
      <c r="P77" s="2">
        <v>29</v>
      </c>
      <c r="Q77" s="23">
        <v>0.79</v>
      </c>
      <c r="R77" s="2">
        <v>34.253</v>
      </c>
      <c r="S77" s="2">
        <v>11.075</v>
      </c>
      <c r="T77" s="2" t="s">
        <v>33</v>
      </c>
      <c r="U77" s="2" t="s">
        <v>719</v>
      </c>
      <c r="V77" s="2" t="s">
        <v>720</v>
      </c>
      <c r="W77" s="2" t="s">
        <v>721</v>
      </c>
      <c r="X77" s="2" t="s">
        <v>511</v>
      </c>
    </row>
    <row r="78" s="2" customFormat="1" spans="1:24">
      <c r="A78" s="2" t="s">
        <v>722</v>
      </c>
      <c r="B78" s="8" t="s">
        <v>689</v>
      </c>
      <c r="C78" s="8">
        <v>0.00530748</v>
      </c>
      <c r="D78" s="9" t="s">
        <v>690</v>
      </c>
      <c r="E78" s="9" t="s">
        <v>723</v>
      </c>
      <c r="F78" s="9" t="s">
        <v>691</v>
      </c>
      <c r="G78" s="9" t="s">
        <v>724</v>
      </c>
      <c r="H78" s="2" t="s">
        <v>505</v>
      </c>
      <c r="I78" s="2" t="s">
        <v>506</v>
      </c>
      <c r="J78" s="2" t="s">
        <v>692</v>
      </c>
      <c r="K78" s="15" t="s">
        <v>55</v>
      </c>
      <c r="L78" s="2">
        <v>0.09</v>
      </c>
      <c r="M78" s="2">
        <v>134759</v>
      </c>
      <c r="N78" s="2" t="s">
        <v>32</v>
      </c>
      <c r="O78" s="2">
        <v>1300</v>
      </c>
      <c r="P78" s="2">
        <v>28</v>
      </c>
      <c r="Q78" s="23">
        <v>0.76</v>
      </c>
      <c r="R78" s="2">
        <v>48.771</v>
      </c>
      <c r="S78" s="2">
        <v>12400</v>
      </c>
      <c r="T78" s="2" t="s">
        <v>33</v>
      </c>
      <c r="U78" s="2" t="s">
        <v>693</v>
      </c>
      <c r="V78" s="2" t="s">
        <v>725</v>
      </c>
      <c r="W78" s="2" t="s">
        <v>726</v>
      </c>
      <c r="X78" s="2" t="s">
        <v>511</v>
      </c>
    </row>
    <row r="79" s="2" customFormat="1" spans="1:24">
      <c r="A79" s="2" t="s">
        <v>727</v>
      </c>
      <c r="B79" s="8" t="s">
        <v>728</v>
      </c>
      <c r="C79" s="2">
        <f>75/14131</f>
        <v>0.00530748000849197</v>
      </c>
      <c r="D79" s="33" t="s">
        <v>729</v>
      </c>
      <c r="E79" s="2">
        <f>46/2597</f>
        <v>0.0177127454755487</v>
      </c>
      <c r="F79" s="9" t="s">
        <v>730</v>
      </c>
      <c r="G79" s="2">
        <f>43/2496</f>
        <v>0.0172275641025641</v>
      </c>
      <c r="H79" s="2" t="s">
        <v>505</v>
      </c>
      <c r="I79" s="2" t="s">
        <v>506</v>
      </c>
      <c r="J79" s="2" t="s">
        <v>731</v>
      </c>
      <c r="K79" s="15" t="s">
        <v>55</v>
      </c>
      <c r="L79" s="15">
        <v>0.4</v>
      </c>
      <c r="M79" s="16">
        <v>174884</v>
      </c>
      <c r="N79" s="2" t="s">
        <v>32</v>
      </c>
      <c r="O79" s="2">
        <v>1600</v>
      </c>
      <c r="P79" s="2">
        <v>36</v>
      </c>
      <c r="Q79" s="23">
        <v>0.67</v>
      </c>
      <c r="R79" s="2">
        <v>78000</v>
      </c>
      <c r="S79" s="2">
        <v>21000</v>
      </c>
      <c r="T79" s="2" t="s">
        <v>33</v>
      </c>
      <c r="U79" s="2" t="s">
        <v>732</v>
      </c>
      <c r="V79" s="2" t="s">
        <v>733</v>
      </c>
      <c r="W79" s="2" t="s">
        <v>734</v>
      </c>
      <c r="X79" s="2" t="s">
        <v>511</v>
      </c>
    </row>
    <row r="80" s="2" customFormat="1" ht="28.8" spans="1:24">
      <c r="A80" s="2" t="s">
        <v>735</v>
      </c>
      <c r="B80" s="8" t="s">
        <v>736</v>
      </c>
      <c r="C80" s="2">
        <f>77/14131</f>
        <v>0.00544901280871842</v>
      </c>
      <c r="D80" s="31" t="s">
        <v>737</v>
      </c>
      <c r="E80" s="2">
        <f>33/2597</f>
        <v>0.0127069695802849</v>
      </c>
      <c r="F80" s="31" t="s">
        <v>738</v>
      </c>
      <c r="G80" s="2">
        <f>31/2496</f>
        <v>0.0124198717948718</v>
      </c>
      <c r="H80" s="2" t="s">
        <v>28</v>
      </c>
      <c r="I80" s="2" t="s">
        <v>29</v>
      </c>
      <c r="J80" s="2" t="s">
        <v>581</v>
      </c>
      <c r="K80" s="14" t="s">
        <v>92</v>
      </c>
      <c r="L80" s="15">
        <v>0.13</v>
      </c>
      <c r="M80" s="16">
        <v>150966</v>
      </c>
      <c r="N80" s="2" t="s">
        <v>32</v>
      </c>
      <c r="O80" s="2">
        <v>1480</v>
      </c>
      <c r="P80" s="2">
        <v>33</v>
      </c>
      <c r="Q80" s="23">
        <v>0.61</v>
      </c>
      <c r="R80" s="2">
        <v>7130</v>
      </c>
      <c r="S80" s="2">
        <v>7.649</v>
      </c>
      <c r="T80" s="2" t="s">
        <v>33</v>
      </c>
      <c r="U80" s="2" t="s">
        <v>739</v>
      </c>
      <c r="V80" s="2" t="s">
        <v>740</v>
      </c>
      <c r="W80" s="2" t="s">
        <v>741</v>
      </c>
      <c r="X80" s="2" t="s">
        <v>511</v>
      </c>
    </row>
    <row r="81" s="2" customFormat="1" spans="1:24">
      <c r="A81" s="2" t="s">
        <v>742</v>
      </c>
      <c r="B81" s="8" t="s">
        <v>743</v>
      </c>
      <c r="C81" s="2">
        <f>79/14131</f>
        <v>0.00559054560894487</v>
      </c>
      <c r="D81" s="31" t="s">
        <v>148</v>
      </c>
      <c r="E81" s="2">
        <f>74/2597</f>
        <v>0.0284944166345784</v>
      </c>
      <c r="F81" s="31" t="s">
        <v>535</v>
      </c>
      <c r="G81" s="2">
        <f>1/369</f>
        <v>0.002710027100271</v>
      </c>
      <c r="H81" s="2" t="s">
        <v>52</v>
      </c>
      <c r="I81" s="2" t="s">
        <v>53</v>
      </c>
      <c r="J81" s="2" t="s">
        <v>744</v>
      </c>
      <c r="K81" s="15" t="s">
        <v>55</v>
      </c>
      <c r="L81" s="15">
        <v>0.08</v>
      </c>
      <c r="M81" s="16">
        <v>138417</v>
      </c>
      <c r="N81" s="2" t="s">
        <v>539</v>
      </c>
      <c r="O81" s="2">
        <v>0</v>
      </c>
      <c r="P81" s="2">
        <v>0</v>
      </c>
      <c r="Q81" s="23">
        <v>0.66</v>
      </c>
      <c r="R81" s="2">
        <v>44000</v>
      </c>
      <c r="S81" s="2">
        <v>12881</v>
      </c>
      <c r="T81" s="2" t="s">
        <v>33</v>
      </c>
      <c r="U81" s="2" t="s">
        <v>540</v>
      </c>
      <c r="V81" s="2" t="s">
        <v>745</v>
      </c>
      <c r="W81" s="2" t="s">
        <v>734</v>
      </c>
      <c r="X81" s="2" t="s">
        <v>511</v>
      </c>
    </row>
    <row r="82" s="2" customFormat="1" spans="1:24">
      <c r="A82" s="2" t="s">
        <v>746</v>
      </c>
      <c r="B82" s="8" t="s">
        <v>747</v>
      </c>
      <c r="C82" s="8">
        <v>0.005661312</v>
      </c>
      <c r="D82" s="9" t="s">
        <v>748</v>
      </c>
      <c r="E82" s="9" t="s">
        <v>749</v>
      </c>
      <c r="F82" s="9" t="s">
        <v>750</v>
      </c>
      <c r="G82" s="9" t="s">
        <v>751</v>
      </c>
      <c r="H82" s="2" t="s">
        <v>752</v>
      </c>
      <c r="I82" s="2" t="s">
        <v>29</v>
      </c>
      <c r="J82" s="2" t="s">
        <v>581</v>
      </c>
      <c r="K82" s="14" t="s">
        <v>55</v>
      </c>
      <c r="L82" s="2">
        <v>0.4</v>
      </c>
      <c r="M82" s="2">
        <v>81584</v>
      </c>
      <c r="N82" s="2" t="s">
        <v>32</v>
      </c>
      <c r="O82" s="2">
        <v>1360</v>
      </c>
      <c r="P82" s="2">
        <v>31</v>
      </c>
      <c r="Q82" s="23">
        <v>0.94</v>
      </c>
      <c r="R82" s="2">
        <v>30.166</v>
      </c>
      <c r="S82" s="2">
        <v>9.952</v>
      </c>
      <c r="T82" s="2" t="s">
        <v>33</v>
      </c>
      <c r="U82" s="2" t="s">
        <v>753</v>
      </c>
      <c r="V82" s="2" t="s">
        <v>754</v>
      </c>
      <c r="W82" s="2" t="s">
        <v>755</v>
      </c>
      <c r="X82" s="2" t="s">
        <v>511</v>
      </c>
    </row>
    <row r="83" s="2" customFormat="1" spans="1:24">
      <c r="A83" s="2" t="s">
        <v>756</v>
      </c>
      <c r="B83" s="8" t="s">
        <v>757</v>
      </c>
      <c r="C83" s="8">
        <v>0.005732078</v>
      </c>
      <c r="D83" s="9" t="s">
        <v>758</v>
      </c>
      <c r="E83" s="9" t="s">
        <v>759</v>
      </c>
      <c r="F83" s="9" t="s">
        <v>760</v>
      </c>
      <c r="G83" s="9" t="s">
        <v>761</v>
      </c>
      <c r="H83" s="2" t="s">
        <v>52</v>
      </c>
      <c r="I83" s="2" t="s">
        <v>564</v>
      </c>
      <c r="J83" s="2" t="s">
        <v>565</v>
      </c>
      <c r="K83" s="14" t="s">
        <v>55</v>
      </c>
      <c r="L83" s="2">
        <v>0.19</v>
      </c>
      <c r="M83" s="2">
        <v>110940</v>
      </c>
      <c r="N83" s="2" t="s">
        <v>539</v>
      </c>
      <c r="O83" s="2">
        <v>0</v>
      </c>
      <c r="P83" s="2">
        <v>0</v>
      </c>
      <c r="Q83" s="23">
        <v>0.98</v>
      </c>
      <c r="R83" s="2">
        <v>25.732</v>
      </c>
      <c r="S83" s="2">
        <v>12451</v>
      </c>
      <c r="T83" s="2" t="s">
        <v>33</v>
      </c>
      <c r="U83" s="2" t="s">
        <v>762</v>
      </c>
      <c r="V83" s="2" t="s">
        <v>763</v>
      </c>
      <c r="W83" s="2" t="s">
        <v>764</v>
      </c>
      <c r="X83" s="2" t="s">
        <v>511</v>
      </c>
    </row>
    <row r="84" s="2" customFormat="1" spans="1:24">
      <c r="A84" s="2" t="s">
        <v>765</v>
      </c>
      <c r="B84" s="8" t="s">
        <v>766</v>
      </c>
      <c r="C84" s="2">
        <f>81/14131</f>
        <v>0.00573207840917133</v>
      </c>
      <c r="D84" s="31" t="s">
        <v>767</v>
      </c>
      <c r="E84" s="2">
        <f>68/2597</f>
        <v>0.026184058529072</v>
      </c>
      <c r="F84" s="31" t="s">
        <v>768</v>
      </c>
      <c r="G84" s="2">
        <f>5/39</f>
        <v>0.128205128205128</v>
      </c>
      <c r="H84" s="2" t="s">
        <v>28</v>
      </c>
      <c r="I84" s="2" t="s">
        <v>29</v>
      </c>
      <c r="J84" s="2" t="s">
        <v>666</v>
      </c>
      <c r="K84" s="15" t="s">
        <v>55</v>
      </c>
      <c r="L84" s="15">
        <v>0.91</v>
      </c>
      <c r="M84" s="16">
        <v>148205</v>
      </c>
      <c r="N84" s="2" t="s">
        <v>32</v>
      </c>
      <c r="O84" s="2">
        <v>1207</v>
      </c>
      <c r="P84" s="2">
        <v>25</v>
      </c>
      <c r="Q84" s="23">
        <v>0.93</v>
      </c>
      <c r="R84" s="2">
        <v>25.808</v>
      </c>
      <c r="S84" s="2">
        <v>4900</v>
      </c>
      <c r="T84" s="2" t="s">
        <v>33</v>
      </c>
      <c r="U84" s="2" t="s">
        <v>769</v>
      </c>
      <c r="V84" s="2" t="s">
        <v>770</v>
      </c>
      <c r="W84" s="2" t="s">
        <v>771</v>
      </c>
      <c r="X84" s="2" t="s">
        <v>511</v>
      </c>
    </row>
    <row r="85" s="2" customFormat="1" ht="28.8" spans="1:24">
      <c r="A85" s="2" t="s">
        <v>772</v>
      </c>
      <c r="B85" s="8" t="s">
        <v>773</v>
      </c>
      <c r="C85" s="2">
        <f>83/14131</f>
        <v>0.00587361120939778</v>
      </c>
      <c r="D85" s="31" t="s">
        <v>774</v>
      </c>
      <c r="E85" s="2">
        <f>25/2597</f>
        <v>0.00962649210627647</v>
      </c>
      <c r="F85" s="31" t="s">
        <v>775</v>
      </c>
      <c r="G85" s="2">
        <f>23/2496</f>
        <v>0.00921474358974359</v>
      </c>
      <c r="H85" s="2" t="s">
        <v>28</v>
      </c>
      <c r="I85" s="2" t="s">
        <v>29</v>
      </c>
      <c r="J85" s="2" t="s">
        <v>776</v>
      </c>
      <c r="K85" s="14" t="s">
        <v>92</v>
      </c>
      <c r="L85" s="15">
        <v>0.06</v>
      </c>
      <c r="M85" s="16">
        <v>92246</v>
      </c>
      <c r="N85" s="2" t="s">
        <v>32</v>
      </c>
      <c r="O85" s="2">
        <v>1515</v>
      </c>
      <c r="P85" s="2">
        <v>34</v>
      </c>
      <c r="Q85" s="23">
        <v>0.55</v>
      </c>
      <c r="R85" s="2">
        <v>7.349</v>
      </c>
      <c r="S85" s="2">
        <v>3.347</v>
      </c>
      <c r="T85" s="2" t="s">
        <v>33</v>
      </c>
      <c r="U85" s="2" t="s">
        <v>777</v>
      </c>
      <c r="V85" s="2" t="s">
        <v>778</v>
      </c>
      <c r="W85" s="2" t="s">
        <v>779</v>
      </c>
      <c r="X85" s="2" t="s">
        <v>511</v>
      </c>
    </row>
    <row r="86" s="2" customFormat="1" spans="1:24">
      <c r="A86" s="2" t="s">
        <v>780</v>
      </c>
      <c r="B86" s="8" t="s">
        <v>622</v>
      </c>
      <c r="C86" s="8">
        <v>0.005944378</v>
      </c>
      <c r="D86" s="9" t="s">
        <v>781</v>
      </c>
      <c r="E86" s="9" t="s">
        <v>782</v>
      </c>
      <c r="F86" s="9" t="s">
        <v>625</v>
      </c>
      <c r="G86" s="9" t="s">
        <v>783</v>
      </c>
      <c r="H86" s="2" t="s">
        <v>28</v>
      </c>
      <c r="I86" s="2" t="s">
        <v>29</v>
      </c>
      <c r="J86" s="2" t="s">
        <v>65</v>
      </c>
      <c r="K86" s="2" t="s">
        <v>55</v>
      </c>
      <c r="L86" s="2">
        <v>0.85</v>
      </c>
      <c r="M86" s="2">
        <v>72006</v>
      </c>
      <c r="N86" s="2" t="s">
        <v>32</v>
      </c>
      <c r="O86" s="2">
        <v>1480</v>
      </c>
      <c r="P86" s="2">
        <v>29</v>
      </c>
      <c r="Q86" s="23">
        <v>0.58</v>
      </c>
      <c r="R86" s="2">
        <v>23.091</v>
      </c>
      <c r="S86" s="2">
        <v>3.033</v>
      </c>
      <c r="T86" s="2" t="s">
        <v>33</v>
      </c>
      <c r="U86" s="2" t="s">
        <v>784</v>
      </c>
      <c r="V86" s="2" t="s">
        <v>785</v>
      </c>
      <c r="W86" s="2" t="s">
        <v>786</v>
      </c>
      <c r="X86" s="2" t="s">
        <v>511</v>
      </c>
    </row>
    <row r="87" s="2" customFormat="1" spans="1:24">
      <c r="A87" s="2" t="s">
        <v>787</v>
      </c>
      <c r="B87" s="8" t="s">
        <v>788</v>
      </c>
      <c r="C87" s="2">
        <f>86/14131</f>
        <v>0.00608591040973746</v>
      </c>
      <c r="D87" s="31" t="s">
        <v>789</v>
      </c>
      <c r="E87" s="2">
        <f>13/1756</f>
        <v>0.00740318906605923</v>
      </c>
      <c r="F87" s="31" t="s">
        <v>790</v>
      </c>
      <c r="G87" s="2">
        <f>12/2496</f>
        <v>0.00480769230769231</v>
      </c>
      <c r="H87" s="2" t="s">
        <v>113</v>
      </c>
      <c r="I87" s="2" t="s">
        <v>193</v>
      </c>
      <c r="J87" s="2" t="s">
        <v>791</v>
      </c>
      <c r="K87" s="2" t="s">
        <v>55</v>
      </c>
      <c r="L87" s="15">
        <v>0.41</v>
      </c>
      <c r="M87" s="16">
        <v>205870</v>
      </c>
      <c r="N87" s="2" t="s">
        <v>792</v>
      </c>
      <c r="O87" s="2">
        <v>0</v>
      </c>
      <c r="P87" s="2">
        <v>0</v>
      </c>
      <c r="Q87" s="23">
        <v>0.61</v>
      </c>
      <c r="R87" s="2">
        <v>23.044</v>
      </c>
      <c r="S87" s="2">
        <v>5.988</v>
      </c>
      <c r="T87" s="2" t="s">
        <v>442</v>
      </c>
      <c r="U87" s="2" t="s">
        <v>793</v>
      </c>
      <c r="V87" s="2" t="s">
        <v>794</v>
      </c>
      <c r="W87" s="2" t="s">
        <v>795</v>
      </c>
      <c r="X87" s="2" t="s">
        <v>511</v>
      </c>
    </row>
    <row r="88" s="2" customFormat="1" spans="1:24">
      <c r="A88" s="2" t="s">
        <v>796</v>
      </c>
      <c r="B88" s="8" t="s">
        <v>797</v>
      </c>
      <c r="C88" s="2">
        <f>87/14131</f>
        <v>0.00615667680985068</v>
      </c>
      <c r="D88" s="31" t="s">
        <v>798</v>
      </c>
      <c r="E88" s="2">
        <f>46/2597</f>
        <v>0.0177127454755487</v>
      </c>
      <c r="F88" s="31" t="s">
        <v>799</v>
      </c>
      <c r="G88" s="2">
        <f>2/27</f>
        <v>0.0740740740740741</v>
      </c>
      <c r="H88" s="2" t="s">
        <v>505</v>
      </c>
      <c r="I88" s="2" t="s">
        <v>506</v>
      </c>
      <c r="J88" s="2" t="s">
        <v>800</v>
      </c>
      <c r="K88" s="2" t="s">
        <v>55</v>
      </c>
      <c r="L88" s="15">
        <v>0.35</v>
      </c>
      <c r="M88" s="16">
        <v>118991</v>
      </c>
      <c r="N88" s="2" t="s">
        <v>32</v>
      </c>
      <c r="O88" s="2">
        <v>1250</v>
      </c>
      <c r="P88" s="2">
        <v>25</v>
      </c>
      <c r="Q88" s="23">
        <v>0.72</v>
      </c>
      <c r="R88" s="2">
        <v>36010</v>
      </c>
      <c r="S88" s="2">
        <v>9020</v>
      </c>
      <c r="T88" s="2" t="s">
        <v>33</v>
      </c>
      <c r="U88" s="2" t="s">
        <v>801</v>
      </c>
      <c r="V88" s="2" t="s">
        <v>802</v>
      </c>
      <c r="W88" s="2" t="s">
        <v>803</v>
      </c>
      <c r="X88" s="2" t="s">
        <v>511</v>
      </c>
    </row>
    <row r="89" s="2" customFormat="1" spans="1:24">
      <c r="A89" s="2" t="s">
        <v>804</v>
      </c>
      <c r="B89" s="8" t="s">
        <v>805</v>
      </c>
      <c r="C89" s="8">
        <v>0.006156677</v>
      </c>
      <c r="D89" s="9" t="s">
        <v>806</v>
      </c>
      <c r="E89" s="9" t="s">
        <v>807</v>
      </c>
      <c r="F89" s="9" t="s">
        <v>808</v>
      </c>
      <c r="G89" s="9" t="s">
        <v>809</v>
      </c>
      <c r="H89" s="2" t="s">
        <v>52</v>
      </c>
      <c r="I89" s="2" t="s">
        <v>810</v>
      </c>
      <c r="J89" s="2" t="s">
        <v>811</v>
      </c>
      <c r="K89" s="2" t="s">
        <v>55</v>
      </c>
      <c r="L89" s="2">
        <v>0.17</v>
      </c>
      <c r="M89" s="2">
        <v>100167</v>
      </c>
      <c r="N89" s="2" t="s">
        <v>812</v>
      </c>
      <c r="O89" s="2">
        <v>0</v>
      </c>
      <c r="P89" s="2">
        <v>0</v>
      </c>
      <c r="Q89" s="23">
        <v>0.84</v>
      </c>
      <c r="R89" s="2">
        <v>31.312</v>
      </c>
      <c r="S89" s="2">
        <v>4.638</v>
      </c>
      <c r="T89" s="2" t="s">
        <v>33</v>
      </c>
      <c r="U89" s="2" t="s">
        <v>813</v>
      </c>
      <c r="V89" s="2" t="s">
        <v>814</v>
      </c>
      <c r="W89" s="2" t="s">
        <v>815</v>
      </c>
      <c r="X89" s="2" t="s">
        <v>511</v>
      </c>
    </row>
    <row r="90" s="2" customFormat="1" spans="1:24">
      <c r="A90" s="2" t="s">
        <v>816</v>
      </c>
      <c r="B90" s="8" t="s">
        <v>817</v>
      </c>
      <c r="C90" s="2">
        <f>89/14131</f>
        <v>0.00629820961007714</v>
      </c>
      <c r="D90" s="31" t="s">
        <v>818</v>
      </c>
      <c r="E90" s="2">
        <f>30/2597</f>
        <v>0.0115517905275318</v>
      </c>
      <c r="F90" s="31" t="s">
        <v>819</v>
      </c>
      <c r="G90" s="2">
        <f>3/39</f>
        <v>0.0769230769230769</v>
      </c>
      <c r="H90" s="2" t="s">
        <v>171</v>
      </c>
      <c r="I90" s="2" t="s">
        <v>820</v>
      </c>
      <c r="J90" s="2" t="s">
        <v>821</v>
      </c>
      <c r="K90" s="2" t="s">
        <v>55</v>
      </c>
      <c r="L90" s="15">
        <v>0.39</v>
      </c>
      <c r="M90" s="16">
        <v>154684</v>
      </c>
      <c r="N90" s="2" t="s">
        <v>205</v>
      </c>
      <c r="O90" s="2">
        <v>0</v>
      </c>
      <c r="P90" s="2">
        <v>0</v>
      </c>
      <c r="Q90" s="23">
        <v>0.92</v>
      </c>
      <c r="R90" s="2">
        <v>36088</v>
      </c>
      <c r="S90" s="2">
        <v>15468</v>
      </c>
      <c r="T90" s="2" t="s">
        <v>33</v>
      </c>
      <c r="U90" s="2" t="s">
        <v>822</v>
      </c>
      <c r="V90" s="2" t="s">
        <v>823</v>
      </c>
      <c r="W90" s="2" t="s">
        <v>824</v>
      </c>
      <c r="X90" s="2" t="s">
        <v>511</v>
      </c>
    </row>
    <row r="91" s="2" customFormat="1" spans="1:24">
      <c r="A91" s="2" t="s">
        <v>825</v>
      </c>
      <c r="B91" s="8" t="s">
        <v>826</v>
      </c>
      <c r="C91" s="8">
        <v>0.006368976</v>
      </c>
      <c r="D91" s="9" t="s">
        <v>827</v>
      </c>
      <c r="E91" s="9" t="s">
        <v>828</v>
      </c>
      <c r="F91" s="9" t="s">
        <v>829</v>
      </c>
      <c r="G91" s="9" t="s">
        <v>830</v>
      </c>
      <c r="H91" s="2" t="s">
        <v>28</v>
      </c>
      <c r="I91" s="2" t="s">
        <v>29</v>
      </c>
      <c r="J91" s="2" t="s">
        <v>30</v>
      </c>
      <c r="K91" s="2" t="s">
        <v>55</v>
      </c>
      <c r="L91" s="2">
        <v>0.66</v>
      </c>
      <c r="M91" s="2">
        <v>74126</v>
      </c>
      <c r="N91" s="2" t="s">
        <v>32</v>
      </c>
      <c r="O91" s="2">
        <v>1355</v>
      </c>
      <c r="P91" s="2">
        <v>31</v>
      </c>
      <c r="Q91" s="23">
        <v>0.88</v>
      </c>
      <c r="R91" s="2">
        <v>24.231</v>
      </c>
      <c r="S91" s="2">
        <v>7.814</v>
      </c>
      <c r="T91" s="2" t="s">
        <v>33</v>
      </c>
      <c r="U91" s="2" t="s">
        <v>831</v>
      </c>
      <c r="V91" s="2" t="s">
        <v>832</v>
      </c>
      <c r="W91" s="2" t="s">
        <v>833</v>
      </c>
      <c r="X91" s="2" t="s">
        <v>511</v>
      </c>
    </row>
    <row r="92" s="2" customFormat="1" spans="1:24">
      <c r="A92" s="2" t="s">
        <v>834</v>
      </c>
      <c r="B92" s="8" t="s">
        <v>835</v>
      </c>
      <c r="C92" s="8">
        <v>0.006439742</v>
      </c>
      <c r="D92" s="9" t="s">
        <v>836</v>
      </c>
      <c r="E92" s="9" t="s">
        <v>837</v>
      </c>
      <c r="F92" s="9" t="s">
        <v>838</v>
      </c>
      <c r="G92" s="9" t="s">
        <v>839</v>
      </c>
      <c r="H92" s="2" t="s">
        <v>52</v>
      </c>
      <c r="I92" s="2" t="s">
        <v>152</v>
      </c>
      <c r="J92" s="2" t="s">
        <v>476</v>
      </c>
      <c r="K92" s="2" t="s">
        <v>55</v>
      </c>
      <c r="L92" s="2">
        <v>0.74</v>
      </c>
      <c r="M92" s="2">
        <v>90413</v>
      </c>
      <c r="N92" s="2" t="s">
        <v>32</v>
      </c>
      <c r="O92" s="2">
        <v>1280</v>
      </c>
      <c r="P92" s="2">
        <v>27</v>
      </c>
      <c r="Q92" s="23">
        <v>0.7</v>
      </c>
      <c r="R92" s="2"/>
      <c r="S92" s="2"/>
      <c r="T92" s="2" t="s">
        <v>33</v>
      </c>
      <c r="U92" s="2" t="s">
        <v>840</v>
      </c>
      <c r="V92" s="2" t="s">
        <v>678</v>
      </c>
      <c r="W92" s="2" t="s">
        <v>841</v>
      </c>
      <c r="X92" s="2" t="s">
        <v>511</v>
      </c>
    </row>
    <row r="93" s="2" customFormat="1" spans="1:24">
      <c r="A93" s="2" t="s">
        <v>842</v>
      </c>
      <c r="B93" s="8" t="s">
        <v>843</v>
      </c>
      <c r="C93" s="2">
        <f>91/14131</f>
        <v>0.00643974241030359</v>
      </c>
      <c r="D93" s="9" t="s">
        <v>844</v>
      </c>
      <c r="E93" s="2">
        <f>5/59</f>
        <v>0.0847457627118644</v>
      </c>
      <c r="F93" s="31" t="s">
        <v>845</v>
      </c>
      <c r="G93" s="2">
        <f>5/40</f>
        <v>0.125</v>
      </c>
      <c r="H93" s="2" t="s">
        <v>52</v>
      </c>
      <c r="I93" s="2" t="s">
        <v>846</v>
      </c>
      <c r="J93" s="2" t="s">
        <v>847</v>
      </c>
      <c r="K93" s="2" t="s">
        <v>55</v>
      </c>
      <c r="L93" s="15">
        <v>0.34</v>
      </c>
      <c r="M93" s="16">
        <v>147290</v>
      </c>
      <c r="N93" s="2" t="s">
        <v>848</v>
      </c>
      <c r="O93" s="2">
        <v>0</v>
      </c>
      <c r="P93" s="2">
        <v>0</v>
      </c>
      <c r="Q93" s="23">
        <v>0.76</v>
      </c>
      <c r="R93" s="2">
        <v>40000</v>
      </c>
      <c r="S93" s="2">
        <v>4.56</v>
      </c>
      <c r="T93" s="2" t="s">
        <v>33</v>
      </c>
      <c r="U93" s="2" t="s">
        <v>849</v>
      </c>
      <c r="V93" s="2" t="s">
        <v>850</v>
      </c>
      <c r="W93" s="2" t="s">
        <v>851</v>
      </c>
      <c r="X93" s="2" t="s">
        <v>511</v>
      </c>
    </row>
    <row r="94" s="2" customFormat="1" spans="1:24">
      <c r="A94" s="2" t="s">
        <v>852</v>
      </c>
      <c r="B94" s="8" t="s">
        <v>853</v>
      </c>
      <c r="C94" s="8">
        <v>0.006510509</v>
      </c>
      <c r="D94" s="9" t="s">
        <v>854</v>
      </c>
      <c r="E94" s="9" t="s">
        <v>855</v>
      </c>
      <c r="F94" s="9" t="s">
        <v>856</v>
      </c>
      <c r="G94" s="9" t="s">
        <v>857</v>
      </c>
      <c r="H94" s="2" t="s">
        <v>52</v>
      </c>
      <c r="I94" s="2" t="s">
        <v>858</v>
      </c>
      <c r="J94" s="2" t="s">
        <v>859</v>
      </c>
      <c r="K94" s="2" t="s">
        <v>55</v>
      </c>
      <c r="L94" s="2">
        <v>0.21</v>
      </c>
      <c r="M94" s="2">
        <v>87773</v>
      </c>
      <c r="N94" s="2" t="s">
        <v>860</v>
      </c>
      <c r="O94" s="2">
        <v>0</v>
      </c>
      <c r="P94" s="2">
        <v>0</v>
      </c>
      <c r="Q94" s="23">
        <v>0.46</v>
      </c>
      <c r="R94" s="2">
        <v>93.628</v>
      </c>
      <c r="S94" s="2">
        <v>20.125</v>
      </c>
      <c r="T94" s="2" t="s">
        <v>33</v>
      </c>
      <c r="U94" s="2" t="s">
        <v>861</v>
      </c>
      <c r="V94" s="2" t="s">
        <v>862</v>
      </c>
      <c r="W94" s="2" t="s">
        <v>863</v>
      </c>
      <c r="X94" s="2" t="s">
        <v>511</v>
      </c>
    </row>
    <row r="95" s="2" customFormat="1" ht="28.8" spans="1:24">
      <c r="A95" s="2" t="s">
        <v>864</v>
      </c>
      <c r="B95" s="8" t="s">
        <v>865</v>
      </c>
      <c r="C95" s="2">
        <f>93/14131</f>
        <v>0.00658127521053004</v>
      </c>
      <c r="D95" s="9" t="s">
        <v>844</v>
      </c>
      <c r="E95" s="2">
        <f>82/2597</f>
        <v>0.0315748941085868</v>
      </c>
      <c r="F95" s="31" t="s">
        <v>866</v>
      </c>
      <c r="G95" s="2">
        <f>72/2496</f>
        <v>0.0288461538461538</v>
      </c>
      <c r="H95" s="2" t="s">
        <v>52</v>
      </c>
      <c r="I95" s="2" t="s">
        <v>53</v>
      </c>
      <c r="J95" s="2" t="s">
        <v>260</v>
      </c>
      <c r="K95" s="14" t="s">
        <v>92</v>
      </c>
      <c r="L95" s="15">
        <v>0.17</v>
      </c>
      <c r="M95" s="16">
        <v>107408</v>
      </c>
      <c r="N95" s="2" t="s">
        <v>539</v>
      </c>
      <c r="O95" s="2">
        <v>1110</v>
      </c>
      <c r="P95" s="2">
        <v>22</v>
      </c>
      <c r="Q95" s="23">
        <v>1</v>
      </c>
      <c r="R95" s="2">
        <v>28.413</v>
      </c>
      <c r="S95" s="2">
        <v>6.485</v>
      </c>
      <c r="T95" s="2" t="s">
        <v>33</v>
      </c>
      <c r="U95" s="2" t="s">
        <v>867</v>
      </c>
      <c r="V95" s="2" t="s">
        <v>868</v>
      </c>
      <c r="W95" s="2" t="s">
        <v>869</v>
      </c>
      <c r="X95" s="2" t="s">
        <v>511</v>
      </c>
    </row>
    <row r="96" s="2" customFormat="1" spans="1:24">
      <c r="A96" s="2" t="s">
        <v>870</v>
      </c>
      <c r="B96" s="8" t="s">
        <v>871</v>
      </c>
      <c r="C96" s="8">
        <v>0.006722808</v>
      </c>
      <c r="D96" s="9" t="s">
        <v>872</v>
      </c>
      <c r="E96" s="9" t="s">
        <v>873</v>
      </c>
      <c r="F96" s="9" t="s">
        <v>874</v>
      </c>
      <c r="G96" s="9" t="s">
        <v>875</v>
      </c>
      <c r="H96" s="2" t="s">
        <v>28</v>
      </c>
      <c r="I96" s="2" t="s">
        <v>29</v>
      </c>
      <c r="J96" s="2" t="s">
        <v>487</v>
      </c>
      <c r="K96" s="2" t="s">
        <v>55</v>
      </c>
      <c r="L96" s="2">
        <v>0.56</v>
      </c>
      <c r="M96" s="2">
        <v>82976</v>
      </c>
      <c r="N96" s="2" t="s">
        <v>32</v>
      </c>
      <c r="O96" s="2">
        <v>1310</v>
      </c>
      <c r="P96" s="2">
        <v>29</v>
      </c>
      <c r="Q96" s="23">
        <v>0.72</v>
      </c>
      <c r="R96" s="2">
        <v>29.76</v>
      </c>
      <c r="S96" s="2">
        <v>7.519</v>
      </c>
      <c r="T96" s="2" t="s">
        <v>33</v>
      </c>
      <c r="U96" s="2" t="s">
        <v>876</v>
      </c>
      <c r="V96" s="2" t="s">
        <v>877</v>
      </c>
      <c r="W96" s="2" t="s">
        <v>878</v>
      </c>
      <c r="X96" s="2" t="s">
        <v>511</v>
      </c>
    </row>
    <row r="97" s="2" customFormat="1" ht="28.8" spans="1:24">
      <c r="A97" s="2" t="s">
        <v>879</v>
      </c>
      <c r="B97" s="8" t="s">
        <v>880</v>
      </c>
      <c r="C97" s="2">
        <f>96/14131</f>
        <v>0.00679357441086972</v>
      </c>
      <c r="D97" s="31" t="s">
        <v>881</v>
      </c>
      <c r="E97" s="2">
        <f>8/59</f>
        <v>0.135593220338983</v>
      </c>
      <c r="F97" s="31" t="s">
        <v>882</v>
      </c>
      <c r="G97" s="2">
        <f>7/40</f>
        <v>0.175</v>
      </c>
      <c r="H97" s="2" t="s">
        <v>28</v>
      </c>
      <c r="I97" s="2" t="s">
        <v>29</v>
      </c>
      <c r="J97" s="2" t="s">
        <v>30</v>
      </c>
      <c r="K97" s="14" t="s">
        <v>92</v>
      </c>
      <c r="L97" s="15">
        <v>0.11</v>
      </c>
      <c r="M97" s="16">
        <v>77427</v>
      </c>
      <c r="N97" s="2" t="s">
        <v>32</v>
      </c>
      <c r="O97" s="2">
        <v>1495</v>
      </c>
      <c r="P97" s="2">
        <v>34</v>
      </c>
      <c r="Q97" s="23">
        <v>0.46</v>
      </c>
      <c r="R97" s="2">
        <v>6.676</v>
      </c>
      <c r="S97" s="2">
        <v>6.617</v>
      </c>
      <c r="T97" s="2" t="s">
        <v>33</v>
      </c>
      <c r="U97" s="2" t="s">
        <v>883</v>
      </c>
      <c r="V97" s="2" t="s">
        <v>884</v>
      </c>
      <c r="W97" s="2" t="s">
        <v>885</v>
      </c>
      <c r="X97" s="2" t="s">
        <v>511</v>
      </c>
    </row>
    <row r="98" s="2" customFormat="1" ht="28.8" spans="1:24">
      <c r="A98" s="2" t="s">
        <v>886</v>
      </c>
      <c r="B98" s="8" t="s">
        <v>887</v>
      </c>
      <c r="C98" s="8">
        <v>0.006864341</v>
      </c>
      <c r="D98" s="9" t="s">
        <v>888</v>
      </c>
      <c r="E98" s="9" t="s">
        <v>889</v>
      </c>
      <c r="F98" s="9" t="s">
        <v>890</v>
      </c>
      <c r="G98" s="9" t="s">
        <v>684</v>
      </c>
      <c r="H98" s="2" t="s">
        <v>52</v>
      </c>
      <c r="I98" s="2" t="s">
        <v>891</v>
      </c>
      <c r="J98" s="2" t="s">
        <v>892</v>
      </c>
      <c r="K98" s="14" t="s">
        <v>92</v>
      </c>
      <c r="L98" s="2">
        <v>0.39</v>
      </c>
      <c r="M98" s="2">
        <v>85049</v>
      </c>
      <c r="N98" s="2" t="s">
        <v>893</v>
      </c>
      <c r="O98" s="2">
        <v>0</v>
      </c>
      <c r="P98" s="2">
        <v>0</v>
      </c>
      <c r="Q98" s="23">
        <v>0.79</v>
      </c>
      <c r="R98" s="16">
        <v>27000</v>
      </c>
      <c r="S98" s="16">
        <v>6000</v>
      </c>
      <c r="T98" s="2" t="s">
        <v>33</v>
      </c>
      <c r="U98" s="2" t="s">
        <v>894</v>
      </c>
      <c r="V98" s="2" t="s">
        <v>895</v>
      </c>
      <c r="W98" s="2" t="s">
        <v>896</v>
      </c>
      <c r="X98" s="2" t="s">
        <v>511</v>
      </c>
    </row>
    <row r="99" s="2" customFormat="1" ht="28.8" spans="1:24">
      <c r="A99" s="2" t="s">
        <v>897</v>
      </c>
      <c r="B99" s="8" t="s">
        <v>898</v>
      </c>
      <c r="C99" s="8">
        <v>0.006935107</v>
      </c>
      <c r="D99" s="9" t="s">
        <v>854</v>
      </c>
      <c r="E99" s="9" t="s">
        <v>899</v>
      </c>
      <c r="F99" s="9" t="s">
        <v>900</v>
      </c>
      <c r="G99" s="9" t="s">
        <v>901</v>
      </c>
      <c r="H99" s="2" t="s">
        <v>52</v>
      </c>
      <c r="I99" s="2" t="s">
        <v>902</v>
      </c>
      <c r="J99" s="2" t="s">
        <v>903</v>
      </c>
      <c r="K99" s="14" t="s">
        <v>92</v>
      </c>
      <c r="L99" s="2">
        <v>0.25</v>
      </c>
      <c r="M99" s="2">
        <v>102678</v>
      </c>
      <c r="N99" s="2" t="s">
        <v>32</v>
      </c>
      <c r="O99" s="2">
        <v>0</v>
      </c>
      <c r="P99" s="2">
        <v>0</v>
      </c>
      <c r="Q99" s="23">
        <v>0.52</v>
      </c>
      <c r="R99" s="16">
        <v>40000</v>
      </c>
      <c r="S99" s="2">
        <v>18021</v>
      </c>
      <c r="T99" s="2" t="s">
        <v>442</v>
      </c>
      <c r="U99" s="2" t="s">
        <v>714</v>
      </c>
      <c r="V99" s="2" t="s">
        <v>904</v>
      </c>
      <c r="W99" s="2" t="s">
        <v>716</v>
      </c>
      <c r="X99" s="2" t="s">
        <v>511</v>
      </c>
    </row>
    <row r="100" s="2" customFormat="1" spans="1:24">
      <c r="A100" s="2" t="s">
        <v>905</v>
      </c>
      <c r="B100" s="8" t="s">
        <v>906</v>
      </c>
      <c r="C100" s="8">
        <v>0.007005874</v>
      </c>
      <c r="D100" s="9" t="s">
        <v>907</v>
      </c>
      <c r="E100" s="9" t="s">
        <v>908</v>
      </c>
      <c r="F100" s="9" t="s">
        <v>909</v>
      </c>
      <c r="G100" s="9" t="s">
        <v>910</v>
      </c>
      <c r="H100" s="2" t="s">
        <v>52</v>
      </c>
      <c r="I100" s="2" t="s">
        <v>911</v>
      </c>
      <c r="J100" s="2" t="s">
        <v>417</v>
      </c>
      <c r="K100" s="2" t="s">
        <v>55</v>
      </c>
      <c r="L100" s="2">
        <v>0.68</v>
      </c>
      <c r="M100" s="2">
        <v>104546</v>
      </c>
      <c r="N100" s="2" t="s">
        <v>32</v>
      </c>
      <c r="O100" s="2">
        <v>1300</v>
      </c>
      <c r="P100" s="2">
        <v>24</v>
      </c>
      <c r="Q100" s="23">
        <v>0.78</v>
      </c>
      <c r="R100" s="2">
        <v>27.513</v>
      </c>
      <c r="S100" s="2">
        <v>10.548</v>
      </c>
      <c r="T100" s="2" t="s">
        <v>33</v>
      </c>
      <c r="U100" s="2" t="s">
        <v>912</v>
      </c>
      <c r="V100" s="2" t="s">
        <v>802</v>
      </c>
      <c r="W100" s="2" t="s">
        <v>913</v>
      </c>
      <c r="X100" s="2" t="s">
        <v>511</v>
      </c>
    </row>
    <row r="101" spans="1:24">
      <c r="A101" t="s">
        <v>914</v>
      </c>
      <c r="B101" s="1" t="s">
        <v>915</v>
      </c>
      <c r="C101" s="1">
        <v>0.00707664</v>
      </c>
      <c r="D101" s="26" t="s">
        <v>916</v>
      </c>
      <c r="E101" s="26" t="s">
        <v>917</v>
      </c>
      <c r="F101" s="26" t="s">
        <v>750</v>
      </c>
      <c r="G101" s="26" t="s">
        <v>918</v>
      </c>
      <c r="H101" t="s">
        <v>113</v>
      </c>
      <c r="I101" t="s">
        <v>134</v>
      </c>
      <c r="J101" t="s">
        <v>919</v>
      </c>
      <c r="K101"/>
      <c r="L101">
        <v>0.26</v>
      </c>
      <c r="M101">
        <v>88306</v>
      </c>
      <c r="X101" t="s">
        <v>511</v>
      </c>
    </row>
    <row r="102" spans="1:24">
      <c r="A102" t="s">
        <v>920</v>
      </c>
      <c r="B102" s="1" t="s">
        <v>921</v>
      </c>
      <c r="C102" s="1">
        <v>0.007147406</v>
      </c>
      <c r="D102" s="26" t="s">
        <v>907</v>
      </c>
      <c r="E102" s="26" t="s">
        <v>922</v>
      </c>
      <c r="F102" s="26" t="s">
        <v>909</v>
      </c>
      <c r="G102" s="26" t="s">
        <v>923</v>
      </c>
      <c r="H102" t="s">
        <v>113</v>
      </c>
      <c r="I102" t="s">
        <v>655</v>
      </c>
      <c r="J102" t="s">
        <v>656</v>
      </c>
      <c r="K102"/>
      <c r="L102">
        <v>0.45</v>
      </c>
      <c r="M102">
        <v>104483</v>
      </c>
      <c r="X102" t="s">
        <v>924</v>
      </c>
    </row>
    <row r="103" spans="1:24">
      <c r="A103" t="s">
        <v>925</v>
      </c>
      <c r="B103" s="1" t="s">
        <v>926</v>
      </c>
      <c r="C103" s="1">
        <v>0.007218173</v>
      </c>
      <c r="D103" s="26" t="s">
        <v>927</v>
      </c>
      <c r="E103" s="26" t="s">
        <v>928</v>
      </c>
      <c r="F103" s="26" t="s">
        <v>829</v>
      </c>
      <c r="G103" s="26" t="s">
        <v>929</v>
      </c>
      <c r="H103" t="s">
        <v>52</v>
      </c>
      <c r="I103" t="s">
        <v>152</v>
      </c>
      <c r="J103" t="s">
        <v>153</v>
      </c>
      <c r="K103"/>
      <c r="L103">
        <v>0.05</v>
      </c>
      <c r="M103">
        <v>80936</v>
      </c>
      <c r="X103" t="s">
        <v>924</v>
      </c>
    </row>
    <row r="104" spans="1:24">
      <c r="A104" t="s">
        <v>930</v>
      </c>
      <c r="B104" s="1" t="s">
        <v>931</v>
      </c>
      <c r="C104" s="1">
        <v>0.007288939</v>
      </c>
      <c r="D104" s="26" t="s">
        <v>932</v>
      </c>
      <c r="E104" s="26" t="s">
        <v>933</v>
      </c>
      <c r="F104" s="26" t="s">
        <v>934</v>
      </c>
      <c r="G104" s="26" t="s">
        <v>935</v>
      </c>
      <c r="H104" t="s">
        <v>113</v>
      </c>
      <c r="I104" t="s">
        <v>193</v>
      </c>
      <c r="J104" t="s">
        <v>936</v>
      </c>
      <c r="K104"/>
      <c r="L104">
        <v>0.7</v>
      </c>
      <c r="M104">
        <v>96408</v>
      </c>
      <c r="X104" t="s">
        <v>924</v>
      </c>
    </row>
    <row r="105" spans="1:24">
      <c r="A105" t="s">
        <v>937</v>
      </c>
      <c r="B105" s="1" t="s">
        <v>931</v>
      </c>
      <c r="C105">
        <f>103/14131</f>
        <v>0.0072889392116623</v>
      </c>
      <c r="D105" s="34" t="s">
        <v>230</v>
      </c>
      <c r="E105">
        <f>19/2597</f>
        <v>0.00731613400077012</v>
      </c>
      <c r="F105" s="34" t="s">
        <v>866</v>
      </c>
      <c r="G105">
        <f>3/369</f>
        <v>0.00813008130081301</v>
      </c>
      <c r="H105" t="s">
        <v>113</v>
      </c>
      <c r="I105" t="s">
        <v>938</v>
      </c>
      <c r="J105" t="s">
        <v>939</v>
      </c>
      <c r="L105" s="4">
        <v>0.48</v>
      </c>
      <c r="M105" s="28">
        <v>145459</v>
      </c>
      <c r="X105" t="s">
        <v>924</v>
      </c>
    </row>
    <row r="106" spans="1:24">
      <c r="A106" t="s">
        <v>940</v>
      </c>
      <c r="B106" s="1" t="s">
        <v>941</v>
      </c>
      <c r="C106" s="1">
        <v>0.007430472</v>
      </c>
      <c r="D106" s="26" t="s">
        <v>942</v>
      </c>
      <c r="E106" s="26" t="s">
        <v>943</v>
      </c>
      <c r="F106" s="26" t="s">
        <v>944</v>
      </c>
      <c r="G106" s="26" t="s">
        <v>945</v>
      </c>
      <c r="H106" t="s">
        <v>113</v>
      </c>
      <c r="I106" t="s">
        <v>193</v>
      </c>
      <c r="J106" t="s">
        <v>946</v>
      </c>
      <c r="K106"/>
      <c r="L106">
        <v>0.11</v>
      </c>
      <c r="M106">
        <v>90860</v>
      </c>
      <c r="X106" t="s">
        <v>924</v>
      </c>
    </row>
    <row r="107" spans="1:24">
      <c r="A107" t="s">
        <v>947</v>
      </c>
      <c r="B107" s="1" t="s">
        <v>747</v>
      </c>
      <c r="C107" s="1">
        <v>0.007501238</v>
      </c>
      <c r="D107" s="26" t="s">
        <v>948</v>
      </c>
      <c r="E107" s="26" t="s">
        <v>949</v>
      </c>
      <c r="F107" s="26" t="s">
        <v>950</v>
      </c>
      <c r="G107" s="26" t="s">
        <v>951</v>
      </c>
      <c r="H107" t="s">
        <v>52</v>
      </c>
      <c r="I107" t="s">
        <v>152</v>
      </c>
      <c r="J107" t="s">
        <v>952</v>
      </c>
      <c r="K107"/>
      <c r="L107">
        <v>0.05</v>
      </c>
      <c r="M107">
        <v>93456</v>
      </c>
      <c r="X107" t="s">
        <v>924</v>
      </c>
    </row>
    <row r="108" spans="1:24">
      <c r="A108" t="s">
        <v>953</v>
      </c>
      <c r="B108" s="1" t="s">
        <v>954</v>
      </c>
      <c r="C108">
        <f>107/14131</f>
        <v>0.00757200481211521</v>
      </c>
      <c r="D108" s="34" t="s">
        <v>955</v>
      </c>
      <c r="E108">
        <f>118/2597</f>
        <v>0.045437042741625</v>
      </c>
      <c r="F108" s="34" t="s">
        <v>956</v>
      </c>
      <c r="G108">
        <f>103/2496</f>
        <v>0.0412660256410256</v>
      </c>
      <c r="H108" t="s">
        <v>113</v>
      </c>
      <c r="I108" t="s">
        <v>134</v>
      </c>
      <c r="J108" t="s">
        <v>957</v>
      </c>
      <c r="L108" s="4">
        <v>0.26</v>
      </c>
      <c r="M108" s="28">
        <v>216599</v>
      </c>
      <c r="X108" t="s">
        <v>924</v>
      </c>
    </row>
    <row r="109" spans="1:24">
      <c r="A109" t="s">
        <v>958</v>
      </c>
      <c r="B109" s="1" t="s">
        <v>954</v>
      </c>
      <c r="C109" s="1">
        <v>0.007572005</v>
      </c>
      <c r="D109" s="26" t="s">
        <v>959</v>
      </c>
      <c r="E109" s="26" t="s">
        <v>960</v>
      </c>
      <c r="F109" s="26" t="s">
        <v>961</v>
      </c>
      <c r="G109" s="26" t="s">
        <v>962</v>
      </c>
      <c r="H109" t="s">
        <v>28</v>
      </c>
      <c r="I109" t="s">
        <v>29</v>
      </c>
      <c r="J109" t="s">
        <v>410</v>
      </c>
      <c r="K109"/>
      <c r="L109">
        <v>0.2</v>
      </c>
      <c r="M109">
        <v>99036</v>
      </c>
      <c r="X109" t="s">
        <v>924</v>
      </c>
    </row>
    <row r="110" spans="1:24">
      <c r="A110" t="s">
        <v>963</v>
      </c>
      <c r="B110" s="1" t="s">
        <v>964</v>
      </c>
      <c r="C110" s="1">
        <v>0.007642771</v>
      </c>
      <c r="D110" s="26" t="s">
        <v>965</v>
      </c>
      <c r="E110" s="26" t="s">
        <v>966</v>
      </c>
      <c r="F110" s="26" t="s">
        <v>967</v>
      </c>
      <c r="G110" s="26" t="s">
        <v>968</v>
      </c>
      <c r="H110" t="s">
        <v>28</v>
      </c>
      <c r="I110" t="s">
        <v>29</v>
      </c>
      <c r="J110" t="s">
        <v>969</v>
      </c>
      <c r="K110"/>
      <c r="L110">
        <v>0.03</v>
      </c>
      <c r="M110">
        <v>92009</v>
      </c>
      <c r="X110" t="s">
        <v>924</v>
      </c>
    </row>
    <row r="111" spans="1:24">
      <c r="A111" t="s">
        <v>970</v>
      </c>
      <c r="B111" s="1" t="s">
        <v>971</v>
      </c>
      <c r="C111" s="1">
        <v>0.007713538</v>
      </c>
      <c r="D111" s="26" t="s">
        <v>972</v>
      </c>
      <c r="E111" s="26" t="s">
        <v>973</v>
      </c>
      <c r="F111" s="26" t="s">
        <v>974</v>
      </c>
      <c r="G111" s="26" t="s">
        <v>975</v>
      </c>
      <c r="H111" t="s">
        <v>28</v>
      </c>
      <c r="I111" t="s">
        <v>29</v>
      </c>
      <c r="J111" t="s">
        <v>163</v>
      </c>
      <c r="K111"/>
      <c r="L111">
        <v>0.52</v>
      </c>
      <c r="M111">
        <v>176136</v>
      </c>
      <c r="X111" t="s">
        <v>924</v>
      </c>
    </row>
    <row r="112" spans="1:24">
      <c r="A112" t="s">
        <v>976</v>
      </c>
      <c r="B112" s="1" t="s">
        <v>977</v>
      </c>
      <c r="C112">
        <f>111/14131</f>
        <v>0.00785507041256811</v>
      </c>
      <c r="D112" s="34" t="s">
        <v>978</v>
      </c>
      <c r="E112">
        <f>126/2597</f>
        <v>0.0485175202156334</v>
      </c>
      <c r="F112" s="34" t="s">
        <v>979</v>
      </c>
      <c r="G112">
        <f>16/101</f>
        <v>0.158415841584158</v>
      </c>
      <c r="H112" t="s">
        <v>28</v>
      </c>
      <c r="I112" t="s">
        <v>29</v>
      </c>
      <c r="J112" t="s">
        <v>980</v>
      </c>
      <c r="L112" s="4">
        <v>0.3</v>
      </c>
      <c r="M112" s="28">
        <v>126167</v>
      </c>
      <c r="X112" t="s">
        <v>924</v>
      </c>
    </row>
    <row r="113" spans="1:24">
      <c r="A113" t="s">
        <v>981</v>
      </c>
      <c r="B113" s="1" t="s">
        <v>982</v>
      </c>
      <c r="C113">
        <f>112/14131</f>
        <v>0.00792583681268134</v>
      </c>
      <c r="D113" s="34" t="s">
        <v>983</v>
      </c>
      <c r="E113">
        <f>10/5830</f>
        <v>0.00171526586620926</v>
      </c>
      <c r="F113" s="34" t="s">
        <v>984</v>
      </c>
      <c r="G113">
        <f>4/719</f>
        <v>0.00556328233657858</v>
      </c>
      <c r="H113" t="s">
        <v>28</v>
      </c>
      <c r="I113" t="s">
        <v>29</v>
      </c>
      <c r="J113" t="s">
        <v>985</v>
      </c>
      <c r="L113" s="4">
        <v>0.89</v>
      </c>
      <c r="M113" s="28">
        <v>76094</v>
      </c>
      <c r="X113" t="s">
        <v>924</v>
      </c>
    </row>
    <row r="114" spans="1:24">
      <c r="A114" t="s">
        <v>986</v>
      </c>
      <c r="B114" s="1" t="s">
        <v>982</v>
      </c>
      <c r="C114" s="1">
        <v>0.007925837</v>
      </c>
      <c r="D114" s="26" t="s">
        <v>987</v>
      </c>
      <c r="E114" s="26" t="s">
        <v>988</v>
      </c>
      <c r="F114" s="26" t="s">
        <v>989</v>
      </c>
      <c r="G114" s="26" t="s">
        <v>990</v>
      </c>
      <c r="H114" t="s">
        <v>52</v>
      </c>
      <c r="I114" t="s">
        <v>991</v>
      </c>
      <c r="J114" t="s">
        <v>992</v>
      </c>
      <c r="K114"/>
      <c r="L114">
        <v>0.55</v>
      </c>
      <c r="M114">
        <v>73560</v>
      </c>
      <c r="X114" t="s">
        <v>924</v>
      </c>
    </row>
    <row r="115" spans="1:24">
      <c r="A115" t="s">
        <v>993</v>
      </c>
      <c r="B115" s="1" t="s">
        <v>994</v>
      </c>
      <c r="C115" s="1">
        <v>0.007996603</v>
      </c>
      <c r="D115" s="26" t="s">
        <v>995</v>
      </c>
      <c r="E115" s="26" t="s">
        <v>996</v>
      </c>
      <c r="F115" s="26" t="s">
        <v>997</v>
      </c>
      <c r="G115" s="26" t="s">
        <v>998</v>
      </c>
      <c r="H115" t="s">
        <v>28</v>
      </c>
      <c r="I115" t="s">
        <v>29</v>
      </c>
      <c r="J115" t="s">
        <v>980</v>
      </c>
      <c r="K115"/>
      <c r="L115">
        <v>0.25</v>
      </c>
      <c r="M115">
        <v>71719</v>
      </c>
      <c r="X115" t="s">
        <v>924</v>
      </c>
    </row>
    <row r="116" spans="1:24">
      <c r="A116" t="s">
        <v>999</v>
      </c>
      <c r="B116" s="1" t="s">
        <v>1000</v>
      </c>
      <c r="C116">
        <f>114/14131</f>
        <v>0.00806736961290779</v>
      </c>
      <c r="D116" s="34" t="s">
        <v>1001</v>
      </c>
      <c r="E116">
        <f>10/59</f>
        <v>0.169491525423729</v>
      </c>
      <c r="F116" s="34" t="s">
        <v>1002</v>
      </c>
      <c r="G116">
        <f>9/40</f>
        <v>0.225</v>
      </c>
      <c r="H116" t="s">
        <v>28</v>
      </c>
      <c r="I116" t="s">
        <v>29</v>
      </c>
      <c r="J116" t="s">
        <v>204</v>
      </c>
      <c r="L116" s="4">
        <v>0.9</v>
      </c>
      <c r="M116" s="28">
        <v>83433</v>
      </c>
      <c r="X116" t="s">
        <v>924</v>
      </c>
    </row>
    <row r="117" spans="1:24">
      <c r="A117" t="s">
        <v>1003</v>
      </c>
      <c r="B117" s="1" t="s">
        <v>1004</v>
      </c>
      <c r="C117" s="1">
        <v>0.008138136</v>
      </c>
      <c r="D117" s="26" t="s">
        <v>1005</v>
      </c>
      <c r="E117" s="26" t="s">
        <v>1006</v>
      </c>
      <c r="F117" s="26" t="s">
        <v>1007</v>
      </c>
      <c r="G117" s="26" t="s">
        <v>1008</v>
      </c>
      <c r="H117" t="s">
        <v>52</v>
      </c>
      <c r="I117" t="s">
        <v>53</v>
      </c>
      <c r="J117" t="s">
        <v>712</v>
      </c>
      <c r="K117"/>
      <c r="L117">
        <v>0.8</v>
      </c>
      <c r="M117">
        <v>107846</v>
      </c>
      <c r="X117" t="s">
        <v>924</v>
      </c>
    </row>
    <row r="118" spans="1:24">
      <c r="A118" t="s">
        <v>1009</v>
      </c>
      <c r="B118" s="1" t="s">
        <v>1010</v>
      </c>
      <c r="C118">
        <f>116/14131</f>
        <v>0.00820890241313424</v>
      </c>
      <c r="D118" s="34" t="s">
        <v>1011</v>
      </c>
      <c r="E118">
        <f>120/2597</f>
        <v>0.0462071621101271</v>
      </c>
      <c r="F118" s="34" t="s">
        <v>1012</v>
      </c>
      <c r="G118">
        <f>105/2496</f>
        <v>0.0420673076923077</v>
      </c>
      <c r="H118" t="s">
        <v>113</v>
      </c>
      <c r="I118" t="s">
        <v>193</v>
      </c>
      <c r="J118" t="s">
        <v>1013</v>
      </c>
      <c r="L118" s="4">
        <v>0.41</v>
      </c>
      <c r="M118" s="28">
        <v>202119</v>
      </c>
      <c r="X118" t="s">
        <v>924</v>
      </c>
    </row>
    <row r="119" spans="1:24">
      <c r="A119" t="s">
        <v>1014</v>
      </c>
      <c r="B119" s="1" t="s">
        <v>1015</v>
      </c>
      <c r="C119" s="1">
        <v>0.008279669</v>
      </c>
      <c r="D119" s="26" t="s">
        <v>1016</v>
      </c>
      <c r="E119" s="26" t="s">
        <v>1017</v>
      </c>
      <c r="F119" s="26" t="s">
        <v>1018</v>
      </c>
      <c r="G119" s="26" t="s">
        <v>1019</v>
      </c>
      <c r="H119" t="s">
        <v>505</v>
      </c>
      <c r="I119" t="s">
        <v>506</v>
      </c>
      <c r="J119" t="s">
        <v>1020</v>
      </c>
      <c r="K119"/>
      <c r="L119">
        <v>0.29</v>
      </c>
      <c r="M119">
        <v>81979</v>
      </c>
      <c r="X119" t="s">
        <v>924</v>
      </c>
    </row>
    <row r="120" spans="1:24">
      <c r="A120" t="s">
        <v>1021</v>
      </c>
      <c r="B120" s="1" t="s">
        <v>1022</v>
      </c>
      <c r="C120">
        <f>118/14131</f>
        <v>0.0083504352133607</v>
      </c>
      <c r="D120" s="34" t="s">
        <v>1023</v>
      </c>
      <c r="E120">
        <f>13/5830</f>
        <v>0.00222984562607204</v>
      </c>
      <c r="F120" s="34" t="s">
        <v>1024</v>
      </c>
      <c r="G120">
        <f>1/193</f>
        <v>0.00518134715025907</v>
      </c>
      <c r="H120" t="s">
        <v>28</v>
      </c>
      <c r="I120" t="s">
        <v>29</v>
      </c>
      <c r="J120" t="s">
        <v>1025</v>
      </c>
      <c r="L120" s="4">
        <v>0.5</v>
      </c>
      <c r="M120" s="28">
        <v>79165</v>
      </c>
      <c r="X120" t="s">
        <v>924</v>
      </c>
    </row>
    <row r="121" spans="1:24">
      <c r="A121" t="s">
        <v>1026</v>
      </c>
      <c r="B121" s="1" t="s">
        <v>1027</v>
      </c>
      <c r="C121">
        <f>120/14131</f>
        <v>0.00849196801358715</v>
      </c>
      <c r="D121" s="34" t="s">
        <v>1028</v>
      </c>
      <c r="E121">
        <f>23/5830</f>
        <v>0.0039451114922813</v>
      </c>
      <c r="F121" s="34" t="s">
        <v>1029</v>
      </c>
      <c r="G121">
        <f>9/960</f>
        <v>0.009375</v>
      </c>
      <c r="H121" t="s">
        <v>52</v>
      </c>
      <c r="I121" t="s">
        <v>1030</v>
      </c>
      <c r="J121" t="s">
        <v>1031</v>
      </c>
      <c r="L121" s="4">
        <v>0.39</v>
      </c>
      <c r="M121" s="28">
        <v>159664</v>
      </c>
      <c r="X121" t="s">
        <v>924</v>
      </c>
    </row>
    <row r="122" spans="1:24">
      <c r="A122" t="s">
        <v>1032</v>
      </c>
      <c r="B122" s="1" t="s">
        <v>1033</v>
      </c>
      <c r="C122">
        <f>121/14131</f>
        <v>0.00856273441370037</v>
      </c>
      <c r="D122" s="34" t="s">
        <v>1034</v>
      </c>
      <c r="E122">
        <f>33/5830</f>
        <v>0.00566037735849057</v>
      </c>
      <c r="F122" s="34" t="s">
        <v>1035</v>
      </c>
      <c r="G122">
        <f>16/960</f>
        <v>0.0166666666666667</v>
      </c>
      <c r="H122" t="s">
        <v>28</v>
      </c>
      <c r="I122" t="s">
        <v>29</v>
      </c>
      <c r="J122" t="s">
        <v>1025</v>
      </c>
      <c r="L122" s="4">
        <v>0.12</v>
      </c>
      <c r="M122" s="28">
        <v>55364</v>
      </c>
      <c r="X122" t="s">
        <v>924</v>
      </c>
    </row>
    <row r="123" spans="1:24">
      <c r="A123" t="s">
        <v>1036</v>
      </c>
      <c r="B123" s="1" t="s">
        <v>1037</v>
      </c>
      <c r="C123">
        <f>122/14131</f>
        <v>0.0086335008138136</v>
      </c>
      <c r="D123" s="34" t="s">
        <v>1038</v>
      </c>
      <c r="E123">
        <f>78/2597</f>
        <v>0.0300346553715826</v>
      </c>
      <c r="F123" s="34" t="s">
        <v>1039</v>
      </c>
      <c r="G123">
        <f>8/101</f>
        <v>0.0792079207920792</v>
      </c>
      <c r="H123" t="s">
        <v>52</v>
      </c>
      <c r="I123" t="s">
        <v>846</v>
      </c>
      <c r="J123" t="s">
        <v>1040</v>
      </c>
      <c r="L123" s="4">
        <v>0.45</v>
      </c>
      <c r="M123" s="28">
        <v>156049</v>
      </c>
      <c r="X123" t="s">
        <v>924</v>
      </c>
    </row>
    <row r="124" spans="1:24">
      <c r="A124" t="s">
        <v>1041</v>
      </c>
      <c r="B124" s="1" t="s">
        <v>1037</v>
      </c>
      <c r="C124" s="1">
        <v>0.008633501</v>
      </c>
      <c r="D124" s="26" t="s">
        <v>1042</v>
      </c>
      <c r="E124" s="26" t="s">
        <v>1043</v>
      </c>
      <c r="F124" s="26" t="s">
        <v>1044</v>
      </c>
      <c r="G124" s="26" t="s">
        <v>1045</v>
      </c>
      <c r="H124" t="s">
        <v>28</v>
      </c>
      <c r="I124" t="s">
        <v>340</v>
      </c>
      <c r="J124" t="s">
        <v>1046</v>
      </c>
      <c r="K124"/>
      <c r="L124">
        <v>0.89</v>
      </c>
      <c r="M124">
        <v>72332</v>
      </c>
      <c r="X124" t="s">
        <v>924</v>
      </c>
    </row>
    <row r="125" spans="1:24">
      <c r="A125" t="s">
        <v>1047</v>
      </c>
      <c r="B125" s="1" t="s">
        <v>1048</v>
      </c>
      <c r="C125">
        <f>123/14131</f>
        <v>0.00870426721392683</v>
      </c>
      <c r="D125" s="1" t="s">
        <v>1049</v>
      </c>
      <c r="E125">
        <f>99/2597</f>
        <v>0.0381209087408548</v>
      </c>
      <c r="F125" s="34" t="s">
        <v>1050</v>
      </c>
      <c r="G125">
        <f>88/2496</f>
        <v>0.0352564102564103</v>
      </c>
      <c r="H125" t="s">
        <v>52</v>
      </c>
      <c r="I125" t="s">
        <v>102</v>
      </c>
      <c r="J125" t="s">
        <v>1051</v>
      </c>
      <c r="L125" s="4">
        <v>0.34</v>
      </c>
      <c r="M125" s="28">
        <v>116660</v>
      </c>
      <c r="X125" t="s">
        <v>924</v>
      </c>
    </row>
    <row r="126" spans="1:24">
      <c r="A126" t="s">
        <v>1052</v>
      </c>
      <c r="B126" s="1" t="s">
        <v>1053</v>
      </c>
      <c r="C126">
        <f>124/14131</f>
        <v>0.00877503361404005</v>
      </c>
      <c r="D126" s="34" t="s">
        <v>1054</v>
      </c>
      <c r="E126">
        <f>22/5830</f>
        <v>0.00377358490566038</v>
      </c>
      <c r="F126" s="34" t="s">
        <v>1055</v>
      </c>
      <c r="G126">
        <f>8/960</f>
        <v>0.00833333333333333</v>
      </c>
      <c r="H126" t="s">
        <v>52</v>
      </c>
      <c r="I126" t="s">
        <v>564</v>
      </c>
      <c r="J126" t="s">
        <v>341</v>
      </c>
      <c r="L126" s="4">
        <v>0.21</v>
      </c>
      <c r="M126" s="28">
        <v>105930</v>
      </c>
      <c r="X126" t="s">
        <v>924</v>
      </c>
    </row>
    <row r="127" spans="1:24">
      <c r="A127" t="s">
        <v>1056</v>
      </c>
      <c r="B127" s="1" t="s">
        <v>1053</v>
      </c>
      <c r="C127" s="1">
        <v>0.008775034</v>
      </c>
      <c r="D127" s="26" t="s">
        <v>1057</v>
      </c>
      <c r="E127" s="26" t="s">
        <v>1058</v>
      </c>
      <c r="F127" s="26" t="s">
        <v>1059</v>
      </c>
      <c r="G127" s="26" t="s">
        <v>1060</v>
      </c>
      <c r="H127" t="s">
        <v>113</v>
      </c>
      <c r="I127" t="s">
        <v>193</v>
      </c>
      <c r="J127" t="s">
        <v>1061</v>
      </c>
      <c r="K127"/>
      <c r="L127">
        <v>0.45</v>
      </c>
      <c r="M127">
        <v>124921</v>
      </c>
      <c r="X127" t="s">
        <v>924</v>
      </c>
    </row>
    <row r="128" spans="1:24">
      <c r="A128" t="s">
        <v>1062</v>
      </c>
      <c r="B128" s="1" t="s">
        <v>1063</v>
      </c>
      <c r="C128" s="1">
        <v>0.008916566</v>
      </c>
      <c r="D128" s="26" t="s">
        <v>1064</v>
      </c>
      <c r="E128" s="26" t="s">
        <v>1065</v>
      </c>
      <c r="F128" s="26" t="s">
        <v>1066</v>
      </c>
      <c r="G128" s="26" t="s">
        <v>1067</v>
      </c>
      <c r="H128" t="s">
        <v>28</v>
      </c>
      <c r="I128" t="s">
        <v>29</v>
      </c>
      <c r="J128" t="s">
        <v>985</v>
      </c>
      <c r="K128"/>
      <c r="L128">
        <v>0.35</v>
      </c>
      <c r="M128">
        <v>54930</v>
      </c>
      <c r="X128" t="s">
        <v>924</v>
      </c>
    </row>
    <row r="129" spans="1:24">
      <c r="A129" t="s">
        <v>1068</v>
      </c>
      <c r="B129" s="1" t="s">
        <v>1063</v>
      </c>
      <c r="C129">
        <f>126/14131</f>
        <v>0.00891656641426651</v>
      </c>
      <c r="D129" s="34" t="s">
        <v>1069</v>
      </c>
      <c r="E129">
        <f>15/5830</f>
        <v>0.00257289879931389</v>
      </c>
      <c r="F129" s="34" t="s">
        <v>1070</v>
      </c>
      <c r="G129">
        <f>5/719</f>
        <v>0.00695410292072323</v>
      </c>
      <c r="H129" t="s">
        <v>52</v>
      </c>
      <c r="I129" t="s">
        <v>991</v>
      </c>
      <c r="J129" t="s">
        <v>1071</v>
      </c>
      <c r="L129" s="4">
        <v>0.82</v>
      </c>
      <c r="M129" s="28">
        <v>111892</v>
      </c>
      <c r="X129" t="s">
        <v>924</v>
      </c>
    </row>
    <row r="130" spans="1:24">
      <c r="A130" t="s">
        <v>1072</v>
      </c>
      <c r="B130" s="1" t="s">
        <v>1073</v>
      </c>
      <c r="C130" s="1">
        <v>0.008987333</v>
      </c>
      <c r="D130" s="26" t="s">
        <v>1074</v>
      </c>
      <c r="E130" s="26" t="s">
        <v>1075</v>
      </c>
      <c r="F130" s="26" t="s">
        <v>1076</v>
      </c>
      <c r="G130" s="26" t="s">
        <v>162</v>
      </c>
      <c r="H130" t="s">
        <v>505</v>
      </c>
      <c r="I130" t="s">
        <v>1077</v>
      </c>
      <c r="J130" t="s">
        <v>1078</v>
      </c>
      <c r="K130"/>
      <c r="L130">
        <v>0.83</v>
      </c>
      <c r="M130">
        <v>88028</v>
      </c>
      <c r="X130" t="s">
        <v>924</v>
      </c>
    </row>
    <row r="131" spans="1:24">
      <c r="A131" t="s">
        <v>1079</v>
      </c>
      <c r="B131" s="1" t="s">
        <v>1080</v>
      </c>
      <c r="C131" s="1">
        <v>0.009058099</v>
      </c>
      <c r="D131" s="26" t="s">
        <v>1081</v>
      </c>
      <c r="E131" s="26" t="s">
        <v>1082</v>
      </c>
      <c r="F131" s="26" t="s">
        <v>1083</v>
      </c>
      <c r="G131" s="26" t="s">
        <v>1084</v>
      </c>
      <c r="H131" t="s">
        <v>28</v>
      </c>
      <c r="I131" t="s">
        <v>29</v>
      </c>
      <c r="J131" t="s">
        <v>425</v>
      </c>
      <c r="K131"/>
      <c r="L131">
        <v>0.63</v>
      </c>
      <c r="M131">
        <v>78199</v>
      </c>
      <c r="X131" t="s">
        <v>924</v>
      </c>
    </row>
    <row r="132" spans="1:24">
      <c r="A132" t="s">
        <v>1085</v>
      </c>
      <c r="B132" s="1" t="s">
        <v>1086</v>
      </c>
      <c r="C132" s="1">
        <v>0.009199632</v>
      </c>
      <c r="D132" s="26" t="s">
        <v>1087</v>
      </c>
      <c r="E132" s="26" t="s">
        <v>1088</v>
      </c>
      <c r="F132" s="26" t="s">
        <v>1089</v>
      </c>
      <c r="G132" s="26" t="s">
        <v>1090</v>
      </c>
      <c r="H132" t="s">
        <v>52</v>
      </c>
      <c r="I132" t="s">
        <v>564</v>
      </c>
      <c r="J132" t="s">
        <v>1091</v>
      </c>
      <c r="K132"/>
      <c r="L132">
        <v>0.27</v>
      </c>
      <c r="M132">
        <v>77583</v>
      </c>
      <c r="X132" t="s">
        <v>924</v>
      </c>
    </row>
    <row r="133" spans="1:24">
      <c r="A133" t="s">
        <v>1092</v>
      </c>
      <c r="B133" s="1" t="s">
        <v>1093</v>
      </c>
      <c r="C133" s="1">
        <v>0.009270398</v>
      </c>
      <c r="D133" s="26" t="s">
        <v>1094</v>
      </c>
      <c r="E133" s="26" t="s">
        <v>1095</v>
      </c>
      <c r="F133" s="26" t="s">
        <v>1039</v>
      </c>
      <c r="G133" s="26" t="s">
        <v>1096</v>
      </c>
      <c r="H133" t="s">
        <v>28</v>
      </c>
      <c r="I133" t="s">
        <v>29</v>
      </c>
      <c r="J133" t="s">
        <v>1097</v>
      </c>
      <c r="K133"/>
      <c r="L133">
        <v>0.49</v>
      </c>
      <c r="M133">
        <v>92888</v>
      </c>
      <c r="X133" t="s">
        <v>924</v>
      </c>
    </row>
    <row r="134" spans="1:24">
      <c r="A134" t="s">
        <v>1098</v>
      </c>
      <c r="B134" s="1" t="s">
        <v>1093</v>
      </c>
      <c r="C134">
        <f>131/14131</f>
        <v>0.00927039841483264</v>
      </c>
      <c r="D134" s="1" t="s">
        <v>514</v>
      </c>
      <c r="E134">
        <f>54/2597</f>
        <v>0.0207932229495572</v>
      </c>
      <c r="F134" s="34" t="s">
        <v>1099</v>
      </c>
      <c r="G134">
        <f>1/67</f>
        <v>0.0149253731343284</v>
      </c>
      <c r="H134" t="s">
        <v>28</v>
      </c>
      <c r="I134" t="s">
        <v>340</v>
      </c>
      <c r="J134" t="s">
        <v>1046</v>
      </c>
      <c r="L134" s="4">
        <v>0.59</v>
      </c>
      <c r="M134" s="28">
        <v>121596</v>
      </c>
      <c r="X134" t="s">
        <v>924</v>
      </c>
    </row>
    <row r="135" spans="1:24">
      <c r="A135" t="s">
        <v>1100</v>
      </c>
      <c r="B135" s="1" t="s">
        <v>1101</v>
      </c>
      <c r="C135">
        <f>132/14131</f>
        <v>0.00934116481494586</v>
      </c>
      <c r="D135" s="1" t="s">
        <v>1102</v>
      </c>
      <c r="E135">
        <f>122/2597</f>
        <v>0.0469772814786292</v>
      </c>
      <c r="F135" s="34" t="s">
        <v>1103</v>
      </c>
      <c r="G135">
        <f>107/2496</f>
        <v>0.0428685897435897</v>
      </c>
      <c r="H135" t="s">
        <v>28</v>
      </c>
      <c r="I135" t="s">
        <v>340</v>
      </c>
      <c r="J135" t="s">
        <v>303</v>
      </c>
      <c r="L135" s="4">
        <v>0.59</v>
      </c>
      <c r="M135" s="28">
        <v>60359</v>
      </c>
      <c r="X135" t="s">
        <v>924</v>
      </c>
    </row>
    <row r="136" spans="1:24">
      <c r="A136" t="s">
        <v>1104</v>
      </c>
      <c r="B136" s="1" t="s">
        <v>1105</v>
      </c>
      <c r="C136" s="1">
        <v>0.009411931</v>
      </c>
      <c r="D136" s="26" t="s">
        <v>1106</v>
      </c>
      <c r="E136" s="26" t="s">
        <v>1107</v>
      </c>
      <c r="F136" s="26" t="s">
        <v>1108</v>
      </c>
      <c r="G136" s="26" t="s">
        <v>1109</v>
      </c>
      <c r="H136" t="s">
        <v>52</v>
      </c>
      <c r="I136" t="s">
        <v>564</v>
      </c>
      <c r="J136" t="s">
        <v>1110</v>
      </c>
      <c r="K136"/>
      <c r="L136">
        <v>0.24</v>
      </c>
      <c r="M136">
        <v>80199</v>
      </c>
      <c r="X136" t="s">
        <v>924</v>
      </c>
    </row>
    <row r="137" spans="1:24">
      <c r="A137" t="s">
        <v>1111</v>
      </c>
      <c r="B137" s="1" t="s">
        <v>1105</v>
      </c>
      <c r="C137">
        <f>133/14131</f>
        <v>0.00941193121505909</v>
      </c>
      <c r="D137" s="35" t="s">
        <v>89</v>
      </c>
      <c r="E137">
        <f>6/2597</f>
        <v>0.00231035810550635</v>
      </c>
      <c r="F137" s="34" t="s">
        <v>90</v>
      </c>
      <c r="G137">
        <f>6/2496</f>
        <v>0.00240384615384615</v>
      </c>
      <c r="H137" t="s">
        <v>113</v>
      </c>
      <c r="I137" t="s">
        <v>134</v>
      </c>
      <c r="J137" t="s">
        <v>1112</v>
      </c>
      <c r="L137" s="4">
        <v>0.1</v>
      </c>
      <c r="M137" s="28">
        <v>130096</v>
      </c>
      <c r="X137" t="s">
        <v>924</v>
      </c>
    </row>
    <row r="138" spans="1:24">
      <c r="A138" t="s">
        <v>1113</v>
      </c>
      <c r="B138" s="1" t="s">
        <v>1114</v>
      </c>
      <c r="C138">
        <f>134/14131</f>
        <v>0.00948269761517232</v>
      </c>
      <c r="D138" s="34" t="s">
        <v>1115</v>
      </c>
      <c r="E138">
        <f>6/1756</f>
        <v>0.00341685649202733</v>
      </c>
      <c r="F138" s="34" t="s">
        <v>1116</v>
      </c>
      <c r="G138">
        <f>4/198</f>
        <v>0.0202020202020202</v>
      </c>
      <c r="H138" t="s">
        <v>52</v>
      </c>
      <c r="I138" t="s">
        <v>53</v>
      </c>
      <c r="J138" t="s">
        <v>1117</v>
      </c>
      <c r="L138" s="4">
        <v>0.15</v>
      </c>
      <c r="M138" s="28">
        <v>93441</v>
      </c>
      <c r="X138" t="s">
        <v>924</v>
      </c>
    </row>
    <row r="139" spans="1:24">
      <c r="A139" t="s">
        <v>1118</v>
      </c>
      <c r="B139" s="1" t="s">
        <v>1114</v>
      </c>
      <c r="C139" s="1">
        <v>0.009482698</v>
      </c>
      <c r="D139" s="26" t="s">
        <v>1119</v>
      </c>
      <c r="E139" s="26" t="s">
        <v>1120</v>
      </c>
      <c r="F139" s="26" t="s">
        <v>1121</v>
      </c>
      <c r="G139" s="26" t="s">
        <v>1122</v>
      </c>
      <c r="H139" t="s">
        <v>52</v>
      </c>
      <c r="I139" t="s">
        <v>991</v>
      </c>
      <c r="J139" t="s">
        <v>1123</v>
      </c>
      <c r="K139"/>
      <c r="L139">
        <v>0.2</v>
      </c>
      <c r="M139">
        <v>87102</v>
      </c>
      <c r="X139" t="s">
        <v>924</v>
      </c>
    </row>
    <row r="140" spans="1:24">
      <c r="A140" t="s">
        <v>1124</v>
      </c>
      <c r="B140" s="1" t="s">
        <v>1125</v>
      </c>
      <c r="C140" s="1">
        <v>0.009694997</v>
      </c>
      <c r="D140" s="26" t="s">
        <v>1126</v>
      </c>
      <c r="E140" s="26" t="s">
        <v>1127</v>
      </c>
      <c r="F140" s="26" t="s">
        <v>1128</v>
      </c>
      <c r="G140" s="26" t="s">
        <v>1129</v>
      </c>
      <c r="H140" t="s">
        <v>113</v>
      </c>
      <c r="I140" t="s">
        <v>134</v>
      </c>
      <c r="J140" t="s">
        <v>957</v>
      </c>
      <c r="K140"/>
      <c r="L140">
        <v>0.66</v>
      </c>
      <c r="M140">
        <v>91975</v>
      </c>
      <c r="X140" t="s">
        <v>924</v>
      </c>
    </row>
    <row r="141" spans="1:24">
      <c r="A141" t="s">
        <v>1130</v>
      </c>
      <c r="B141" s="1" t="s">
        <v>1131</v>
      </c>
      <c r="C141" s="1">
        <v>0.009765763</v>
      </c>
      <c r="D141" s="26" t="s">
        <v>1132</v>
      </c>
      <c r="E141" s="26" t="s">
        <v>1133</v>
      </c>
      <c r="F141" s="26" t="s">
        <v>1134</v>
      </c>
      <c r="G141" s="26" t="s">
        <v>1135</v>
      </c>
      <c r="H141" t="s">
        <v>28</v>
      </c>
      <c r="I141" t="s">
        <v>29</v>
      </c>
      <c r="J141" t="s">
        <v>224</v>
      </c>
      <c r="K141"/>
      <c r="L141">
        <v>0.75</v>
      </c>
      <c r="M141">
        <v>76418</v>
      </c>
      <c r="X141" t="s">
        <v>924</v>
      </c>
    </row>
    <row r="142" spans="1:24">
      <c r="A142" t="s">
        <v>1136</v>
      </c>
      <c r="B142" s="1" t="s">
        <v>1137</v>
      </c>
      <c r="C142">
        <f>139/14131</f>
        <v>0.00983652961573845</v>
      </c>
      <c r="D142" s="34" t="s">
        <v>1049</v>
      </c>
      <c r="E142">
        <f>99/2597</f>
        <v>0.0381209087408548</v>
      </c>
      <c r="F142" s="34" t="s">
        <v>808</v>
      </c>
      <c r="G142">
        <f>1/36</f>
        <v>0.0277777777777778</v>
      </c>
      <c r="H142" t="s">
        <v>113</v>
      </c>
      <c r="I142" t="s">
        <v>1138</v>
      </c>
      <c r="J142" t="s">
        <v>1139</v>
      </c>
      <c r="L142" s="4">
        <v>0.35</v>
      </c>
      <c r="M142" s="28">
        <v>117795</v>
      </c>
      <c r="X142" t="s">
        <v>924</v>
      </c>
    </row>
    <row r="143" spans="1:24">
      <c r="A143" t="s">
        <v>1140</v>
      </c>
      <c r="B143" s="1" t="s">
        <v>1137</v>
      </c>
      <c r="C143" s="1">
        <v>0.00983653</v>
      </c>
      <c r="D143" s="26" t="s">
        <v>1141</v>
      </c>
      <c r="E143" s="26" t="s">
        <v>1142</v>
      </c>
      <c r="F143" s="26" t="s">
        <v>1143</v>
      </c>
      <c r="G143" s="26" t="s">
        <v>1144</v>
      </c>
      <c r="H143" t="s">
        <v>113</v>
      </c>
      <c r="I143" t="s">
        <v>193</v>
      </c>
      <c r="J143" t="s">
        <v>194</v>
      </c>
      <c r="K143"/>
      <c r="L143">
        <v>0.85</v>
      </c>
      <c r="M143">
        <v>70799</v>
      </c>
      <c r="X143" t="s">
        <v>924</v>
      </c>
    </row>
    <row r="144" spans="1:24">
      <c r="A144" t="s">
        <v>1145</v>
      </c>
      <c r="B144" s="1" t="s">
        <v>1146</v>
      </c>
      <c r="C144">
        <f>144/14131</f>
        <v>0.0101903616163046</v>
      </c>
      <c r="D144" s="34" t="s">
        <v>647</v>
      </c>
      <c r="E144">
        <f>51/2597</f>
        <v>0.019638043896804</v>
      </c>
      <c r="F144" s="34" t="s">
        <v>1147</v>
      </c>
      <c r="G144">
        <f>10/369</f>
        <v>0.02710027100271</v>
      </c>
      <c r="H144" t="s">
        <v>28</v>
      </c>
      <c r="I144" t="s">
        <v>29</v>
      </c>
      <c r="J144" t="s">
        <v>1148</v>
      </c>
      <c r="L144" s="4">
        <v>0.37</v>
      </c>
      <c r="M144" s="28">
        <v>72585</v>
      </c>
      <c r="X144" t="s">
        <v>924</v>
      </c>
    </row>
    <row r="145" spans="1:24">
      <c r="A145" t="s">
        <v>1149</v>
      </c>
      <c r="B145" s="1" t="s">
        <v>1150</v>
      </c>
      <c r="C145" s="1">
        <v>0.010331894</v>
      </c>
      <c r="D145" s="26" t="s">
        <v>1151</v>
      </c>
      <c r="E145" s="26" t="s">
        <v>1152</v>
      </c>
      <c r="F145" s="26" t="s">
        <v>1153</v>
      </c>
      <c r="G145" s="26" t="s">
        <v>1154</v>
      </c>
      <c r="H145" t="s">
        <v>52</v>
      </c>
      <c r="I145" t="s">
        <v>53</v>
      </c>
      <c r="J145" t="s">
        <v>260</v>
      </c>
      <c r="K145"/>
      <c r="L145">
        <v>0.81</v>
      </c>
      <c r="M145">
        <v>75185</v>
      </c>
      <c r="X145" t="s">
        <v>924</v>
      </c>
    </row>
    <row r="146" spans="1:24">
      <c r="A146" t="s">
        <v>1155</v>
      </c>
      <c r="B146" s="1" t="s">
        <v>1156</v>
      </c>
      <c r="C146">
        <f>147/14131</f>
        <v>0.0104026608166443</v>
      </c>
      <c r="D146" s="1" t="s">
        <v>1157</v>
      </c>
      <c r="E146">
        <f>72/2597</f>
        <v>0.0277242972660762</v>
      </c>
      <c r="F146" s="34" t="s">
        <v>1158</v>
      </c>
      <c r="G146">
        <f>8/58</f>
        <v>0.137931034482759</v>
      </c>
      <c r="H146" t="s">
        <v>52</v>
      </c>
      <c r="I146" t="s">
        <v>53</v>
      </c>
      <c r="J146" t="s">
        <v>1117</v>
      </c>
      <c r="L146" s="4">
        <v>0.18</v>
      </c>
      <c r="M146" s="28">
        <v>75553</v>
      </c>
      <c r="X146" t="s">
        <v>924</v>
      </c>
    </row>
    <row r="147" spans="1:24">
      <c r="A147" t="s">
        <v>1159</v>
      </c>
      <c r="B147" s="1" t="s">
        <v>1156</v>
      </c>
      <c r="C147" s="1">
        <v>0.010402661</v>
      </c>
      <c r="D147" s="26" t="s">
        <v>1160</v>
      </c>
      <c r="E147" s="26" t="s">
        <v>1161</v>
      </c>
      <c r="F147" s="26" t="s">
        <v>1162</v>
      </c>
      <c r="G147" s="26" t="s">
        <v>1163</v>
      </c>
      <c r="H147" t="s">
        <v>28</v>
      </c>
      <c r="I147" t="s">
        <v>29</v>
      </c>
      <c r="J147" t="s">
        <v>1148</v>
      </c>
      <c r="K147"/>
      <c r="L147">
        <v>0.13</v>
      </c>
      <c r="M147">
        <v>90361</v>
      </c>
      <c r="X147" t="s">
        <v>924</v>
      </c>
    </row>
    <row r="148" spans="1:24">
      <c r="A148" t="s">
        <v>1164</v>
      </c>
      <c r="B148" s="1" t="s">
        <v>1165</v>
      </c>
      <c r="C148">
        <f>148/14131</f>
        <v>0.0104734272167575</v>
      </c>
      <c r="D148" s="34" t="s">
        <v>222</v>
      </c>
      <c r="E148">
        <f>17/2597</f>
        <v>0.006546014632268</v>
      </c>
      <c r="F148" s="34" t="s">
        <v>845</v>
      </c>
      <c r="G148">
        <f>1/39</f>
        <v>0.0256410256410256</v>
      </c>
      <c r="H148" t="s">
        <v>113</v>
      </c>
      <c r="I148" t="s">
        <v>114</v>
      </c>
      <c r="J148" t="s">
        <v>115</v>
      </c>
      <c r="L148" s="4">
        <v>0.17</v>
      </c>
      <c r="M148" s="28">
        <v>159527</v>
      </c>
      <c r="X148" t="s">
        <v>924</v>
      </c>
    </row>
    <row r="149" spans="1:24">
      <c r="A149" t="s">
        <v>1166</v>
      </c>
      <c r="B149" s="1" t="s">
        <v>1167</v>
      </c>
      <c r="C149" s="1">
        <v>0.010544194</v>
      </c>
      <c r="D149" s="26" t="s">
        <v>1168</v>
      </c>
      <c r="E149" s="26" t="s">
        <v>1169</v>
      </c>
      <c r="F149" s="26" t="s">
        <v>1170</v>
      </c>
      <c r="G149" s="26" t="s">
        <v>1171</v>
      </c>
      <c r="H149" t="s">
        <v>52</v>
      </c>
      <c r="I149" t="s">
        <v>53</v>
      </c>
      <c r="J149" t="s">
        <v>1172</v>
      </c>
      <c r="K149"/>
      <c r="L149">
        <v>0.87</v>
      </c>
      <c r="M149">
        <v>52681</v>
      </c>
      <c r="X149" t="s">
        <v>924</v>
      </c>
    </row>
    <row r="150" spans="1:24">
      <c r="A150" t="s">
        <v>1173</v>
      </c>
      <c r="B150" s="1" t="s">
        <v>1174</v>
      </c>
      <c r="C150">
        <f>150/14131</f>
        <v>0.0106149600169839</v>
      </c>
      <c r="D150" s="34" t="s">
        <v>415</v>
      </c>
      <c r="E150">
        <f>36/2597</f>
        <v>0.0138621486330381</v>
      </c>
      <c r="F150" s="34" t="s">
        <v>416</v>
      </c>
      <c r="G150">
        <f>3/101</f>
        <v>0.0297029702970297</v>
      </c>
      <c r="H150" t="s">
        <v>52</v>
      </c>
      <c r="I150" t="s">
        <v>902</v>
      </c>
      <c r="J150" t="s">
        <v>1175</v>
      </c>
      <c r="L150" s="4">
        <v>0.77</v>
      </c>
      <c r="M150" s="28">
        <v>103801</v>
      </c>
      <c r="X150" t="s">
        <v>924</v>
      </c>
    </row>
    <row r="151" spans="1:24">
      <c r="A151" t="s">
        <v>1176</v>
      </c>
      <c r="B151" s="1" t="s">
        <v>1177</v>
      </c>
      <c r="C151" s="1">
        <v>0.010685726</v>
      </c>
      <c r="D151" s="26" t="s">
        <v>1178</v>
      </c>
      <c r="E151" s="26" t="s">
        <v>1179</v>
      </c>
      <c r="F151" s="26" t="s">
        <v>1180</v>
      </c>
      <c r="G151" s="26" t="s">
        <v>1181</v>
      </c>
      <c r="H151" t="s">
        <v>52</v>
      </c>
      <c r="I151" t="s">
        <v>711</v>
      </c>
      <c r="J151" t="s">
        <v>1182</v>
      </c>
      <c r="K151"/>
      <c r="L151">
        <v>0.06</v>
      </c>
      <c r="M151">
        <v>100320</v>
      </c>
      <c r="X151" t="s">
        <v>1183</v>
      </c>
    </row>
    <row r="152" spans="1:24">
      <c r="A152" t="s">
        <v>1184</v>
      </c>
      <c r="B152" s="1" t="s">
        <v>1177</v>
      </c>
      <c r="C152">
        <f>151/14131</f>
        <v>0.0106857264170972</v>
      </c>
      <c r="D152" s="34" t="s">
        <v>26</v>
      </c>
      <c r="E152">
        <f>1/2597</f>
        <v>0.000385059684251059</v>
      </c>
      <c r="F152" s="34" t="s">
        <v>27</v>
      </c>
      <c r="G152">
        <f>1/2496</f>
        <v>0.000400641025641026</v>
      </c>
      <c r="H152" t="s">
        <v>113</v>
      </c>
      <c r="I152" t="s">
        <v>938</v>
      </c>
      <c r="J152" t="s">
        <v>1185</v>
      </c>
      <c r="L152" s="4">
        <v>0.34</v>
      </c>
      <c r="M152" s="28">
        <v>101205</v>
      </c>
      <c r="X152" t="s">
        <v>1183</v>
      </c>
    </row>
    <row r="153" spans="1:24">
      <c r="A153" t="s">
        <v>1186</v>
      </c>
      <c r="B153" s="1" t="s">
        <v>1187</v>
      </c>
      <c r="C153">
        <f>152/14131</f>
        <v>0.0107564928172104</v>
      </c>
      <c r="D153" s="34" t="s">
        <v>1188</v>
      </c>
      <c r="E153">
        <f>91/2597</f>
        <v>0.0350404312668464</v>
      </c>
      <c r="F153" s="34" t="s">
        <v>1189</v>
      </c>
      <c r="G153">
        <f>9/58</f>
        <v>0.155172413793103</v>
      </c>
      <c r="H153" t="s">
        <v>52</v>
      </c>
      <c r="I153" t="s">
        <v>711</v>
      </c>
      <c r="J153" t="s">
        <v>1190</v>
      </c>
      <c r="L153" s="4">
        <v>0.42</v>
      </c>
      <c r="M153" s="28">
        <v>110883</v>
      </c>
      <c r="X153" t="s">
        <v>1183</v>
      </c>
    </row>
    <row r="154" spans="1:24">
      <c r="A154" t="s">
        <v>1191</v>
      </c>
      <c r="B154" s="1" t="s">
        <v>1192</v>
      </c>
      <c r="C154" s="1">
        <v>0.010898026</v>
      </c>
      <c r="D154" s="26" t="s">
        <v>1193</v>
      </c>
      <c r="E154" s="26" t="s">
        <v>1194</v>
      </c>
      <c r="F154" s="26" t="s">
        <v>1195</v>
      </c>
      <c r="G154" s="26" t="s">
        <v>1196</v>
      </c>
      <c r="H154" t="s">
        <v>52</v>
      </c>
      <c r="I154" t="s">
        <v>152</v>
      </c>
      <c r="J154" t="s">
        <v>153</v>
      </c>
      <c r="K154"/>
      <c r="L154">
        <v>0.25</v>
      </c>
      <c r="M154">
        <v>64274</v>
      </c>
      <c r="X154" t="s">
        <v>1183</v>
      </c>
    </row>
    <row r="155" spans="1:24">
      <c r="A155" t="s">
        <v>1197</v>
      </c>
      <c r="B155" s="1" t="s">
        <v>1198</v>
      </c>
      <c r="C155" s="1">
        <v>0.010968792</v>
      </c>
      <c r="D155" s="26" t="s">
        <v>1199</v>
      </c>
      <c r="E155" s="26" t="s">
        <v>1200</v>
      </c>
      <c r="F155" s="26" t="s">
        <v>1147</v>
      </c>
      <c r="G155" s="26" t="s">
        <v>1201</v>
      </c>
      <c r="H155" t="s">
        <v>52</v>
      </c>
      <c r="I155" t="s">
        <v>53</v>
      </c>
      <c r="J155" t="s">
        <v>260</v>
      </c>
      <c r="K155"/>
      <c r="L155">
        <v>0.14</v>
      </c>
      <c r="M155">
        <v>68881</v>
      </c>
      <c r="X155" t="s">
        <v>1183</v>
      </c>
    </row>
    <row r="156" spans="1:24">
      <c r="A156" t="s">
        <v>1202</v>
      </c>
      <c r="B156" s="1" t="s">
        <v>1198</v>
      </c>
      <c r="C156">
        <f>155/14131</f>
        <v>0.0109687920175501</v>
      </c>
      <c r="D156" s="34" t="s">
        <v>545</v>
      </c>
      <c r="E156">
        <f>49/2597</f>
        <v>0.0188679245283019</v>
      </c>
      <c r="F156" s="34" t="s">
        <v>1203</v>
      </c>
      <c r="G156">
        <f>17/163</f>
        <v>0.104294478527607</v>
      </c>
      <c r="H156" t="s">
        <v>52</v>
      </c>
      <c r="I156" t="s">
        <v>152</v>
      </c>
      <c r="J156" t="s">
        <v>242</v>
      </c>
      <c r="L156" s="4">
        <v>0.09</v>
      </c>
      <c r="M156" s="28">
        <v>50264</v>
      </c>
      <c r="X156" t="s">
        <v>1183</v>
      </c>
    </row>
    <row r="157" spans="1:24">
      <c r="A157" t="s">
        <v>1204</v>
      </c>
      <c r="B157" s="1" t="s">
        <v>1205</v>
      </c>
      <c r="C157" s="1">
        <v>0.011039558</v>
      </c>
      <c r="D157" s="26" t="s">
        <v>1206</v>
      </c>
      <c r="E157" s="26" t="s">
        <v>1207</v>
      </c>
      <c r="F157" s="26" t="s">
        <v>1208</v>
      </c>
      <c r="G157" s="26" t="s">
        <v>1209</v>
      </c>
      <c r="H157" t="s">
        <v>52</v>
      </c>
      <c r="I157" t="s">
        <v>846</v>
      </c>
      <c r="J157" t="s">
        <v>1040</v>
      </c>
      <c r="K157"/>
      <c r="L157">
        <v>0.13</v>
      </c>
      <c r="M157">
        <v>49351</v>
      </c>
      <c r="X157" t="s">
        <v>1183</v>
      </c>
    </row>
    <row r="158" spans="1:24">
      <c r="A158" t="s">
        <v>1210</v>
      </c>
      <c r="B158" s="1" t="s">
        <v>1211</v>
      </c>
      <c r="C158">
        <f>157/14131</f>
        <v>0.0111103248177765</v>
      </c>
      <c r="D158" s="34" t="s">
        <v>71</v>
      </c>
      <c r="E158">
        <f>5/2597</f>
        <v>0.00192529842125529</v>
      </c>
      <c r="F158" s="34" t="s">
        <v>1212</v>
      </c>
      <c r="G158">
        <f>5/163</f>
        <v>0.0306748466257669</v>
      </c>
      <c r="H158" t="s">
        <v>113</v>
      </c>
      <c r="I158" t="s">
        <v>193</v>
      </c>
      <c r="J158" t="s">
        <v>194</v>
      </c>
      <c r="L158" s="4">
        <v>0.24</v>
      </c>
      <c r="M158" s="28">
        <v>86734</v>
      </c>
      <c r="X158" t="s">
        <v>1183</v>
      </c>
    </row>
    <row r="159" spans="1:24">
      <c r="A159" t="s">
        <v>1213</v>
      </c>
      <c r="B159" s="1" t="s">
        <v>1214</v>
      </c>
      <c r="C159">
        <f>158/14131</f>
        <v>0.0111810912178897</v>
      </c>
      <c r="D159" s="34" t="s">
        <v>1215</v>
      </c>
      <c r="E159">
        <f>44/2597</f>
        <v>0.0169426261070466</v>
      </c>
      <c r="F159" s="34" t="s">
        <v>1216</v>
      </c>
      <c r="G159">
        <f>8/369</f>
        <v>0.021680216802168</v>
      </c>
      <c r="H159" t="s">
        <v>113</v>
      </c>
      <c r="I159" t="s">
        <v>193</v>
      </c>
      <c r="J159" t="s">
        <v>946</v>
      </c>
      <c r="L159" s="4">
        <v>0.36</v>
      </c>
      <c r="M159" s="28">
        <v>133141</v>
      </c>
      <c r="X159" t="s">
        <v>1183</v>
      </c>
    </row>
    <row r="160" spans="1:24">
      <c r="A160" t="s">
        <v>1217</v>
      </c>
      <c r="B160" s="1" t="s">
        <v>1218</v>
      </c>
      <c r="C160">
        <f>159/14131</f>
        <v>0.011251857618003</v>
      </c>
      <c r="D160" s="34" t="s">
        <v>1219</v>
      </c>
      <c r="E160">
        <f>202/2597</f>
        <v>0.0777820562187139</v>
      </c>
      <c r="F160" s="34" t="s">
        <v>1220</v>
      </c>
      <c r="G160">
        <f>9/224</f>
        <v>0.0401785714285714</v>
      </c>
      <c r="H160" t="s">
        <v>52</v>
      </c>
      <c r="I160" t="s">
        <v>152</v>
      </c>
      <c r="J160" t="s">
        <v>1221</v>
      </c>
      <c r="L160" s="4">
        <v>0.87</v>
      </c>
      <c r="M160" s="28">
        <v>98609</v>
      </c>
      <c r="X160" t="s">
        <v>1183</v>
      </c>
    </row>
    <row r="161" spans="1:24">
      <c r="A161" t="s">
        <v>1222</v>
      </c>
      <c r="B161" s="1" t="s">
        <v>1223</v>
      </c>
      <c r="C161" s="1">
        <v>0.01139339</v>
      </c>
      <c r="D161" s="26" t="s">
        <v>1224</v>
      </c>
      <c r="E161" s="26" t="s">
        <v>1225</v>
      </c>
      <c r="F161" s="26" t="s">
        <v>1226</v>
      </c>
      <c r="G161" s="26" t="s">
        <v>1227</v>
      </c>
      <c r="H161" t="s">
        <v>52</v>
      </c>
      <c r="I161" t="s">
        <v>991</v>
      </c>
      <c r="J161" t="s">
        <v>1071</v>
      </c>
      <c r="K161"/>
      <c r="L161">
        <v>0.35</v>
      </c>
      <c r="M161">
        <v>61271</v>
      </c>
      <c r="X161" t="s">
        <v>1183</v>
      </c>
    </row>
    <row r="162" spans="1:24">
      <c r="A162" t="s">
        <v>1228</v>
      </c>
      <c r="B162" s="1" t="s">
        <v>1223</v>
      </c>
      <c r="C162">
        <f>161/14131</f>
        <v>0.0113933904182294</v>
      </c>
      <c r="D162" s="34" t="s">
        <v>1229</v>
      </c>
      <c r="E162">
        <f>92/2597</f>
        <v>0.0354254909510974</v>
      </c>
      <c r="F162" s="34" t="s">
        <v>1230</v>
      </c>
      <c r="G162">
        <f>81/2496</f>
        <v>0.0324519230769231</v>
      </c>
      <c r="H162" t="s">
        <v>28</v>
      </c>
      <c r="I162" t="s">
        <v>29</v>
      </c>
      <c r="J162" t="s">
        <v>1231</v>
      </c>
      <c r="L162" s="4">
        <v>0.06</v>
      </c>
      <c r="M162" s="28">
        <v>53274</v>
      </c>
      <c r="X162" t="s">
        <v>1183</v>
      </c>
    </row>
    <row r="163" spans="1:24">
      <c r="A163" t="s">
        <v>1232</v>
      </c>
      <c r="B163" s="1" t="s">
        <v>1233</v>
      </c>
      <c r="C163">
        <f>162/14131</f>
        <v>0.0114641568183427</v>
      </c>
      <c r="D163" s="34" t="s">
        <v>1234</v>
      </c>
      <c r="E163">
        <f>80/2597</f>
        <v>0.0308047747400847</v>
      </c>
      <c r="F163" s="34" t="s">
        <v>1235</v>
      </c>
      <c r="G163">
        <f>6/39</f>
        <v>0.153846153846154</v>
      </c>
      <c r="H163" t="s">
        <v>52</v>
      </c>
      <c r="I163" t="s">
        <v>991</v>
      </c>
      <c r="J163" t="s">
        <v>1236</v>
      </c>
      <c r="L163" s="4">
        <v>0.63</v>
      </c>
      <c r="M163" s="28">
        <v>84979</v>
      </c>
      <c r="X163" t="s">
        <v>1183</v>
      </c>
    </row>
    <row r="164" spans="1:24">
      <c r="A164" t="s">
        <v>1237</v>
      </c>
      <c r="B164" s="1" t="s">
        <v>1238</v>
      </c>
      <c r="C164">
        <f>165/14131</f>
        <v>0.0116764560186823</v>
      </c>
      <c r="D164" s="34" t="s">
        <v>523</v>
      </c>
      <c r="E164">
        <f>45/2597</f>
        <v>0.0173276857912977</v>
      </c>
      <c r="F164" s="34" t="s">
        <v>1239</v>
      </c>
      <c r="G164">
        <f>2/75</f>
        <v>0.0266666666666667</v>
      </c>
      <c r="H164" t="s">
        <v>113</v>
      </c>
      <c r="I164" t="s">
        <v>134</v>
      </c>
      <c r="J164" t="s">
        <v>957</v>
      </c>
      <c r="L164" s="4">
        <v>0.32</v>
      </c>
      <c r="M164" s="28">
        <v>136270</v>
      </c>
      <c r="X164" t="s">
        <v>1183</v>
      </c>
    </row>
    <row r="165" spans="1:24">
      <c r="A165" t="s">
        <v>1240</v>
      </c>
      <c r="B165" s="1" t="s">
        <v>1241</v>
      </c>
      <c r="C165">
        <f>167/14131</f>
        <v>0.0118179888189088</v>
      </c>
      <c r="D165" s="1" t="s">
        <v>1242</v>
      </c>
      <c r="E165">
        <f>76/2597</f>
        <v>0.0292645360030805</v>
      </c>
      <c r="F165" s="34" t="s">
        <v>1243</v>
      </c>
      <c r="G165">
        <f>3/75</f>
        <v>0.04</v>
      </c>
      <c r="H165" t="s">
        <v>505</v>
      </c>
      <c r="I165" t="s">
        <v>506</v>
      </c>
      <c r="J165" t="s">
        <v>1244</v>
      </c>
      <c r="L165" s="4">
        <v>0.47</v>
      </c>
      <c r="M165" s="28">
        <v>97640</v>
      </c>
      <c r="X165" t="s">
        <v>1183</v>
      </c>
    </row>
    <row r="166" spans="1:24">
      <c r="A166" t="s">
        <v>1245</v>
      </c>
      <c r="B166" s="1" t="s">
        <v>1246</v>
      </c>
      <c r="C166" s="1">
        <v>0.011888755</v>
      </c>
      <c r="D166" s="26" t="s">
        <v>1247</v>
      </c>
      <c r="E166" s="26" t="s">
        <v>1248</v>
      </c>
      <c r="F166" s="26" t="s">
        <v>1249</v>
      </c>
      <c r="G166" s="26" t="s">
        <v>1250</v>
      </c>
      <c r="H166" t="s">
        <v>52</v>
      </c>
      <c r="I166" t="s">
        <v>53</v>
      </c>
      <c r="J166" t="s">
        <v>1251</v>
      </c>
      <c r="K166"/>
      <c r="L166">
        <v>0.24</v>
      </c>
      <c r="M166">
        <v>58581</v>
      </c>
      <c r="X166" t="s">
        <v>1183</v>
      </c>
    </row>
    <row r="167" spans="1:24">
      <c r="A167" t="s">
        <v>1252</v>
      </c>
      <c r="B167" s="1" t="s">
        <v>1246</v>
      </c>
      <c r="C167">
        <f>168/14131</f>
        <v>0.011888755219022</v>
      </c>
      <c r="D167" s="34" t="s">
        <v>1253</v>
      </c>
      <c r="E167">
        <f>116/2597</f>
        <v>0.0446669233731228</v>
      </c>
      <c r="F167" s="34" t="s">
        <v>1254</v>
      </c>
      <c r="G167">
        <f>101/2496</f>
        <v>0.0404647435897436</v>
      </c>
      <c r="H167" t="s">
        <v>52</v>
      </c>
      <c r="I167" t="s">
        <v>53</v>
      </c>
      <c r="J167" t="s">
        <v>712</v>
      </c>
      <c r="L167" s="4">
        <v>0.1</v>
      </c>
      <c r="M167" s="28">
        <v>101143</v>
      </c>
      <c r="X167" t="s">
        <v>1183</v>
      </c>
    </row>
    <row r="168" spans="1:24">
      <c r="A168" t="s">
        <v>1255</v>
      </c>
      <c r="B168" s="1" t="s">
        <v>1256</v>
      </c>
      <c r="C168" s="1">
        <v>0.012030288</v>
      </c>
      <c r="D168" s="26" t="s">
        <v>1257</v>
      </c>
      <c r="E168" s="26" t="s">
        <v>1258</v>
      </c>
      <c r="F168" s="26" t="s">
        <v>1259</v>
      </c>
      <c r="G168" s="26" t="s">
        <v>1260</v>
      </c>
      <c r="H168" t="s">
        <v>28</v>
      </c>
      <c r="I168" t="s">
        <v>340</v>
      </c>
      <c r="J168" t="s">
        <v>674</v>
      </c>
      <c r="K168"/>
      <c r="L168">
        <v>0.73</v>
      </c>
      <c r="M168">
        <v>57197</v>
      </c>
      <c r="X168" t="s">
        <v>1183</v>
      </c>
    </row>
    <row r="169" spans="1:24">
      <c r="A169" t="s">
        <v>1261</v>
      </c>
      <c r="B169" s="1" t="s">
        <v>1262</v>
      </c>
      <c r="C169" s="1">
        <v>0.012101054</v>
      </c>
      <c r="D169" s="26" t="s">
        <v>1263</v>
      </c>
      <c r="E169" s="26" t="s">
        <v>1264</v>
      </c>
      <c r="F169" s="26" t="s">
        <v>1265</v>
      </c>
      <c r="G169" s="26" t="s">
        <v>1266</v>
      </c>
      <c r="H169" t="s">
        <v>52</v>
      </c>
      <c r="I169" t="s">
        <v>53</v>
      </c>
      <c r="J169" t="s">
        <v>1267</v>
      </c>
      <c r="K169"/>
      <c r="L169">
        <v>0.15</v>
      </c>
      <c r="M169">
        <v>70376</v>
      </c>
      <c r="X169" t="s">
        <v>1183</v>
      </c>
    </row>
    <row r="170" spans="1:24">
      <c r="A170" t="s">
        <v>1268</v>
      </c>
      <c r="B170" s="1" t="s">
        <v>1262</v>
      </c>
      <c r="C170">
        <f>171/14131</f>
        <v>0.0121010544193617</v>
      </c>
      <c r="D170" s="34" t="s">
        <v>1269</v>
      </c>
      <c r="E170">
        <f>95/2597</f>
        <v>0.0365806700038506</v>
      </c>
      <c r="F170" s="34" t="s">
        <v>1270</v>
      </c>
      <c r="G170">
        <f>84/2496</f>
        <v>0.0336538461538462</v>
      </c>
      <c r="H170" t="s">
        <v>28</v>
      </c>
      <c r="I170" t="s">
        <v>29</v>
      </c>
      <c r="J170" t="s">
        <v>91</v>
      </c>
      <c r="L170" s="4">
        <v>0.7</v>
      </c>
      <c r="M170" s="28">
        <v>79514</v>
      </c>
      <c r="X170" t="s">
        <v>1183</v>
      </c>
    </row>
    <row r="171" spans="1:24">
      <c r="A171" t="s">
        <v>1271</v>
      </c>
      <c r="B171" s="1" t="s">
        <v>1272</v>
      </c>
      <c r="C171">
        <f>172/14131</f>
        <v>0.0121718208194749</v>
      </c>
      <c r="D171" s="34" t="s">
        <v>1273</v>
      </c>
      <c r="E171">
        <f>55/2597</f>
        <v>0.0211782826338082</v>
      </c>
      <c r="F171" s="34" t="s">
        <v>738</v>
      </c>
      <c r="G171">
        <f>51/2496</f>
        <v>0.0204326923076923</v>
      </c>
      <c r="H171" t="s">
        <v>52</v>
      </c>
      <c r="I171" t="s">
        <v>1274</v>
      </c>
      <c r="J171" t="s">
        <v>1275</v>
      </c>
      <c r="L171" s="4">
        <v>0.35</v>
      </c>
      <c r="M171" s="28">
        <v>87666</v>
      </c>
      <c r="X171" t="s">
        <v>1183</v>
      </c>
    </row>
    <row r="172" spans="1:24">
      <c r="A172" t="s">
        <v>1276</v>
      </c>
      <c r="B172" s="1" t="s">
        <v>1277</v>
      </c>
      <c r="C172">
        <f>173/14131</f>
        <v>0.0122425872195881</v>
      </c>
      <c r="D172" s="34" t="s">
        <v>767</v>
      </c>
      <c r="E172">
        <f>57/2597</f>
        <v>0.0219484020023104</v>
      </c>
      <c r="F172" s="34" t="s">
        <v>768</v>
      </c>
      <c r="G172">
        <f>53/2496</f>
        <v>0.0212339743589744</v>
      </c>
      <c r="H172" t="s">
        <v>113</v>
      </c>
      <c r="I172" t="s">
        <v>193</v>
      </c>
      <c r="J172" t="s">
        <v>1061</v>
      </c>
      <c r="L172" s="4">
        <v>0.42</v>
      </c>
      <c r="M172" s="28">
        <v>162829</v>
      </c>
      <c r="X172" t="s">
        <v>1183</v>
      </c>
    </row>
    <row r="173" spans="1:24">
      <c r="A173" t="s">
        <v>1278</v>
      </c>
      <c r="B173" s="1" t="s">
        <v>1279</v>
      </c>
      <c r="C173">
        <f>174/14131</f>
        <v>0.0123133536197014</v>
      </c>
      <c r="D173" s="34" t="s">
        <v>1280</v>
      </c>
      <c r="E173">
        <f>110/2597</f>
        <v>0.0423565652676165</v>
      </c>
      <c r="F173" s="34" t="s">
        <v>1281</v>
      </c>
      <c r="G173">
        <f>96/2496</f>
        <v>0.0384615384615385</v>
      </c>
      <c r="H173" t="s">
        <v>28</v>
      </c>
      <c r="I173" t="s">
        <v>29</v>
      </c>
      <c r="J173" t="s">
        <v>425</v>
      </c>
      <c r="L173" s="4">
        <v>0.09</v>
      </c>
      <c r="M173" s="28">
        <v>54549</v>
      </c>
      <c r="X173" t="s">
        <v>1183</v>
      </c>
    </row>
    <row r="174" spans="1:24">
      <c r="A174" t="s">
        <v>1282</v>
      </c>
      <c r="B174" s="1" t="s">
        <v>1279</v>
      </c>
      <c r="C174" s="1">
        <v>0.012313354</v>
      </c>
      <c r="D174" s="26" t="s">
        <v>1283</v>
      </c>
      <c r="E174" s="26" t="s">
        <v>1284</v>
      </c>
      <c r="F174" s="26" t="s">
        <v>654</v>
      </c>
      <c r="G174" s="26" t="s">
        <v>1285</v>
      </c>
      <c r="H174" t="s">
        <v>113</v>
      </c>
      <c r="I174" t="s">
        <v>134</v>
      </c>
      <c r="J174" t="s">
        <v>1112</v>
      </c>
      <c r="K174"/>
      <c r="L174">
        <v>0.8</v>
      </c>
      <c r="M174">
        <v>67014</v>
      </c>
      <c r="X174" t="s">
        <v>1183</v>
      </c>
    </row>
    <row r="175" spans="1:24">
      <c r="A175" t="s">
        <v>1286</v>
      </c>
      <c r="B175" s="1" t="s">
        <v>1287</v>
      </c>
      <c r="C175" s="1">
        <v>0.01238412</v>
      </c>
      <c r="D175" s="26" t="s">
        <v>1229</v>
      </c>
      <c r="E175" s="26" t="s">
        <v>1288</v>
      </c>
      <c r="F175" s="26" t="s">
        <v>1289</v>
      </c>
      <c r="G175" s="26" t="s">
        <v>1290</v>
      </c>
      <c r="H175" t="s">
        <v>28</v>
      </c>
      <c r="I175" t="s">
        <v>29</v>
      </c>
      <c r="J175" t="s">
        <v>1291</v>
      </c>
      <c r="K175"/>
      <c r="L175">
        <v>0.33</v>
      </c>
      <c r="M175">
        <v>36822</v>
      </c>
      <c r="X175" t="s">
        <v>1183</v>
      </c>
    </row>
    <row r="176" spans="1:24">
      <c r="A176" t="s">
        <v>1292</v>
      </c>
      <c r="B176" s="1" t="s">
        <v>1293</v>
      </c>
      <c r="C176" s="1">
        <v>0.012454886</v>
      </c>
      <c r="D176" s="26" t="s">
        <v>1294</v>
      </c>
      <c r="E176" s="26" t="s">
        <v>1295</v>
      </c>
      <c r="F176" s="26" t="s">
        <v>1296</v>
      </c>
      <c r="G176" s="26" t="s">
        <v>1297</v>
      </c>
      <c r="H176" t="s">
        <v>28</v>
      </c>
      <c r="I176" t="s">
        <v>29</v>
      </c>
      <c r="J176" t="s">
        <v>1231</v>
      </c>
      <c r="K176"/>
      <c r="L176">
        <v>0.49</v>
      </c>
      <c r="M176">
        <v>40788</v>
      </c>
      <c r="X176" t="s">
        <v>1183</v>
      </c>
    </row>
    <row r="177" spans="1:24">
      <c r="A177" t="s">
        <v>1298</v>
      </c>
      <c r="B177" s="1" t="s">
        <v>1293</v>
      </c>
      <c r="C177">
        <f>176/14131</f>
        <v>0.0124548864199278</v>
      </c>
      <c r="D177" s="34" t="s">
        <v>48</v>
      </c>
      <c r="E177">
        <f>3/2597</f>
        <v>0.00115517905275318</v>
      </c>
      <c r="F177" s="34" t="s">
        <v>1299</v>
      </c>
      <c r="G177">
        <f>3/163</f>
        <v>0.0184049079754601</v>
      </c>
      <c r="H177" t="s">
        <v>28</v>
      </c>
      <c r="I177" t="s">
        <v>29</v>
      </c>
      <c r="J177" t="s">
        <v>224</v>
      </c>
      <c r="L177" s="4">
        <v>0.72</v>
      </c>
      <c r="M177" s="28">
        <v>71043</v>
      </c>
      <c r="X177" t="s">
        <v>1183</v>
      </c>
    </row>
    <row r="178" spans="1:24">
      <c r="A178" t="s">
        <v>1300</v>
      </c>
      <c r="B178" s="1" t="s">
        <v>1301</v>
      </c>
      <c r="C178">
        <f>177/14131</f>
        <v>0.012525652820041</v>
      </c>
      <c r="D178" s="1" t="s">
        <v>1302</v>
      </c>
      <c r="E178">
        <f>28/5830</f>
        <v>0.00480274442538594</v>
      </c>
      <c r="F178" s="34" t="s">
        <v>1303</v>
      </c>
      <c r="G178">
        <f>12/960</f>
        <v>0.0125</v>
      </c>
      <c r="H178" t="s">
        <v>28</v>
      </c>
      <c r="I178" t="s">
        <v>29</v>
      </c>
      <c r="J178" t="s">
        <v>435</v>
      </c>
      <c r="L178" s="4">
        <v>0.71</v>
      </c>
      <c r="M178" s="28">
        <v>77193</v>
      </c>
      <c r="X178" t="s">
        <v>1183</v>
      </c>
    </row>
    <row r="179" spans="1:24">
      <c r="A179" t="s">
        <v>1304</v>
      </c>
      <c r="B179" s="1" t="s">
        <v>1305</v>
      </c>
      <c r="C179" s="1">
        <v>0.012667186</v>
      </c>
      <c r="D179" s="26" t="s">
        <v>1306</v>
      </c>
      <c r="E179" s="26" t="s">
        <v>1307</v>
      </c>
      <c r="F179" s="26" t="s">
        <v>1308</v>
      </c>
      <c r="G179" s="26" t="s">
        <v>1309</v>
      </c>
      <c r="H179" t="s">
        <v>28</v>
      </c>
      <c r="I179" t="s">
        <v>29</v>
      </c>
      <c r="J179" t="s">
        <v>1310</v>
      </c>
      <c r="K179"/>
      <c r="L179">
        <v>0.18</v>
      </c>
      <c r="M179">
        <v>78874</v>
      </c>
      <c r="X179" t="s">
        <v>1183</v>
      </c>
    </row>
    <row r="180" spans="1:24">
      <c r="A180" t="s">
        <v>1311</v>
      </c>
      <c r="B180" s="1" t="s">
        <v>1312</v>
      </c>
      <c r="C180" s="1">
        <v>0.012737952</v>
      </c>
      <c r="D180" s="26" t="s">
        <v>1313</v>
      </c>
      <c r="E180" s="26" t="s">
        <v>1314</v>
      </c>
      <c r="F180" s="26" t="s">
        <v>1315</v>
      </c>
      <c r="G180" s="26" t="s">
        <v>1316</v>
      </c>
      <c r="H180" t="s">
        <v>52</v>
      </c>
      <c r="I180" t="s">
        <v>846</v>
      </c>
      <c r="J180" t="s">
        <v>1317</v>
      </c>
      <c r="K180"/>
      <c r="L180">
        <v>0.75</v>
      </c>
      <c r="M180">
        <v>57498</v>
      </c>
      <c r="X180" t="s">
        <v>1183</v>
      </c>
    </row>
    <row r="181" spans="1:24">
      <c r="A181" t="s">
        <v>1318</v>
      </c>
      <c r="B181" s="1" t="s">
        <v>1312</v>
      </c>
      <c r="C181" s="1">
        <v>0.012737952</v>
      </c>
      <c r="D181" s="26" t="s">
        <v>1319</v>
      </c>
      <c r="E181" s="26" t="s">
        <v>1320</v>
      </c>
      <c r="F181" s="26" t="s">
        <v>1321</v>
      </c>
      <c r="G181" s="26" t="s">
        <v>1322</v>
      </c>
      <c r="H181" t="s">
        <v>28</v>
      </c>
      <c r="I181" t="s">
        <v>29</v>
      </c>
      <c r="J181" t="s">
        <v>985</v>
      </c>
      <c r="K181"/>
      <c r="L181">
        <v>0.09</v>
      </c>
      <c r="M181">
        <v>84784</v>
      </c>
      <c r="X181" t="s">
        <v>1183</v>
      </c>
    </row>
    <row r="182" spans="1:24">
      <c r="A182" t="s">
        <v>1323</v>
      </c>
      <c r="B182" s="1" t="s">
        <v>1324</v>
      </c>
      <c r="C182" s="1">
        <v>0.012808718</v>
      </c>
      <c r="D182" s="26" t="s">
        <v>1325</v>
      </c>
      <c r="E182" s="26" t="s">
        <v>1326</v>
      </c>
      <c r="F182" s="26" t="s">
        <v>1327</v>
      </c>
      <c r="G182" s="26" t="s">
        <v>1328</v>
      </c>
      <c r="H182" t="s">
        <v>113</v>
      </c>
      <c r="I182" t="s">
        <v>193</v>
      </c>
      <c r="J182" t="s">
        <v>791</v>
      </c>
      <c r="K182"/>
      <c r="L182">
        <v>0.91</v>
      </c>
      <c r="M182">
        <v>76010</v>
      </c>
      <c r="X182" t="s">
        <v>1183</v>
      </c>
    </row>
    <row r="183" spans="1:24">
      <c r="A183" t="s">
        <v>1329</v>
      </c>
      <c r="B183" s="1" t="s">
        <v>1330</v>
      </c>
      <c r="C183">
        <f>182/14131</f>
        <v>0.0128794848206072</v>
      </c>
      <c r="D183" s="34" t="s">
        <v>662</v>
      </c>
      <c r="E183">
        <f>50/2597</f>
        <v>0.0192529842125529</v>
      </c>
      <c r="F183" s="34" t="s">
        <v>1331</v>
      </c>
      <c r="G183">
        <f>5/58</f>
        <v>0.0862068965517241</v>
      </c>
      <c r="H183" t="s">
        <v>52</v>
      </c>
      <c r="I183" t="s">
        <v>1332</v>
      </c>
      <c r="J183" t="s">
        <v>1333</v>
      </c>
      <c r="L183" s="4">
        <v>0.12</v>
      </c>
      <c r="M183" s="28">
        <v>123616</v>
      </c>
      <c r="X183" t="s">
        <v>1183</v>
      </c>
    </row>
    <row r="184" spans="1:24">
      <c r="A184" t="s">
        <v>1334</v>
      </c>
      <c r="B184" s="1" t="s">
        <v>1335</v>
      </c>
      <c r="C184">
        <f>183/14131</f>
        <v>0.0129502512207204</v>
      </c>
      <c r="D184" s="34" t="s">
        <v>1157</v>
      </c>
      <c r="E184">
        <f>72/2597</f>
        <v>0.0277242972660762</v>
      </c>
      <c r="F184" s="34" t="s">
        <v>1158</v>
      </c>
      <c r="G184">
        <f>8/58</f>
        <v>0.137931034482759</v>
      </c>
      <c r="H184" t="s">
        <v>28</v>
      </c>
      <c r="I184" t="s">
        <v>29</v>
      </c>
      <c r="J184" t="s">
        <v>163</v>
      </c>
      <c r="L184" s="4">
        <v>0.89</v>
      </c>
      <c r="M184" s="28">
        <v>105172</v>
      </c>
      <c r="X184" t="s">
        <v>1183</v>
      </c>
    </row>
    <row r="185" spans="1:24">
      <c r="A185" t="s">
        <v>1336</v>
      </c>
      <c r="B185" s="1" t="s">
        <v>1337</v>
      </c>
      <c r="C185">
        <f>184/14131</f>
        <v>0.0130210176208336</v>
      </c>
      <c r="D185" s="34" t="s">
        <v>587</v>
      </c>
      <c r="E185">
        <f>48/2597</f>
        <v>0.0184828648440508</v>
      </c>
      <c r="F185" s="34" t="s">
        <v>1338</v>
      </c>
      <c r="G185">
        <f>16/163</f>
        <v>0.098159509202454</v>
      </c>
      <c r="H185" t="s">
        <v>113</v>
      </c>
      <c r="I185" t="s">
        <v>655</v>
      </c>
      <c r="J185" t="s">
        <v>656</v>
      </c>
      <c r="L185" s="4">
        <v>0.47</v>
      </c>
      <c r="M185" s="28">
        <v>129414</v>
      </c>
      <c r="X185" t="s">
        <v>1183</v>
      </c>
    </row>
    <row r="186" spans="1:24">
      <c r="A186" t="s">
        <v>1339</v>
      </c>
      <c r="B186" s="1" t="s">
        <v>1337</v>
      </c>
      <c r="C186" s="1">
        <v>0.013021018</v>
      </c>
      <c r="D186" s="26" t="s">
        <v>1340</v>
      </c>
      <c r="E186" s="26" t="s">
        <v>1341</v>
      </c>
      <c r="F186" s="26" t="s">
        <v>1342</v>
      </c>
      <c r="G186" s="26" t="s">
        <v>1343</v>
      </c>
      <c r="H186" t="s">
        <v>28</v>
      </c>
      <c r="I186" t="s">
        <v>340</v>
      </c>
      <c r="J186" t="s">
        <v>1046</v>
      </c>
      <c r="K186"/>
      <c r="L186">
        <v>0.6</v>
      </c>
      <c r="M186">
        <v>76861</v>
      </c>
      <c r="X186" t="s">
        <v>1183</v>
      </c>
    </row>
    <row r="187" spans="1:24">
      <c r="A187" t="s">
        <v>1344</v>
      </c>
      <c r="B187" s="1" t="s">
        <v>1345</v>
      </c>
      <c r="C187" s="1">
        <v>0.013091784</v>
      </c>
      <c r="D187" s="26" t="s">
        <v>1346</v>
      </c>
      <c r="E187" s="26" t="s">
        <v>1347</v>
      </c>
      <c r="F187" s="26" t="s">
        <v>1348</v>
      </c>
      <c r="G187" s="26" t="s">
        <v>1349</v>
      </c>
      <c r="H187" t="s">
        <v>52</v>
      </c>
      <c r="I187" t="s">
        <v>102</v>
      </c>
      <c r="J187" t="s">
        <v>1051</v>
      </c>
      <c r="K187"/>
      <c r="L187">
        <v>0.8</v>
      </c>
      <c r="M187">
        <v>60512</v>
      </c>
      <c r="X187" t="s">
        <v>1183</v>
      </c>
    </row>
    <row r="188" spans="1:24">
      <c r="A188" t="s">
        <v>1350</v>
      </c>
      <c r="B188" s="1" t="s">
        <v>1351</v>
      </c>
      <c r="C188" s="1">
        <v>0.01316255</v>
      </c>
      <c r="D188" s="26" t="s">
        <v>1352</v>
      </c>
      <c r="E188" s="26" t="s">
        <v>1353</v>
      </c>
      <c r="F188" s="26" t="s">
        <v>1354</v>
      </c>
      <c r="G188" s="26" t="s">
        <v>1355</v>
      </c>
      <c r="H188" t="s">
        <v>52</v>
      </c>
      <c r="I188" t="s">
        <v>152</v>
      </c>
      <c r="J188" t="s">
        <v>153</v>
      </c>
      <c r="K188"/>
      <c r="L188">
        <v>0.59</v>
      </c>
      <c r="M188">
        <v>62717</v>
      </c>
      <c r="X188" t="s">
        <v>1183</v>
      </c>
    </row>
    <row r="189" spans="1:24">
      <c r="A189" t="s">
        <v>1356</v>
      </c>
      <c r="B189" s="1" t="s">
        <v>1357</v>
      </c>
      <c r="C189">
        <f>187/14131</f>
        <v>0.0132333168211733</v>
      </c>
      <c r="D189" s="36" t="s">
        <v>1358</v>
      </c>
      <c r="E189">
        <f>3/5830</f>
        <v>0.000514579759862779</v>
      </c>
      <c r="F189" s="34" t="s">
        <v>1359</v>
      </c>
      <c r="G189">
        <f>2/719</f>
        <v>0.00278164116828929</v>
      </c>
      <c r="H189" t="s">
        <v>52</v>
      </c>
      <c r="I189" t="s">
        <v>991</v>
      </c>
      <c r="J189" t="s">
        <v>1360</v>
      </c>
      <c r="L189" s="4">
        <v>0.55</v>
      </c>
      <c r="M189" s="28">
        <v>90683</v>
      </c>
      <c r="X189" t="s">
        <v>1183</v>
      </c>
    </row>
    <row r="190" spans="1:24">
      <c r="A190" t="s">
        <v>1361</v>
      </c>
      <c r="B190" s="1" t="s">
        <v>1362</v>
      </c>
      <c r="C190" s="1">
        <v>0.013304083</v>
      </c>
      <c r="D190" s="26" t="s">
        <v>1363</v>
      </c>
      <c r="E190" s="26" t="s">
        <v>1364</v>
      </c>
      <c r="F190" s="26" t="s">
        <v>1365</v>
      </c>
      <c r="G190" s="26" t="s">
        <v>1366</v>
      </c>
      <c r="H190" t="s">
        <v>28</v>
      </c>
      <c r="I190" t="s">
        <v>29</v>
      </c>
      <c r="J190" t="s">
        <v>313</v>
      </c>
      <c r="K190"/>
      <c r="L190">
        <v>0.14</v>
      </c>
      <c r="M190">
        <v>66150</v>
      </c>
      <c r="X190" t="s">
        <v>1183</v>
      </c>
    </row>
    <row r="191" spans="1:24">
      <c r="A191" t="s">
        <v>1367</v>
      </c>
      <c r="B191" s="1" t="s">
        <v>1362</v>
      </c>
      <c r="C191" s="1">
        <v>0.013304083</v>
      </c>
      <c r="D191" s="26" t="s">
        <v>1368</v>
      </c>
      <c r="E191" s="26" t="s">
        <v>1369</v>
      </c>
      <c r="F191" s="26" t="s">
        <v>1370</v>
      </c>
      <c r="G191" s="26" t="s">
        <v>1371</v>
      </c>
      <c r="H191" t="s">
        <v>52</v>
      </c>
      <c r="I191" t="s">
        <v>564</v>
      </c>
      <c r="J191" t="s">
        <v>565</v>
      </c>
      <c r="K191"/>
      <c r="L191">
        <v>0.65</v>
      </c>
      <c r="M191">
        <v>91913</v>
      </c>
      <c r="X191" t="s">
        <v>1183</v>
      </c>
    </row>
    <row r="192" spans="1:24">
      <c r="A192" t="s">
        <v>1372</v>
      </c>
      <c r="B192" s="1" t="s">
        <v>1373</v>
      </c>
      <c r="C192" s="1">
        <v>0.013516382</v>
      </c>
      <c r="D192" s="26" t="s">
        <v>1374</v>
      </c>
      <c r="E192" s="26" t="s">
        <v>1375</v>
      </c>
      <c r="F192" s="26" t="s">
        <v>1376</v>
      </c>
      <c r="G192" s="26" t="s">
        <v>1377</v>
      </c>
      <c r="H192" t="s">
        <v>113</v>
      </c>
      <c r="I192" t="s">
        <v>134</v>
      </c>
      <c r="J192" t="s">
        <v>957</v>
      </c>
      <c r="K192"/>
      <c r="L192">
        <v>0.17</v>
      </c>
      <c r="M192">
        <v>53491</v>
      </c>
      <c r="X192" t="s">
        <v>1183</v>
      </c>
    </row>
    <row r="193" spans="1:24">
      <c r="A193" t="s">
        <v>1378</v>
      </c>
      <c r="B193" s="1" t="s">
        <v>1373</v>
      </c>
      <c r="C193">
        <f>191/14131</f>
        <v>0.0135163824216262</v>
      </c>
      <c r="D193" s="34" t="s">
        <v>1257</v>
      </c>
      <c r="E193">
        <f>90/2597</f>
        <v>0.0346553715825953</v>
      </c>
      <c r="F193" s="34" t="s">
        <v>1379</v>
      </c>
      <c r="G193">
        <f>9/88</f>
        <v>0.102272727272727</v>
      </c>
      <c r="H193" t="s">
        <v>28</v>
      </c>
      <c r="I193" t="s">
        <v>29</v>
      </c>
      <c r="J193" t="s">
        <v>969</v>
      </c>
      <c r="L193" s="4">
        <v>0.59</v>
      </c>
      <c r="M193" s="28">
        <v>47974</v>
      </c>
      <c r="X193" t="s">
        <v>1183</v>
      </c>
    </row>
    <row r="194" spans="1:24">
      <c r="A194" t="s">
        <v>1380</v>
      </c>
      <c r="B194" s="1" t="s">
        <v>1381</v>
      </c>
      <c r="C194">
        <f>192/14131</f>
        <v>0.0135871488217394</v>
      </c>
      <c r="D194" s="34" t="s">
        <v>1382</v>
      </c>
      <c r="E194">
        <f>159/2597</f>
        <v>0.0612244897959184</v>
      </c>
      <c r="F194" s="34" t="s">
        <v>1383</v>
      </c>
      <c r="G194">
        <f>7/63</f>
        <v>0.111111111111111</v>
      </c>
      <c r="H194" t="s">
        <v>52</v>
      </c>
      <c r="I194" t="s">
        <v>53</v>
      </c>
      <c r="J194" t="s">
        <v>260</v>
      </c>
      <c r="L194" s="4">
        <v>0.26</v>
      </c>
      <c r="M194" s="28">
        <v>83559</v>
      </c>
      <c r="X194" t="s">
        <v>1183</v>
      </c>
    </row>
    <row r="195" spans="1:24">
      <c r="A195" t="s">
        <v>1384</v>
      </c>
      <c r="B195" s="1" t="s">
        <v>1385</v>
      </c>
      <c r="C195" s="1">
        <v>0.013657915</v>
      </c>
      <c r="D195" s="26" t="s">
        <v>1386</v>
      </c>
      <c r="E195" s="26" t="s">
        <v>1387</v>
      </c>
      <c r="F195" s="26" t="s">
        <v>1388</v>
      </c>
      <c r="G195" s="26" t="s">
        <v>1389</v>
      </c>
      <c r="H195" t="s">
        <v>52</v>
      </c>
      <c r="I195" t="s">
        <v>891</v>
      </c>
      <c r="J195" t="s">
        <v>892</v>
      </c>
      <c r="K195"/>
      <c r="L195">
        <v>0.4</v>
      </c>
      <c r="M195">
        <v>48999</v>
      </c>
      <c r="X195" t="s">
        <v>1183</v>
      </c>
    </row>
    <row r="196" spans="1:24">
      <c r="A196" t="s">
        <v>1390</v>
      </c>
      <c r="B196" s="1" t="s">
        <v>1391</v>
      </c>
      <c r="C196">
        <f>194/14131</f>
        <v>0.0137286816219659</v>
      </c>
      <c r="D196" s="34" t="s">
        <v>1269</v>
      </c>
      <c r="E196">
        <f>95/2597</f>
        <v>0.0365806700038506</v>
      </c>
      <c r="F196" s="34" t="s">
        <v>1392</v>
      </c>
      <c r="G196">
        <f>20/369</f>
        <v>0.0542005420054201</v>
      </c>
      <c r="H196" t="s">
        <v>113</v>
      </c>
      <c r="I196" t="s">
        <v>193</v>
      </c>
      <c r="J196" t="s">
        <v>936</v>
      </c>
      <c r="L196" s="4">
        <v>0.41</v>
      </c>
      <c r="M196">
        <v>151</v>
      </c>
      <c r="X196" t="s">
        <v>1183</v>
      </c>
    </row>
    <row r="197" spans="1:24">
      <c r="A197" t="s">
        <v>1393</v>
      </c>
      <c r="B197" s="1" t="s">
        <v>1391</v>
      </c>
      <c r="C197" s="1">
        <v>0.013728682</v>
      </c>
      <c r="D197" s="26" t="s">
        <v>1386</v>
      </c>
      <c r="E197" s="26" t="s">
        <v>1387</v>
      </c>
      <c r="F197" s="26" t="s">
        <v>1388</v>
      </c>
      <c r="G197" s="26" t="s">
        <v>1389</v>
      </c>
      <c r="H197" t="s">
        <v>52</v>
      </c>
      <c r="I197" t="s">
        <v>902</v>
      </c>
      <c r="J197" t="s">
        <v>1394</v>
      </c>
      <c r="K197"/>
      <c r="L197">
        <v>0.43</v>
      </c>
      <c r="M197">
        <v>72575</v>
      </c>
      <c r="X197" t="s">
        <v>1183</v>
      </c>
    </row>
    <row r="198" spans="1:24">
      <c r="A198" t="s">
        <v>1395</v>
      </c>
      <c r="B198" s="1" t="s">
        <v>1396</v>
      </c>
      <c r="C198">
        <f>197/14131</f>
        <v>0.0139409808223056</v>
      </c>
      <c r="D198" s="35" t="s">
        <v>79</v>
      </c>
      <c r="E198">
        <f>9/2597</f>
        <v>0.00346553715825953</v>
      </c>
      <c r="F198" s="34" t="s">
        <v>1397</v>
      </c>
      <c r="G198">
        <f>1/63</f>
        <v>0.0158730158730159</v>
      </c>
      <c r="H198" t="s">
        <v>28</v>
      </c>
      <c r="I198" t="s">
        <v>340</v>
      </c>
      <c r="J198" t="s">
        <v>417</v>
      </c>
      <c r="L198" s="4">
        <v>0.5</v>
      </c>
      <c r="M198" s="28">
        <v>86773</v>
      </c>
      <c r="X198" t="s">
        <v>1183</v>
      </c>
    </row>
    <row r="199" spans="1:24">
      <c r="A199" t="s">
        <v>1398</v>
      </c>
      <c r="B199" s="1" t="s">
        <v>1396</v>
      </c>
      <c r="C199" s="1">
        <v>0.013940981</v>
      </c>
      <c r="D199" s="26" t="s">
        <v>1399</v>
      </c>
      <c r="E199" s="26" t="s">
        <v>1400</v>
      </c>
      <c r="F199" s="26" t="s">
        <v>1401</v>
      </c>
      <c r="G199" s="26" t="s">
        <v>1402</v>
      </c>
      <c r="H199" t="s">
        <v>52</v>
      </c>
      <c r="I199" t="s">
        <v>1030</v>
      </c>
      <c r="J199" t="s">
        <v>1031</v>
      </c>
      <c r="K199"/>
      <c r="L199">
        <v>0.78</v>
      </c>
      <c r="M199">
        <v>52599</v>
      </c>
      <c r="X199" t="s">
        <v>1183</v>
      </c>
    </row>
    <row r="200" spans="1:24">
      <c r="A200" t="s">
        <v>1403</v>
      </c>
      <c r="B200" s="1" t="s">
        <v>1404</v>
      </c>
      <c r="C200" s="1">
        <v>0.014011747</v>
      </c>
      <c r="D200" s="26" t="s">
        <v>1405</v>
      </c>
      <c r="E200" s="26" t="s">
        <v>1406</v>
      </c>
      <c r="F200" s="26" t="s">
        <v>1407</v>
      </c>
      <c r="G200" s="26" t="s">
        <v>1408</v>
      </c>
      <c r="H200" t="s">
        <v>113</v>
      </c>
      <c r="I200" t="s">
        <v>655</v>
      </c>
      <c r="J200" t="s">
        <v>656</v>
      </c>
      <c r="K200"/>
      <c r="L200">
        <v>0.41</v>
      </c>
      <c r="M200">
        <v>48378</v>
      </c>
      <c r="X200" t="s">
        <v>1183</v>
      </c>
    </row>
    <row r="201" spans="1:24">
      <c r="A201" t="s">
        <v>1409</v>
      </c>
      <c r="B201" s="1" t="s">
        <v>1410</v>
      </c>
      <c r="C201" s="1">
        <v>0.014082514</v>
      </c>
      <c r="D201" s="26" t="s">
        <v>1411</v>
      </c>
      <c r="E201" s="26" t="s">
        <v>1412</v>
      </c>
      <c r="F201" s="26" t="s">
        <v>1413</v>
      </c>
      <c r="G201" s="26" t="s">
        <v>1414</v>
      </c>
      <c r="H201" t="s">
        <v>28</v>
      </c>
      <c r="I201" t="s">
        <v>29</v>
      </c>
      <c r="J201" t="s">
        <v>83</v>
      </c>
      <c r="K201"/>
      <c r="L201">
        <v>0.41</v>
      </c>
      <c r="M201">
        <v>51711</v>
      </c>
      <c r="X201" t="s">
        <v>1183</v>
      </c>
    </row>
    <row r="202" spans="1:24">
      <c r="A202" t="s">
        <v>1415</v>
      </c>
      <c r="B202" s="1" t="s">
        <v>1416</v>
      </c>
      <c r="C202">
        <f>200/14131</f>
        <v>0.0141532800226452</v>
      </c>
      <c r="D202" s="34" t="s">
        <v>1417</v>
      </c>
      <c r="E202">
        <f>88/2597</f>
        <v>0.0338852522140932</v>
      </c>
      <c r="F202" s="34" t="s">
        <v>1418</v>
      </c>
      <c r="G202">
        <f>1/32</f>
        <v>0.03125</v>
      </c>
      <c r="H202" t="s">
        <v>28</v>
      </c>
      <c r="I202" t="s">
        <v>29</v>
      </c>
      <c r="J202" t="s">
        <v>91</v>
      </c>
      <c r="L202" s="4">
        <v>0.48</v>
      </c>
      <c r="M202" s="28">
        <v>86314</v>
      </c>
      <c r="X202" t="s">
        <v>1183</v>
      </c>
    </row>
    <row r="203" spans="1:24">
      <c r="A203" t="s">
        <v>1419</v>
      </c>
      <c r="B203" s="1" t="s">
        <v>1420</v>
      </c>
      <c r="C203" s="1">
        <v>0.014224046</v>
      </c>
      <c r="D203" s="26" t="s">
        <v>1421</v>
      </c>
      <c r="E203" s="26" t="s">
        <v>1422</v>
      </c>
      <c r="F203" s="26" t="s">
        <v>1423</v>
      </c>
      <c r="G203" s="26" t="s">
        <v>1424</v>
      </c>
      <c r="H203" t="s">
        <v>28</v>
      </c>
      <c r="I203" t="s">
        <v>29</v>
      </c>
      <c r="J203" t="s">
        <v>581</v>
      </c>
      <c r="K203"/>
      <c r="L203">
        <v>0.16</v>
      </c>
      <c r="M203">
        <v>47281</v>
      </c>
      <c r="X203" t="s">
        <v>1425</v>
      </c>
    </row>
    <row r="204" spans="1:24">
      <c r="A204" t="s">
        <v>1426</v>
      </c>
      <c r="B204" s="1" t="s">
        <v>1427</v>
      </c>
      <c r="C204">
        <f>202/14131</f>
        <v>0.0142948128228717</v>
      </c>
      <c r="D204" s="34" t="s">
        <v>1417</v>
      </c>
      <c r="E204">
        <f>88/2597</f>
        <v>0.0338852522140932</v>
      </c>
      <c r="F204" s="34" t="s">
        <v>1428</v>
      </c>
      <c r="G204">
        <f>78/2496</f>
        <v>0.03125</v>
      </c>
      <c r="H204" t="s">
        <v>113</v>
      </c>
      <c r="I204" t="s">
        <v>134</v>
      </c>
      <c r="J204" t="s">
        <v>919</v>
      </c>
      <c r="L204" s="4">
        <v>0.87</v>
      </c>
      <c r="M204" s="28">
        <v>113931</v>
      </c>
      <c r="X204" t="s">
        <v>1425</v>
      </c>
    </row>
    <row r="205" spans="1:24">
      <c r="A205" t="s">
        <v>1429</v>
      </c>
      <c r="B205" s="1" t="s">
        <v>1430</v>
      </c>
      <c r="C205" s="1">
        <v>0.014436346</v>
      </c>
      <c r="D205" s="26" t="s">
        <v>1399</v>
      </c>
      <c r="E205" s="26" t="s">
        <v>1400</v>
      </c>
      <c r="F205" s="26" t="s">
        <v>1431</v>
      </c>
      <c r="G205" s="26" t="s">
        <v>1432</v>
      </c>
      <c r="H205" t="s">
        <v>28</v>
      </c>
      <c r="I205" t="s">
        <v>29</v>
      </c>
      <c r="J205" t="s">
        <v>581</v>
      </c>
      <c r="K205"/>
      <c r="L205">
        <v>0.88</v>
      </c>
      <c r="M205">
        <v>140300</v>
      </c>
      <c r="X205" t="s">
        <v>1425</v>
      </c>
    </row>
    <row r="206" spans="1:24">
      <c r="A206" t="s">
        <v>1433</v>
      </c>
      <c r="B206" s="1" t="s">
        <v>1434</v>
      </c>
      <c r="C206">
        <f>205/14131</f>
        <v>0.0145071120232114</v>
      </c>
      <c r="D206" s="34" t="s">
        <v>1435</v>
      </c>
      <c r="E206">
        <f>108/2597</f>
        <v>0.0415864458991144</v>
      </c>
      <c r="F206" s="34" t="s">
        <v>1436</v>
      </c>
      <c r="G206">
        <f>14/101</f>
        <v>0.138613861386139</v>
      </c>
      <c r="H206" t="s">
        <v>113</v>
      </c>
      <c r="I206" t="s">
        <v>134</v>
      </c>
      <c r="J206" t="s">
        <v>1437</v>
      </c>
      <c r="L206" s="4">
        <v>0.1</v>
      </c>
      <c r="M206" s="28">
        <v>155865</v>
      </c>
      <c r="X206" t="s">
        <v>1425</v>
      </c>
    </row>
    <row r="207" spans="1:24">
      <c r="A207" t="s">
        <v>1438</v>
      </c>
      <c r="B207" s="1" t="s">
        <v>1439</v>
      </c>
      <c r="C207">
        <f>206/14131</f>
        <v>0.0145778784233246</v>
      </c>
      <c r="D207" s="34" t="s">
        <v>781</v>
      </c>
      <c r="E207">
        <f>59/2597</f>
        <v>0.0227185213708125</v>
      </c>
      <c r="F207" s="34" t="s">
        <v>1440</v>
      </c>
      <c r="G207">
        <f>1/385</f>
        <v>0.0025974025974026</v>
      </c>
      <c r="H207" t="s">
        <v>52</v>
      </c>
      <c r="I207" t="s">
        <v>846</v>
      </c>
      <c r="J207" t="s">
        <v>1040</v>
      </c>
      <c r="L207" s="4">
        <v>0.24</v>
      </c>
      <c r="M207" s="28">
        <v>74167</v>
      </c>
      <c r="X207" t="s">
        <v>1425</v>
      </c>
    </row>
    <row r="208" spans="1:24">
      <c r="A208" t="s">
        <v>1441</v>
      </c>
      <c r="B208" s="1" t="s">
        <v>1442</v>
      </c>
      <c r="C208" s="1">
        <v>0.014719411</v>
      </c>
      <c r="D208" s="26" t="s">
        <v>1443</v>
      </c>
      <c r="E208" s="26" t="s">
        <v>1444</v>
      </c>
      <c r="F208" s="26" t="s">
        <v>1445</v>
      </c>
      <c r="G208" s="26" t="s">
        <v>1446</v>
      </c>
      <c r="H208" t="s">
        <v>52</v>
      </c>
      <c r="I208" t="s">
        <v>53</v>
      </c>
      <c r="J208" t="s">
        <v>744</v>
      </c>
      <c r="K208"/>
      <c r="L208">
        <v>0.55</v>
      </c>
      <c r="M208">
        <v>48643</v>
      </c>
      <c r="X208" t="s">
        <v>1425</v>
      </c>
    </row>
    <row r="209" spans="1:24">
      <c r="A209" t="s">
        <v>1447</v>
      </c>
      <c r="B209" s="1" t="s">
        <v>1448</v>
      </c>
      <c r="C209">
        <f>209/14131</f>
        <v>0.0147901776236643</v>
      </c>
      <c r="D209" s="34" t="s">
        <v>1449</v>
      </c>
      <c r="E209">
        <f>32/2597</f>
        <v>0.0123219098960339</v>
      </c>
      <c r="F209" s="34" t="s">
        <v>1450</v>
      </c>
      <c r="G209">
        <f>3/23</f>
        <v>0.130434782608696</v>
      </c>
      <c r="H209" t="s">
        <v>52</v>
      </c>
      <c r="I209" t="s">
        <v>711</v>
      </c>
      <c r="J209" t="s">
        <v>711</v>
      </c>
      <c r="L209" s="4">
        <v>0.46</v>
      </c>
      <c r="M209" s="28">
        <v>82423</v>
      </c>
      <c r="X209" t="s">
        <v>1425</v>
      </c>
    </row>
    <row r="210" spans="1:24">
      <c r="A210" t="s">
        <v>1451</v>
      </c>
      <c r="B210" s="1" t="s">
        <v>1452</v>
      </c>
      <c r="C210" s="1">
        <v>0.014860944</v>
      </c>
      <c r="D210" s="26" t="s">
        <v>1453</v>
      </c>
      <c r="E210" s="26" t="s">
        <v>1454</v>
      </c>
      <c r="F210" s="26" t="s">
        <v>1413</v>
      </c>
      <c r="G210" s="26" t="s">
        <v>1414</v>
      </c>
      <c r="H210" t="s">
        <v>28</v>
      </c>
      <c r="I210" t="s">
        <v>340</v>
      </c>
      <c r="J210" t="s">
        <v>674</v>
      </c>
      <c r="K210"/>
      <c r="L210">
        <v>0.17</v>
      </c>
      <c r="M210">
        <v>46419</v>
      </c>
      <c r="X210" t="s">
        <v>1425</v>
      </c>
    </row>
    <row r="211" spans="1:24">
      <c r="A211" t="s">
        <v>1455</v>
      </c>
      <c r="B211" s="1" t="s">
        <v>1456</v>
      </c>
      <c r="C211">
        <f>211/14131</f>
        <v>0.0149317104238907</v>
      </c>
      <c r="D211" s="34" t="s">
        <v>130</v>
      </c>
      <c r="E211">
        <f>8/2597</f>
        <v>0.00308047747400847</v>
      </c>
      <c r="F211" s="34" t="s">
        <v>1457</v>
      </c>
      <c r="G211">
        <f>7/163</f>
        <v>0.0429447852760736</v>
      </c>
      <c r="H211" t="s">
        <v>52</v>
      </c>
      <c r="I211" t="s">
        <v>991</v>
      </c>
      <c r="J211" t="s">
        <v>1123</v>
      </c>
      <c r="L211" s="4">
        <v>0.45</v>
      </c>
      <c r="M211" s="28">
        <v>73270</v>
      </c>
      <c r="X211" t="s">
        <v>1425</v>
      </c>
    </row>
    <row r="212" spans="1:24">
      <c r="A212" t="s">
        <v>1458</v>
      </c>
      <c r="B212" s="1" t="s">
        <v>1456</v>
      </c>
      <c r="C212">
        <f>211/14131</f>
        <v>0.0149317104238907</v>
      </c>
      <c r="D212" s="34" t="s">
        <v>1459</v>
      </c>
      <c r="E212">
        <f>18/5830</f>
        <v>0.00308747855917667</v>
      </c>
      <c r="F212" s="34" t="s">
        <v>1460</v>
      </c>
      <c r="G212">
        <f>7/719</f>
        <v>0.00973574408901252</v>
      </c>
      <c r="H212" t="s">
        <v>52</v>
      </c>
      <c r="I212" t="s">
        <v>991</v>
      </c>
      <c r="J212" t="s">
        <v>1123</v>
      </c>
      <c r="L212" s="4">
        <v>0.45</v>
      </c>
      <c r="M212" s="28">
        <v>73270</v>
      </c>
      <c r="X212" t="s">
        <v>1425</v>
      </c>
    </row>
    <row r="213" spans="1:24">
      <c r="A213" t="s">
        <v>1461</v>
      </c>
      <c r="B213" s="1" t="s">
        <v>1462</v>
      </c>
      <c r="C213">
        <f>212/14131</f>
        <v>0.015002476824004</v>
      </c>
      <c r="D213" s="34" t="s">
        <v>1463</v>
      </c>
      <c r="E213">
        <f>3/1756</f>
        <v>0.00170842824601367</v>
      </c>
      <c r="F213" s="34" t="s">
        <v>1464</v>
      </c>
      <c r="G213">
        <f>2/198</f>
        <v>0.0101010101010101</v>
      </c>
      <c r="H213" t="s">
        <v>52</v>
      </c>
      <c r="I213" t="s">
        <v>53</v>
      </c>
      <c r="J213" t="s">
        <v>1465</v>
      </c>
      <c r="L213" s="4">
        <v>0.29</v>
      </c>
      <c r="M213" s="28">
        <v>84399</v>
      </c>
      <c r="X213" t="s">
        <v>1425</v>
      </c>
    </row>
    <row r="214" spans="1:24">
      <c r="A214" t="s">
        <v>1466</v>
      </c>
      <c r="B214" s="1" t="s">
        <v>1467</v>
      </c>
      <c r="C214" s="1">
        <v>0.015073243</v>
      </c>
      <c r="D214" s="26" t="s">
        <v>1468</v>
      </c>
      <c r="E214" s="26" t="s">
        <v>1469</v>
      </c>
      <c r="F214" s="26" t="s">
        <v>1470</v>
      </c>
      <c r="G214" s="26" t="s">
        <v>312</v>
      </c>
      <c r="H214" t="s">
        <v>28</v>
      </c>
      <c r="I214" t="s">
        <v>29</v>
      </c>
      <c r="J214" t="s">
        <v>30</v>
      </c>
      <c r="K214"/>
      <c r="L214">
        <v>0.73</v>
      </c>
      <c r="M214">
        <v>97744</v>
      </c>
      <c r="X214" t="s">
        <v>1425</v>
      </c>
    </row>
    <row r="215" spans="1:24">
      <c r="A215" t="s">
        <v>1471</v>
      </c>
      <c r="B215" s="1" t="s">
        <v>1472</v>
      </c>
      <c r="C215">
        <f>214/14131</f>
        <v>0.0151440096242304</v>
      </c>
      <c r="D215" s="34" t="s">
        <v>1042</v>
      </c>
      <c r="E215">
        <f>73/2597</f>
        <v>0.0281093569503273</v>
      </c>
      <c r="F215" s="34" t="s">
        <v>1473</v>
      </c>
      <c r="G215">
        <f>66/2496</f>
        <v>0.0264423076923077</v>
      </c>
      <c r="H215" t="s">
        <v>52</v>
      </c>
      <c r="I215" t="s">
        <v>53</v>
      </c>
      <c r="J215" t="s">
        <v>1117</v>
      </c>
      <c r="L215" s="4">
        <v>0.52</v>
      </c>
      <c r="M215" s="28">
        <v>72853</v>
      </c>
      <c r="X215" t="s">
        <v>1425</v>
      </c>
    </row>
    <row r="216" spans="1:24">
      <c r="A216" t="s">
        <v>1474</v>
      </c>
      <c r="B216" s="1" t="s">
        <v>1475</v>
      </c>
      <c r="C216">
        <f>215/14131</f>
        <v>0.0152147760243436</v>
      </c>
      <c r="D216" s="34" t="s">
        <v>1476</v>
      </c>
      <c r="E216">
        <f>2/1756</f>
        <v>0.00113895216400911</v>
      </c>
      <c r="F216" s="34" t="s">
        <v>819</v>
      </c>
      <c r="G216">
        <f>1/538</f>
        <v>0.00185873605947955</v>
      </c>
      <c r="H216" t="s">
        <v>52</v>
      </c>
      <c r="I216" t="s">
        <v>152</v>
      </c>
      <c r="J216" t="s">
        <v>952</v>
      </c>
      <c r="L216" s="4">
        <v>0.2</v>
      </c>
      <c r="M216" s="28">
        <v>82378</v>
      </c>
      <c r="X216" t="s">
        <v>1425</v>
      </c>
    </row>
    <row r="217" spans="1:24">
      <c r="A217" t="s">
        <v>1477</v>
      </c>
      <c r="B217" s="1" t="s">
        <v>1478</v>
      </c>
      <c r="C217">
        <f>216/14131</f>
        <v>0.0152855424244569</v>
      </c>
      <c r="D217" s="34" t="s">
        <v>71</v>
      </c>
      <c r="E217">
        <f>5/2597</f>
        <v>0.00192529842125529</v>
      </c>
      <c r="F217" s="34" t="s">
        <v>72</v>
      </c>
      <c r="G217">
        <f>5/2496</f>
        <v>0.00200320512820513</v>
      </c>
      <c r="H217" t="s">
        <v>52</v>
      </c>
      <c r="I217" t="s">
        <v>902</v>
      </c>
      <c r="J217" t="s">
        <v>1479</v>
      </c>
      <c r="L217" s="4">
        <v>0.75</v>
      </c>
      <c r="M217" s="28">
        <v>98537</v>
      </c>
      <c r="X217" t="s">
        <v>1425</v>
      </c>
    </row>
    <row r="218" spans="1:24">
      <c r="A218" t="s">
        <v>1480</v>
      </c>
      <c r="B218" s="1" t="s">
        <v>1481</v>
      </c>
      <c r="C218" s="1">
        <v>0.015356309</v>
      </c>
      <c r="D218" s="26" t="s">
        <v>1482</v>
      </c>
      <c r="E218" s="26" t="s">
        <v>1483</v>
      </c>
      <c r="F218" s="26" t="s">
        <v>1484</v>
      </c>
      <c r="G218" s="26" t="s">
        <v>1485</v>
      </c>
      <c r="H218" t="s">
        <v>505</v>
      </c>
      <c r="I218" t="s">
        <v>506</v>
      </c>
      <c r="J218" t="s">
        <v>800</v>
      </c>
      <c r="K218"/>
      <c r="L218">
        <v>0.33</v>
      </c>
      <c r="M218">
        <v>41257</v>
      </c>
      <c r="X218" t="s">
        <v>1425</v>
      </c>
    </row>
    <row r="219" spans="1:24">
      <c r="A219" t="s">
        <v>1486</v>
      </c>
      <c r="B219" s="1" t="s">
        <v>1487</v>
      </c>
      <c r="C219">
        <f>218/14131</f>
        <v>0.0154270752246833</v>
      </c>
      <c r="D219" s="34" t="s">
        <v>1488</v>
      </c>
      <c r="E219">
        <f>30/5830</f>
        <v>0.00514579759862779</v>
      </c>
      <c r="F219" s="34" t="s">
        <v>1489</v>
      </c>
      <c r="G219">
        <f>3/32</f>
        <v>0.09375</v>
      </c>
      <c r="H219" t="s">
        <v>28</v>
      </c>
      <c r="I219" t="s">
        <v>29</v>
      </c>
      <c r="J219" t="s">
        <v>30</v>
      </c>
      <c r="L219" s="4">
        <v>0.18</v>
      </c>
      <c r="M219" s="28">
        <v>47052</v>
      </c>
      <c r="X219" t="s">
        <v>1425</v>
      </c>
    </row>
    <row r="220" spans="1:24">
      <c r="A220" t="s">
        <v>1490</v>
      </c>
      <c r="B220" s="1" t="s">
        <v>1491</v>
      </c>
      <c r="C220" s="1">
        <v>0.015497842</v>
      </c>
      <c r="D220" s="26" t="s">
        <v>1492</v>
      </c>
      <c r="E220" s="26" t="s">
        <v>1493</v>
      </c>
      <c r="F220" s="26" t="s">
        <v>1494</v>
      </c>
      <c r="G220" s="26" t="s">
        <v>1495</v>
      </c>
      <c r="H220" t="s">
        <v>28</v>
      </c>
      <c r="I220" t="s">
        <v>29</v>
      </c>
      <c r="J220" t="s">
        <v>91</v>
      </c>
      <c r="K220"/>
      <c r="L220">
        <v>0.95</v>
      </c>
      <c r="M220">
        <v>69511</v>
      </c>
      <c r="X220" t="s">
        <v>1425</v>
      </c>
    </row>
    <row r="221" spans="1:24">
      <c r="A221" t="s">
        <v>1496</v>
      </c>
      <c r="B221" s="1" t="s">
        <v>1497</v>
      </c>
      <c r="C221" s="1">
        <v>0.015568608</v>
      </c>
      <c r="D221" s="26" t="s">
        <v>1498</v>
      </c>
      <c r="E221" s="26" t="s">
        <v>1499</v>
      </c>
      <c r="F221" s="26" t="s">
        <v>1500</v>
      </c>
      <c r="G221" s="26" t="s">
        <v>1501</v>
      </c>
      <c r="H221" t="s">
        <v>52</v>
      </c>
      <c r="I221" t="s">
        <v>102</v>
      </c>
      <c r="J221" t="s">
        <v>1502</v>
      </c>
      <c r="K221"/>
      <c r="L221">
        <v>0.08</v>
      </c>
      <c r="M221">
        <v>72120</v>
      </c>
      <c r="X221" t="s">
        <v>1425</v>
      </c>
    </row>
    <row r="222" spans="1:24">
      <c r="A222" t="s">
        <v>1503</v>
      </c>
      <c r="B222" s="1" t="s">
        <v>1504</v>
      </c>
      <c r="C222" s="1">
        <v>0.015639374</v>
      </c>
      <c r="D222" s="26" t="s">
        <v>1505</v>
      </c>
      <c r="E222" s="26" t="s">
        <v>1506</v>
      </c>
      <c r="F222" s="26" t="s">
        <v>1507</v>
      </c>
      <c r="G222" s="26" t="s">
        <v>1508</v>
      </c>
      <c r="H222" t="s">
        <v>28</v>
      </c>
      <c r="I222" t="s">
        <v>29</v>
      </c>
      <c r="J222" t="s">
        <v>702</v>
      </c>
      <c r="K222"/>
      <c r="L222">
        <v>0.13</v>
      </c>
      <c r="M222">
        <v>54472</v>
      </c>
      <c r="X222" t="s">
        <v>1425</v>
      </c>
    </row>
    <row r="223" spans="1:24">
      <c r="A223" t="s">
        <v>1509</v>
      </c>
      <c r="B223" s="1" t="s">
        <v>1510</v>
      </c>
      <c r="C223">
        <f>222/14131</f>
        <v>0.0157101408251362</v>
      </c>
      <c r="D223" s="1" t="s">
        <v>1511</v>
      </c>
      <c r="E223">
        <f>68/2597</f>
        <v>0.026184058529072</v>
      </c>
      <c r="F223" s="34" t="s">
        <v>934</v>
      </c>
      <c r="G223">
        <f>62/2496</f>
        <v>0.0248397435897436</v>
      </c>
      <c r="H223" t="s">
        <v>28</v>
      </c>
      <c r="I223" t="s">
        <v>340</v>
      </c>
      <c r="J223" t="s">
        <v>598</v>
      </c>
      <c r="L223" s="4">
        <v>0.78</v>
      </c>
      <c r="M223" s="28">
        <v>72138</v>
      </c>
      <c r="X223" t="s">
        <v>1425</v>
      </c>
    </row>
    <row r="224" spans="1:24">
      <c r="A224" t="s">
        <v>1512</v>
      </c>
      <c r="B224" s="1" t="s">
        <v>1513</v>
      </c>
      <c r="C224" s="1">
        <v>0.015780907</v>
      </c>
      <c r="D224" s="26" t="s">
        <v>1514</v>
      </c>
      <c r="E224" s="26" t="s">
        <v>1515</v>
      </c>
      <c r="F224" s="26" t="s">
        <v>1516</v>
      </c>
      <c r="G224" s="26" t="s">
        <v>1227</v>
      </c>
      <c r="H224" t="s">
        <v>28</v>
      </c>
      <c r="I224" t="s">
        <v>29</v>
      </c>
      <c r="J224" t="s">
        <v>125</v>
      </c>
      <c r="K224"/>
      <c r="L224">
        <v>0.08</v>
      </c>
      <c r="M224">
        <v>46084</v>
      </c>
      <c r="X224" t="s">
        <v>1425</v>
      </c>
    </row>
    <row r="225" spans="1:24">
      <c r="A225" t="s">
        <v>1517</v>
      </c>
      <c r="B225" s="1" t="s">
        <v>1518</v>
      </c>
      <c r="C225" s="1">
        <v>0.015851674</v>
      </c>
      <c r="D225" s="26" t="s">
        <v>1519</v>
      </c>
      <c r="E225" s="26" t="s">
        <v>1520</v>
      </c>
      <c r="F225" s="26" t="s">
        <v>1521</v>
      </c>
      <c r="G225" s="26" t="s">
        <v>1522</v>
      </c>
      <c r="H225" t="s">
        <v>52</v>
      </c>
      <c r="I225" t="s">
        <v>991</v>
      </c>
      <c r="J225" t="s">
        <v>1123</v>
      </c>
      <c r="K225"/>
      <c r="L225">
        <v>0.37</v>
      </c>
      <c r="M225">
        <v>86041</v>
      </c>
      <c r="X225" t="s">
        <v>1425</v>
      </c>
    </row>
    <row r="226" spans="1:24">
      <c r="A226" t="s">
        <v>1523</v>
      </c>
      <c r="B226" s="1" t="s">
        <v>1524</v>
      </c>
      <c r="C226">
        <f>225/14131</f>
        <v>0.0159224400254759</v>
      </c>
      <c r="D226" s="34" t="s">
        <v>1525</v>
      </c>
      <c r="E226">
        <f>119/2597</f>
        <v>0.045822102425876</v>
      </c>
      <c r="F226" s="34" t="s">
        <v>1526</v>
      </c>
      <c r="G226">
        <f>104/2496</f>
        <v>0.0416666666666667</v>
      </c>
      <c r="H226" t="s">
        <v>28</v>
      </c>
      <c r="I226" t="s">
        <v>29</v>
      </c>
      <c r="J226" t="s">
        <v>435</v>
      </c>
      <c r="L226" s="4">
        <v>0.1</v>
      </c>
      <c r="M226" s="28">
        <v>58674</v>
      </c>
      <c r="X226" t="s">
        <v>1425</v>
      </c>
    </row>
    <row r="227" spans="1:24">
      <c r="A227" t="s">
        <v>1527</v>
      </c>
      <c r="B227" s="1" t="s">
        <v>1528</v>
      </c>
      <c r="C227" s="1">
        <v>0.015993206</v>
      </c>
      <c r="D227" s="26" t="s">
        <v>1529</v>
      </c>
      <c r="E227" s="26" t="s">
        <v>1530</v>
      </c>
      <c r="F227" s="26" t="s">
        <v>1531</v>
      </c>
      <c r="G227" s="26" t="s">
        <v>1532</v>
      </c>
      <c r="H227" t="s">
        <v>28</v>
      </c>
      <c r="I227" t="s">
        <v>29</v>
      </c>
      <c r="J227" t="s">
        <v>42</v>
      </c>
      <c r="K227"/>
      <c r="L227">
        <v>0.66</v>
      </c>
      <c r="M227">
        <v>48417</v>
      </c>
      <c r="X227" t="s">
        <v>1425</v>
      </c>
    </row>
    <row r="228" spans="1:24">
      <c r="A228" t="s">
        <v>1533</v>
      </c>
      <c r="B228" s="1" t="s">
        <v>1534</v>
      </c>
      <c r="C228">
        <f>227/14131</f>
        <v>0.0160639728257024</v>
      </c>
      <c r="D228" s="34" t="s">
        <v>408</v>
      </c>
      <c r="E228">
        <f>34/2597</f>
        <v>0.013092029264536</v>
      </c>
      <c r="F228" s="34" t="s">
        <v>1535</v>
      </c>
      <c r="G228">
        <f>32/2496</f>
        <v>0.0128205128205128</v>
      </c>
      <c r="H228" t="s">
        <v>52</v>
      </c>
      <c r="I228" t="s">
        <v>846</v>
      </c>
      <c r="J228" t="s">
        <v>1040</v>
      </c>
      <c r="L228" s="4">
        <v>0.41</v>
      </c>
      <c r="M228" s="28">
        <v>75773</v>
      </c>
      <c r="X228" t="s">
        <v>1425</v>
      </c>
    </row>
    <row r="229" spans="1:24">
      <c r="A229" t="s">
        <v>1536</v>
      </c>
      <c r="B229" s="1" t="s">
        <v>1537</v>
      </c>
      <c r="C229" s="1">
        <v>0.016134739</v>
      </c>
      <c r="D229" s="26" t="s">
        <v>1538</v>
      </c>
      <c r="E229" s="26" t="s">
        <v>1539</v>
      </c>
      <c r="F229" s="26" t="s">
        <v>1540</v>
      </c>
      <c r="G229" s="26" t="s">
        <v>1541</v>
      </c>
      <c r="H229" t="s">
        <v>52</v>
      </c>
      <c r="I229" t="s">
        <v>53</v>
      </c>
      <c r="J229" t="s">
        <v>744</v>
      </c>
      <c r="K229"/>
      <c r="L229">
        <v>0.88</v>
      </c>
      <c r="M229">
        <v>57289</v>
      </c>
      <c r="X229" t="s">
        <v>1425</v>
      </c>
    </row>
    <row r="230" spans="1:24">
      <c r="A230" t="s">
        <v>1542</v>
      </c>
      <c r="B230" s="1" t="s">
        <v>1543</v>
      </c>
      <c r="C230" s="1">
        <v>0.016205506</v>
      </c>
      <c r="D230" s="26" t="s">
        <v>1544</v>
      </c>
      <c r="E230" s="26" t="s">
        <v>1545</v>
      </c>
      <c r="F230" s="26" t="s">
        <v>1546</v>
      </c>
      <c r="G230" s="26" t="s">
        <v>1547</v>
      </c>
      <c r="H230" t="s">
        <v>28</v>
      </c>
      <c r="I230" t="s">
        <v>29</v>
      </c>
      <c r="J230" t="s">
        <v>42</v>
      </c>
      <c r="K230"/>
      <c r="L230">
        <v>0.84</v>
      </c>
      <c r="M230">
        <v>47910</v>
      </c>
      <c r="X230" t="s">
        <v>1425</v>
      </c>
    </row>
    <row r="231" spans="1:24">
      <c r="A231" t="s">
        <v>1548</v>
      </c>
      <c r="B231" s="1" t="s">
        <v>1549</v>
      </c>
      <c r="C231" s="1">
        <v>0.016276272</v>
      </c>
      <c r="D231" s="26" t="s">
        <v>1550</v>
      </c>
      <c r="E231" s="26" t="s">
        <v>1551</v>
      </c>
      <c r="F231" s="26" t="s">
        <v>1552</v>
      </c>
      <c r="G231" s="26" t="s">
        <v>1553</v>
      </c>
      <c r="H231" t="s">
        <v>52</v>
      </c>
      <c r="I231" t="s">
        <v>564</v>
      </c>
      <c r="J231" t="s">
        <v>565</v>
      </c>
      <c r="K231"/>
      <c r="L231">
        <v>0.67</v>
      </c>
      <c r="M231">
        <v>63169</v>
      </c>
      <c r="X231" t="s">
        <v>1425</v>
      </c>
    </row>
    <row r="232" spans="1:24">
      <c r="A232" t="s">
        <v>1554</v>
      </c>
      <c r="B232" s="1" t="s">
        <v>1555</v>
      </c>
      <c r="C232" s="1">
        <v>0.016347038</v>
      </c>
      <c r="D232" s="26" t="s">
        <v>1556</v>
      </c>
      <c r="E232" s="26" t="s">
        <v>1557</v>
      </c>
      <c r="F232" s="26" t="s">
        <v>1558</v>
      </c>
      <c r="G232" s="26" t="s">
        <v>1559</v>
      </c>
      <c r="H232" t="s">
        <v>28</v>
      </c>
      <c r="I232" t="s">
        <v>29</v>
      </c>
      <c r="J232" t="s">
        <v>410</v>
      </c>
      <c r="K232"/>
      <c r="L232">
        <v>0.63</v>
      </c>
      <c r="M232">
        <v>44002</v>
      </c>
      <c r="X232" t="s">
        <v>1425</v>
      </c>
    </row>
    <row r="233" spans="1:24">
      <c r="A233" t="s">
        <v>1560</v>
      </c>
      <c r="B233" s="1" t="s">
        <v>1561</v>
      </c>
      <c r="C233">
        <f>232/14131</f>
        <v>0.0164178048262685</v>
      </c>
      <c r="D233" s="34" t="s">
        <v>1074</v>
      </c>
      <c r="E233">
        <f>12/5830</f>
        <v>0.00205831903945111</v>
      </c>
      <c r="F233" s="34" t="s">
        <v>1562</v>
      </c>
      <c r="G233">
        <f>1/144</f>
        <v>0.00694444444444444</v>
      </c>
      <c r="H233" t="s">
        <v>52</v>
      </c>
      <c r="I233" t="s">
        <v>152</v>
      </c>
      <c r="J233" t="s">
        <v>153</v>
      </c>
      <c r="L233" s="4">
        <v>0.41</v>
      </c>
      <c r="M233" s="28">
        <v>66061</v>
      </c>
      <c r="X233" t="s">
        <v>1425</v>
      </c>
    </row>
    <row r="234" spans="1:24">
      <c r="A234" t="s">
        <v>1563</v>
      </c>
      <c r="B234" s="1" t="s">
        <v>1564</v>
      </c>
      <c r="C234" s="1">
        <v>0.016488571</v>
      </c>
      <c r="D234" s="26" t="s">
        <v>1565</v>
      </c>
      <c r="E234" s="26" t="s">
        <v>1566</v>
      </c>
      <c r="F234" s="26" t="s">
        <v>1567</v>
      </c>
      <c r="G234" s="26" t="s">
        <v>1568</v>
      </c>
      <c r="H234" t="s">
        <v>52</v>
      </c>
      <c r="I234" t="s">
        <v>152</v>
      </c>
      <c r="J234" t="s">
        <v>153</v>
      </c>
      <c r="K234"/>
      <c r="L234">
        <v>0.3</v>
      </c>
      <c r="M234">
        <v>44300</v>
      </c>
      <c r="X234" t="s">
        <v>1425</v>
      </c>
    </row>
    <row r="235" spans="1:24">
      <c r="A235" t="s">
        <v>1569</v>
      </c>
      <c r="B235" s="1" t="s">
        <v>1570</v>
      </c>
      <c r="C235">
        <f>234/14131</f>
        <v>0.0165593376264949</v>
      </c>
      <c r="D235" s="34" t="s">
        <v>1571</v>
      </c>
      <c r="E235">
        <f>6/5830</f>
        <v>0.00102915951972556</v>
      </c>
      <c r="F235" s="34" t="s">
        <v>790</v>
      </c>
      <c r="G235">
        <f>3/719</f>
        <v>0.00417246175243394</v>
      </c>
      <c r="H235" t="s">
        <v>28</v>
      </c>
      <c r="I235" t="s">
        <v>29</v>
      </c>
      <c r="J235" t="s">
        <v>1572</v>
      </c>
      <c r="L235" s="4">
        <v>0.09</v>
      </c>
      <c r="M235" s="28">
        <v>114240</v>
      </c>
      <c r="X235" t="s">
        <v>1425</v>
      </c>
    </row>
    <row r="236" spans="1:24">
      <c r="A236" t="s">
        <v>1573</v>
      </c>
      <c r="B236" s="1" t="s">
        <v>1574</v>
      </c>
      <c r="C236">
        <f>236/14131</f>
        <v>0.0167008704267214</v>
      </c>
      <c r="D236" s="34" t="s">
        <v>240</v>
      </c>
      <c r="E236">
        <f>29/2597</f>
        <v>0.0111667308432807</v>
      </c>
      <c r="F236" s="34" t="s">
        <v>1575</v>
      </c>
      <c r="G236">
        <f>2/88</f>
        <v>0.0227272727272727</v>
      </c>
      <c r="H236" t="s">
        <v>28</v>
      </c>
      <c r="I236" t="s">
        <v>29</v>
      </c>
      <c r="J236" t="s">
        <v>487</v>
      </c>
      <c r="L236" s="4">
        <v>0.91</v>
      </c>
      <c r="M236" s="28">
        <v>50862</v>
      </c>
      <c r="X236" t="s">
        <v>1425</v>
      </c>
    </row>
    <row r="237" spans="1:24">
      <c r="A237" t="s">
        <v>1576</v>
      </c>
      <c r="B237" s="1" t="s">
        <v>1577</v>
      </c>
      <c r="C237">
        <f>237/14131</f>
        <v>0.0167716368268346</v>
      </c>
      <c r="D237" s="34" t="s">
        <v>987</v>
      </c>
      <c r="E237">
        <f>69/2597</f>
        <v>0.0265691182133231</v>
      </c>
      <c r="F237" s="34" t="s">
        <v>1578</v>
      </c>
      <c r="G237">
        <f>63/2496</f>
        <v>0.0252403846153846</v>
      </c>
      <c r="H237" t="s">
        <v>28</v>
      </c>
      <c r="I237" t="s">
        <v>29</v>
      </c>
      <c r="J237" t="s">
        <v>1579</v>
      </c>
      <c r="L237" s="4">
        <v>0.97</v>
      </c>
      <c r="M237" s="28">
        <v>2264</v>
      </c>
      <c r="X237" t="s">
        <v>1425</v>
      </c>
    </row>
    <row r="238" spans="1:24">
      <c r="A238" t="s">
        <v>1580</v>
      </c>
      <c r="B238" s="1" t="s">
        <v>1581</v>
      </c>
      <c r="C238" s="1">
        <v>0.016842403</v>
      </c>
      <c r="D238" s="26" t="s">
        <v>1582</v>
      </c>
      <c r="E238" s="26" t="s">
        <v>1583</v>
      </c>
      <c r="F238" s="26" t="s">
        <v>1584</v>
      </c>
      <c r="G238" s="26" t="s">
        <v>1585</v>
      </c>
      <c r="H238" t="s">
        <v>28</v>
      </c>
      <c r="I238" t="s">
        <v>29</v>
      </c>
      <c r="J238" t="s">
        <v>556</v>
      </c>
      <c r="K238"/>
      <c r="L238">
        <v>0.35</v>
      </c>
      <c r="M238">
        <v>61369</v>
      </c>
      <c r="X238" t="s">
        <v>1425</v>
      </c>
    </row>
    <row r="239" spans="1:24">
      <c r="A239" t="s">
        <v>1586</v>
      </c>
      <c r="B239" s="1" t="s">
        <v>1587</v>
      </c>
      <c r="C239">
        <f>239/14131</f>
        <v>0.0169131696270611</v>
      </c>
      <c r="D239" s="1" t="s">
        <v>647</v>
      </c>
      <c r="E239">
        <f>51/2597</f>
        <v>0.019638043896804</v>
      </c>
      <c r="F239" s="34" t="s">
        <v>1588</v>
      </c>
      <c r="G239">
        <f>48/2496</f>
        <v>0.0192307692307692</v>
      </c>
      <c r="H239" t="s">
        <v>171</v>
      </c>
      <c r="I239" t="s">
        <v>182</v>
      </c>
      <c r="J239" t="s">
        <v>1589</v>
      </c>
      <c r="L239" s="4">
        <v>0.1</v>
      </c>
      <c r="M239" s="28">
        <v>108814</v>
      </c>
      <c r="X239" t="s">
        <v>1425</v>
      </c>
    </row>
    <row r="240" spans="1:24">
      <c r="A240" t="s">
        <v>1590</v>
      </c>
      <c r="B240" s="1" t="s">
        <v>1591</v>
      </c>
      <c r="C240">
        <f>240/14131</f>
        <v>0.0169839360271743</v>
      </c>
      <c r="D240" s="34" t="s">
        <v>1592</v>
      </c>
      <c r="E240">
        <f>16/5830</f>
        <v>0.00274442538593482</v>
      </c>
      <c r="F240" s="34" t="s">
        <v>1593</v>
      </c>
      <c r="G240">
        <f>6/719</f>
        <v>0.00834492350486787</v>
      </c>
      <c r="H240" t="s">
        <v>52</v>
      </c>
      <c r="I240" t="s">
        <v>1030</v>
      </c>
      <c r="J240" t="s">
        <v>234</v>
      </c>
      <c r="L240" s="4">
        <v>0.39</v>
      </c>
      <c r="M240" s="28">
        <v>96062</v>
      </c>
      <c r="X240" t="s">
        <v>1425</v>
      </c>
    </row>
    <row r="241" spans="1:24">
      <c r="A241" t="s">
        <v>1594</v>
      </c>
      <c r="B241" s="1" t="s">
        <v>1595</v>
      </c>
      <c r="C241">
        <f>241/14131</f>
        <v>0.0170547024272875</v>
      </c>
      <c r="D241" s="34" t="s">
        <v>1596</v>
      </c>
      <c r="E241">
        <f>102/2597</f>
        <v>0.039276087793608</v>
      </c>
      <c r="F241" s="34" t="s">
        <v>1597</v>
      </c>
      <c r="G241">
        <f>12/101</f>
        <v>0.118811881188119</v>
      </c>
      <c r="H241" t="s">
        <v>52</v>
      </c>
      <c r="I241" t="s">
        <v>891</v>
      </c>
      <c r="J241" t="s">
        <v>364</v>
      </c>
      <c r="L241" s="4">
        <v>0.39</v>
      </c>
      <c r="M241" s="28">
        <v>75131</v>
      </c>
      <c r="X241" t="s">
        <v>1425</v>
      </c>
    </row>
    <row r="242" spans="1:24">
      <c r="A242" t="s">
        <v>1598</v>
      </c>
      <c r="B242" s="1" t="s">
        <v>1599</v>
      </c>
      <c r="C242" s="1">
        <v>0.017267002</v>
      </c>
      <c r="D242" s="26" t="s">
        <v>1600</v>
      </c>
      <c r="E242" s="26" t="s">
        <v>1601</v>
      </c>
      <c r="F242" s="26" t="s">
        <v>1602</v>
      </c>
      <c r="G242" s="26" t="s">
        <v>1603</v>
      </c>
      <c r="H242" t="s">
        <v>28</v>
      </c>
      <c r="I242" t="s">
        <v>29</v>
      </c>
      <c r="J242" t="s">
        <v>487</v>
      </c>
      <c r="K242"/>
      <c r="L242">
        <v>0.07</v>
      </c>
      <c r="M242">
        <v>70023</v>
      </c>
      <c r="X242" t="s">
        <v>1425</v>
      </c>
    </row>
    <row r="243" spans="1:24">
      <c r="A243" t="s">
        <v>1604</v>
      </c>
      <c r="B243" s="1" t="s">
        <v>1605</v>
      </c>
      <c r="C243">
        <f>245/14131</f>
        <v>0.0173377680277404</v>
      </c>
      <c r="D243" s="34" t="s">
        <v>1606</v>
      </c>
      <c r="E243">
        <f>27/5830</f>
        <v>0.00463121783876501</v>
      </c>
      <c r="F243" s="34" t="s">
        <v>1607</v>
      </c>
      <c r="G243">
        <f>11/960</f>
        <v>0.0114583333333333</v>
      </c>
      <c r="H243" t="s">
        <v>52</v>
      </c>
      <c r="I243" t="s">
        <v>1030</v>
      </c>
      <c r="J243" t="s">
        <v>293</v>
      </c>
      <c r="L243" s="4">
        <v>0.28</v>
      </c>
      <c r="M243" s="28">
        <v>72986</v>
      </c>
      <c r="X243" t="s">
        <v>1425</v>
      </c>
    </row>
    <row r="244" spans="1:24">
      <c r="A244" t="s">
        <v>1608</v>
      </c>
      <c r="B244" s="1" t="s">
        <v>1609</v>
      </c>
      <c r="C244">
        <f>246/14131</f>
        <v>0.0174085344278537</v>
      </c>
      <c r="D244" s="34" t="s">
        <v>1610</v>
      </c>
      <c r="E244">
        <f>98/2597</f>
        <v>0.0377358490566038</v>
      </c>
      <c r="F244" s="34" t="s">
        <v>1611</v>
      </c>
      <c r="G244">
        <f>22/369</f>
        <v>0.0596205962059621</v>
      </c>
      <c r="H244" t="s">
        <v>52</v>
      </c>
      <c r="I244" t="s">
        <v>991</v>
      </c>
      <c r="J244" t="s">
        <v>992</v>
      </c>
      <c r="L244" s="4">
        <v>0.53</v>
      </c>
      <c r="M244" s="28">
        <v>70190</v>
      </c>
      <c r="X244" t="s">
        <v>1425</v>
      </c>
    </row>
    <row r="245" spans="1:24">
      <c r="A245" t="s">
        <v>1612</v>
      </c>
      <c r="B245" s="1" t="s">
        <v>1613</v>
      </c>
      <c r="C245">
        <f>247/14131</f>
        <v>0.0174793008279669</v>
      </c>
      <c r="D245" s="34" t="s">
        <v>1614</v>
      </c>
      <c r="E245">
        <f>18/59</f>
        <v>0.305084745762712</v>
      </c>
      <c r="F245" s="34" t="s">
        <v>1615</v>
      </c>
      <c r="G245">
        <f>16/40</f>
        <v>0.4</v>
      </c>
      <c r="H245" t="s">
        <v>28</v>
      </c>
      <c r="I245" t="s">
        <v>29</v>
      </c>
      <c r="J245" t="s">
        <v>224</v>
      </c>
      <c r="L245" s="4">
        <v>0.83</v>
      </c>
      <c r="M245" s="28">
        <v>54659</v>
      </c>
      <c r="X245" t="s">
        <v>1425</v>
      </c>
    </row>
    <row r="246" spans="1:24">
      <c r="A246" t="s">
        <v>1616</v>
      </c>
      <c r="B246" s="1" t="s">
        <v>1617</v>
      </c>
      <c r="C246" s="1">
        <v>0.017550067</v>
      </c>
      <c r="D246" s="26" t="s">
        <v>1618</v>
      </c>
      <c r="E246" s="26" t="s">
        <v>1619</v>
      </c>
      <c r="F246" s="26" t="s">
        <v>1620</v>
      </c>
      <c r="G246" s="26" t="s">
        <v>1621</v>
      </c>
      <c r="H246" t="s">
        <v>113</v>
      </c>
      <c r="I246" t="s">
        <v>134</v>
      </c>
      <c r="J246" t="s">
        <v>466</v>
      </c>
      <c r="K246"/>
      <c r="L246">
        <v>0.79</v>
      </c>
      <c r="M246">
        <v>56904</v>
      </c>
      <c r="X246" t="s">
        <v>1425</v>
      </c>
    </row>
    <row r="247" spans="1:24">
      <c r="A247" t="s">
        <v>1622</v>
      </c>
      <c r="B247" s="1" t="s">
        <v>1623</v>
      </c>
      <c r="C247">
        <f>249/14131</f>
        <v>0.0176208336281933</v>
      </c>
      <c r="D247" s="34" t="s">
        <v>1624</v>
      </c>
      <c r="E247">
        <f>62/2597</f>
        <v>0.0238737004235657</v>
      </c>
      <c r="F247" s="34" t="s">
        <v>1354</v>
      </c>
      <c r="G247">
        <f>14/369</f>
        <v>0.037940379403794</v>
      </c>
      <c r="H247" t="s">
        <v>113</v>
      </c>
      <c r="I247" t="s">
        <v>193</v>
      </c>
      <c r="J247" t="s">
        <v>194</v>
      </c>
      <c r="L247" s="4">
        <v>0.1</v>
      </c>
      <c r="M247" s="28">
        <v>121840</v>
      </c>
      <c r="X247" t="s">
        <v>1425</v>
      </c>
    </row>
    <row r="248" spans="1:24">
      <c r="A248" t="s">
        <v>1625</v>
      </c>
      <c r="B248" s="1" t="s">
        <v>1626</v>
      </c>
      <c r="C248" s="1">
        <v>0.0176916</v>
      </c>
      <c r="D248" s="26" t="s">
        <v>1627</v>
      </c>
      <c r="E248" s="26" t="s">
        <v>1628</v>
      </c>
      <c r="F248" s="26" t="s">
        <v>1629</v>
      </c>
      <c r="G248" s="26" t="s">
        <v>1630</v>
      </c>
      <c r="H248" t="s">
        <v>28</v>
      </c>
      <c r="I248" t="s">
        <v>340</v>
      </c>
      <c r="J248" t="s">
        <v>303</v>
      </c>
      <c r="K248"/>
      <c r="L248">
        <v>0.46</v>
      </c>
      <c r="M248">
        <v>41658</v>
      </c>
      <c r="X248" t="s">
        <v>1425</v>
      </c>
    </row>
    <row r="249" spans="1:24">
      <c r="A249" t="s">
        <v>1631</v>
      </c>
      <c r="B249" s="1" t="s">
        <v>1632</v>
      </c>
      <c r="C249">
        <f>251/14131</f>
        <v>0.0177623664284198</v>
      </c>
      <c r="D249" s="35" t="s">
        <v>141</v>
      </c>
      <c r="E249">
        <f>10/2597</f>
        <v>0.00385059684251059</v>
      </c>
      <c r="F249" s="34" t="s">
        <v>142</v>
      </c>
      <c r="G249">
        <f>10/2496</f>
        <v>0.00400641025641026</v>
      </c>
      <c r="H249" t="s">
        <v>113</v>
      </c>
      <c r="I249" t="s">
        <v>134</v>
      </c>
      <c r="J249" t="s">
        <v>1112</v>
      </c>
      <c r="L249" s="4">
        <v>0.1</v>
      </c>
      <c r="M249" s="28">
        <v>95863</v>
      </c>
      <c r="X249" t="s">
        <v>1633</v>
      </c>
    </row>
    <row r="250" spans="1:24">
      <c r="A250" t="s">
        <v>1634</v>
      </c>
      <c r="B250" s="1" t="s">
        <v>1635</v>
      </c>
      <c r="C250" s="1">
        <v>0.017833133</v>
      </c>
      <c r="D250" s="26" t="s">
        <v>1636</v>
      </c>
      <c r="E250" s="26" t="s">
        <v>1637</v>
      </c>
      <c r="F250" s="26" t="s">
        <v>1638</v>
      </c>
      <c r="G250" s="26" t="s">
        <v>1639</v>
      </c>
      <c r="H250" t="s">
        <v>28</v>
      </c>
      <c r="I250" t="s">
        <v>29</v>
      </c>
      <c r="J250" t="s">
        <v>347</v>
      </c>
      <c r="K250"/>
      <c r="L250">
        <v>0.46</v>
      </c>
      <c r="M250">
        <v>57373</v>
      </c>
      <c r="X250" t="s">
        <v>1633</v>
      </c>
    </row>
    <row r="251" spans="1:24">
      <c r="A251" t="s">
        <v>1640</v>
      </c>
      <c r="B251" s="1" t="s">
        <v>1641</v>
      </c>
      <c r="C251">
        <f>253/14131</f>
        <v>0.0179038992286462</v>
      </c>
      <c r="D251" s="34" t="s">
        <v>415</v>
      </c>
      <c r="E251">
        <f>36/2597</f>
        <v>0.0138621486330381</v>
      </c>
      <c r="F251" s="34" t="s">
        <v>1083</v>
      </c>
      <c r="G251">
        <f>4/369</f>
        <v>0.010840108401084</v>
      </c>
      <c r="H251" t="s">
        <v>52</v>
      </c>
      <c r="I251" t="s">
        <v>53</v>
      </c>
      <c r="J251" t="s">
        <v>1642</v>
      </c>
      <c r="L251" s="4">
        <v>0.35</v>
      </c>
      <c r="M251" s="28">
        <v>66163</v>
      </c>
      <c r="X251" t="s">
        <v>1633</v>
      </c>
    </row>
    <row r="252" spans="1:24">
      <c r="A252" t="s">
        <v>1643</v>
      </c>
      <c r="B252" s="1" t="s">
        <v>1644</v>
      </c>
      <c r="C252">
        <f>254/14131</f>
        <v>0.0179746656287595</v>
      </c>
      <c r="D252" s="34" t="s">
        <v>353</v>
      </c>
      <c r="E252">
        <f>30/2597</f>
        <v>0.0115517905275318</v>
      </c>
      <c r="F252" s="34" t="s">
        <v>354</v>
      </c>
      <c r="G252">
        <f>28/2496</f>
        <v>0.0112179487179487</v>
      </c>
      <c r="H252" t="s">
        <v>113</v>
      </c>
      <c r="I252" t="s">
        <v>134</v>
      </c>
      <c r="J252" t="s">
        <v>1645</v>
      </c>
      <c r="L252" s="4">
        <v>0.3</v>
      </c>
      <c r="M252" s="28">
        <v>109526</v>
      </c>
      <c r="X252" t="s">
        <v>1633</v>
      </c>
    </row>
    <row r="253" spans="1:24">
      <c r="A253" t="s">
        <v>1646</v>
      </c>
      <c r="B253" s="1" t="s">
        <v>1647</v>
      </c>
      <c r="C253">
        <f>255/14131</f>
        <v>0.0180454320288727</v>
      </c>
      <c r="D253" s="1" t="s">
        <v>457</v>
      </c>
      <c r="E253">
        <f>40/2597</f>
        <v>0.0154023873700424</v>
      </c>
      <c r="F253" s="34" t="s">
        <v>458</v>
      </c>
      <c r="G253">
        <f>37/2496</f>
        <v>0.0148237179487179</v>
      </c>
      <c r="H253" t="s">
        <v>171</v>
      </c>
      <c r="I253" t="s">
        <v>182</v>
      </c>
      <c r="J253" t="s">
        <v>1648</v>
      </c>
      <c r="L253" s="4">
        <v>0.1</v>
      </c>
      <c r="M253" s="28">
        <v>127651</v>
      </c>
      <c r="X253" t="s">
        <v>1633</v>
      </c>
    </row>
    <row r="254" spans="1:24">
      <c r="A254" t="s">
        <v>1649</v>
      </c>
      <c r="B254" s="1" t="s">
        <v>1650</v>
      </c>
      <c r="C254">
        <f>256/14131</f>
        <v>0.0181161984289859</v>
      </c>
      <c r="D254" s="1" t="s">
        <v>1651</v>
      </c>
      <c r="E254">
        <f>117/2597</f>
        <v>0.0450519830573739</v>
      </c>
      <c r="F254" s="34" t="s">
        <v>1652</v>
      </c>
      <c r="G254">
        <f>102/2496</f>
        <v>0.0408653846153846</v>
      </c>
      <c r="H254" t="s">
        <v>505</v>
      </c>
      <c r="I254" t="s">
        <v>506</v>
      </c>
      <c r="J254" t="s">
        <v>1653</v>
      </c>
      <c r="L254" s="4">
        <v>0.77</v>
      </c>
      <c r="M254" s="28">
        <v>70038</v>
      </c>
      <c r="X254" t="s">
        <v>1633</v>
      </c>
    </row>
    <row r="255" spans="1:24">
      <c r="A255" t="s">
        <v>1654</v>
      </c>
      <c r="B255" s="1" t="s">
        <v>1655</v>
      </c>
      <c r="C255" s="1">
        <v>0.018186965</v>
      </c>
      <c r="D255" s="26" t="s">
        <v>1656</v>
      </c>
      <c r="E255" s="26" t="s">
        <v>1657</v>
      </c>
      <c r="F255" s="26" t="s">
        <v>1658</v>
      </c>
      <c r="G255" s="26" t="s">
        <v>1659</v>
      </c>
      <c r="H255" t="s">
        <v>28</v>
      </c>
      <c r="I255" t="s">
        <v>29</v>
      </c>
      <c r="J255" t="s">
        <v>42</v>
      </c>
      <c r="K255"/>
      <c r="L255">
        <v>0.47</v>
      </c>
      <c r="M255">
        <v>40752</v>
      </c>
      <c r="X255" t="s">
        <v>1633</v>
      </c>
    </row>
    <row r="256" spans="1:24">
      <c r="A256" t="s">
        <v>1660</v>
      </c>
      <c r="B256" s="1" t="s">
        <v>1661</v>
      </c>
      <c r="C256">
        <f>258/14131</f>
        <v>0.0182577312292124</v>
      </c>
      <c r="D256" s="34" t="s">
        <v>1662</v>
      </c>
      <c r="E256">
        <f>17/5830</f>
        <v>0.00291595197255575</v>
      </c>
      <c r="F256" s="34" t="s">
        <v>1663</v>
      </c>
      <c r="G256">
        <f>6/960</f>
        <v>0.00625</v>
      </c>
      <c r="H256" t="s">
        <v>52</v>
      </c>
      <c r="I256" t="s">
        <v>53</v>
      </c>
      <c r="J256" t="s">
        <v>712</v>
      </c>
      <c r="L256" s="4">
        <v>0.37</v>
      </c>
      <c r="M256" s="28">
        <v>64180</v>
      </c>
      <c r="X256" t="s">
        <v>1633</v>
      </c>
    </row>
    <row r="257" spans="1:24">
      <c r="A257" t="s">
        <v>1664</v>
      </c>
      <c r="B257" s="1" t="s">
        <v>1665</v>
      </c>
      <c r="C257">
        <f>259/14131</f>
        <v>0.0183284976293256</v>
      </c>
      <c r="D257" s="34" t="s">
        <v>1253</v>
      </c>
      <c r="E257">
        <f>116/2597</f>
        <v>0.0446669233731228</v>
      </c>
      <c r="F257" s="34" t="s">
        <v>1666</v>
      </c>
      <c r="G257">
        <f>26/369</f>
        <v>0.0704607046070461</v>
      </c>
      <c r="H257" t="s">
        <v>52</v>
      </c>
      <c r="I257" t="s">
        <v>53</v>
      </c>
      <c r="J257" t="s">
        <v>1667</v>
      </c>
      <c r="L257" s="4">
        <v>0.4</v>
      </c>
      <c r="M257" s="28">
        <v>61510</v>
      </c>
      <c r="X257" t="s">
        <v>1633</v>
      </c>
    </row>
    <row r="258" spans="1:24">
      <c r="A258" t="s">
        <v>1668</v>
      </c>
      <c r="B258" s="1" t="s">
        <v>1669</v>
      </c>
      <c r="C258" s="1">
        <v>0.018399264</v>
      </c>
      <c r="D258" s="26" t="s">
        <v>1670</v>
      </c>
      <c r="E258" s="26" t="s">
        <v>1671</v>
      </c>
      <c r="F258" s="26" t="s">
        <v>1672</v>
      </c>
      <c r="G258" s="26" t="s">
        <v>1673</v>
      </c>
      <c r="H258" t="s">
        <v>505</v>
      </c>
      <c r="I258" t="s">
        <v>506</v>
      </c>
      <c r="J258" t="s">
        <v>1674</v>
      </c>
      <c r="K258"/>
      <c r="L258">
        <v>0.46</v>
      </c>
      <c r="M258">
        <v>56979</v>
      </c>
      <c r="X258" t="s">
        <v>1633</v>
      </c>
    </row>
    <row r="259" spans="1:24">
      <c r="A259" t="s">
        <v>1675</v>
      </c>
      <c r="B259" s="1" t="s">
        <v>1676</v>
      </c>
      <c r="C259">
        <f>261/14131</f>
        <v>0.018470030429552</v>
      </c>
      <c r="D259" s="34" t="s">
        <v>672</v>
      </c>
      <c r="E259">
        <f>52/2597</f>
        <v>0.0200231035810551</v>
      </c>
      <c r="F259" s="34" t="s">
        <v>673</v>
      </c>
      <c r="G259">
        <f>4/101</f>
        <v>0.0396039603960396</v>
      </c>
      <c r="H259" t="s">
        <v>28</v>
      </c>
      <c r="I259" t="s">
        <v>29</v>
      </c>
      <c r="J259" t="s">
        <v>163</v>
      </c>
      <c r="L259" s="4">
        <v>0.79</v>
      </c>
      <c r="M259" s="28">
        <v>50741</v>
      </c>
      <c r="X259" t="s">
        <v>1633</v>
      </c>
    </row>
    <row r="260" spans="1:24">
      <c r="A260" t="s">
        <v>1677</v>
      </c>
      <c r="B260" s="1" t="s">
        <v>1678</v>
      </c>
      <c r="C260">
        <f>262/14131</f>
        <v>0.0185407968296653</v>
      </c>
      <c r="D260" s="34" t="s">
        <v>579</v>
      </c>
      <c r="E260">
        <f>47/2597</f>
        <v>0.0180978051597998</v>
      </c>
      <c r="F260" s="34" t="s">
        <v>580</v>
      </c>
      <c r="G260">
        <f>44/2496</f>
        <v>0.0176282051282051</v>
      </c>
      <c r="H260" t="s">
        <v>52</v>
      </c>
      <c r="I260" t="s">
        <v>1679</v>
      </c>
      <c r="J260" t="s">
        <v>1680</v>
      </c>
      <c r="L260" s="4">
        <v>0.42</v>
      </c>
      <c r="M260" s="28">
        <v>79998</v>
      </c>
      <c r="X260" t="s">
        <v>1633</v>
      </c>
    </row>
    <row r="261" spans="1:24">
      <c r="A261" t="s">
        <v>1681</v>
      </c>
      <c r="B261" s="1" t="s">
        <v>1682</v>
      </c>
      <c r="C261">
        <f>263/14131</f>
        <v>0.0186115632297785</v>
      </c>
      <c r="D261" s="34" t="s">
        <v>1206</v>
      </c>
      <c r="E261">
        <f>87/2597</f>
        <v>0.0335001925298421</v>
      </c>
      <c r="F261" s="34" t="s">
        <v>1683</v>
      </c>
      <c r="G261">
        <f>3/29</f>
        <v>0.103448275862069</v>
      </c>
      <c r="H261" t="s">
        <v>52</v>
      </c>
      <c r="I261" t="s">
        <v>152</v>
      </c>
      <c r="J261" t="s">
        <v>476</v>
      </c>
      <c r="L261" s="4">
        <v>0.56</v>
      </c>
      <c r="M261" s="28">
        <v>64900</v>
      </c>
      <c r="X261" t="s">
        <v>1633</v>
      </c>
    </row>
    <row r="262" spans="1:24">
      <c r="A262" t="s">
        <v>1684</v>
      </c>
      <c r="B262" s="1" t="s">
        <v>1685</v>
      </c>
      <c r="C262">
        <f>264/14131</f>
        <v>0.0186823296298917</v>
      </c>
      <c r="D262" s="34" t="s">
        <v>1686</v>
      </c>
      <c r="E262">
        <f>104/2597</f>
        <v>0.0400462071621101</v>
      </c>
      <c r="F262" s="34" t="s">
        <v>1687</v>
      </c>
      <c r="G262">
        <f>92/2496</f>
        <v>0.0368589743589744</v>
      </c>
      <c r="H262" t="s">
        <v>28</v>
      </c>
      <c r="I262" t="s">
        <v>29</v>
      </c>
      <c r="J262" t="s">
        <v>313</v>
      </c>
      <c r="L262" s="4">
        <v>0.96</v>
      </c>
      <c r="M262" s="28">
        <v>55832</v>
      </c>
      <c r="X262" t="s">
        <v>1633</v>
      </c>
    </row>
    <row r="263" spans="1:24">
      <c r="A263" t="s">
        <v>1688</v>
      </c>
      <c r="B263" s="1" t="s">
        <v>1689</v>
      </c>
      <c r="C263" s="1">
        <v>0.018823862</v>
      </c>
      <c r="D263" s="26" t="s">
        <v>1690</v>
      </c>
      <c r="E263" s="26" t="s">
        <v>1691</v>
      </c>
      <c r="F263" s="26" t="s">
        <v>1692</v>
      </c>
      <c r="G263" s="26" t="s">
        <v>1693</v>
      </c>
      <c r="H263" t="s">
        <v>52</v>
      </c>
      <c r="I263" t="s">
        <v>152</v>
      </c>
      <c r="J263" t="s">
        <v>476</v>
      </c>
      <c r="K263"/>
      <c r="L263">
        <v>0.64</v>
      </c>
      <c r="M263">
        <v>33432</v>
      </c>
      <c r="X263" t="s">
        <v>1633</v>
      </c>
    </row>
    <row r="264" spans="1:24">
      <c r="A264" t="s">
        <v>1694</v>
      </c>
      <c r="B264" s="1" t="s">
        <v>1695</v>
      </c>
      <c r="C264">
        <f>267/14131</f>
        <v>0.0188946288302314</v>
      </c>
      <c r="D264" s="34" t="s">
        <v>1519</v>
      </c>
      <c r="E264">
        <f>109/2597</f>
        <v>0.0419715055833654</v>
      </c>
      <c r="F264" s="34" t="s">
        <v>1696</v>
      </c>
      <c r="G264">
        <f>29/163</f>
        <v>0.177914110429448</v>
      </c>
      <c r="H264" t="s">
        <v>28</v>
      </c>
      <c r="I264" t="s">
        <v>29</v>
      </c>
      <c r="J264" t="s">
        <v>1697</v>
      </c>
      <c r="L264" s="4">
        <v>0.49</v>
      </c>
      <c r="M264" s="28">
        <v>50637</v>
      </c>
      <c r="X264" t="s">
        <v>1633</v>
      </c>
    </row>
    <row r="265" spans="1:24">
      <c r="A265" t="s">
        <v>1698</v>
      </c>
      <c r="B265" s="1" t="s">
        <v>1699</v>
      </c>
      <c r="C265" s="1">
        <v>0.019036162</v>
      </c>
      <c r="D265" s="26" t="s">
        <v>1700</v>
      </c>
      <c r="E265" s="26" t="s">
        <v>1701</v>
      </c>
      <c r="F265" s="26" t="s">
        <v>1702</v>
      </c>
      <c r="G265" s="26" t="s">
        <v>1703</v>
      </c>
      <c r="H265" t="s">
        <v>171</v>
      </c>
      <c r="I265" t="s">
        <v>182</v>
      </c>
      <c r="J265" t="s">
        <v>1704</v>
      </c>
      <c r="K265"/>
      <c r="L265">
        <v>0.2</v>
      </c>
      <c r="M265">
        <v>41331</v>
      </c>
      <c r="X265" t="s">
        <v>1633</v>
      </c>
    </row>
    <row r="266" spans="1:24">
      <c r="A266" t="s">
        <v>1705</v>
      </c>
      <c r="B266" s="1" t="s">
        <v>1706</v>
      </c>
      <c r="C266">
        <f>271/14131</f>
        <v>0.0191776944306843</v>
      </c>
      <c r="D266" s="34" t="s">
        <v>1707</v>
      </c>
      <c r="E266">
        <f>14/5830</f>
        <v>0.00240137221269297</v>
      </c>
      <c r="F266" s="34" t="s">
        <v>1708</v>
      </c>
      <c r="G266">
        <f>2/32</f>
        <v>0.0625</v>
      </c>
      <c r="H266" t="s">
        <v>113</v>
      </c>
      <c r="I266" t="s">
        <v>938</v>
      </c>
      <c r="J266" t="s">
        <v>1709</v>
      </c>
      <c r="L266" s="4">
        <v>0.4</v>
      </c>
      <c r="M266" s="28">
        <v>83745</v>
      </c>
      <c r="X266" t="s">
        <v>1633</v>
      </c>
    </row>
    <row r="267" spans="1:24">
      <c r="A267" t="s">
        <v>1710</v>
      </c>
      <c r="B267" s="1" t="s">
        <v>1711</v>
      </c>
      <c r="C267">
        <f>272/14131</f>
        <v>0.0192484608307975</v>
      </c>
      <c r="D267" s="34" t="s">
        <v>639</v>
      </c>
      <c r="E267">
        <f>4/5830</f>
        <v>0.000686106346483705</v>
      </c>
      <c r="F267" s="34" t="s">
        <v>640</v>
      </c>
      <c r="G267">
        <f>2/960</f>
        <v>0.00208333333333333</v>
      </c>
      <c r="H267" t="s">
        <v>28</v>
      </c>
      <c r="I267" t="s">
        <v>29</v>
      </c>
      <c r="J267" t="s">
        <v>30</v>
      </c>
      <c r="L267" s="4">
        <v>0.19</v>
      </c>
      <c r="M267" s="28">
        <v>34758</v>
      </c>
      <c r="X267" t="s">
        <v>1633</v>
      </c>
    </row>
    <row r="268" spans="1:24">
      <c r="A268" t="s">
        <v>1712</v>
      </c>
      <c r="B268" s="1" t="s">
        <v>1713</v>
      </c>
      <c r="C268">
        <f>273/14131</f>
        <v>0.0193192272309108</v>
      </c>
      <c r="D268" s="1" t="s">
        <v>1714</v>
      </c>
      <c r="E268">
        <f>124/2597</f>
        <v>0.0477474008471313</v>
      </c>
      <c r="F268" s="34" t="s">
        <v>1715</v>
      </c>
      <c r="G268">
        <f>109/2496</f>
        <v>0.0436698717948718</v>
      </c>
      <c r="H268" t="s">
        <v>52</v>
      </c>
      <c r="I268" t="s">
        <v>102</v>
      </c>
      <c r="J268" t="s">
        <v>374</v>
      </c>
      <c r="L268" s="4">
        <v>0.35</v>
      </c>
      <c r="M268" s="28">
        <v>66357</v>
      </c>
      <c r="X268" t="s">
        <v>1633</v>
      </c>
    </row>
    <row r="269" spans="1:24">
      <c r="A269" t="s">
        <v>1716</v>
      </c>
      <c r="B269" s="1" t="s">
        <v>1717</v>
      </c>
      <c r="C269" s="1">
        <v>0.019389994</v>
      </c>
      <c r="D269" s="26" t="s">
        <v>1718</v>
      </c>
      <c r="E269" s="26" t="s">
        <v>1719</v>
      </c>
      <c r="F269" s="26" t="s">
        <v>1720</v>
      </c>
      <c r="G269" s="26" t="s">
        <v>1721</v>
      </c>
      <c r="H269" t="s">
        <v>28</v>
      </c>
      <c r="I269" t="s">
        <v>29</v>
      </c>
      <c r="J269" t="s">
        <v>425</v>
      </c>
      <c r="K269"/>
      <c r="L269">
        <v>0.07</v>
      </c>
      <c r="M269">
        <v>50562</v>
      </c>
      <c r="X269" t="s">
        <v>1633</v>
      </c>
    </row>
    <row r="270" spans="1:24">
      <c r="A270" t="s">
        <v>1722</v>
      </c>
      <c r="B270" s="1" t="s">
        <v>1723</v>
      </c>
      <c r="C270" s="1">
        <v>0.01946076</v>
      </c>
      <c r="D270" s="26" t="s">
        <v>1724</v>
      </c>
      <c r="E270" s="26" t="s">
        <v>1725</v>
      </c>
      <c r="F270" s="26" t="s">
        <v>1726</v>
      </c>
      <c r="G270" s="26" t="s">
        <v>1727</v>
      </c>
      <c r="H270" t="s">
        <v>28</v>
      </c>
      <c r="I270" t="s">
        <v>29</v>
      </c>
      <c r="J270" t="s">
        <v>1148</v>
      </c>
      <c r="K270"/>
      <c r="L270">
        <v>0.53</v>
      </c>
      <c r="M270">
        <v>42794</v>
      </c>
      <c r="X270" t="s">
        <v>1633</v>
      </c>
    </row>
    <row r="271" spans="1:24">
      <c r="A271" t="s">
        <v>1728</v>
      </c>
      <c r="B271" s="1" t="s">
        <v>1729</v>
      </c>
      <c r="C271">
        <f>276/14131</f>
        <v>0.0195315264312504</v>
      </c>
      <c r="D271" s="1" t="s">
        <v>1064</v>
      </c>
      <c r="E271">
        <f>75/2597</f>
        <v>0.0288794763188294</v>
      </c>
      <c r="F271" s="34" t="s">
        <v>1730</v>
      </c>
      <c r="G271">
        <f>22/163</f>
        <v>0.134969325153374</v>
      </c>
      <c r="H271" t="s">
        <v>171</v>
      </c>
      <c r="I271" t="s">
        <v>182</v>
      </c>
      <c r="J271" t="s">
        <v>1731</v>
      </c>
      <c r="L271" s="4">
        <v>0.16</v>
      </c>
      <c r="M271" s="28">
        <v>108791</v>
      </c>
      <c r="X271" t="s">
        <v>1633</v>
      </c>
    </row>
    <row r="272" spans="1:24">
      <c r="A272" t="s">
        <v>1732</v>
      </c>
      <c r="B272" s="1" t="s">
        <v>1733</v>
      </c>
      <c r="C272">
        <f>278/14131</f>
        <v>0.0196730592314769</v>
      </c>
      <c r="D272" s="35" t="s">
        <v>1734</v>
      </c>
      <c r="E272">
        <f>11/5830</f>
        <v>0.00188679245283019</v>
      </c>
      <c r="F272" s="34" t="s">
        <v>1076</v>
      </c>
      <c r="G272">
        <f>5/960</f>
        <v>0.00520833333333333</v>
      </c>
      <c r="H272" t="s">
        <v>28</v>
      </c>
      <c r="I272" t="s">
        <v>340</v>
      </c>
      <c r="J272" t="s">
        <v>1046</v>
      </c>
      <c r="L272" s="4">
        <v>0.42</v>
      </c>
      <c r="M272" s="28">
        <v>81569</v>
      </c>
      <c r="X272" t="s">
        <v>1633</v>
      </c>
    </row>
    <row r="273" spans="1:24">
      <c r="A273" t="s">
        <v>1735</v>
      </c>
      <c r="B273" s="1" t="s">
        <v>1736</v>
      </c>
      <c r="C273" s="1">
        <v>0.019743826</v>
      </c>
      <c r="D273" s="26" t="s">
        <v>1737</v>
      </c>
      <c r="E273" s="26" t="s">
        <v>1738</v>
      </c>
      <c r="F273" s="26" t="s">
        <v>1739</v>
      </c>
      <c r="G273" s="26" t="s">
        <v>1740</v>
      </c>
      <c r="H273" t="s">
        <v>28</v>
      </c>
      <c r="I273" t="s">
        <v>29</v>
      </c>
      <c r="J273" t="s">
        <v>1310</v>
      </c>
      <c r="K273"/>
      <c r="L273">
        <v>0.07</v>
      </c>
      <c r="M273">
        <v>96097</v>
      </c>
      <c r="X273" t="s">
        <v>1633</v>
      </c>
    </row>
    <row r="274" spans="1:24">
      <c r="A274" t="s">
        <v>1741</v>
      </c>
      <c r="B274" s="1" t="s">
        <v>1742</v>
      </c>
      <c r="C274">
        <f>281/14131</f>
        <v>0.0198853584318166</v>
      </c>
      <c r="D274" s="34" t="s">
        <v>1042</v>
      </c>
      <c r="E274">
        <f>73/2597</f>
        <v>0.0281093569503273</v>
      </c>
      <c r="F274" s="34" t="s">
        <v>1743</v>
      </c>
      <c r="G274">
        <f>17/369</f>
        <v>0.046070460704607</v>
      </c>
      <c r="H274" t="s">
        <v>113</v>
      </c>
      <c r="I274" t="s">
        <v>134</v>
      </c>
      <c r="J274" t="s">
        <v>1744</v>
      </c>
      <c r="L274" s="4">
        <v>0.3</v>
      </c>
      <c r="M274" s="28">
        <v>114900</v>
      </c>
      <c r="X274" t="s">
        <v>1633</v>
      </c>
    </row>
    <row r="275" spans="1:24">
      <c r="A275" t="s">
        <v>1745</v>
      </c>
      <c r="B275" s="1" t="s">
        <v>1746</v>
      </c>
      <c r="C275" s="1">
        <v>0.020026891</v>
      </c>
      <c r="D275" s="26" t="s">
        <v>1747</v>
      </c>
      <c r="E275" s="26" t="s">
        <v>1748</v>
      </c>
      <c r="F275" s="26" t="s">
        <v>1749</v>
      </c>
      <c r="G275" s="26" t="s">
        <v>1750</v>
      </c>
      <c r="H275" t="s">
        <v>28</v>
      </c>
      <c r="I275" t="s">
        <v>29</v>
      </c>
      <c r="J275" t="s">
        <v>283</v>
      </c>
      <c r="K275"/>
      <c r="L275">
        <v>0.06</v>
      </c>
      <c r="M275">
        <v>42254</v>
      </c>
      <c r="X275" t="s">
        <v>1633</v>
      </c>
    </row>
    <row r="276" spans="1:24">
      <c r="A276" t="s">
        <v>1751</v>
      </c>
      <c r="B276" s="1" t="s">
        <v>1752</v>
      </c>
      <c r="C276" s="1">
        <v>0.020097658</v>
      </c>
      <c r="D276" s="26" t="s">
        <v>1753</v>
      </c>
      <c r="E276" s="26" t="s">
        <v>1754</v>
      </c>
      <c r="F276" s="26" t="s">
        <v>1755</v>
      </c>
      <c r="G276" s="26" t="s">
        <v>1756</v>
      </c>
      <c r="H276" t="s">
        <v>28</v>
      </c>
      <c r="I276" t="s">
        <v>29</v>
      </c>
      <c r="J276" t="s">
        <v>30</v>
      </c>
      <c r="K276"/>
      <c r="L276">
        <v>0.05</v>
      </c>
      <c r="M276">
        <v>54962</v>
      </c>
      <c r="X276" t="s">
        <v>1633</v>
      </c>
    </row>
    <row r="277" spans="1:24">
      <c r="A277" t="s">
        <v>1757</v>
      </c>
      <c r="B277" s="1" t="s">
        <v>1758</v>
      </c>
      <c r="C277" s="1">
        <v>0.020168424</v>
      </c>
      <c r="D277" s="26" t="s">
        <v>1759</v>
      </c>
      <c r="E277" s="26" t="s">
        <v>1760</v>
      </c>
      <c r="F277" s="26" t="s">
        <v>1761</v>
      </c>
      <c r="G277" s="26" t="s">
        <v>1762</v>
      </c>
      <c r="H277" t="s">
        <v>28</v>
      </c>
      <c r="I277" t="s">
        <v>29</v>
      </c>
      <c r="J277" t="s">
        <v>1763</v>
      </c>
      <c r="K277"/>
      <c r="L277">
        <v>0.7</v>
      </c>
      <c r="M277">
        <v>44145</v>
      </c>
      <c r="X277" t="s">
        <v>1633</v>
      </c>
    </row>
    <row r="278" spans="1:24">
      <c r="A278" t="s">
        <v>1764</v>
      </c>
      <c r="B278" s="1" t="s">
        <v>1765</v>
      </c>
      <c r="C278" s="1">
        <v>0.020309957</v>
      </c>
      <c r="D278" s="26" t="s">
        <v>1766</v>
      </c>
      <c r="E278" s="26" t="s">
        <v>1767</v>
      </c>
      <c r="F278" s="26" t="s">
        <v>1768</v>
      </c>
      <c r="G278" s="26" t="s">
        <v>1769</v>
      </c>
      <c r="H278" t="s">
        <v>28</v>
      </c>
      <c r="I278" t="s">
        <v>29</v>
      </c>
      <c r="J278" t="s">
        <v>42</v>
      </c>
      <c r="K278"/>
      <c r="L278">
        <v>0.16</v>
      </c>
      <c r="M278">
        <v>37240</v>
      </c>
      <c r="X278" t="s">
        <v>1633</v>
      </c>
    </row>
    <row r="279" spans="1:24">
      <c r="A279" t="s">
        <v>1770</v>
      </c>
      <c r="B279" s="1" t="s">
        <v>1771</v>
      </c>
      <c r="C279" s="1">
        <v>0.020380723</v>
      </c>
      <c r="D279" s="26" t="s">
        <v>1772</v>
      </c>
      <c r="E279" s="26" t="s">
        <v>1773</v>
      </c>
      <c r="F279" s="26" t="s">
        <v>1774</v>
      </c>
      <c r="G279" s="26" t="s">
        <v>1775</v>
      </c>
      <c r="H279" t="s">
        <v>28</v>
      </c>
      <c r="I279" t="s">
        <v>29</v>
      </c>
      <c r="J279" t="s">
        <v>283</v>
      </c>
      <c r="K279"/>
      <c r="L279">
        <v>0.51</v>
      </c>
      <c r="M279">
        <v>54854</v>
      </c>
      <c r="X279" t="s">
        <v>1633</v>
      </c>
    </row>
    <row r="280" spans="1:24">
      <c r="A280" t="s">
        <v>1776</v>
      </c>
      <c r="B280" s="1" t="s">
        <v>1777</v>
      </c>
      <c r="C280">
        <f>290/14131</f>
        <v>0.0205222560328356</v>
      </c>
      <c r="D280" s="34" t="s">
        <v>1778</v>
      </c>
      <c r="E280">
        <f>107/2597</f>
        <v>0.0412013862148633</v>
      </c>
      <c r="F280" s="34" t="s">
        <v>1779</v>
      </c>
      <c r="G280">
        <f>94/2496</f>
        <v>0.0376602564102564</v>
      </c>
      <c r="H280" t="s">
        <v>52</v>
      </c>
      <c r="I280" t="s">
        <v>152</v>
      </c>
      <c r="J280" t="s">
        <v>1780</v>
      </c>
      <c r="L280" s="4">
        <v>0.31</v>
      </c>
      <c r="M280" s="28">
        <v>65591</v>
      </c>
      <c r="X280" t="s">
        <v>1633</v>
      </c>
    </row>
    <row r="281" spans="1:24">
      <c r="A281" t="s">
        <v>1781</v>
      </c>
      <c r="B281" s="1" t="s">
        <v>1782</v>
      </c>
      <c r="C281" s="1">
        <v>0.020593022</v>
      </c>
      <c r="D281" s="26" t="s">
        <v>1783</v>
      </c>
      <c r="E281" s="26" t="s">
        <v>1784</v>
      </c>
      <c r="F281" s="26" t="s">
        <v>1774</v>
      </c>
      <c r="G281" s="26" t="s">
        <v>1775</v>
      </c>
      <c r="H281" t="s">
        <v>28</v>
      </c>
      <c r="I281" t="s">
        <v>29</v>
      </c>
      <c r="J281" t="s">
        <v>172</v>
      </c>
      <c r="K281"/>
      <c r="L281">
        <v>0.11</v>
      </c>
      <c r="M281">
        <v>52468</v>
      </c>
      <c r="X281" t="s">
        <v>1633</v>
      </c>
    </row>
    <row r="282" spans="1:24">
      <c r="A282" t="s">
        <v>1785</v>
      </c>
      <c r="B282" s="1" t="s">
        <v>1786</v>
      </c>
      <c r="C282">
        <f>292/14131</f>
        <v>0.0206637888330621</v>
      </c>
      <c r="D282" s="34" t="s">
        <v>1787</v>
      </c>
      <c r="E282">
        <f>21/5830</f>
        <v>0.00360205831903945</v>
      </c>
      <c r="F282" s="34" t="s">
        <v>1788</v>
      </c>
      <c r="G282">
        <f>8/719</f>
        <v>0.0111265646731572</v>
      </c>
      <c r="H282" t="s">
        <v>52</v>
      </c>
      <c r="I282" t="s">
        <v>846</v>
      </c>
      <c r="J282" t="s">
        <v>1789</v>
      </c>
      <c r="L282" s="4">
        <v>0.34</v>
      </c>
      <c r="M282" s="28">
        <v>57906</v>
      </c>
      <c r="X282" t="s">
        <v>1633</v>
      </c>
    </row>
    <row r="283" spans="1:24">
      <c r="A283" t="s">
        <v>1790</v>
      </c>
      <c r="B283" s="1" t="s">
        <v>1791</v>
      </c>
      <c r="C283" s="1">
        <v>0.020734555</v>
      </c>
      <c r="D283" s="26" t="s">
        <v>1792</v>
      </c>
      <c r="E283" s="26" t="s">
        <v>1793</v>
      </c>
      <c r="F283" s="26" t="s">
        <v>1794</v>
      </c>
      <c r="G283" s="26" t="s">
        <v>1795</v>
      </c>
      <c r="H283" t="s">
        <v>28</v>
      </c>
      <c r="I283" t="s">
        <v>29</v>
      </c>
      <c r="J283" t="s">
        <v>1025</v>
      </c>
      <c r="K283"/>
      <c r="L283">
        <v>0.56</v>
      </c>
      <c r="M283">
        <v>95497</v>
      </c>
      <c r="X283" t="s">
        <v>1633</v>
      </c>
    </row>
    <row r="284" spans="1:24">
      <c r="A284" t="s">
        <v>1796</v>
      </c>
      <c r="B284" s="1" t="s">
        <v>1797</v>
      </c>
      <c r="C284" s="1">
        <v>0.020805322</v>
      </c>
      <c r="D284" s="26" t="s">
        <v>1798</v>
      </c>
      <c r="E284" s="26" t="s">
        <v>1799</v>
      </c>
      <c r="F284" s="26" t="s">
        <v>1800</v>
      </c>
      <c r="G284" s="26" t="s">
        <v>1801</v>
      </c>
      <c r="H284" t="s">
        <v>28</v>
      </c>
      <c r="I284" t="s">
        <v>29</v>
      </c>
      <c r="J284" t="s">
        <v>91</v>
      </c>
      <c r="K284"/>
      <c r="L284">
        <v>0.07</v>
      </c>
      <c r="M284">
        <v>47309</v>
      </c>
      <c r="X284" t="s">
        <v>1633</v>
      </c>
    </row>
    <row r="285" spans="1:24">
      <c r="A285" t="s">
        <v>1802</v>
      </c>
      <c r="B285" s="1" t="s">
        <v>1803</v>
      </c>
      <c r="C285" s="1">
        <v>0.021088387</v>
      </c>
      <c r="D285" s="26" t="s">
        <v>1804</v>
      </c>
      <c r="E285" s="26" t="s">
        <v>1805</v>
      </c>
      <c r="F285" s="26" t="s">
        <v>1806</v>
      </c>
      <c r="G285" s="26" t="s">
        <v>1807</v>
      </c>
      <c r="H285" t="s">
        <v>52</v>
      </c>
      <c r="I285" t="s">
        <v>152</v>
      </c>
      <c r="J285" t="s">
        <v>153</v>
      </c>
      <c r="K285"/>
      <c r="L285">
        <v>0.18</v>
      </c>
      <c r="M285">
        <v>43001</v>
      </c>
      <c r="X285" t="s">
        <v>1633</v>
      </c>
    </row>
    <row r="286" spans="1:24">
      <c r="A286" t="s">
        <v>1808</v>
      </c>
      <c r="B286" s="1" t="s">
        <v>1809</v>
      </c>
      <c r="C286">
        <f>301/14131</f>
        <v>0.0213006864340811</v>
      </c>
      <c r="D286" s="34" t="s">
        <v>1119</v>
      </c>
      <c r="E286">
        <f>79/2597</f>
        <v>0.0304197150558337</v>
      </c>
      <c r="F286" s="34" t="s">
        <v>1121</v>
      </c>
      <c r="G286">
        <f>9/101</f>
        <v>0.0891089108910891</v>
      </c>
      <c r="H286" t="s">
        <v>28</v>
      </c>
      <c r="I286" t="s">
        <v>29</v>
      </c>
      <c r="J286" t="s">
        <v>581</v>
      </c>
      <c r="L286" s="4">
        <v>1</v>
      </c>
      <c r="M286" s="28">
        <v>45471</v>
      </c>
      <c r="X286" t="s">
        <v>1810</v>
      </c>
    </row>
    <row r="287" spans="1:24">
      <c r="A287" t="s">
        <v>1811</v>
      </c>
      <c r="B287" s="1" t="s">
        <v>1812</v>
      </c>
      <c r="C287">
        <f>303/14131</f>
        <v>0.0214422192343076</v>
      </c>
      <c r="D287" s="34" t="s">
        <v>1813</v>
      </c>
      <c r="E287">
        <f>132/2597</f>
        <v>0.0508278783211398</v>
      </c>
      <c r="F287" s="34" t="s">
        <v>1814</v>
      </c>
      <c r="G287">
        <f>113/2496</f>
        <v>0.0452724358974359</v>
      </c>
      <c r="H287" t="s">
        <v>52</v>
      </c>
      <c r="I287" t="s">
        <v>1815</v>
      </c>
      <c r="J287" t="s">
        <v>1816</v>
      </c>
      <c r="L287" s="4">
        <v>0.34</v>
      </c>
      <c r="M287" s="28">
        <v>57123</v>
      </c>
      <c r="X287" t="s">
        <v>1810</v>
      </c>
    </row>
    <row r="288" spans="1:24">
      <c r="A288" t="s">
        <v>1817</v>
      </c>
      <c r="B288" s="1" t="s">
        <v>1818</v>
      </c>
      <c r="C288">
        <f>305/14131</f>
        <v>0.021583752034534</v>
      </c>
      <c r="D288" s="1" t="s">
        <v>774</v>
      </c>
      <c r="E288">
        <f>58/2597</f>
        <v>0.0223334616865614</v>
      </c>
      <c r="F288" s="34" t="s">
        <v>775</v>
      </c>
      <c r="G288">
        <f>54/2496</f>
        <v>0.0216346153846154</v>
      </c>
      <c r="H288" t="s">
        <v>171</v>
      </c>
      <c r="I288" t="s">
        <v>182</v>
      </c>
      <c r="J288" t="s">
        <v>183</v>
      </c>
      <c r="L288" s="4">
        <v>0.09</v>
      </c>
      <c r="M288" s="28">
        <v>89162</v>
      </c>
      <c r="X288" t="s">
        <v>1810</v>
      </c>
    </row>
    <row r="289" spans="1:24">
      <c r="A289" t="s">
        <v>1819</v>
      </c>
      <c r="B289" s="1" t="s">
        <v>1820</v>
      </c>
      <c r="C289">
        <f>309/14131</f>
        <v>0.0218668176349869</v>
      </c>
      <c r="D289" s="34" t="s">
        <v>881</v>
      </c>
      <c r="E289">
        <f>61/2597</f>
        <v>0.0234886407393146</v>
      </c>
      <c r="F289" s="34" t="s">
        <v>882</v>
      </c>
      <c r="G289">
        <f>557/2496</f>
        <v>0.223157051282051</v>
      </c>
      <c r="H289" t="s">
        <v>28</v>
      </c>
      <c r="I289" t="s">
        <v>29</v>
      </c>
      <c r="J289" t="s">
        <v>91</v>
      </c>
      <c r="L289" s="4">
        <v>0.53</v>
      </c>
      <c r="M289" s="28">
        <v>44714</v>
      </c>
      <c r="X289" t="s">
        <v>1810</v>
      </c>
    </row>
    <row r="290" spans="1:24">
      <c r="A290" t="s">
        <v>1821</v>
      </c>
      <c r="B290" s="1" t="s">
        <v>1822</v>
      </c>
      <c r="C290">
        <f>310/14131</f>
        <v>0.0219375840351001</v>
      </c>
      <c r="D290" s="34" t="s">
        <v>1193</v>
      </c>
      <c r="E290">
        <f>86/2597</f>
        <v>0.0331151328455911</v>
      </c>
      <c r="F290" s="34" t="s">
        <v>1823</v>
      </c>
      <c r="G290">
        <f>7/88</f>
        <v>0.0795454545454545</v>
      </c>
      <c r="H290" t="s">
        <v>52</v>
      </c>
      <c r="I290" t="s">
        <v>53</v>
      </c>
      <c r="J290" t="s">
        <v>54</v>
      </c>
      <c r="L290" s="4">
        <v>0.6</v>
      </c>
      <c r="M290" s="28">
        <v>52026</v>
      </c>
      <c r="X290" t="s">
        <v>1810</v>
      </c>
    </row>
    <row r="291" spans="1:24">
      <c r="A291" t="s">
        <v>1824</v>
      </c>
      <c r="B291" s="1" t="s">
        <v>1825</v>
      </c>
      <c r="C291" s="1">
        <v>0.022432949</v>
      </c>
      <c r="D291" s="26" t="s">
        <v>1826</v>
      </c>
      <c r="E291" s="26" t="s">
        <v>1827</v>
      </c>
      <c r="F291" s="26" t="s">
        <v>1828</v>
      </c>
      <c r="G291" s="26" t="s">
        <v>1829</v>
      </c>
      <c r="H291" t="s">
        <v>28</v>
      </c>
      <c r="I291" t="s">
        <v>29</v>
      </c>
      <c r="J291" t="s">
        <v>666</v>
      </c>
      <c r="K291"/>
      <c r="L291">
        <v>0.17</v>
      </c>
      <c r="M291">
        <v>80122</v>
      </c>
      <c r="X291" t="s">
        <v>1810</v>
      </c>
    </row>
    <row r="292" spans="1:24">
      <c r="A292" t="s">
        <v>1830</v>
      </c>
      <c r="B292" s="1" t="s">
        <v>1831</v>
      </c>
      <c r="C292" s="1">
        <v>0.02299908</v>
      </c>
      <c r="D292" s="26" t="s">
        <v>1832</v>
      </c>
      <c r="E292" s="26" t="s">
        <v>1833</v>
      </c>
      <c r="F292" s="26" t="s">
        <v>1834</v>
      </c>
      <c r="G292" s="26" t="s">
        <v>1835</v>
      </c>
      <c r="H292" t="s">
        <v>28</v>
      </c>
      <c r="I292" t="s">
        <v>29</v>
      </c>
      <c r="J292" t="s">
        <v>224</v>
      </c>
      <c r="K292"/>
      <c r="L292">
        <v>0.09</v>
      </c>
      <c r="M292">
        <v>34363</v>
      </c>
      <c r="X292" t="s">
        <v>1810</v>
      </c>
    </row>
    <row r="293" spans="1:24">
      <c r="A293" t="s">
        <v>1836</v>
      </c>
      <c r="B293" s="1" t="s">
        <v>1837</v>
      </c>
      <c r="C293" s="1">
        <v>0.023211379</v>
      </c>
      <c r="D293" s="26" t="s">
        <v>1838</v>
      </c>
      <c r="E293" s="26" t="s">
        <v>1839</v>
      </c>
      <c r="F293" s="26" t="s">
        <v>1840</v>
      </c>
      <c r="G293" s="26" t="s">
        <v>1841</v>
      </c>
      <c r="H293" t="s">
        <v>28</v>
      </c>
      <c r="I293" t="s">
        <v>29</v>
      </c>
      <c r="J293" t="s">
        <v>42</v>
      </c>
      <c r="K293"/>
      <c r="L293">
        <v>0.14</v>
      </c>
      <c r="M293">
        <v>43893</v>
      </c>
      <c r="X293" t="s">
        <v>1810</v>
      </c>
    </row>
    <row r="294" spans="1:24">
      <c r="A294" t="s">
        <v>1842</v>
      </c>
      <c r="B294" s="1" t="s">
        <v>1843</v>
      </c>
      <c r="C294">
        <f>342/14131</f>
        <v>0.0242021088387234</v>
      </c>
      <c r="D294" s="34" t="s">
        <v>423</v>
      </c>
      <c r="E294">
        <f>39/2597</f>
        <v>0.0150173276857913</v>
      </c>
      <c r="F294" s="34" t="s">
        <v>424</v>
      </c>
      <c r="G294">
        <f>36/2496</f>
        <v>0.0144230769230769</v>
      </c>
      <c r="H294" t="s">
        <v>28</v>
      </c>
      <c r="I294" t="s">
        <v>29</v>
      </c>
      <c r="J294" t="s">
        <v>65</v>
      </c>
      <c r="L294" s="4">
        <v>0.68</v>
      </c>
      <c r="M294" s="28">
        <v>35768</v>
      </c>
      <c r="X294" t="s">
        <v>1810</v>
      </c>
    </row>
    <row r="295" spans="1:24">
      <c r="A295" t="s">
        <v>1844</v>
      </c>
      <c r="B295" s="1" t="s">
        <v>1845</v>
      </c>
      <c r="C295">
        <f>356/14131</f>
        <v>0.0251928384403085</v>
      </c>
      <c r="D295" s="35" t="s">
        <v>798</v>
      </c>
      <c r="E295">
        <f>6/59</f>
        <v>0.101694915254237</v>
      </c>
      <c r="F295" s="34" t="s">
        <v>799</v>
      </c>
      <c r="G295">
        <f>6/40</f>
        <v>0.15</v>
      </c>
      <c r="H295" t="s">
        <v>505</v>
      </c>
      <c r="I295" t="s">
        <v>506</v>
      </c>
      <c r="J295" t="s">
        <v>507</v>
      </c>
      <c r="L295" s="4">
        <v>0.67</v>
      </c>
      <c r="M295" s="28">
        <v>41114</v>
      </c>
      <c r="X295" t="s">
        <v>1846</v>
      </c>
    </row>
    <row r="296" spans="1:24">
      <c r="A296" t="s">
        <v>1847</v>
      </c>
      <c r="B296" s="1" t="s">
        <v>1848</v>
      </c>
      <c r="C296">
        <f>397/14131</f>
        <v>0.0280942608449508</v>
      </c>
      <c r="D296" s="1" t="s">
        <v>319</v>
      </c>
      <c r="E296">
        <f>28/2597</f>
        <v>0.0107816711590297</v>
      </c>
      <c r="F296" s="34" t="s">
        <v>1849</v>
      </c>
      <c r="G296">
        <f>26/2496</f>
        <v>0.0104166666666667</v>
      </c>
      <c r="H296" t="s">
        <v>52</v>
      </c>
      <c r="I296" t="s">
        <v>102</v>
      </c>
      <c r="J296" t="s">
        <v>103</v>
      </c>
      <c r="L296" s="4">
        <v>0.22</v>
      </c>
      <c r="M296" s="28">
        <v>61664</v>
      </c>
      <c r="X296" t="s">
        <v>1846</v>
      </c>
    </row>
    <row r="297" spans="1:24">
      <c r="A297" t="s">
        <v>1850</v>
      </c>
      <c r="B297" s="1" t="s">
        <v>1851</v>
      </c>
      <c r="C297" s="1">
        <v>0.0353832</v>
      </c>
      <c r="D297" s="26" t="s">
        <v>1852</v>
      </c>
      <c r="E297" s="26" t="s">
        <v>1853</v>
      </c>
      <c r="F297" s="26" t="s">
        <v>1854</v>
      </c>
      <c r="G297" s="26" t="s">
        <v>1855</v>
      </c>
      <c r="H297" t="s">
        <v>28</v>
      </c>
      <c r="I297" t="s">
        <v>29</v>
      </c>
      <c r="J297" t="s">
        <v>556</v>
      </c>
      <c r="K297"/>
      <c r="L297">
        <v>0.17</v>
      </c>
      <c r="M297">
        <v>56037</v>
      </c>
      <c r="X297" t="s">
        <v>1856</v>
      </c>
    </row>
    <row r="298" spans="1:24">
      <c r="A298" t="s">
        <v>1857</v>
      </c>
      <c r="B298" s="1" t="s">
        <v>1858</v>
      </c>
      <c r="C298">
        <f>522/14131</f>
        <v>0.0369400608591041</v>
      </c>
      <c r="D298" s="34" t="s">
        <v>1859</v>
      </c>
      <c r="E298">
        <f>8/1756</f>
        <v>0.00455580865603645</v>
      </c>
      <c r="F298" s="34" t="s">
        <v>1860</v>
      </c>
      <c r="G298">
        <f>5/198</f>
        <v>0.0252525252525253</v>
      </c>
      <c r="H298" t="s">
        <v>52</v>
      </c>
      <c r="I298" t="s">
        <v>1861</v>
      </c>
      <c r="J298" t="s">
        <v>1862</v>
      </c>
      <c r="L298" s="4">
        <v>0.1</v>
      </c>
      <c r="M298" s="28">
        <v>14220</v>
      </c>
      <c r="X298" t="s">
        <v>1863</v>
      </c>
    </row>
    <row r="299" spans="1:24">
      <c r="A299" t="s">
        <v>1864</v>
      </c>
      <c r="B299" s="1" t="s">
        <v>1865</v>
      </c>
      <c r="C299">
        <f>207/14131</f>
        <v>0.0146486448234378</v>
      </c>
      <c r="D299" s="34" t="s">
        <v>587</v>
      </c>
      <c r="E299">
        <f>48/2597</f>
        <v>0.0184828648440508</v>
      </c>
      <c r="F299" s="34" t="s">
        <v>588</v>
      </c>
      <c r="G299">
        <f>45/2496</f>
        <v>0.0180288461538462</v>
      </c>
      <c r="H299" t="s">
        <v>52</v>
      </c>
      <c r="I299" t="s">
        <v>152</v>
      </c>
      <c r="J299" t="s">
        <v>242</v>
      </c>
      <c r="L299" s="4">
        <v>0.44</v>
      </c>
      <c r="M299" s="28">
        <v>82551</v>
      </c>
      <c r="X299" t="s">
        <v>1425</v>
      </c>
    </row>
    <row r="300" spans="1:24">
      <c r="A300" t="s">
        <v>1866</v>
      </c>
      <c r="B300" s="1" t="s">
        <v>1867</v>
      </c>
      <c r="C300">
        <f>242/14131</f>
        <v>0.0171254688274007</v>
      </c>
      <c r="D300" s="34" t="s">
        <v>360</v>
      </c>
      <c r="E300">
        <f>31/2597</f>
        <v>0.0119368502117828</v>
      </c>
      <c r="F300" s="34" t="s">
        <v>1868</v>
      </c>
      <c r="G300">
        <f>2/63</f>
        <v>0.0317460317460317</v>
      </c>
      <c r="H300" t="s">
        <v>52</v>
      </c>
      <c r="I300" t="s">
        <v>1815</v>
      </c>
      <c r="J300" t="s">
        <v>1816</v>
      </c>
      <c r="L300" s="4">
        <v>0.2</v>
      </c>
      <c r="M300" s="28">
        <v>65180</v>
      </c>
      <c r="X300" t="s">
        <v>1425</v>
      </c>
    </row>
  </sheetData>
  <sortState ref="A2:X300">
    <sortCondition ref="C2"/>
  </sortState>
  <hyperlinks>
    <hyperlink ref="J51" r:id="rId1" display="Virginia" tooltip="https://edurank.org/geo/virginia-state/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opLeftCell="A4" workbookViewId="0">
      <selection activeCell="E2" sqref="E2"/>
    </sheetView>
  </sheetViews>
  <sheetFormatPr defaultColWidth="9" defaultRowHeight="14.4" outlineLevelCol="4"/>
  <cols>
    <col min="1" max="1" width="13.1388888888889" customWidth="1"/>
    <col min="2" max="2" width="5" customWidth="1"/>
    <col min="4" max="4" width="14.287037037037" customWidth="1"/>
    <col min="5" max="5" width="4" customWidth="1"/>
  </cols>
  <sheetData>
    <row r="1" spans="1:4">
      <c r="A1" s="1" t="s">
        <v>3</v>
      </c>
      <c r="D1" s="1" t="s">
        <v>5</v>
      </c>
    </row>
    <row r="2" spans="1:5">
      <c r="A2" t="s">
        <v>52</v>
      </c>
      <c r="B2">
        <v>2597</v>
      </c>
      <c r="D2" t="s">
        <v>506</v>
      </c>
      <c r="E2">
        <v>40</v>
      </c>
    </row>
    <row r="3" spans="1:5">
      <c r="A3" t="s">
        <v>28</v>
      </c>
      <c r="B3">
        <v>2597</v>
      </c>
      <c r="D3" t="s">
        <v>102</v>
      </c>
      <c r="E3">
        <v>63</v>
      </c>
    </row>
    <row r="4" spans="1:5">
      <c r="A4" t="s">
        <v>505</v>
      </c>
      <c r="B4">
        <v>59</v>
      </c>
      <c r="D4" t="s">
        <v>182</v>
      </c>
      <c r="E4">
        <v>198</v>
      </c>
    </row>
    <row r="5" spans="1:5">
      <c r="A5" t="s">
        <v>113</v>
      </c>
      <c r="B5">
        <v>5830</v>
      </c>
      <c r="D5" t="s">
        <v>340</v>
      </c>
      <c r="E5">
        <v>101</v>
      </c>
    </row>
    <row r="6" spans="1:5">
      <c r="A6" t="s">
        <v>171</v>
      </c>
      <c r="B6">
        <v>1756</v>
      </c>
      <c r="D6" t="s">
        <v>134</v>
      </c>
      <c r="E6">
        <v>960</v>
      </c>
    </row>
    <row r="7" spans="4:5">
      <c r="D7" t="s">
        <v>1274</v>
      </c>
      <c r="E7">
        <v>67</v>
      </c>
    </row>
    <row r="8" spans="4:5">
      <c r="D8" t="s">
        <v>711</v>
      </c>
      <c r="E8">
        <v>27</v>
      </c>
    </row>
    <row r="9" spans="4:5">
      <c r="D9" t="s">
        <v>1861</v>
      </c>
      <c r="E9">
        <v>224</v>
      </c>
    </row>
    <row r="10" spans="4:5">
      <c r="D10" t="s">
        <v>53</v>
      </c>
      <c r="E10">
        <v>369</v>
      </c>
    </row>
    <row r="11" spans="4:5">
      <c r="D11" t="s">
        <v>1679</v>
      </c>
      <c r="E11">
        <v>36</v>
      </c>
    </row>
    <row r="12" spans="4:5">
      <c r="D12" t="s">
        <v>1815</v>
      </c>
      <c r="E12">
        <v>32</v>
      </c>
    </row>
    <row r="13" spans="4:5">
      <c r="D13" t="s">
        <v>938</v>
      </c>
      <c r="E13">
        <v>32</v>
      </c>
    </row>
    <row r="14" spans="4:5">
      <c r="D14" t="s">
        <v>1030</v>
      </c>
      <c r="E14">
        <v>88</v>
      </c>
    </row>
    <row r="15" spans="4:5">
      <c r="D15" t="s">
        <v>193</v>
      </c>
      <c r="E15">
        <v>719</v>
      </c>
    </row>
    <row r="16" spans="4:5">
      <c r="D16" t="s">
        <v>820</v>
      </c>
      <c r="E16">
        <v>538</v>
      </c>
    </row>
    <row r="17" spans="4:5">
      <c r="D17" t="s">
        <v>991</v>
      </c>
      <c r="E17">
        <v>58</v>
      </c>
    </row>
    <row r="18" spans="4:5">
      <c r="D18" t="s">
        <v>891</v>
      </c>
      <c r="E18">
        <v>29</v>
      </c>
    </row>
    <row r="19" spans="4:5">
      <c r="D19" t="s">
        <v>1332</v>
      </c>
      <c r="E19">
        <v>385</v>
      </c>
    </row>
    <row r="20" spans="4:5">
      <c r="D20" t="s">
        <v>655</v>
      </c>
      <c r="E20">
        <v>193</v>
      </c>
    </row>
    <row r="21" spans="4:5">
      <c r="D21" t="s">
        <v>114</v>
      </c>
      <c r="E21">
        <v>193</v>
      </c>
    </row>
    <row r="22" spans="4:5">
      <c r="D22" t="s">
        <v>902</v>
      </c>
      <c r="E22">
        <v>75</v>
      </c>
    </row>
    <row r="23" spans="4:5">
      <c r="D23" t="s">
        <v>846</v>
      </c>
      <c r="E23">
        <v>39</v>
      </c>
    </row>
    <row r="24" spans="4:5">
      <c r="D24" t="s">
        <v>564</v>
      </c>
      <c r="E24">
        <v>23</v>
      </c>
    </row>
    <row r="25" spans="4:5">
      <c r="D25" t="s">
        <v>1138</v>
      </c>
      <c r="E25">
        <v>144</v>
      </c>
    </row>
    <row r="26" spans="4:5">
      <c r="D26" t="s">
        <v>152</v>
      </c>
      <c r="E26">
        <v>163</v>
      </c>
    </row>
    <row r="27" spans="4:4">
      <c r="D27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 300 universities of World(A</vt:lpstr>
      <vt:lpstr>Mô tả rank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nam</dc:creator>
  <cp:lastModifiedBy>TUAN</cp:lastModifiedBy>
  <dcterms:created xsi:type="dcterms:W3CDTF">2023-08-07T05:31:00Z</dcterms:created>
  <dcterms:modified xsi:type="dcterms:W3CDTF">2023-08-13T07:24:18Z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3FD2319C476E42DEB996A76050C54C5D</vt:lpwstr>
  </property>
  <property fmtid="{D5CDD505-2E9C-101B-9397-08002B2CF9AE}" pid="3" name="KSOProductBuildVer">
    <vt:lpwstr>1033-11.2.0.11537</vt:lpwstr>
  </property>
</Properties>
</file>