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Alcon\Jobs\6574 - Filter Assembly Zone 1\04 - Infusion Filter Load\LV Concept 04\"/>
    </mc:Choice>
  </mc:AlternateContent>
  <bookViews>
    <workbookView xWindow="480" yWindow="705" windowWidth="15255" windowHeight="7485" tabRatio="837"/>
  </bookViews>
  <sheets>
    <sheet name="Sheet1" sheetId="18" r:id="rId1"/>
    <sheet name="Stripper Hold Down" sheetId="20" r:id="rId2"/>
    <sheet name="Stripper Return" sheetId="21" r:id="rId3"/>
    <sheet name="Extension Spring" sheetId="6" r:id="rId4"/>
    <sheet name="Lookup Table" sheetId="5" r:id="rId5"/>
  </sheets>
  <definedNames>
    <definedName name="_xlnm.Print_Titles" localSheetId="3">'Extension Spring'!$1:$1</definedName>
    <definedName name="_xlnm.Print_Titles" localSheetId="1">'Stripper Hold Down'!$1:$1</definedName>
    <definedName name="_xlnm.Print_Titles" localSheetId="2">'Stripper Return'!$1:$1</definedName>
  </definedNames>
  <calcPr calcId="162913"/>
</workbook>
</file>

<file path=xl/calcChain.xml><?xml version="1.0" encoding="utf-8"?>
<calcChain xmlns="http://schemas.openxmlformats.org/spreadsheetml/2006/main">
  <c r="I18" i="18" l="1"/>
  <c r="I9" i="18"/>
  <c r="J9" i="18" s="1"/>
  <c r="K9" i="18" s="1"/>
  <c r="D19" i="18"/>
  <c r="E19" i="18" s="1"/>
  <c r="F19" i="18" s="1"/>
  <c r="D18" i="18"/>
  <c r="E18" i="18" s="1"/>
  <c r="F18" i="18" s="1"/>
  <c r="D9" i="18"/>
  <c r="E9" i="18" s="1"/>
  <c r="F9" i="18" s="1"/>
  <c r="E11" i="18"/>
  <c r="F11" i="18"/>
  <c r="J11" i="18"/>
  <c r="K11" i="18"/>
  <c r="E12" i="18"/>
  <c r="F12" i="18" s="1"/>
  <c r="J12" i="18"/>
  <c r="K12" i="18" s="1"/>
  <c r="B26" i="21"/>
  <c r="B21" i="21"/>
  <c r="B19" i="21"/>
  <c r="B20" i="21" s="1"/>
  <c r="B16" i="21"/>
  <c r="B15" i="21"/>
  <c r="B26" i="20"/>
  <c r="B21" i="20"/>
  <c r="B19" i="20"/>
  <c r="B20" i="20" s="1"/>
  <c r="B16" i="20"/>
  <c r="B15" i="20"/>
  <c r="B24" i="21" l="1"/>
  <c r="B29" i="21" s="1"/>
  <c r="B23" i="21"/>
  <c r="B28" i="21" s="1"/>
  <c r="B30" i="21" s="1"/>
  <c r="B23" i="20"/>
  <c r="B28" i="20" s="1"/>
  <c r="B30" i="20" s="1"/>
  <c r="B24" i="20"/>
  <c r="B29" i="20" s="1"/>
  <c r="B18" i="6" l="1"/>
  <c r="B19" i="6"/>
  <c r="B17" i="6"/>
  <c r="B16" i="6"/>
  <c r="B15" i="6"/>
  <c r="B28" i="6" l="1"/>
  <c r="B5" i="6"/>
  <c r="B21" i="6"/>
  <c r="B22" i="6" l="1"/>
  <c r="B29" i="6"/>
  <c r="B26" i="6"/>
  <c r="B25" i="6"/>
</calcChain>
</file>

<file path=xl/sharedStrings.xml><?xml version="1.0" encoding="utf-8"?>
<sst xmlns="http://schemas.openxmlformats.org/spreadsheetml/2006/main" count="171" uniqueCount="73">
  <si>
    <t>Units</t>
  </si>
  <si>
    <t>Notes</t>
  </si>
  <si>
    <t>Value</t>
  </si>
  <si>
    <t>PWC Base Cross Web Tension</t>
  </si>
  <si>
    <t>in</t>
  </si>
  <si>
    <t>Spring</t>
  </si>
  <si>
    <t>OD</t>
  </si>
  <si>
    <t>Wire Dia</t>
  </si>
  <si>
    <t>Free length</t>
  </si>
  <si>
    <t>Rate</t>
  </si>
  <si>
    <t>Active Coils</t>
  </si>
  <si>
    <t>Solid Length</t>
  </si>
  <si>
    <t>Coils</t>
  </si>
  <si>
    <t>In</t>
  </si>
  <si>
    <t>Lbs / In</t>
  </si>
  <si>
    <t>Lbs</t>
  </si>
  <si>
    <t>Stress Correction Factor (K)</t>
  </si>
  <si>
    <t>1st Point Length</t>
  </si>
  <si>
    <t>2nd Point Length</t>
  </si>
  <si>
    <t>1st Point Force</t>
  </si>
  <si>
    <t>2nd Point Force</t>
  </si>
  <si>
    <t>1st Point Stress</t>
  </si>
  <si>
    <t>2nd Point Stress</t>
  </si>
  <si>
    <t>ksi</t>
  </si>
  <si>
    <t>Material</t>
  </si>
  <si>
    <t>MW</t>
  </si>
  <si>
    <t>Minimum Tensil Strength</t>
  </si>
  <si>
    <t>2nd Point Ratio</t>
  </si>
  <si>
    <t>1st Point Ratio</t>
  </si>
  <si>
    <t>SS</t>
  </si>
  <si>
    <t>Minimum Tensile Strength (ksi)</t>
  </si>
  <si>
    <t>MW (music wire), SS (Stainless Steel)</t>
  </si>
  <si>
    <t>Positions</t>
  </si>
  <si>
    <t>Force</t>
  </si>
  <si>
    <t>Stress</t>
  </si>
  <si>
    <t>10^7 Fatigue 2nd Point Ratio</t>
  </si>
  <si>
    <t>2nd point is fully loaded length</t>
  </si>
  <si>
    <t>1st point is initial loaded length</t>
  </si>
  <si>
    <t>6545 Spring Calculator</t>
  </si>
  <si>
    <t>Modulus of Elasticity</t>
  </si>
  <si>
    <t>mm</t>
  </si>
  <si>
    <t>N/mm</t>
  </si>
  <si>
    <t>Initial Tension</t>
  </si>
  <si>
    <t>N</t>
  </si>
  <si>
    <t>lbs</t>
  </si>
  <si>
    <t>1st Point Deflection</t>
  </si>
  <si>
    <t>2nd Point Deflection</t>
  </si>
  <si>
    <t>6574 Spring Calculator</t>
  </si>
  <si>
    <t>Stripper Hold Spring</t>
  </si>
  <si>
    <t>Free Length (in)</t>
  </si>
  <si>
    <t>Rate (lbs/in)</t>
  </si>
  <si>
    <t>Solid Length (in)</t>
  </si>
  <si>
    <t>Max Deflection (in)</t>
  </si>
  <si>
    <t>Min Length (in)</t>
  </si>
  <si>
    <t>Punch Up Return Up Length (in)</t>
  </si>
  <si>
    <t>Max Telescope Length Length (in)</t>
  </si>
  <si>
    <t>Stroke to cut start (in)</t>
  </si>
  <si>
    <t>Stroke to cut end (in)</t>
  </si>
  <si>
    <t>Number of springs</t>
  </si>
  <si>
    <t>Cut start length (in)</t>
  </si>
  <si>
    <t>Cut end length (in)</t>
  </si>
  <si>
    <t>Single Spring Force (lb)</t>
  </si>
  <si>
    <t>Total Force (lb)</t>
  </si>
  <si>
    <t>Stripper return lost mot. (in)</t>
  </si>
  <si>
    <t>Stripper return spring</t>
  </si>
  <si>
    <t>Return Up</t>
  </si>
  <si>
    <t>Return Down</t>
  </si>
  <si>
    <t>Stripper Plate Return</t>
  </si>
  <si>
    <t>Stripper Hold Down</t>
  </si>
  <si>
    <t>Century Spring 71571S</t>
  </si>
  <si>
    <t>71571S</t>
  </si>
  <si>
    <t>Cut Start Clamp Force (lbs)</t>
  </si>
  <si>
    <t>Century Spring 11204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</si>
</sst>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left" vertical="center" indent="1"/>
    </xf>
    <xf numFmtId="2" fontId="0" fillId="0" borderId="5" xfId="0" applyNumberForma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indent="1"/>
    </xf>
    <xf numFmtId="164" fontId="0" fillId="0" borderId="5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2" fontId="0" fillId="0" borderId="14" xfId="0" applyNumberForma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0" fillId="0" borderId="10" xfId="0" applyBorder="1" applyAlignment="1">
      <alignment horizontal="left" vertical="center" indent="1"/>
    </xf>
    <xf numFmtId="0" fontId="0" fillId="0" borderId="11" xfId="0" applyFont="1" applyBorder="1" applyAlignment="1">
      <alignment horizontal="left" vertical="center" indent="1"/>
    </xf>
    <xf numFmtId="2" fontId="0" fillId="0" borderId="11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323851</xdr:colOff>
      <xdr:row>26</xdr:row>
      <xdr:rowOff>161925</xdr:rowOff>
    </xdr:from>
    <xdr:to>
      <xdr:col>3</xdr:col>
      <xdr:colOff>3036013</xdr:colOff>
      <xdr:row>40</xdr:row>
      <xdr:rowOff>180975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55" t="3828" r="2072"/>
        <a:stretch/>
      </xdr:blipFill>
      <xdr:spPr>
        <a:xfrm>
          <a:off x="3228976" y="5419725"/>
          <a:ext cx="4026612" cy="281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323851</xdr:colOff>
      <xdr:row>26</xdr:row>
      <xdr:rowOff>161925</xdr:rowOff>
    </xdr:from>
    <xdr:to>
      <xdr:col>3</xdr:col>
      <xdr:colOff>3036013</xdr:colOff>
      <xdr:row>40</xdr:row>
      <xdr:rowOff>180975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55" t="3828" r="2072"/>
        <a:stretch/>
      </xdr:blipFill>
      <xdr:spPr>
        <a:xfrm>
          <a:off x="3228976" y="5419725"/>
          <a:ext cx="4026612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tabSelected="1" workbookViewId="0">
      <selection activeCell="H27" sqref="H27"/>
    </sheetView>
  </sheetViews>
  <sheetFormatPr defaultRowHeight="15" x14ac:dyDescent="0.25"/>
  <cols>
    <col min="3" max="3" width="29.140625" bestFit="1" customWidth="1"/>
    <col min="5" max="5" width="21.7109375" bestFit="1" customWidth="1"/>
    <col min="8" max="8" width="31.28515625" bestFit="1" customWidth="1"/>
  </cols>
  <sheetData>
    <row r="2" spans="3:11" x14ac:dyDescent="0.25">
      <c r="E2" t="s">
        <v>61</v>
      </c>
      <c r="F2" t="s">
        <v>62</v>
      </c>
    </row>
    <row r="3" spans="3:11" x14ac:dyDescent="0.25">
      <c r="C3" t="s">
        <v>48</v>
      </c>
      <c r="D3" t="s">
        <v>70</v>
      </c>
      <c r="H3" t="s">
        <v>64</v>
      </c>
      <c r="I3">
        <v>11204</v>
      </c>
    </row>
    <row r="4" spans="3:11" x14ac:dyDescent="0.25">
      <c r="C4" t="s">
        <v>58</v>
      </c>
      <c r="D4">
        <v>2</v>
      </c>
      <c r="H4" t="s">
        <v>58</v>
      </c>
      <c r="I4">
        <v>4</v>
      </c>
    </row>
    <row r="5" spans="3:11" x14ac:dyDescent="0.25">
      <c r="C5" t="s">
        <v>49</v>
      </c>
      <c r="D5">
        <v>2.25</v>
      </c>
      <c r="H5" t="s">
        <v>49</v>
      </c>
      <c r="I5">
        <v>1</v>
      </c>
    </row>
    <row r="6" spans="3:11" x14ac:dyDescent="0.25">
      <c r="C6" t="s">
        <v>50</v>
      </c>
      <c r="D6">
        <v>21</v>
      </c>
      <c r="H6" t="s">
        <v>50</v>
      </c>
      <c r="I6">
        <v>1.7</v>
      </c>
    </row>
    <row r="7" spans="3:11" x14ac:dyDescent="0.25">
      <c r="C7" t="s">
        <v>51</v>
      </c>
      <c r="D7">
        <v>0.94</v>
      </c>
      <c r="H7" t="s">
        <v>51</v>
      </c>
      <c r="I7">
        <v>0.3</v>
      </c>
    </row>
    <row r="8" spans="3:11" x14ac:dyDescent="0.25">
      <c r="C8" t="s">
        <v>52</v>
      </c>
      <c r="D8">
        <v>0.84</v>
      </c>
      <c r="H8" t="s">
        <v>52</v>
      </c>
      <c r="I8">
        <v>0.7</v>
      </c>
    </row>
    <row r="9" spans="3:11" x14ac:dyDescent="0.25">
      <c r="C9" t="s">
        <v>53</v>
      </c>
      <c r="D9">
        <f>D5-D8</f>
        <v>1.4100000000000001</v>
      </c>
      <c r="E9">
        <f>($D$5-D9)*$D$6</f>
        <v>17.639999999999997</v>
      </c>
      <c r="F9">
        <f>E9*$D$4</f>
        <v>35.279999999999994</v>
      </c>
      <c r="H9" t="s">
        <v>53</v>
      </c>
      <c r="I9">
        <f>I5-I8</f>
        <v>0.30000000000000004</v>
      </c>
      <c r="J9">
        <f>($I$5-I9)*$I$6</f>
        <v>1.19</v>
      </c>
      <c r="K9">
        <f>J9*$I$4</f>
        <v>4.76</v>
      </c>
    </row>
    <row r="11" spans="3:11" x14ac:dyDescent="0.25">
      <c r="C11" t="s">
        <v>54</v>
      </c>
      <c r="E11">
        <f>($D$5-D11)*$D$6</f>
        <v>47.25</v>
      </c>
      <c r="F11">
        <f>E11*$D$4</f>
        <v>94.5</v>
      </c>
      <c r="H11" t="s">
        <v>65</v>
      </c>
      <c r="I11">
        <v>0.5</v>
      </c>
      <c r="J11">
        <f>($I$5-I11)*$I$6</f>
        <v>0.85</v>
      </c>
      <c r="K11">
        <f>J11*$I$4</f>
        <v>3.4</v>
      </c>
    </row>
    <row r="12" spans="3:11" x14ac:dyDescent="0.25">
      <c r="C12" t="s">
        <v>55</v>
      </c>
      <c r="D12">
        <v>2.0470000000000002</v>
      </c>
      <c r="E12">
        <f>($D$5-D12)*$D$6</f>
        <v>4.2629999999999963</v>
      </c>
      <c r="F12">
        <f>E12*$D$4</f>
        <v>8.5259999999999927</v>
      </c>
      <c r="H12" t="s">
        <v>66</v>
      </c>
      <c r="I12">
        <v>0.374</v>
      </c>
      <c r="J12">
        <f>($I$5-I12)*$I$6</f>
        <v>1.0642</v>
      </c>
      <c r="K12">
        <f>J12*$I$4</f>
        <v>4.2568000000000001</v>
      </c>
    </row>
    <row r="14" spans="3:11" x14ac:dyDescent="0.25">
      <c r="C14" t="s">
        <v>56</v>
      </c>
      <c r="D14">
        <v>0.219</v>
      </c>
    </row>
    <row r="15" spans="3:11" x14ac:dyDescent="0.25">
      <c r="C15" t="s">
        <v>57</v>
      </c>
      <c r="D15">
        <v>0.311</v>
      </c>
    </row>
    <row r="16" spans="3:11" x14ac:dyDescent="0.25">
      <c r="C16" t="s">
        <v>63</v>
      </c>
      <c r="D16">
        <v>0.127</v>
      </c>
    </row>
    <row r="18" spans="3:9" x14ac:dyDescent="0.25">
      <c r="C18" t="s">
        <v>59</v>
      </c>
      <c r="D18">
        <f>$D$12-D14+$D$16</f>
        <v>1.9550000000000001</v>
      </c>
      <c r="E18">
        <f>($D$5-D18)*$D$6</f>
        <v>6.1949999999999985</v>
      </c>
      <c r="F18">
        <f>E18*$D$4</f>
        <v>12.389999999999997</v>
      </c>
      <c r="H18" t="s">
        <v>71</v>
      </c>
      <c r="I18">
        <f>F18-K12</f>
        <v>8.1331999999999969</v>
      </c>
    </row>
    <row r="19" spans="3:9" x14ac:dyDescent="0.25">
      <c r="C19" t="s">
        <v>60</v>
      </c>
      <c r="D19">
        <f>$D$12-D15+$D$16</f>
        <v>1.8630000000000002</v>
      </c>
      <c r="E19">
        <f>($D$5-D19)*$D$6</f>
        <v>8.1269999999999953</v>
      </c>
      <c r="F19">
        <f>E19*$D$4</f>
        <v>16.253999999999991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view="pageLayout" zoomScale="130" zoomScaleNormal="100" zoomScalePageLayoutView="130" workbookViewId="0">
      <selection activeCell="C15" sqref="C15"/>
    </sheetView>
  </sheetViews>
  <sheetFormatPr defaultColWidth="1.42578125" defaultRowHeight="15" x14ac:dyDescent="0.25"/>
  <cols>
    <col min="1" max="1" width="30.7109375" customWidth="1"/>
    <col min="2" max="2" width="9.85546875" customWidth="1"/>
    <col min="3" max="3" width="18.28515625" customWidth="1"/>
    <col min="4" max="4" width="47.85546875" customWidth="1"/>
    <col min="5" max="6379" width="12.7109375" customWidth="1"/>
  </cols>
  <sheetData>
    <row r="1" spans="1:4" ht="30" customHeight="1" thickBot="1" x14ac:dyDescent="0.35">
      <c r="A1" s="3" t="s">
        <v>47</v>
      </c>
      <c r="B1" s="1"/>
      <c r="C1" s="1"/>
      <c r="D1" s="2"/>
    </row>
    <row r="2" spans="1:4" ht="15.75" x14ac:dyDescent="0.25">
      <c r="A2" s="7" t="s">
        <v>68</v>
      </c>
      <c r="B2" s="8" t="s">
        <v>2</v>
      </c>
      <c r="C2" s="9" t="s">
        <v>0</v>
      </c>
      <c r="D2" s="10" t="s">
        <v>1</v>
      </c>
    </row>
    <row r="3" spans="1:4" ht="15.75" x14ac:dyDescent="0.25">
      <c r="A3" s="14" t="s">
        <v>32</v>
      </c>
      <c r="B3" s="17"/>
      <c r="C3" s="18"/>
      <c r="D3" s="19"/>
    </row>
    <row r="4" spans="1:4" ht="15.75" x14ac:dyDescent="0.25">
      <c r="A4" s="4" t="s">
        <v>17</v>
      </c>
      <c r="B4" s="12">
        <v>2.0470000000000002</v>
      </c>
      <c r="C4" s="5" t="s">
        <v>4</v>
      </c>
      <c r="D4" s="6" t="s">
        <v>37</v>
      </c>
    </row>
    <row r="5" spans="1:4" ht="15.75" x14ac:dyDescent="0.25">
      <c r="A5" s="4" t="s">
        <v>18</v>
      </c>
      <c r="B5" s="12">
        <v>1.86</v>
      </c>
      <c r="C5" s="5" t="s">
        <v>4</v>
      </c>
      <c r="D5" s="6" t="s">
        <v>36</v>
      </c>
    </row>
    <row r="6" spans="1:4" ht="15.75" thickBot="1" x14ac:dyDescent="0.3">
      <c r="A6" s="4"/>
      <c r="B6" s="12"/>
      <c r="C6" s="11"/>
      <c r="D6" s="6"/>
    </row>
    <row r="7" spans="1:4" x14ac:dyDescent="0.25">
      <c r="A7" s="20" t="s">
        <v>5</v>
      </c>
      <c r="B7" s="21"/>
      <c r="C7" s="22"/>
      <c r="D7" s="23"/>
    </row>
    <row r="8" spans="1:4" x14ac:dyDescent="0.25">
      <c r="A8" s="4" t="s">
        <v>24</v>
      </c>
      <c r="B8" s="12" t="s">
        <v>29</v>
      </c>
      <c r="C8" s="11"/>
      <c r="D8" s="6" t="s">
        <v>31</v>
      </c>
    </row>
    <row r="9" spans="1:4" x14ac:dyDescent="0.25">
      <c r="A9" s="4" t="s">
        <v>6</v>
      </c>
      <c r="B9" s="12">
        <v>0.48</v>
      </c>
      <c r="C9" s="11" t="s">
        <v>13</v>
      </c>
      <c r="D9" s="6" t="s">
        <v>69</v>
      </c>
    </row>
    <row r="10" spans="1:4" x14ac:dyDescent="0.25">
      <c r="A10" s="4" t="s">
        <v>7</v>
      </c>
      <c r="B10" s="15">
        <v>6.3E-2</v>
      </c>
      <c r="C10" s="11" t="s">
        <v>13</v>
      </c>
      <c r="D10" s="6"/>
    </row>
    <row r="11" spans="1:4" x14ac:dyDescent="0.25">
      <c r="A11" s="4" t="s">
        <v>8</v>
      </c>
      <c r="B11" s="12">
        <v>2.25</v>
      </c>
      <c r="C11" s="11" t="s">
        <v>13</v>
      </c>
      <c r="D11" s="6"/>
    </row>
    <row r="12" spans="1:4" x14ac:dyDescent="0.25">
      <c r="A12" s="4" t="s">
        <v>9</v>
      </c>
      <c r="B12" s="12">
        <v>21</v>
      </c>
      <c r="C12" s="11" t="s">
        <v>14</v>
      </c>
      <c r="D12" s="6"/>
    </row>
    <row r="13" spans="1:4" ht="15.75" thickBot="1" x14ac:dyDescent="0.3">
      <c r="A13" s="24"/>
      <c r="B13" s="26"/>
      <c r="C13" s="25"/>
      <c r="D13" s="13"/>
    </row>
    <row r="14" spans="1:4" x14ac:dyDescent="0.25">
      <c r="A14" s="20" t="s">
        <v>33</v>
      </c>
      <c r="B14" s="21"/>
      <c r="C14" s="22"/>
      <c r="D14" s="23"/>
    </row>
    <row r="15" spans="1:4" x14ac:dyDescent="0.25">
      <c r="A15" s="4" t="s">
        <v>19</v>
      </c>
      <c r="B15" s="16">
        <f>(B$11-B4)*B$12</f>
        <v>4.2629999999999963</v>
      </c>
      <c r="C15" s="11" t="s">
        <v>15</v>
      </c>
      <c r="D15" s="6"/>
    </row>
    <row r="16" spans="1:4" x14ac:dyDescent="0.25">
      <c r="A16" s="4" t="s">
        <v>20</v>
      </c>
      <c r="B16" s="16">
        <f>(B$11-B5)*B$12</f>
        <v>8.1899999999999977</v>
      </c>
      <c r="C16" s="11" t="s">
        <v>15</v>
      </c>
      <c r="D16" s="6"/>
    </row>
    <row r="17" spans="1:4" ht="15.75" thickBot="1" x14ac:dyDescent="0.3">
      <c r="A17" s="24"/>
      <c r="B17" s="26"/>
      <c r="C17" s="25"/>
      <c r="D17" s="13"/>
    </row>
    <row r="18" spans="1:4" x14ac:dyDescent="0.25">
      <c r="A18" s="14" t="s">
        <v>34</v>
      </c>
      <c r="B18" s="12"/>
      <c r="C18" s="11"/>
      <c r="D18" s="6"/>
    </row>
    <row r="19" spans="1:4" x14ac:dyDescent="0.25">
      <c r="A19" s="4" t="s">
        <v>10</v>
      </c>
      <c r="B19" s="16">
        <f>VLOOKUP(B8,'Lookup Table'!A2:C3,3)*POWER(B10,4)/(8*B12*POWER(B9-B10,3))</f>
        <v>12.931376341915962</v>
      </c>
      <c r="C19" s="11" t="s">
        <v>12</v>
      </c>
      <c r="D19" s="6"/>
    </row>
    <row r="20" spans="1:4" x14ac:dyDescent="0.25">
      <c r="A20" s="4" t="s">
        <v>11</v>
      </c>
      <c r="B20" s="16">
        <f>B10*(B19+2)</f>
        <v>0.94067670954070559</v>
      </c>
      <c r="C20" s="11" t="s">
        <v>13</v>
      </c>
      <c r="D20" s="6"/>
    </row>
    <row r="21" spans="1:4" x14ac:dyDescent="0.25">
      <c r="A21" s="4" t="s">
        <v>16</v>
      </c>
      <c r="B21" s="16">
        <f>(4*((B9-B10)/B10)-1)/(4*((B9-B10)/B10)-4)+(0.615/((B9-B10)/B10))</f>
        <v>1.2263882453359347</v>
      </c>
      <c r="C21" s="11"/>
      <c r="D21" s="6"/>
    </row>
    <row r="22" spans="1:4" ht="15.75" x14ac:dyDescent="0.25">
      <c r="A22" s="4"/>
      <c r="B22" s="12"/>
      <c r="C22" s="5"/>
      <c r="D22" s="6"/>
    </row>
    <row r="23" spans="1:4" ht="15.75" x14ac:dyDescent="0.25">
      <c r="A23" s="4" t="s">
        <v>21</v>
      </c>
      <c r="B23" s="16">
        <f>8*B15*(B$9-B$10)*B$21/(PI()*POWER(B$10,3))/1000</f>
        <v>22.202293160445429</v>
      </c>
      <c r="C23" s="5" t="s">
        <v>23</v>
      </c>
      <c r="D23" s="6"/>
    </row>
    <row r="24" spans="1:4" ht="15.75" x14ac:dyDescent="0.25">
      <c r="A24" s="4" t="s">
        <v>22</v>
      </c>
      <c r="B24" s="16">
        <f>8*B16*(B$9-B$10)*B$21/(PI()*POWER(B$10,3))/1000</f>
        <v>42.654651884599616</v>
      </c>
      <c r="C24" s="5" t="s">
        <v>23</v>
      </c>
      <c r="D24" s="6"/>
    </row>
    <row r="25" spans="1:4" ht="15.75" x14ac:dyDescent="0.25">
      <c r="A25" s="4"/>
      <c r="B25" s="12"/>
      <c r="C25" s="5"/>
      <c r="D25" s="6"/>
    </row>
    <row r="26" spans="1:4" ht="15.75" x14ac:dyDescent="0.25">
      <c r="A26" s="4" t="s">
        <v>26</v>
      </c>
      <c r="B26" s="16">
        <f>VLOOKUP(B8,'Lookup Table'!A2:B3,2)</f>
        <v>210</v>
      </c>
      <c r="C26" s="5" t="s">
        <v>23</v>
      </c>
      <c r="D26" s="6"/>
    </row>
    <row r="27" spans="1:4" ht="15.75" x14ac:dyDescent="0.25">
      <c r="A27" s="4"/>
      <c r="B27" s="12"/>
      <c r="C27" s="5"/>
      <c r="D27" s="6"/>
    </row>
    <row r="28" spans="1:4" ht="15.75" x14ac:dyDescent="0.25">
      <c r="A28" s="4" t="s">
        <v>28</v>
      </c>
      <c r="B28" s="16">
        <f>B23/B26</f>
        <v>0.10572520552593061</v>
      </c>
      <c r="C28" s="5"/>
      <c r="D28" s="6"/>
    </row>
    <row r="29" spans="1:4" ht="15.75" x14ac:dyDescent="0.25">
      <c r="A29" s="4" t="s">
        <v>27</v>
      </c>
      <c r="B29" s="12">
        <f>B24/B26</f>
        <v>0.20311738992666484</v>
      </c>
      <c r="C29" s="5"/>
      <c r="D29" s="6"/>
    </row>
    <row r="30" spans="1:4" ht="15.75" x14ac:dyDescent="0.25">
      <c r="A30" s="4" t="s">
        <v>35</v>
      </c>
      <c r="B30" s="16">
        <f>IF(B28&gt;0.34,0.48, 0.4*B28+0.34)</f>
        <v>0.38229008221037225</v>
      </c>
      <c r="C30" s="5"/>
      <c r="D30" s="6"/>
    </row>
    <row r="31" spans="1:4" ht="15.75" x14ac:dyDescent="0.25">
      <c r="A31" s="4"/>
      <c r="B31" s="12"/>
      <c r="C31" s="5"/>
      <c r="D31" s="6"/>
    </row>
    <row r="32" spans="1:4" ht="15.75" x14ac:dyDescent="0.25">
      <c r="A32" s="4"/>
      <c r="B32" s="12"/>
      <c r="C32" s="5"/>
      <c r="D32" s="6"/>
    </row>
    <row r="33" spans="1:4" ht="15.75" x14ac:dyDescent="0.25">
      <c r="A33" s="4"/>
      <c r="B33" s="12"/>
      <c r="C33" s="5"/>
      <c r="D33" s="6"/>
    </row>
    <row r="34" spans="1:4" ht="15.75" x14ac:dyDescent="0.25">
      <c r="A34" s="4"/>
      <c r="B34" s="12"/>
      <c r="C34" s="5"/>
      <c r="D34" s="6"/>
    </row>
    <row r="35" spans="1:4" ht="15.75" x14ac:dyDescent="0.25">
      <c r="A35" s="4"/>
      <c r="B35" s="12"/>
      <c r="C35" s="5"/>
      <c r="D35" s="6"/>
    </row>
    <row r="36" spans="1:4" ht="15.75" x14ac:dyDescent="0.25">
      <c r="A36" s="4"/>
      <c r="B36" s="12"/>
      <c r="C36" s="5"/>
      <c r="D36" s="6"/>
    </row>
    <row r="37" spans="1:4" ht="15.75" x14ac:dyDescent="0.25">
      <c r="A37" s="4"/>
      <c r="B37" s="12"/>
      <c r="C37" s="5"/>
      <c r="D37" s="6"/>
    </row>
    <row r="38" spans="1:4" ht="15.75" x14ac:dyDescent="0.25">
      <c r="A38" s="4"/>
      <c r="B38" s="12"/>
      <c r="C38" s="5"/>
      <c r="D38" s="6"/>
    </row>
    <row r="39" spans="1:4" ht="15.75" x14ac:dyDescent="0.25">
      <c r="A39" s="4"/>
      <c r="B39" s="12"/>
      <c r="C39" s="5"/>
      <c r="D39" s="6"/>
    </row>
    <row r="40" spans="1:4" ht="15.75" x14ac:dyDescent="0.25">
      <c r="A40" s="4"/>
      <c r="B40" s="12"/>
      <c r="C40" s="5"/>
      <c r="D40" s="6"/>
    </row>
    <row r="41" spans="1:4" ht="15.75" x14ac:dyDescent="0.25">
      <c r="A41" s="4"/>
      <c r="B41" s="12"/>
      <c r="C41" s="5"/>
      <c r="D41" s="6"/>
    </row>
  </sheetData>
  <conditionalFormatting sqref="B29">
    <cfRule type="expression" dxfId="5" priority="1">
      <formula>$B$30-$B$29&gt;0.05</formula>
    </cfRule>
    <cfRule type="expression" dxfId="4" priority="2">
      <formula>$B$29+$C$29&gt;=$B$30</formula>
    </cfRule>
    <cfRule type="expression" dxfId="3" priority="3">
      <formula>$B$30-$B$29&lt;=0.05</formula>
    </cfRule>
  </conditionalFormatting>
  <pageMargins left="0.3" right="0.3" top="1.0142045454545501" bottom="0.68181818181818199" header="0.3" footer="0.3"/>
  <pageSetup scale="94" fitToHeight="0" orientation="portrait" r:id="rId1"/>
  <headerFooter>
    <oddHeader>&amp;L&amp;G&amp;R&amp;"Arial,Bold"&amp;18&amp;K03+000FAZ1
&amp;"Arial,Regular"&amp;16&amp;K01+000Spring Calculator</oddHeader>
    <oddFooter xml:space="preserve">&amp;L&amp;F&amp;R&amp;P of &amp;N     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'Lookup Table'!$A$2:$A$3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view="pageLayout" topLeftCell="A4" zoomScale="130" zoomScaleNormal="100" zoomScalePageLayoutView="130" workbookViewId="0">
      <selection activeCell="B13" sqref="B13"/>
    </sheetView>
  </sheetViews>
  <sheetFormatPr defaultColWidth="1.42578125" defaultRowHeight="15" x14ac:dyDescent="0.25"/>
  <cols>
    <col min="1" max="1" width="30.7109375" customWidth="1"/>
    <col min="2" max="2" width="9.85546875" customWidth="1"/>
    <col min="3" max="3" width="18.28515625" customWidth="1"/>
    <col min="4" max="4" width="47.85546875" customWidth="1"/>
    <col min="5" max="6379" width="12.7109375" customWidth="1"/>
  </cols>
  <sheetData>
    <row r="1" spans="1:4" ht="30" customHeight="1" thickBot="1" x14ac:dyDescent="0.35">
      <c r="A1" s="3" t="s">
        <v>47</v>
      </c>
      <c r="B1" s="1"/>
      <c r="C1" s="1"/>
      <c r="D1" s="2"/>
    </row>
    <row r="2" spans="1:4" ht="15.75" x14ac:dyDescent="0.25">
      <c r="A2" s="7" t="s">
        <v>67</v>
      </c>
      <c r="B2" s="8" t="s">
        <v>2</v>
      </c>
      <c r="C2" s="9" t="s">
        <v>0</v>
      </c>
      <c r="D2" s="10" t="s">
        <v>1</v>
      </c>
    </row>
    <row r="3" spans="1:4" ht="15.75" x14ac:dyDescent="0.25">
      <c r="A3" s="14" t="s">
        <v>32</v>
      </c>
      <c r="B3" s="17"/>
      <c r="C3" s="18"/>
      <c r="D3" s="19"/>
    </row>
    <row r="4" spans="1:4" ht="15.75" x14ac:dyDescent="0.25">
      <c r="A4" s="4" t="s">
        <v>17</v>
      </c>
      <c r="B4" s="12">
        <v>0.53100000000000003</v>
      </c>
      <c r="C4" s="5" t="s">
        <v>4</v>
      </c>
      <c r="D4" s="6" t="s">
        <v>37</v>
      </c>
    </row>
    <row r="5" spans="1:4" ht="15.75" x14ac:dyDescent="0.25">
      <c r="A5" s="4" t="s">
        <v>18</v>
      </c>
      <c r="B5" s="12">
        <v>0.374</v>
      </c>
      <c r="C5" s="5" t="s">
        <v>4</v>
      </c>
      <c r="D5" s="6" t="s">
        <v>36</v>
      </c>
    </row>
    <row r="6" spans="1:4" ht="15.75" thickBot="1" x14ac:dyDescent="0.3">
      <c r="A6" s="4"/>
      <c r="B6" s="12"/>
      <c r="C6" s="11"/>
      <c r="D6" s="6"/>
    </row>
    <row r="7" spans="1:4" x14ac:dyDescent="0.25">
      <c r="A7" s="20" t="s">
        <v>5</v>
      </c>
      <c r="B7" s="21"/>
      <c r="C7" s="22"/>
      <c r="D7" s="23"/>
    </row>
    <row r="8" spans="1:4" x14ac:dyDescent="0.25">
      <c r="A8" s="4" t="s">
        <v>24</v>
      </c>
      <c r="B8" s="12" t="s">
        <v>29</v>
      </c>
      <c r="C8" s="11"/>
      <c r="D8" s="6" t="s">
        <v>31</v>
      </c>
    </row>
    <row r="9" spans="1:4" x14ac:dyDescent="0.25">
      <c r="A9" s="4" t="s">
        <v>6</v>
      </c>
      <c r="B9" s="12">
        <v>0.53100000000000003</v>
      </c>
      <c r="C9" s="11" t="s">
        <v>13</v>
      </c>
      <c r="D9" s="6" t="s">
        <v>72</v>
      </c>
    </row>
    <row r="10" spans="1:4" x14ac:dyDescent="0.25">
      <c r="A10" s="4" t="s">
        <v>7</v>
      </c>
      <c r="B10" s="15">
        <v>3.2000000000000001E-2</v>
      </c>
      <c r="C10" s="11" t="s">
        <v>13</v>
      </c>
      <c r="D10" s="6"/>
    </row>
    <row r="11" spans="1:4" x14ac:dyDescent="0.25">
      <c r="A11" s="4" t="s">
        <v>8</v>
      </c>
      <c r="B11" s="12">
        <v>1</v>
      </c>
      <c r="C11" s="11" t="s">
        <v>13</v>
      </c>
      <c r="D11" s="6"/>
    </row>
    <row r="12" spans="1:4" x14ac:dyDescent="0.25">
      <c r="A12" s="4" t="s">
        <v>9</v>
      </c>
      <c r="B12" s="12">
        <v>1.7</v>
      </c>
      <c r="C12" s="11" t="s">
        <v>14</v>
      </c>
      <c r="D12" s="6"/>
    </row>
    <row r="13" spans="1:4" ht="15.75" thickBot="1" x14ac:dyDescent="0.3">
      <c r="A13" s="24"/>
      <c r="B13" s="26"/>
      <c r="C13" s="25"/>
      <c r="D13" s="13"/>
    </row>
    <row r="14" spans="1:4" x14ac:dyDescent="0.25">
      <c r="A14" s="20" t="s">
        <v>33</v>
      </c>
      <c r="B14" s="21"/>
      <c r="C14" s="22"/>
      <c r="D14" s="23"/>
    </row>
    <row r="15" spans="1:4" x14ac:dyDescent="0.25">
      <c r="A15" s="4" t="s">
        <v>19</v>
      </c>
      <c r="B15" s="16">
        <f>(B$11-B4)*B$12</f>
        <v>0.7972999999999999</v>
      </c>
      <c r="C15" s="11" t="s">
        <v>15</v>
      </c>
      <c r="D15" s="6"/>
    </row>
    <row r="16" spans="1:4" x14ac:dyDescent="0.25">
      <c r="A16" s="4" t="s">
        <v>20</v>
      </c>
      <c r="B16" s="16">
        <f>(B$11-B5)*B$12</f>
        <v>1.0642</v>
      </c>
      <c r="C16" s="11" t="s">
        <v>15</v>
      </c>
      <c r="D16" s="6"/>
    </row>
    <row r="17" spans="1:4" ht="15.75" thickBot="1" x14ac:dyDescent="0.3">
      <c r="A17" s="24"/>
      <c r="B17" s="26"/>
      <c r="C17" s="25"/>
      <c r="D17" s="13"/>
    </row>
    <row r="18" spans="1:4" x14ac:dyDescent="0.25">
      <c r="A18" s="14" t="s">
        <v>34</v>
      </c>
      <c r="B18" s="12"/>
      <c r="C18" s="11"/>
      <c r="D18" s="6"/>
    </row>
    <row r="19" spans="1:4" x14ac:dyDescent="0.25">
      <c r="A19" s="4" t="s">
        <v>10</v>
      </c>
      <c r="B19" s="16">
        <f>VLOOKUP(B8,'Lookup Table'!A2:C3,3)*POWER(B10,4)/(8*B12*POWER(B9-B10,3))</f>
        <v>6.2052512115437928</v>
      </c>
      <c r="C19" s="11" t="s">
        <v>12</v>
      </c>
      <c r="D19" s="6"/>
    </row>
    <row r="20" spans="1:4" x14ac:dyDescent="0.25">
      <c r="A20" s="4" t="s">
        <v>11</v>
      </c>
      <c r="B20" s="16">
        <f>B10*(B19+2)</f>
        <v>0.26256803876940138</v>
      </c>
      <c r="C20" s="11" t="s">
        <v>13</v>
      </c>
      <c r="D20" s="6"/>
    </row>
    <row r="21" spans="1:4" x14ac:dyDescent="0.25">
      <c r="A21" s="4" t="s">
        <v>16</v>
      </c>
      <c r="B21" s="16">
        <f>(4*((B9-B10)/B10)-1)/(4*((B9-B10)/B10)-4)+(0.615/((B9-B10)/B10))</f>
        <v>1.0908307407105431</v>
      </c>
      <c r="C21" s="11"/>
      <c r="D21" s="6"/>
    </row>
    <row r="22" spans="1:4" ht="15.75" x14ac:dyDescent="0.25">
      <c r="A22" s="4"/>
      <c r="B22" s="12"/>
      <c r="C22" s="5"/>
      <c r="D22" s="6"/>
    </row>
    <row r="23" spans="1:4" ht="15.75" x14ac:dyDescent="0.25">
      <c r="A23" s="4" t="s">
        <v>21</v>
      </c>
      <c r="B23" s="16">
        <f>8*B15*(B$9-B$10)*B$21/(PI()*POWER(B$10,3))/1000</f>
        <v>33.726389970538179</v>
      </c>
      <c r="C23" s="5" t="s">
        <v>23</v>
      </c>
      <c r="D23" s="6"/>
    </row>
    <row r="24" spans="1:4" ht="15.75" x14ac:dyDescent="0.25">
      <c r="A24" s="4" t="s">
        <v>22</v>
      </c>
      <c r="B24" s="16">
        <f>8*B16*(B$9-B$10)*B$21/(PI()*POWER(B$10,3))/1000</f>
        <v>45.016460813554161</v>
      </c>
      <c r="C24" s="5" t="s">
        <v>23</v>
      </c>
      <c r="D24" s="6"/>
    </row>
    <row r="25" spans="1:4" ht="15.75" x14ac:dyDescent="0.25">
      <c r="A25" s="4"/>
      <c r="B25" s="12"/>
      <c r="C25" s="5"/>
      <c r="D25" s="6"/>
    </row>
    <row r="26" spans="1:4" ht="15.75" x14ac:dyDescent="0.25">
      <c r="A26" s="4" t="s">
        <v>26</v>
      </c>
      <c r="B26" s="16">
        <f>VLOOKUP(B8,'Lookup Table'!A2:B3,2)</f>
        <v>210</v>
      </c>
      <c r="C26" s="5" t="s">
        <v>23</v>
      </c>
      <c r="D26" s="6"/>
    </row>
    <row r="27" spans="1:4" ht="15.75" x14ac:dyDescent="0.25">
      <c r="A27" s="4"/>
      <c r="B27" s="12"/>
      <c r="C27" s="5"/>
      <c r="D27" s="6"/>
    </row>
    <row r="28" spans="1:4" ht="15.75" x14ac:dyDescent="0.25">
      <c r="A28" s="4" t="s">
        <v>28</v>
      </c>
      <c r="B28" s="16">
        <f>B23/B26</f>
        <v>0.16060185700256277</v>
      </c>
      <c r="C28" s="5"/>
      <c r="D28" s="6"/>
    </row>
    <row r="29" spans="1:4" ht="15.75" x14ac:dyDescent="0.25">
      <c r="A29" s="4" t="s">
        <v>27</v>
      </c>
      <c r="B29" s="12">
        <f>B24/B26</f>
        <v>0.21436409911216267</v>
      </c>
      <c r="C29" s="5"/>
      <c r="D29" s="6"/>
    </row>
    <row r="30" spans="1:4" ht="15.75" x14ac:dyDescent="0.25">
      <c r="A30" s="4" t="s">
        <v>35</v>
      </c>
      <c r="B30" s="16">
        <f>IF(B28&gt;0.34,0.48, 0.4*B28+0.34)</f>
        <v>0.40424074280102512</v>
      </c>
      <c r="C30" s="5"/>
      <c r="D30" s="6"/>
    </row>
    <row r="31" spans="1:4" ht="15.75" x14ac:dyDescent="0.25">
      <c r="A31" s="4"/>
      <c r="B31" s="12"/>
      <c r="C31" s="5"/>
      <c r="D31" s="6"/>
    </row>
    <row r="32" spans="1:4" ht="15.75" x14ac:dyDescent="0.25">
      <c r="A32" s="4"/>
      <c r="B32" s="12"/>
      <c r="C32" s="5"/>
      <c r="D32" s="6"/>
    </row>
    <row r="33" spans="1:4" ht="15.75" x14ac:dyDescent="0.25">
      <c r="A33" s="4"/>
      <c r="B33" s="12"/>
      <c r="C33" s="5"/>
      <c r="D33" s="6"/>
    </row>
    <row r="34" spans="1:4" ht="15.75" x14ac:dyDescent="0.25">
      <c r="A34" s="4"/>
      <c r="B34" s="12"/>
      <c r="C34" s="5"/>
      <c r="D34" s="6"/>
    </row>
    <row r="35" spans="1:4" ht="15.75" x14ac:dyDescent="0.25">
      <c r="A35" s="4"/>
      <c r="B35" s="12"/>
      <c r="C35" s="5"/>
      <c r="D35" s="6"/>
    </row>
    <row r="36" spans="1:4" ht="15.75" x14ac:dyDescent="0.25">
      <c r="A36" s="4"/>
      <c r="B36" s="12"/>
      <c r="C36" s="5"/>
      <c r="D36" s="6"/>
    </row>
    <row r="37" spans="1:4" ht="15.75" x14ac:dyDescent="0.25">
      <c r="A37" s="4"/>
      <c r="B37" s="12"/>
      <c r="C37" s="5"/>
      <c r="D37" s="6"/>
    </row>
    <row r="38" spans="1:4" ht="15.75" x14ac:dyDescent="0.25">
      <c r="A38" s="4"/>
      <c r="B38" s="12"/>
      <c r="C38" s="5"/>
      <c r="D38" s="6"/>
    </row>
    <row r="39" spans="1:4" ht="15.75" x14ac:dyDescent="0.25">
      <c r="A39" s="4"/>
      <c r="B39" s="12"/>
      <c r="C39" s="5"/>
      <c r="D39" s="6"/>
    </row>
    <row r="40" spans="1:4" ht="15.75" x14ac:dyDescent="0.25">
      <c r="A40" s="4"/>
      <c r="B40" s="12"/>
      <c r="C40" s="5"/>
      <c r="D40" s="6"/>
    </row>
    <row r="41" spans="1:4" ht="15.75" x14ac:dyDescent="0.25">
      <c r="A41" s="4"/>
      <c r="B41" s="12"/>
      <c r="C41" s="5"/>
      <c r="D41" s="6"/>
    </row>
  </sheetData>
  <conditionalFormatting sqref="B29">
    <cfRule type="expression" dxfId="2" priority="1">
      <formula>$B$30-$B$29&gt;0.05</formula>
    </cfRule>
    <cfRule type="expression" dxfId="1" priority="2">
      <formula>$B$29+$C$29&gt;=$B$30</formula>
    </cfRule>
    <cfRule type="expression" dxfId="0" priority="3">
      <formula>$B$30-$B$29&lt;=0.05</formula>
    </cfRule>
  </conditionalFormatting>
  <pageMargins left="0.3" right="0.3" top="1.0142045454545501" bottom="0.68181818181818199" header="0.3" footer="0.3"/>
  <pageSetup scale="94" fitToHeight="0" orientation="portrait" r:id="rId1"/>
  <headerFooter>
    <oddHeader>&amp;L&amp;G&amp;R&amp;"Arial,Bold"&amp;18&amp;K03+000FAZ1
&amp;"Arial,Regular"&amp;16&amp;K01+000Spring Calculator</oddHeader>
    <oddFooter xml:space="preserve">&amp;L&amp;F&amp;R&amp;P of &amp;N     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'Lookup Table'!$A$2:$A$3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view="pageLayout" zoomScale="110" zoomScaleNormal="100" zoomScalePageLayoutView="110" workbookViewId="0">
      <selection activeCell="F22" sqref="F22"/>
    </sheetView>
  </sheetViews>
  <sheetFormatPr defaultColWidth="1.42578125" defaultRowHeight="15" x14ac:dyDescent="0.25"/>
  <cols>
    <col min="1" max="1" width="30.7109375" customWidth="1"/>
    <col min="2" max="2" width="9.85546875" customWidth="1"/>
    <col min="3" max="3" width="18.28515625" customWidth="1"/>
    <col min="4" max="4" width="47.85546875" customWidth="1"/>
    <col min="5" max="6379" width="12.7109375" customWidth="1"/>
  </cols>
  <sheetData>
    <row r="1" spans="1:4" ht="30" customHeight="1" thickBot="1" x14ac:dyDescent="0.35">
      <c r="A1" s="3" t="s">
        <v>38</v>
      </c>
      <c r="B1" s="1"/>
      <c r="C1" s="1"/>
      <c r="D1" s="2"/>
    </row>
    <row r="2" spans="1:4" ht="15.75" x14ac:dyDescent="0.25">
      <c r="A2" s="7" t="s">
        <v>3</v>
      </c>
      <c r="B2" s="8" t="s">
        <v>2</v>
      </c>
      <c r="C2" s="9" t="s">
        <v>0</v>
      </c>
      <c r="D2" s="10" t="s">
        <v>1</v>
      </c>
    </row>
    <row r="3" spans="1:4" ht="15.75" x14ac:dyDescent="0.25">
      <c r="A3" s="14" t="s">
        <v>32</v>
      </c>
      <c r="B3" s="17"/>
      <c r="C3" s="18"/>
      <c r="D3" s="19"/>
    </row>
    <row r="4" spans="1:4" ht="15.75" x14ac:dyDescent="0.25">
      <c r="A4" s="4" t="s">
        <v>17</v>
      </c>
      <c r="B4" s="12">
        <v>1.7</v>
      </c>
      <c r="C4" s="5" t="s">
        <v>4</v>
      </c>
      <c r="D4" s="6" t="s">
        <v>37</v>
      </c>
    </row>
    <row r="5" spans="1:4" ht="15.75" x14ac:dyDescent="0.25">
      <c r="A5" s="4" t="s">
        <v>18</v>
      </c>
      <c r="B5" s="12">
        <f>B4+30/25.4</f>
        <v>2.8811023622047243</v>
      </c>
      <c r="C5" s="5" t="s">
        <v>4</v>
      </c>
      <c r="D5" s="6" t="s">
        <v>36</v>
      </c>
    </row>
    <row r="6" spans="1:4" ht="15.75" thickBot="1" x14ac:dyDescent="0.3">
      <c r="A6" s="4"/>
      <c r="B6" s="12"/>
      <c r="C6" s="11"/>
      <c r="D6" s="6"/>
    </row>
    <row r="7" spans="1:4" x14ac:dyDescent="0.25">
      <c r="A7" s="20" t="s">
        <v>5</v>
      </c>
      <c r="B7" s="21"/>
      <c r="C7" s="22"/>
      <c r="D7" s="23"/>
    </row>
    <row r="8" spans="1:4" x14ac:dyDescent="0.25">
      <c r="A8" s="4" t="s">
        <v>24</v>
      </c>
      <c r="B8" s="12" t="s">
        <v>25</v>
      </c>
      <c r="C8" s="11"/>
      <c r="D8" s="6" t="s">
        <v>31</v>
      </c>
    </row>
    <row r="9" spans="1:4" x14ac:dyDescent="0.25">
      <c r="A9" s="4" t="s">
        <v>6</v>
      </c>
      <c r="B9" s="12">
        <v>0.3</v>
      </c>
      <c r="C9" s="11" t="s">
        <v>4</v>
      </c>
      <c r="D9" s="6"/>
    </row>
    <row r="10" spans="1:4" x14ac:dyDescent="0.25">
      <c r="A10" s="4" t="s">
        <v>7</v>
      </c>
      <c r="B10" s="15">
        <v>3.6999999999999998E-2</v>
      </c>
      <c r="C10" s="11" t="s">
        <v>4</v>
      </c>
      <c r="D10" s="6"/>
    </row>
    <row r="11" spans="1:4" x14ac:dyDescent="0.25">
      <c r="A11" s="4" t="s">
        <v>8</v>
      </c>
      <c r="B11" s="12">
        <v>1.5</v>
      </c>
      <c r="C11" s="11" t="s">
        <v>4</v>
      </c>
      <c r="D11" s="6"/>
    </row>
    <row r="12" spans="1:4" x14ac:dyDescent="0.25">
      <c r="A12" s="4" t="s">
        <v>9</v>
      </c>
      <c r="B12" s="12">
        <v>5.2</v>
      </c>
      <c r="C12" s="11" t="s">
        <v>14</v>
      </c>
      <c r="D12" s="6"/>
    </row>
    <row r="13" spans="1:4" x14ac:dyDescent="0.25">
      <c r="A13" s="4" t="s">
        <v>42</v>
      </c>
      <c r="B13" s="12">
        <v>0.7</v>
      </c>
      <c r="C13" s="11" t="s">
        <v>44</v>
      </c>
      <c r="D13" s="6"/>
    </row>
    <row r="14" spans="1:4" x14ac:dyDescent="0.25">
      <c r="A14" s="4"/>
      <c r="B14" s="12"/>
      <c r="C14" s="11"/>
      <c r="D14" s="6"/>
    </row>
    <row r="15" spans="1:4" x14ac:dyDescent="0.25">
      <c r="A15" s="4" t="s">
        <v>6</v>
      </c>
      <c r="B15" s="27">
        <f>B9*25.4</f>
        <v>7.6199999999999992</v>
      </c>
      <c r="C15" s="11" t="s">
        <v>40</v>
      </c>
      <c r="D15" s="6"/>
    </row>
    <row r="16" spans="1:4" x14ac:dyDescent="0.25">
      <c r="A16" s="4" t="s">
        <v>7</v>
      </c>
      <c r="B16" s="27">
        <f>B10*25.4</f>
        <v>0.93979999999999986</v>
      </c>
      <c r="C16" s="11" t="s">
        <v>40</v>
      </c>
      <c r="D16" s="6"/>
    </row>
    <row r="17" spans="1:4" x14ac:dyDescent="0.25">
      <c r="A17" s="4" t="s">
        <v>8</v>
      </c>
      <c r="B17" s="27">
        <f>B11*25.4</f>
        <v>38.099999999999994</v>
      </c>
      <c r="C17" s="11" t="s">
        <v>40</v>
      </c>
      <c r="D17" s="6"/>
    </row>
    <row r="18" spans="1:4" x14ac:dyDescent="0.25">
      <c r="A18" s="4" t="s">
        <v>9</v>
      </c>
      <c r="B18" s="27">
        <f>B12*4.448/25.4</f>
        <v>0.91061417322834659</v>
      </c>
      <c r="C18" s="11" t="s">
        <v>41</v>
      </c>
      <c r="D18" s="6"/>
    </row>
    <row r="19" spans="1:4" x14ac:dyDescent="0.25">
      <c r="A19" s="4" t="s">
        <v>42</v>
      </c>
      <c r="B19" s="27">
        <f>B13*4.44</f>
        <v>3.1080000000000001</v>
      </c>
      <c r="C19" s="11" t="s">
        <v>43</v>
      </c>
      <c r="D19" s="6"/>
    </row>
    <row r="20" spans="1:4" x14ac:dyDescent="0.25">
      <c r="A20" s="4"/>
      <c r="B20" s="12"/>
      <c r="C20" s="11"/>
      <c r="D20" s="6"/>
    </row>
    <row r="21" spans="1:4" x14ac:dyDescent="0.25">
      <c r="A21" s="4" t="s">
        <v>45</v>
      </c>
      <c r="B21" s="27">
        <f>B4-B11</f>
        <v>0.19999999999999996</v>
      </c>
      <c r="C21" s="11" t="s">
        <v>4</v>
      </c>
      <c r="D21" s="6"/>
    </row>
    <row r="22" spans="1:4" x14ac:dyDescent="0.25">
      <c r="A22" s="4" t="s">
        <v>46</v>
      </c>
      <c r="B22" s="27">
        <f>B5-B11</f>
        <v>1.3811023622047243</v>
      </c>
      <c r="C22" s="11" t="s">
        <v>4</v>
      </c>
      <c r="D22" s="6"/>
    </row>
    <row r="23" spans="1:4" ht="15.75" thickBot="1" x14ac:dyDescent="0.3">
      <c r="A23" s="24"/>
      <c r="B23" s="26"/>
      <c r="C23" s="25"/>
      <c r="D23" s="13"/>
    </row>
    <row r="24" spans="1:4" x14ac:dyDescent="0.25">
      <c r="A24" s="20" t="s">
        <v>33</v>
      </c>
      <c r="B24" s="21"/>
      <c r="C24" s="22"/>
      <c r="D24" s="23"/>
    </row>
    <row r="25" spans="1:4" x14ac:dyDescent="0.25">
      <c r="A25" s="4" t="s">
        <v>19</v>
      </c>
      <c r="B25" s="16">
        <f>B13+B12*(B4-B11)</f>
        <v>1.7399999999999998</v>
      </c>
      <c r="C25" s="11" t="s">
        <v>15</v>
      </c>
      <c r="D25" s="6"/>
    </row>
    <row r="26" spans="1:4" x14ac:dyDescent="0.25">
      <c r="A26" s="4" t="s">
        <v>20</v>
      </c>
      <c r="B26" s="16">
        <f>B13+B12*(B5-B11)</f>
        <v>7.8817322834645669</v>
      </c>
      <c r="C26" s="11" t="s">
        <v>15</v>
      </c>
      <c r="D26" s="6"/>
    </row>
    <row r="27" spans="1:4" x14ac:dyDescent="0.25">
      <c r="A27" s="4"/>
      <c r="B27" s="28"/>
      <c r="C27" s="11"/>
      <c r="D27" s="6"/>
    </row>
    <row r="28" spans="1:4" x14ac:dyDescent="0.25">
      <c r="A28" s="4" t="s">
        <v>19</v>
      </c>
      <c r="B28" s="16">
        <f>B19+B18*(B4*25.4-B17)</f>
        <v>7.7339200000000066</v>
      </c>
      <c r="C28" s="11" t="s">
        <v>43</v>
      </c>
      <c r="D28" s="6"/>
    </row>
    <row r="29" spans="1:4" x14ac:dyDescent="0.25">
      <c r="A29" s="4" t="s">
        <v>20</v>
      </c>
      <c r="B29" s="16">
        <f>B19+B18*(B5*25.4-B17)</f>
        <v>35.052345196850396</v>
      </c>
      <c r="C29" s="11" t="s">
        <v>43</v>
      </c>
      <c r="D29" s="6"/>
    </row>
    <row r="30" spans="1:4" ht="15.75" thickBot="1" x14ac:dyDescent="0.3">
      <c r="A30" s="24"/>
      <c r="B30" s="26"/>
      <c r="C30" s="25"/>
      <c r="D30" s="13"/>
    </row>
    <row r="31" spans="1:4" ht="15.75" x14ac:dyDescent="0.25">
      <c r="A31" s="4"/>
      <c r="B31" s="12"/>
      <c r="C31" s="5"/>
      <c r="D31" s="6"/>
    </row>
    <row r="32" spans="1:4" ht="15.75" x14ac:dyDescent="0.25">
      <c r="A32" s="4"/>
      <c r="B32" s="12"/>
      <c r="C32" s="5"/>
      <c r="D32" s="6"/>
    </row>
    <row r="33" spans="1:4" ht="15.75" x14ac:dyDescent="0.25">
      <c r="A33" s="4"/>
      <c r="B33" s="12"/>
      <c r="C33" s="5"/>
      <c r="D33" s="6"/>
    </row>
    <row r="34" spans="1:4" ht="15.75" x14ac:dyDescent="0.25">
      <c r="A34" s="4"/>
      <c r="B34" s="12"/>
      <c r="C34" s="5"/>
      <c r="D34" s="6"/>
    </row>
    <row r="35" spans="1:4" ht="15.75" x14ac:dyDescent="0.25">
      <c r="A35" s="4"/>
      <c r="B35" s="12"/>
      <c r="C35" s="5"/>
      <c r="D35" s="6"/>
    </row>
    <row r="36" spans="1:4" ht="15.75" x14ac:dyDescent="0.25">
      <c r="A36" s="4"/>
      <c r="B36" s="12"/>
      <c r="C36" s="5"/>
      <c r="D36" s="6"/>
    </row>
    <row r="37" spans="1:4" ht="15.75" x14ac:dyDescent="0.25">
      <c r="A37" s="4"/>
      <c r="B37" s="12"/>
      <c r="C37" s="5"/>
      <c r="D37" s="6"/>
    </row>
    <row r="38" spans="1:4" ht="15.75" x14ac:dyDescent="0.25">
      <c r="A38" s="4"/>
      <c r="B38" s="12"/>
      <c r="C38" s="5"/>
      <c r="D38" s="6"/>
    </row>
    <row r="39" spans="1:4" ht="15.75" x14ac:dyDescent="0.25">
      <c r="A39" s="4"/>
      <c r="B39" s="12"/>
      <c r="C39" s="5"/>
      <c r="D39" s="6"/>
    </row>
    <row r="40" spans="1:4" ht="15.75" x14ac:dyDescent="0.25">
      <c r="A40" s="4"/>
      <c r="B40" s="12"/>
      <c r="C40" s="5"/>
      <c r="D40" s="6"/>
    </row>
  </sheetData>
  <pageMargins left="0.3" right="0.3" top="1.0142045454545501" bottom="0.68181818181818199" header="0.3" footer="0.3"/>
  <pageSetup scale="94" fitToHeight="0" orientation="portrait" r:id="rId1"/>
  <headerFooter>
    <oddHeader>&amp;L&amp;G&amp;R&amp;"Arial,Bold"&amp;16&amp;K03+000ART&amp;18
&amp;"Arial,Regular"&amp;16&amp;K01+000Spring Calculator</oddHeader>
    <oddFooter xml:space="preserve">&amp;L&amp;F&amp;R&amp;P of &amp;N     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'Lookup Table'!$A$2:$A$3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9" sqref="C19:D19"/>
    </sheetView>
  </sheetViews>
  <sheetFormatPr defaultRowHeight="15" x14ac:dyDescent="0.25"/>
  <sheetData>
    <row r="1" spans="1:3" x14ac:dyDescent="0.25">
      <c r="A1" t="s">
        <v>24</v>
      </c>
      <c r="B1" t="s">
        <v>30</v>
      </c>
      <c r="C1" t="s">
        <v>39</v>
      </c>
    </row>
    <row r="2" spans="1:3" x14ac:dyDescent="0.25">
      <c r="A2" t="s">
        <v>25</v>
      </c>
      <c r="B2">
        <v>280</v>
      </c>
      <c r="C2">
        <v>11500000</v>
      </c>
    </row>
    <row r="3" spans="1:3" x14ac:dyDescent="0.25">
      <c r="A3" t="s">
        <v>29</v>
      </c>
      <c r="B3">
        <v>210</v>
      </c>
      <c r="C3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Stripper Hold Down</vt:lpstr>
      <vt:lpstr>Stripper Return</vt:lpstr>
      <vt:lpstr>Extension Spring</vt:lpstr>
      <vt:lpstr>Lookup Table</vt:lpstr>
      <vt:lpstr>'Extension Spring'!Print_Titles</vt:lpstr>
      <vt:lpstr>'Stripper Hold Down'!Print_Titles</vt:lpstr>
      <vt:lpstr>'Stripper Return'!Print_Titles</vt:lpstr>
    </vt:vector>
  </TitlesOfParts>
  <Company>Isthmus Engineering and Manufacturing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Kernkamp</dc:creator>
  <cp:lastModifiedBy>Luke VanHulle</cp:lastModifiedBy>
  <cp:lastPrinted>2017-09-16T14:09:12Z</cp:lastPrinted>
  <dcterms:created xsi:type="dcterms:W3CDTF">2011-09-29T15:07:03Z</dcterms:created>
  <dcterms:modified xsi:type="dcterms:W3CDTF">2019-02-27T15:28:28Z</dcterms:modified>
</cp:coreProperties>
</file>