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Alcon\Jobs\6574 - Filter Assembly Zone 1\00 - Entire Machine\Mechanical Design Notes\"/>
    </mc:Choice>
  </mc:AlternateContent>
  <bookViews>
    <workbookView xWindow="0" yWindow="0" windowWidth="26955" windowHeight="11220" activeTab="1"/>
  </bookViews>
  <sheets>
    <sheet name="S-588 Infusion" sheetId="2" r:id="rId1"/>
    <sheet name="S-588 Aspir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" l="1"/>
  <c r="J24" i="3"/>
  <c r="L24" i="3" s="1"/>
  <c r="C17" i="3"/>
  <c r="C10" i="3"/>
  <c r="F4" i="3" s="1"/>
  <c r="H5" i="3"/>
  <c r="H6" i="3" s="1"/>
  <c r="O4" i="3"/>
  <c r="N4" i="3"/>
  <c r="P4" i="3" s="1"/>
  <c r="K4" i="3"/>
  <c r="J4" i="3"/>
  <c r="L4" i="3" s="1"/>
  <c r="M4" i="3" s="1"/>
  <c r="I4" i="3"/>
  <c r="J6" i="3" l="1"/>
  <c r="I6" i="3"/>
  <c r="N6" i="3"/>
  <c r="P6" i="3" s="1"/>
  <c r="H7" i="3"/>
  <c r="O6" i="3"/>
  <c r="K6" i="3"/>
  <c r="I5" i="3"/>
  <c r="Q4" i="3"/>
  <c r="R4" i="3" s="1"/>
  <c r="S4" i="3" s="1"/>
  <c r="J5" i="3"/>
  <c r="K5" i="3"/>
  <c r="N5" i="3"/>
  <c r="P5" i="3" s="1"/>
  <c r="O5" i="3"/>
  <c r="K24" i="2"/>
  <c r="J24" i="2"/>
  <c r="C17" i="2"/>
  <c r="C10" i="2"/>
  <c r="F4" i="2" s="1"/>
  <c r="H6" i="2"/>
  <c r="I6" i="2" s="1"/>
  <c r="O5" i="2"/>
  <c r="K5" i="2"/>
  <c r="I5" i="2"/>
  <c r="H5" i="2"/>
  <c r="J5" i="2" s="1"/>
  <c r="N4" i="2"/>
  <c r="P4" i="2" s="1"/>
  <c r="K4" i="2"/>
  <c r="J4" i="2"/>
  <c r="I4" i="2"/>
  <c r="H8" i="3" l="1"/>
  <c r="K7" i="3"/>
  <c r="I7" i="3"/>
  <c r="O7" i="3"/>
  <c r="N7" i="3"/>
  <c r="P7" i="3" s="1"/>
  <c r="J7" i="3"/>
  <c r="L5" i="3"/>
  <c r="M5" i="3" s="1"/>
  <c r="L6" i="3"/>
  <c r="M6" i="3" s="1"/>
  <c r="T4" i="3"/>
  <c r="L24" i="2"/>
  <c r="L5" i="2"/>
  <c r="M5" i="2" s="1"/>
  <c r="L4" i="2"/>
  <c r="M4" i="2" s="1"/>
  <c r="J6" i="2"/>
  <c r="K6" i="2"/>
  <c r="O4" i="2"/>
  <c r="H7" i="2"/>
  <c r="N6" i="2"/>
  <c r="P6" i="2" s="1"/>
  <c r="O6" i="2"/>
  <c r="N5" i="2"/>
  <c r="P5" i="2" s="1"/>
  <c r="L7" i="3" l="1"/>
  <c r="M7" i="3" s="1"/>
  <c r="Q6" i="3"/>
  <c r="R6" i="3" s="1"/>
  <c r="S6" i="3" s="1"/>
  <c r="T6" i="3" s="1"/>
  <c r="Q5" i="3"/>
  <c r="R5" i="3" s="1"/>
  <c r="S5" i="3" s="1"/>
  <c r="N8" i="3"/>
  <c r="P8" i="3" s="1"/>
  <c r="K8" i="3"/>
  <c r="H9" i="3"/>
  <c r="J8" i="3"/>
  <c r="I8" i="3"/>
  <c r="O8" i="3"/>
  <c r="Q5" i="2"/>
  <c r="R5" i="2" s="1"/>
  <c r="S5" i="2" s="1"/>
  <c r="T5" i="2" s="1"/>
  <c r="L6" i="2"/>
  <c r="M6" i="2" s="1"/>
  <c r="H8" i="2"/>
  <c r="K7" i="2"/>
  <c r="J7" i="2"/>
  <c r="I7" i="2"/>
  <c r="O7" i="2"/>
  <c r="N7" i="2"/>
  <c r="P7" i="2" s="1"/>
  <c r="Q4" i="2"/>
  <c r="R4" i="2" s="1"/>
  <c r="S4" i="2" s="1"/>
  <c r="Q7" i="3" l="1"/>
  <c r="R7" i="3" s="1"/>
  <c r="S7" i="3" s="1"/>
  <c r="T7" i="3" s="1"/>
  <c r="T5" i="3"/>
  <c r="K9" i="3"/>
  <c r="I9" i="3"/>
  <c r="J9" i="3"/>
  <c r="O9" i="3"/>
  <c r="N9" i="3"/>
  <c r="P9" i="3" s="1"/>
  <c r="H10" i="3"/>
  <c r="L8" i="3"/>
  <c r="M8" i="3" s="1"/>
  <c r="N8" i="2"/>
  <c r="P8" i="2" s="1"/>
  <c r="H9" i="2"/>
  <c r="K8" i="2"/>
  <c r="J8" i="2"/>
  <c r="I8" i="2"/>
  <c r="O8" i="2"/>
  <c r="T4" i="2"/>
  <c r="Q6" i="2"/>
  <c r="R6" i="2" s="1"/>
  <c r="S6" i="2" s="1"/>
  <c r="T6" i="2" s="1"/>
  <c r="L7" i="2"/>
  <c r="M7" i="2" s="1"/>
  <c r="H11" i="3" l="1"/>
  <c r="K10" i="3"/>
  <c r="I10" i="3"/>
  <c r="J10" i="3"/>
  <c r="O10" i="3"/>
  <c r="N10" i="3"/>
  <c r="P10" i="3" s="1"/>
  <c r="L9" i="3"/>
  <c r="M9" i="3" s="1"/>
  <c r="Q8" i="3"/>
  <c r="R8" i="3" s="1"/>
  <c r="S8" i="3" s="1"/>
  <c r="Q7" i="2"/>
  <c r="R7" i="2" s="1"/>
  <c r="S7" i="2" s="1"/>
  <c r="T7" i="2" s="1"/>
  <c r="L8" i="2"/>
  <c r="M8" i="2" s="1"/>
  <c r="K9" i="2"/>
  <c r="J9" i="2"/>
  <c r="I9" i="2"/>
  <c r="O9" i="2"/>
  <c r="H10" i="2"/>
  <c r="N9" i="2"/>
  <c r="P9" i="2" s="1"/>
  <c r="T8" i="3" l="1"/>
  <c r="Q9" i="3"/>
  <c r="R9" i="3" s="1"/>
  <c r="S9" i="3" s="1"/>
  <c r="T9" i="3" s="1"/>
  <c r="L10" i="3"/>
  <c r="M10" i="3" s="1"/>
  <c r="N11" i="3"/>
  <c r="P11" i="3" s="1"/>
  <c r="K11" i="3"/>
  <c r="H12" i="3"/>
  <c r="J11" i="3"/>
  <c r="I11" i="3"/>
  <c r="O11" i="3"/>
  <c r="Q8" i="2"/>
  <c r="R8" i="2" s="1"/>
  <c r="S8" i="2" s="1"/>
  <c r="L9" i="2"/>
  <c r="M9" i="2" s="1"/>
  <c r="K10" i="2"/>
  <c r="J10" i="2"/>
  <c r="I10" i="2"/>
  <c r="O10" i="2"/>
  <c r="H11" i="2"/>
  <c r="N10" i="2"/>
  <c r="P10" i="2" s="1"/>
  <c r="Q10" i="3" l="1"/>
  <c r="R10" i="3" s="1"/>
  <c r="S10" i="3" s="1"/>
  <c r="T10" i="3" s="1"/>
  <c r="L11" i="3"/>
  <c r="M11" i="3" s="1"/>
  <c r="K12" i="3"/>
  <c r="I12" i="3"/>
  <c r="J12" i="3"/>
  <c r="O12" i="3"/>
  <c r="N12" i="3"/>
  <c r="P12" i="3" s="1"/>
  <c r="H13" i="3"/>
  <c r="L10" i="2"/>
  <c r="M10" i="2" s="1"/>
  <c r="Q9" i="2"/>
  <c r="R9" i="2" s="1"/>
  <c r="S9" i="2" s="1"/>
  <c r="T9" i="2" s="1"/>
  <c r="N11" i="2"/>
  <c r="P11" i="2" s="1"/>
  <c r="H12" i="2"/>
  <c r="K11" i="2"/>
  <c r="J11" i="2"/>
  <c r="I11" i="2"/>
  <c r="O11" i="2"/>
  <c r="T8" i="2"/>
  <c r="Q11" i="3" l="1"/>
  <c r="R11" i="3" s="1"/>
  <c r="S11" i="3" s="1"/>
  <c r="T11" i="3" s="1"/>
  <c r="L12" i="3"/>
  <c r="M12" i="3" s="1"/>
  <c r="H14" i="3"/>
  <c r="J13" i="3"/>
  <c r="I13" i="3"/>
  <c r="K13" i="3"/>
  <c r="O13" i="3"/>
  <c r="N13" i="3"/>
  <c r="P13" i="3" s="1"/>
  <c r="L11" i="2"/>
  <c r="M11" i="2" s="1"/>
  <c r="K12" i="2"/>
  <c r="J12" i="2"/>
  <c r="I12" i="2"/>
  <c r="O12" i="2"/>
  <c r="H13" i="2"/>
  <c r="N12" i="2"/>
  <c r="P12" i="2" s="1"/>
  <c r="Q10" i="2"/>
  <c r="R10" i="2" s="1"/>
  <c r="S10" i="2" s="1"/>
  <c r="L13" i="3" l="1"/>
  <c r="M13" i="3" s="1"/>
  <c r="I14" i="3"/>
  <c r="O14" i="3"/>
  <c r="H15" i="3"/>
  <c r="K14" i="3"/>
  <c r="J14" i="3"/>
  <c r="N14" i="3"/>
  <c r="P14" i="3" s="1"/>
  <c r="Q12" i="3"/>
  <c r="R12" i="3" s="1"/>
  <c r="S12" i="3" s="1"/>
  <c r="T12" i="3" s="1"/>
  <c r="Q11" i="2"/>
  <c r="R11" i="2" s="1"/>
  <c r="S11" i="2" s="1"/>
  <c r="T11" i="2" s="1"/>
  <c r="L12" i="2"/>
  <c r="M12" i="2" s="1"/>
  <c r="N13" i="2"/>
  <c r="P13" i="2" s="1"/>
  <c r="H14" i="2"/>
  <c r="K13" i="2"/>
  <c r="J13" i="2"/>
  <c r="I13" i="2"/>
  <c r="O13" i="2"/>
  <c r="T10" i="2"/>
  <c r="L14" i="3" l="1"/>
  <c r="M14" i="3" s="1"/>
  <c r="J15" i="3"/>
  <c r="K15" i="3"/>
  <c r="O15" i="3"/>
  <c r="I15" i="3"/>
  <c r="N15" i="3"/>
  <c r="P15" i="3" s="1"/>
  <c r="H16" i="3"/>
  <c r="Q13" i="3"/>
  <c r="R13" i="3" s="1"/>
  <c r="S13" i="3" s="1"/>
  <c r="T13" i="3" s="1"/>
  <c r="L13" i="2"/>
  <c r="M13" i="2" s="1"/>
  <c r="O14" i="2"/>
  <c r="H15" i="2"/>
  <c r="K14" i="2"/>
  <c r="J14" i="2"/>
  <c r="I14" i="2"/>
  <c r="N14" i="2"/>
  <c r="P14" i="2" s="1"/>
  <c r="Q12" i="2"/>
  <c r="R12" i="2" s="1"/>
  <c r="S12" i="2" s="1"/>
  <c r="Q14" i="3" l="1"/>
  <c r="R14" i="3" s="1"/>
  <c r="S14" i="3" s="1"/>
  <c r="T14" i="3" s="1"/>
  <c r="L15" i="3"/>
  <c r="M15" i="3" s="1"/>
  <c r="H17" i="3"/>
  <c r="K16" i="3"/>
  <c r="J16" i="3"/>
  <c r="I16" i="3"/>
  <c r="O16" i="3"/>
  <c r="N16" i="3"/>
  <c r="P16" i="3" s="1"/>
  <c r="Q13" i="2"/>
  <c r="R13" i="2"/>
  <c r="S13" i="2" s="1"/>
  <c r="T13" i="2" s="1"/>
  <c r="K15" i="2"/>
  <c r="J15" i="2"/>
  <c r="I15" i="2"/>
  <c r="H16" i="2"/>
  <c r="O15" i="2"/>
  <c r="N15" i="2"/>
  <c r="P15" i="2" s="1"/>
  <c r="L14" i="2"/>
  <c r="M14" i="2" s="1"/>
  <c r="T12" i="2"/>
  <c r="L16" i="3" l="1"/>
  <c r="M16" i="3" s="1"/>
  <c r="I17" i="3"/>
  <c r="H18" i="3"/>
  <c r="N17" i="3"/>
  <c r="P17" i="3" s="1"/>
  <c r="K17" i="3"/>
  <c r="J17" i="3"/>
  <c r="O17" i="3"/>
  <c r="Q15" i="3"/>
  <c r="R15" i="3" s="1"/>
  <c r="S15" i="3" s="1"/>
  <c r="T15" i="3" s="1"/>
  <c r="Q14" i="2"/>
  <c r="R14" i="2" s="1"/>
  <c r="S14" i="2" s="1"/>
  <c r="T14" i="2" s="1"/>
  <c r="H17" i="2"/>
  <c r="K16" i="2"/>
  <c r="J16" i="2"/>
  <c r="I16" i="2"/>
  <c r="N16" i="2"/>
  <c r="P16" i="2" s="1"/>
  <c r="O16" i="2"/>
  <c r="L15" i="2"/>
  <c r="M15" i="2" s="1"/>
  <c r="L17" i="3" l="1"/>
  <c r="M17" i="3" s="1"/>
  <c r="J18" i="3"/>
  <c r="K18" i="3"/>
  <c r="O18" i="3"/>
  <c r="I18" i="3"/>
  <c r="N18" i="3"/>
  <c r="P18" i="3" s="1"/>
  <c r="H19" i="3"/>
  <c r="Q16" i="3"/>
  <c r="R16" i="3" s="1"/>
  <c r="S16" i="3" s="1"/>
  <c r="T16" i="3" s="1"/>
  <c r="Q15" i="2"/>
  <c r="L16" i="2"/>
  <c r="M16" i="2" s="1"/>
  <c r="I17" i="2"/>
  <c r="H18" i="2"/>
  <c r="K17" i="2"/>
  <c r="J17" i="2"/>
  <c r="N17" i="2"/>
  <c r="P17" i="2" s="1"/>
  <c r="O17" i="2"/>
  <c r="R15" i="2"/>
  <c r="S15" i="2" s="1"/>
  <c r="T15" i="2" s="1"/>
  <c r="L18" i="3" l="1"/>
  <c r="M18" i="3" s="1"/>
  <c r="H20" i="3"/>
  <c r="K19" i="3"/>
  <c r="J19" i="3"/>
  <c r="I19" i="3"/>
  <c r="N19" i="3"/>
  <c r="P19" i="3" s="1"/>
  <c r="O19" i="3"/>
  <c r="Q17" i="3"/>
  <c r="R17" i="3" s="1"/>
  <c r="S17" i="3" s="1"/>
  <c r="T17" i="3" s="1"/>
  <c r="Q16" i="2"/>
  <c r="R16" i="2"/>
  <c r="S16" i="2" s="1"/>
  <c r="T16" i="2" s="1"/>
  <c r="K18" i="2"/>
  <c r="J18" i="2"/>
  <c r="I18" i="2"/>
  <c r="H19" i="2"/>
  <c r="O18" i="2"/>
  <c r="N18" i="2"/>
  <c r="P18" i="2" s="1"/>
  <c r="L17" i="2"/>
  <c r="M17" i="2" s="1"/>
  <c r="Q18" i="3" l="1"/>
  <c r="R18" i="3" s="1"/>
  <c r="S18" i="3" s="1"/>
  <c r="T18" i="3" s="1"/>
  <c r="L19" i="3"/>
  <c r="M19" i="3" s="1"/>
  <c r="J20" i="3"/>
  <c r="I20" i="3"/>
  <c r="N20" i="3"/>
  <c r="P20" i="3" s="1"/>
  <c r="H21" i="3"/>
  <c r="O20" i="3"/>
  <c r="K20" i="3"/>
  <c r="L18" i="2"/>
  <c r="M18" i="2" s="1"/>
  <c r="H20" i="2"/>
  <c r="K19" i="2"/>
  <c r="J19" i="2"/>
  <c r="I19" i="2"/>
  <c r="O19" i="2"/>
  <c r="N19" i="2"/>
  <c r="P19" i="2" s="1"/>
  <c r="Q17" i="2"/>
  <c r="R17" i="2" s="1"/>
  <c r="S17" i="2" s="1"/>
  <c r="T17" i="2" s="1"/>
  <c r="H22" i="3" l="1"/>
  <c r="K21" i="3"/>
  <c r="I21" i="3"/>
  <c r="J21" i="3"/>
  <c r="O21" i="3"/>
  <c r="N21" i="3"/>
  <c r="P21" i="3" s="1"/>
  <c r="L20" i="3"/>
  <c r="M20" i="3" s="1"/>
  <c r="Q19" i="3"/>
  <c r="R19" i="3" s="1"/>
  <c r="S19" i="3" s="1"/>
  <c r="T19" i="3" s="1"/>
  <c r="L19" i="2"/>
  <c r="M19" i="2" s="1"/>
  <c r="I20" i="2"/>
  <c r="H21" i="2"/>
  <c r="K20" i="2"/>
  <c r="J20" i="2"/>
  <c r="N20" i="2"/>
  <c r="P20" i="2" s="1"/>
  <c r="O20" i="2"/>
  <c r="Q18" i="2"/>
  <c r="R18" i="2" s="1"/>
  <c r="S18" i="2" s="1"/>
  <c r="T18" i="2" s="1"/>
  <c r="Q20" i="3" l="1"/>
  <c r="R20" i="3" s="1"/>
  <c r="S20" i="3" s="1"/>
  <c r="T20" i="3" s="1"/>
  <c r="L21" i="3"/>
  <c r="M21" i="3" s="1"/>
  <c r="K22" i="3"/>
  <c r="J22" i="3"/>
  <c r="I22" i="3"/>
  <c r="O22" i="3"/>
  <c r="N22" i="3"/>
  <c r="P22" i="3" s="1"/>
  <c r="Q19" i="2"/>
  <c r="R19" i="2" s="1"/>
  <c r="S19" i="2" s="1"/>
  <c r="T19" i="2" s="1"/>
  <c r="L20" i="2"/>
  <c r="M20" i="2" s="1"/>
  <c r="K21" i="2"/>
  <c r="J21" i="2"/>
  <c r="I21" i="2"/>
  <c r="H22" i="2"/>
  <c r="O21" i="2"/>
  <c r="N21" i="2"/>
  <c r="P21" i="2" s="1"/>
  <c r="Q21" i="3" l="1"/>
  <c r="R21" i="3" s="1"/>
  <c r="S21" i="3" s="1"/>
  <c r="T21" i="3" s="1"/>
  <c r="L22" i="3"/>
  <c r="M22" i="3" s="1"/>
  <c r="L21" i="2"/>
  <c r="M21" i="2" s="1"/>
  <c r="Q20" i="2"/>
  <c r="R20" i="2" s="1"/>
  <c r="S20" i="2" s="1"/>
  <c r="T20" i="2" s="1"/>
  <c r="K22" i="2"/>
  <c r="J22" i="2"/>
  <c r="I22" i="2"/>
  <c r="O22" i="2"/>
  <c r="N22" i="2"/>
  <c r="P22" i="2" s="1"/>
  <c r="Q22" i="3" l="1"/>
  <c r="R22" i="3" s="1"/>
  <c r="S22" i="3" s="1"/>
  <c r="Q21" i="2"/>
  <c r="R21" i="2" s="1"/>
  <c r="S21" i="2" s="1"/>
  <c r="T21" i="2" s="1"/>
  <c r="L22" i="2"/>
  <c r="M22" i="2" s="1"/>
  <c r="T22" i="3" l="1"/>
  <c r="S24" i="3"/>
  <c r="Q22" i="2"/>
  <c r="R22" i="2" s="1"/>
  <c r="S22" i="2" s="1"/>
  <c r="T22" i="2" l="1"/>
  <c r="S24" i="2"/>
</calcChain>
</file>

<file path=xl/sharedStrings.xml><?xml version="1.0" encoding="utf-8"?>
<sst xmlns="http://schemas.openxmlformats.org/spreadsheetml/2006/main" count="71" uniqueCount="33">
  <si>
    <t>Max Length (in)</t>
  </si>
  <si>
    <t>Min Length (in)</t>
  </si>
  <si>
    <t>Force at Max length (lbs)</t>
  </si>
  <si>
    <t>Force at Min Length (lbs)</t>
  </si>
  <si>
    <t>Spring Length (in)</t>
  </si>
  <si>
    <t>Force (lbs)</t>
  </si>
  <si>
    <t>Spring Rate (lbs/in)</t>
  </si>
  <si>
    <t>Assembly weight (lbs)</t>
  </si>
  <si>
    <t>Assembly COM X (in)</t>
  </si>
  <si>
    <t>Assembly COM Y (in)</t>
  </si>
  <si>
    <t>Upper Mnt X (in)</t>
  </si>
  <si>
    <t>Upper Mnt Y (in)</t>
  </si>
  <si>
    <t>Lower Mnt X (in)</t>
  </si>
  <si>
    <t>Lower Mnt Y (in)</t>
  </si>
  <si>
    <t>Table Angle (deg)</t>
  </si>
  <si>
    <t>Angle (rad)</t>
  </si>
  <si>
    <t>Pivot Radius (in)</t>
  </si>
  <si>
    <t>Upper Bolt Start angle (deg)</t>
  </si>
  <si>
    <t>Spring Force (lbs)</t>
  </si>
  <si>
    <t>Table COM X (in)</t>
  </si>
  <si>
    <t>Assembly COM Rad (in)</t>
  </si>
  <si>
    <t>COM Start anlge (deg)</t>
  </si>
  <si>
    <t>Table Torq (in-lbs)</t>
  </si>
  <si>
    <t>+ = CCW</t>
  </si>
  <si>
    <t>- = CW</t>
  </si>
  <si>
    <t>Table COM Y (in)</t>
  </si>
  <si>
    <t>Spring Moment Arm (in)</t>
  </si>
  <si>
    <t>Spring Torque (in-lbs)</t>
  </si>
  <si>
    <t>Torque on Gear Box (in-lbs)</t>
  </si>
  <si>
    <t>Lbs to hold down end of table</t>
  </si>
  <si>
    <t>Force on Roller (lbs)</t>
  </si>
  <si>
    <t>Delta Angle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</si>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</sst>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Table Torque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'S-588 Infusion'!$H$4:$H$22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Infusion'!$P$4:$P$22</c:f>
              <c:numCache>
                <c:formatCode>General</c:formatCode>
                <c:ptCount val="19"/>
                <c:pt idx="0">
                  <c:v>2.9106000000000001</c:v>
                </c:pt>
                <c:pt idx="1">
                  <c:v>2.9097311561571115</c:v>
                </c:pt>
                <c:pt idx="2">
                  <c:v>2.9071251433459779</c:v>
                </c:pt>
                <c:pt idx="3">
                  <c:v>2.902783517409508</c:v>
                </c:pt>
                <c:pt idx="4">
                  <c:v>2.8967088703871182</c:v>
                </c:pt>
                <c:pt idx="5">
                  <c:v>2.8889048289672319</c:v>
                </c:pt>
                <c:pt idx="6">
                  <c:v>2.8793760523220735</c:v>
                </c:pt>
                <c:pt idx="7">
                  <c:v>2.8681282293260462</c:v>
                </c:pt>
                <c:pt idx="8">
                  <c:v>2.8551680751593569</c:v>
                </c:pt>
                <c:pt idx="9">
                  <c:v>2.8405033272989182</c:v>
                </c:pt>
                <c:pt idx="10">
                  <c:v>2.8241427408989157</c:v>
                </c:pt>
                <c:pt idx="11">
                  <c:v>2.8060960835638005</c:v>
                </c:pt>
                <c:pt idx="12">
                  <c:v>2.7863741295168349</c:v>
                </c:pt>
                <c:pt idx="13">
                  <c:v>2.764988653167654</c:v>
                </c:pt>
                <c:pt idx="14">
                  <c:v>2.7419524220827056</c:v>
                </c:pt>
                <c:pt idx="15">
                  <c:v>2.7172791893627557</c:v>
                </c:pt>
                <c:pt idx="16">
                  <c:v>2.6909836854319984</c:v>
                </c:pt>
                <c:pt idx="17">
                  <c:v>2.6630816092437004</c:v>
                </c:pt>
                <c:pt idx="18">
                  <c:v>2.6335896189075965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A-4284-9AAC-B57F40CC6A29}"/>
            </c:ext>
          </c:extLst>
        </c:ser>
        <c:ser>
          <c:idx val="1"/>
          <c:order val="1"/>
          <c:tx>
            <c:v>Spring Torque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'S-588 Infusion'!$H$4:$H$22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Infusion'!$R$4:$R$22</c:f>
              <c:numCache>
                <c:formatCode>General</c:formatCode>
                <c:ptCount val="19"/>
                <c:pt idx="0">
                  <c:v>0.59145808967384672</c:v>
                </c:pt>
                <c:pt idx="1">
                  <c:v>0.19550497097169103</c:v>
                </c:pt>
                <c:pt idx="2">
                  <c:v>-0.20068458953481508</c:v>
                </c:pt>
                <c:pt idx="3">
                  <c:v>-0.59663144381028244</c:v>
                </c:pt>
                <c:pt idx="4">
                  <c:v>-0.9918566242336726</c:v>
                </c:pt>
                <c:pt idx="5">
                  <c:v>-1.3858816997001759</c:v>
                </c:pt>
                <c:pt idx="6">
                  <c:v>-1.7782291315156609</c:v>
                </c:pt>
                <c:pt idx="7">
                  <c:v>-2.1684226289463</c:v>
                </c:pt>
                <c:pt idx="8">
                  <c:v>-2.5559875042876312</c:v>
                </c:pt>
                <c:pt idx="9">
                  <c:v>-2.9404510273186304</c:v>
                </c:pt>
                <c:pt idx="10">
                  <c:v>-3.3213427790082113</c:v>
                </c:pt>
                <c:pt idx="11">
                  <c:v>-3.698195004344567</c:v>
                </c:pt>
                <c:pt idx="12">
                  <c:v>-4.0705429641602047</c:v>
                </c:pt>
                <c:pt idx="13">
                  <c:v>-4.4379252858291665</c:v>
                </c:pt>
                <c:pt idx="14">
                  <c:v>-4.7998843127171247</c:v>
                </c:pt>
                <c:pt idx="15">
                  <c:v>-5.1559664522690101</c:v>
                </c:pt>
                <c:pt idx="16">
                  <c:v>-5.5057225226244695</c:v>
                </c:pt>
                <c:pt idx="17">
                  <c:v>-5.8487080976566173</c:v>
                </c:pt>
                <c:pt idx="18">
                  <c:v>-6.1844838503359361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A-4284-9AAC-B57F40CC6A29}"/>
            </c:ext>
          </c:extLst>
        </c:ser>
        <c:ser>
          <c:idx val="2"/>
          <c:order val="2"/>
          <c:tx>
            <c:v>Gearbox Torque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'S-588 Infusion'!$H$4:$H$22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Infusion'!$S$4:$S$22</c:f>
              <c:numCache>
                <c:formatCode>General</c:formatCode>
                <c:ptCount val="19"/>
                <c:pt idx="0">
                  <c:v>3.5020580896738469</c:v>
                </c:pt>
                <c:pt idx="1">
                  <c:v>3.1052361271288027</c:v>
                </c:pt>
                <c:pt idx="2">
                  <c:v>2.7064405538111629</c:v>
                </c:pt>
                <c:pt idx="3">
                  <c:v>2.3061520735992254</c:v>
                </c:pt>
                <c:pt idx="4">
                  <c:v>1.9048522461534456</c:v>
                </c:pt>
                <c:pt idx="5">
                  <c:v>1.5030231292670559</c:v>
                </c:pt>
                <c:pt idx="6">
                  <c:v>1.1011469208064126</c:v>
                </c:pt>
                <c:pt idx="7">
                  <c:v>0.69970560037974616</c:v>
                </c:pt>
                <c:pt idx="8">
                  <c:v>0.29918057087172567</c:v>
                </c:pt>
                <c:pt idx="9">
                  <c:v>-9.9947700019712205E-2</c:v>
                </c:pt>
                <c:pt idx="10">
                  <c:v>-0.49720003810929558</c:v>
                </c:pt>
                <c:pt idx="11">
                  <c:v>-0.89209892078076658</c:v>
                </c:pt>
                <c:pt idx="12">
                  <c:v>-1.2841688346433697</c:v>
                </c:pt>
                <c:pt idx="13">
                  <c:v>-1.6729366326615125</c:v>
                </c:pt>
                <c:pt idx="14">
                  <c:v>-2.0579318906344191</c:v>
                </c:pt>
                <c:pt idx="15">
                  <c:v>-2.4386872629062544</c:v>
                </c:pt>
                <c:pt idx="16">
                  <c:v>-2.8147388371924711</c:v>
                </c:pt>
                <c:pt idx="17">
                  <c:v>-3.1856264884129168</c:v>
                </c:pt>
                <c:pt idx="18">
                  <c:v>-3.5508942314283396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A-4284-9AAC-B57F40CC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25712"/>
        <c:axId val="587811456"/>
      </c:scatterChart>
      <c:valAx>
        <c:axId val="5861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1456"/>
        <c:crosses val="autoZero"/>
        <c:crossBetween val="midCat"/>
      </c:valAx>
      <c:valAx>
        <c:axId val="587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(in-lbs)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Table Torque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'S-588 Aspiration'!$H$4:$H$22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Aspiration'!$P$4:$P$22</c:f>
              <c:numCache>
                <c:formatCode>General</c:formatCode>
                <c:ptCount val="19"/>
                <c:pt idx="0">
                  <c:v>2.9106000000000001</c:v>
                </c:pt>
                <c:pt idx="1">
                  <c:v>2.9097311561571115</c:v>
                </c:pt>
                <c:pt idx="2">
                  <c:v>2.9071251433459779</c:v>
                </c:pt>
                <c:pt idx="3">
                  <c:v>2.902783517409508</c:v>
                </c:pt>
                <c:pt idx="4">
                  <c:v>2.8967088703871182</c:v>
                </c:pt>
                <c:pt idx="5">
                  <c:v>2.8889048289672319</c:v>
                </c:pt>
                <c:pt idx="6">
                  <c:v>2.8793760523220735</c:v>
                </c:pt>
                <c:pt idx="7">
                  <c:v>2.8681282293260462</c:v>
                </c:pt>
                <c:pt idx="8">
                  <c:v>2.8551680751593569</c:v>
                </c:pt>
                <c:pt idx="9">
                  <c:v>2.8405033272989182</c:v>
                </c:pt>
                <c:pt idx="10">
                  <c:v>2.8241427408989157</c:v>
                </c:pt>
                <c:pt idx="11">
                  <c:v>2.8060960835638005</c:v>
                </c:pt>
                <c:pt idx="12">
                  <c:v>2.7863741295168349</c:v>
                </c:pt>
                <c:pt idx="13">
                  <c:v>2.764988653167654</c:v>
                </c:pt>
                <c:pt idx="14">
                  <c:v>2.7419524220827056</c:v>
                </c:pt>
                <c:pt idx="15">
                  <c:v>2.7172791893627557</c:v>
                </c:pt>
                <c:pt idx="16">
                  <c:v>2.6909836854319984</c:v>
                </c:pt>
                <c:pt idx="17">
                  <c:v>2.6630816092437004</c:v>
                </c:pt>
                <c:pt idx="18">
                  <c:v>2.6335896189075965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2-46D0-9D56-5B9A2DFC135B}"/>
            </c:ext>
          </c:extLst>
        </c:ser>
        <c:ser>
          <c:idx val="1"/>
          <c:order val="1"/>
          <c:tx>
            <c:v>Spring Torque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'S-588 Aspiration'!$H$4:$H$22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Aspiration'!$R$4:$R$22</c:f>
              <c:numCache>
                <c:formatCode>General</c:formatCode>
                <c:ptCount val="19"/>
                <c:pt idx="0">
                  <c:v>7.9395362761460961E-16</c:v>
                </c:pt>
                <c:pt idx="1">
                  <c:v>-0.31663806715157905</c:v>
                </c:pt>
                <c:pt idx="2">
                  <c:v>-0.63293191876231136</c:v>
                </c:pt>
                <c:pt idx="3">
                  <c:v>-0.9485376548728357</c:v>
                </c:pt>
                <c:pt idx="4">
                  <c:v>-1.2631120066149375</c:v>
                </c:pt>
                <c:pt idx="5">
                  <c:v>-1.5763126515778554</c:v>
                </c:pt>
                <c:pt idx="6">
                  <c:v>-1.8877985289602017</c:v>
                </c:pt>
                <c:pt idx="7">
                  <c:v>-2.1972301544373991</c:v>
                </c:pt>
                <c:pt idx="8">
                  <c:v>-2.5042699346756088</c:v>
                </c:pt>
                <c:pt idx="9">
                  <c:v>-2.8085824814244305</c:v>
                </c:pt>
                <c:pt idx="10">
                  <c:v>-3.1098349251225228</c:v>
                </c:pt>
                <c:pt idx="11">
                  <c:v>-3.4076972279520006</c:v>
                </c:pt>
                <c:pt idx="12">
                  <c:v>-3.7018424962799172</c:v>
                </c:pt>
                <c:pt idx="13">
                  <c:v>-3.991947292427438</c:v>
                </c:pt>
                <c:pt idx="14">
                  <c:v>-4.2776919457101208</c:v>
                </c:pt>
                <c:pt idx="15">
                  <c:v>-4.558760862695844</c:v>
                </c:pt>
                <c:pt idx="16">
                  <c:v>-4.8348428366300036</c:v>
                </c:pt>
                <c:pt idx="17">
                  <c:v>-5.1056313559813047</c:v>
                </c:pt>
                <c:pt idx="18">
                  <c:v>-5.3708249120651139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2-46D0-9D56-5B9A2DFC135B}"/>
            </c:ext>
          </c:extLst>
        </c:ser>
        <c:ser>
          <c:idx val="2"/>
          <c:order val="2"/>
          <c:tx>
            <c:v>Gearbox Torque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'S-588 Aspiration'!$H$4:$H$22</c:f>
              <c:numCache>
                <c:formatCode>General</c:formatCode>
                <c:ptCount val="19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</c:numCache>
            </c:numRef>
          </c:xVal>
          <c:yVal>
            <c:numRef>
              <c:f>'S-588 Aspiration'!$S$4:$S$22</c:f>
              <c:numCache>
                <c:formatCode>General</c:formatCode>
                <c:ptCount val="19"/>
                <c:pt idx="0">
                  <c:v>2.910600000000001</c:v>
                </c:pt>
                <c:pt idx="1">
                  <c:v>2.5930930890055324</c:v>
                </c:pt>
                <c:pt idx="2">
                  <c:v>2.2741932245836667</c:v>
                </c:pt>
                <c:pt idx="3">
                  <c:v>1.9542458625366723</c:v>
                </c:pt>
                <c:pt idx="4">
                  <c:v>1.6335968637721807</c:v>
                </c:pt>
                <c:pt idx="5">
                  <c:v>1.3125921773893765</c:v>
                </c:pt>
                <c:pt idx="6">
                  <c:v>0.99157752336187177</c:v>
                </c:pt>
                <c:pt idx="7">
                  <c:v>0.67089807488864706</c:v>
                </c:pt>
                <c:pt idx="8">
                  <c:v>0.35089814048374812</c:v>
                </c:pt>
                <c:pt idx="9">
                  <c:v>3.1920845874487735E-2</c:v>
                </c:pt>
                <c:pt idx="10">
                  <c:v>-0.28569218422360709</c:v>
                </c:pt>
                <c:pt idx="11">
                  <c:v>-0.60160114438820012</c:v>
                </c:pt>
                <c:pt idx="12">
                  <c:v>-0.9154683667630823</c:v>
                </c:pt>
                <c:pt idx="13">
                  <c:v>-1.226958639259784</c:v>
                </c:pt>
                <c:pt idx="14">
                  <c:v>-1.5357395236274152</c:v>
                </c:pt>
                <c:pt idx="15">
                  <c:v>-1.8414816733330883</c:v>
                </c:pt>
                <c:pt idx="16">
                  <c:v>-2.1438591511980052</c:v>
                </c:pt>
                <c:pt idx="17">
                  <c:v>-2.4425497467376043</c:v>
                </c:pt>
                <c:pt idx="18">
                  <c:v>-2.7372352931575175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12-46D0-9D56-5B9A2DFC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25712"/>
        <c:axId val="587811456"/>
      </c:scatterChart>
      <c:valAx>
        <c:axId val="5861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1456"/>
        <c:crosses val="autoZero"/>
        <c:crossBetween val="midCat"/>
      </c:valAx>
      <c:valAx>
        <c:axId val="587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(in-lbs)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25</xdr:row>
      <xdr:rowOff>100012</xdr:rowOff>
    </xdr:from>
    <xdr:to>
      <xdr:col>17</xdr:col>
      <xdr:colOff>9525</xdr:colOff>
      <xdr:row>49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25</xdr:row>
      <xdr:rowOff>100012</xdr:rowOff>
    </xdr:from>
    <xdr:to>
      <xdr:col>17</xdr:col>
      <xdr:colOff>9525</xdr:colOff>
      <xdr:row>49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workbookViewId="0">
      <selection activeCell="E42" sqref="E42"/>
    </sheetView>
  </sheetViews>
  <sheetFormatPr defaultRowHeight="15" x14ac:dyDescent="0.25"/>
  <cols>
    <col min="2" max="2" width="26.375" bestFit="1" customWidth="1"/>
    <col min="16" max="16" width="11" customWidth="1"/>
    <col min="17" max="18" width="14" bestFit="1" customWidth="1"/>
    <col min="19" max="19" width="15" bestFit="1" customWidth="1"/>
  </cols>
  <sheetData>
    <row r="1" spans="2:20" x14ac:dyDescent="0.25">
      <c r="P1" s="1" t="s">
        <v>23</v>
      </c>
    </row>
    <row r="2" spans="2:20" x14ac:dyDescent="0.25">
      <c r="P2" s="1" t="s">
        <v>24</v>
      </c>
    </row>
    <row r="3" spans="2:20" ht="30" customHeight="1" x14ac:dyDescent="0.25">
      <c r="E3" t="s">
        <v>4</v>
      </c>
      <c r="F3" t="s">
        <v>5</v>
      </c>
      <c r="H3" t="s">
        <v>14</v>
      </c>
      <c r="I3" s="2" t="s">
        <v>15</v>
      </c>
      <c r="J3" s="2" t="s">
        <v>10</v>
      </c>
      <c r="K3" s="2" t="s">
        <v>11</v>
      </c>
      <c r="L3" s="2" t="s">
        <v>4</v>
      </c>
      <c r="M3" s="2" t="s">
        <v>18</v>
      </c>
      <c r="N3" s="2" t="s">
        <v>19</v>
      </c>
      <c r="O3" s="2" t="s">
        <v>25</v>
      </c>
      <c r="P3" s="2" t="s">
        <v>22</v>
      </c>
      <c r="Q3" s="2" t="s">
        <v>26</v>
      </c>
      <c r="R3" s="2" t="s">
        <v>27</v>
      </c>
      <c r="S3" s="2" t="s">
        <v>28</v>
      </c>
      <c r="T3" s="2" t="s">
        <v>30</v>
      </c>
    </row>
    <row r="4" spans="2:20" x14ac:dyDescent="0.25">
      <c r="B4" t="s">
        <v>0</v>
      </c>
      <c r="C4">
        <v>4.3499999999999996</v>
      </c>
      <c r="E4">
        <v>22.47</v>
      </c>
      <c r="F4">
        <f>$C$7+($C$4-E4)*$C$10</f>
        <v>213.52500000000001</v>
      </c>
      <c r="H4">
        <v>0</v>
      </c>
      <c r="I4">
        <f>RADIANS(H4)</f>
        <v>0</v>
      </c>
      <c r="J4">
        <f t="shared" ref="J4:J22" si="0">$C$26*COS(RADIANS($C$27+H4))</f>
        <v>-2.4939101256495606</v>
      </c>
      <c r="K4">
        <f t="shared" ref="K4:K22" si="1" xml:space="preserve"> -$C$26*SIN(RADIANS($C$27+H4))</f>
        <v>-0.17439118436031381</v>
      </c>
      <c r="L4">
        <f t="shared" ref="L4:L22" si="2">SQRT(($C$23-J4)^2 + ($C$24-K4)^2)</f>
        <v>4.0002086814795943</v>
      </c>
      <c r="M4">
        <f>-(($C$5-L4)*$C$10+$C$8)</f>
        <v>-17.28346724072069</v>
      </c>
      <c r="N4">
        <f>$C$17*COS(RADIANS($C$18-H4))</f>
        <v>-3.15</v>
      </c>
      <c r="O4">
        <f>$C$17*SIN(RADIANS($C$18-H4))</f>
        <v>3.859217632962153E-16</v>
      </c>
      <c r="P4">
        <f>-N4*$C$13</f>
        <v>2.9106000000000001</v>
      </c>
      <c r="Q4">
        <f>-(J4*$C$24-K4*$C$23)/L4</f>
        <v>-3.4221032240587854E-2</v>
      </c>
      <c r="R4">
        <f>Q4*M4</f>
        <v>0.59145808967384672</v>
      </c>
      <c r="S4">
        <f>P4+R4</f>
        <v>3.5020580896738469</v>
      </c>
      <c r="T4">
        <f>S4/$C$17</f>
        <v>1.1117644729123324</v>
      </c>
    </row>
    <row r="5" spans="2:20" x14ac:dyDescent="0.25">
      <c r="B5" t="s">
        <v>1</v>
      </c>
      <c r="C5">
        <v>2.75</v>
      </c>
      <c r="E5">
        <v>13.98</v>
      </c>
      <c r="H5">
        <f>H4+$G$7</f>
        <v>1.4</v>
      </c>
      <c r="I5">
        <f t="shared" ref="I5:I22" si="3">RADIANS(H5)</f>
        <v>2.4434609527920613E-2</v>
      </c>
      <c r="J5">
        <f t="shared" si="0"/>
        <v>-2.497426424476787</v>
      </c>
      <c r="K5">
        <f t="shared" si="1"/>
        <v>-0.11340747032313436</v>
      </c>
      <c r="L5">
        <f t="shared" si="2"/>
        <v>4.0007649294182075</v>
      </c>
      <c r="M5">
        <f t="shared" ref="M5:M22" si="4">-(($C$5-L5)*$C$10+$C$8)</f>
        <v>-17.289377375068455</v>
      </c>
      <c r="N5">
        <f t="shared" ref="N5:N22" si="5">$C$17*COS(RADIANS($C$18-H5))</f>
        <v>-3.1490596928107268</v>
      </c>
      <c r="O5">
        <f t="shared" ref="O5:O22" si="6">$C$17*SIN(RADIANS($C$18-H5))</f>
        <v>7.6961361180857224E-2</v>
      </c>
      <c r="P5">
        <f t="shared" ref="P5:P22" si="7">-N5*$C$13</f>
        <v>2.9097311561571115</v>
      </c>
      <c r="Q5">
        <f t="shared" ref="Q5:Q22" si="8">-(J5*$C$24-K5*$C$23)/L5</f>
        <v>-1.1307808646343285E-2</v>
      </c>
      <c r="R5">
        <f t="shared" ref="R5:R22" si="9">Q5*M5</f>
        <v>0.19550497097169103</v>
      </c>
      <c r="S5">
        <f t="shared" ref="S5:S22" si="10">P5+R5</f>
        <v>3.1052361271288027</v>
      </c>
      <c r="T5">
        <f t="shared" ref="T5:T22" si="11">S5/$C$17</f>
        <v>0.98578924670755641</v>
      </c>
    </row>
    <row r="6" spans="2:20" x14ac:dyDescent="0.25">
      <c r="H6">
        <f t="shared" ref="H6:H22" si="12">H5+$G$7</f>
        <v>2.8</v>
      </c>
      <c r="I6">
        <f t="shared" si="3"/>
        <v>4.8869219055841226E-2</v>
      </c>
      <c r="J6">
        <f t="shared" si="0"/>
        <v>-2.499451708687114</v>
      </c>
      <c r="K6">
        <f t="shared" si="1"/>
        <v>-5.2356049708391666E-2</v>
      </c>
      <c r="L6">
        <f t="shared" si="2"/>
        <v>4.0007612689377234</v>
      </c>
      <c r="M6">
        <f t="shared" si="4"/>
        <v>-17.289338482463315</v>
      </c>
      <c r="N6">
        <f t="shared" si="5"/>
        <v>-3.1462393326255169</v>
      </c>
      <c r="O6">
        <f t="shared" si="6"/>
        <v>0.15387677485618237</v>
      </c>
      <c r="P6">
        <f t="shared" si="7"/>
        <v>2.9071251433459779</v>
      </c>
      <c r="Q6">
        <f t="shared" si="8"/>
        <v>1.1607418626130244E-2</v>
      </c>
      <c r="R6">
        <f t="shared" si="9"/>
        <v>-0.20068458953481508</v>
      </c>
      <c r="S6">
        <f t="shared" si="10"/>
        <v>2.7064405538111629</v>
      </c>
      <c r="T6">
        <f t="shared" si="11"/>
        <v>0.85918747740036916</v>
      </c>
    </row>
    <row r="7" spans="2:20" x14ac:dyDescent="0.25">
      <c r="B7" t="s">
        <v>2</v>
      </c>
      <c r="C7">
        <v>21</v>
      </c>
      <c r="F7" t="s">
        <v>31</v>
      </c>
      <c r="G7">
        <v>1.4</v>
      </c>
      <c r="H7">
        <f t="shared" si="12"/>
        <v>4.1999999999999993</v>
      </c>
      <c r="I7">
        <f t="shared" si="3"/>
        <v>7.3303828583761832E-2</v>
      </c>
      <c r="J7">
        <f t="shared" si="0"/>
        <v>-2.4999847691444761</v>
      </c>
      <c r="K7">
        <f t="shared" si="1"/>
        <v>8.7266285380584816E-3</v>
      </c>
      <c r="L7">
        <f t="shared" si="2"/>
        <v>4.0001977006867575</v>
      </c>
      <c r="M7">
        <f t="shared" si="4"/>
        <v>-17.283350569796802</v>
      </c>
      <c r="N7">
        <f t="shared" si="5"/>
        <v>-3.141540603257043</v>
      </c>
      <c r="O7">
        <f t="shared" si="6"/>
        <v>0.23070032095203982</v>
      </c>
      <c r="P7">
        <f t="shared" si="7"/>
        <v>2.902783517409508</v>
      </c>
      <c r="Q7">
        <f t="shared" si="8"/>
        <v>3.4520589130033308E-2</v>
      </c>
      <c r="R7">
        <f t="shared" si="9"/>
        <v>-0.59663144381028244</v>
      </c>
      <c r="S7">
        <f t="shared" si="10"/>
        <v>2.3061520735992254</v>
      </c>
      <c r="T7">
        <f t="shared" si="11"/>
        <v>0.73211176939657951</v>
      </c>
    </row>
    <row r="8" spans="2:20" x14ac:dyDescent="0.25">
      <c r="B8" t="s">
        <v>3</v>
      </c>
      <c r="C8">
        <v>4</v>
      </c>
      <c r="H8">
        <f t="shared" si="12"/>
        <v>5.6</v>
      </c>
      <c r="I8">
        <f t="shared" si="3"/>
        <v>9.7738438111682452E-2</v>
      </c>
      <c r="J8">
        <f t="shared" si="0"/>
        <v>-2.4990252876008858</v>
      </c>
      <c r="K8">
        <f t="shared" si="1"/>
        <v>6.9804096808921995E-2</v>
      </c>
      <c r="L8">
        <f t="shared" si="2"/>
        <v>3.9990743245308362</v>
      </c>
      <c r="M8">
        <f t="shared" si="4"/>
        <v>-17.271414698140138</v>
      </c>
      <c r="N8">
        <f t="shared" si="5"/>
        <v>-3.1349663099427683</v>
      </c>
      <c r="O8">
        <f t="shared" si="6"/>
        <v>0.30738613424132022</v>
      </c>
      <c r="P8">
        <f t="shared" si="7"/>
        <v>2.8967088703871182</v>
      </c>
      <c r="Q8">
        <f t="shared" si="8"/>
        <v>5.742764223827479E-2</v>
      </c>
      <c r="R8">
        <f t="shared" si="9"/>
        <v>-0.9918566242336726</v>
      </c>
      <c r="S8">
        <f t="shared" si="10"/>
        <v>1.9048522461534456</v>
      </c>
      <c r="T8">
        <f t="shared" si="11"/>
        <v>0.60471499877887169</v>
      </c>
    </row>
    <row r="9" spans="2:20" x14ac:dyDescent="0.25">
      <c r="H9">
        <f t="shared" si="12"/>
        <v>7</v>
      </c>
      <c r="I9">
        <f t="shared" si="3"/>
        <v>0.12217304763960307</v>
      </c>
      <c r="J9">
        <f t="shared" si="0"/>
        <v>-2.4965738368864345</v>
      </c>
      <c r="K9">
        <f t="shared" si="1"/>
        <v>0.1308398906073589</v>
      </c>
      <c r="L9">
        <f t="shared" si="2"/>
        <v>3.99739133956116</v>
      </c>
      <c r="M9">
        <f t="shared" si="4"/>
        <v>-17.253532982837328</v>
      </c>
      <c r="N9">
        <f t="shared" si="5"/>
        <v>-3.1265203776701642</v>
      </c>
      <c r="O9">
        <f t="shared" si="6"/>
        <v>0.38388843172621478</v>
      </c>
      <c r="P9">
        <f t="shared" si="7"/>
        <v>2.8889048289672319</v>
      </c>
      <c r="Q9">
        <f t="shared" si="8"/>
        <v>8.0324516786142247E-2</v>
      </c>
      <c r="R9">
        <f t="shared" si="9"/>
        <v>-1.3858816997001759</v>
      </c>
      <c r="S9">
        <f t="shared" si="10"/>
        <v>1.5030231292670559</v>
      </c>
      <c r="T9">
        <f t="shared" si="11"/>
        <v>0.47715019976731937</v>
      </c>
    </row>
    <row r="10" spans="2:20" x14ac:dyDescent="0.25">
      <c r="B10" t="s">
        <v>6</v>
      </c>
      <c r="C10">
        <f>(C8-C7)/(C4-C5)</f>
        <v>-10.625000000000002</v>
      </c>
      <c r="H10">
        <f t="shared" si="12"/>
        <v>8.4</v>
      </c>
      <c r="I10">
        <f t="shared" si="3"/>
        <v>0.14660765716752369</v>
      </c>
      <c r="J10">
        <f t="shared" si="0"/>
        <v>-2.4926318805673007</v>
      </c>
      <c r="K10">
        <f t="shared" si="1"/>
        <v>0.19179757031704656</v>
      </c>
      <c r="L10">
        <f t="shared" si="2"/>
        <v>3.9951490441121464</v>
      </c>
      <c r="M10">
        <f t="shared" si="4"/>
        <v>-17.229708593691559</v>
      </c>
      <c r="N10">
        <f t="shared" si="5"/>
        <v>-3.1162078488334126</v>
      </c>
      <c r="O10">
        <f t="shared" si="6"/>
        <v>0.46016153997159753</v>
      </c>
      <c r="P10">
        <f t="shared" si="7"/>
        <v>2.8793760523220735</v>
      </c>
      <c r="Q10">
        <f t="shared" si="8"/>
        <v>0.10320715070983483</v>
      </c>
      <c r="R10">
        <f t="shared" si="9"/>
        <v>-1.7782291315156609</v>
      </c>
      <c r="S10">
        <f t="shared" si="10"/>
        <v>1.1011469208064126</v>
      </c>
      <c r="T10">
        <f t="shared" si="11"/>
        <v>0.34957045104965484</v>
      </c>
    </row>
    <row r="11" spans="2:20" x14ac:dyDescent="0.25">
      <c r="H11">
        <f t="shared" si="12"/>
        <v>9.8000000000000007</v>
      </c>
      <c r="I11">
        <f t="shared" si="3"/>
        <v>0.17104226669544431</v>
      </c>
      <c r="J11">
        <f t="shared" si="0"/>
        <v>-2.4872017720719706</v>
      </c>
      <c r="K11">
        <f t="shared" si="1"/>
        <v>0.25264074295736649</v>
      </c>
      <c r="L11">
        <f t="shared" si="2"/>
        <v>3.9923478357878808</v>
      </c>
      <c r="M11">
        <f t="shared" si="4"/>
        <v>-17.199945755246233</v>
      </c>
      <c r="N11">
        <f t="shared" si="5"/>
        <v>-3.1040348802229936</v>
      </c>
      <c r="O11">
        <f t="shared" si="6"/>
        <v>0.53615992237300303</v>
      </c>
      <c r="P11">
        <f t="shared" si="7"/>
        <v>2.8681282293260462</v>
      </c>
      <c r="Q11">
        <f t="shared" si="8"/>
        <v>0.12607148067806548</v>
      </c>
      <c r="R11">
        <f t="shared" si="9"/>
        <v>-2.1684226289463</v>
      </c>
      <c r="S11">
        <f t="shared" si="10"/>
        <v>0.69970560037974616</v>
      </c>
      <c r="T11">
        <f t="shared" si="11"/>
        <v>0.22212876202531626</v>
      </c>
    </row>
    <row r="12" spans="2:20" x14ac:dyDescent="0.25">
      <c r="H12">
        <f t="shared" si="12"/>
        <v>11.200000000000001</v>
      </c>
      <c r="I12">
        <f t="shared" si="3"/>
        <v>0.19547687622336493</v>
      </c>
      <c r="J12">
        <f t="shared" si="0"/>
        <v>-2.4802867532861947</v>
      </c>
      <c r="K12">
        <f t="shared" si="1"/>
        <v>0.31333308391075959</v>
      </c>
      <c r="L12">
        <f t="shared" si="2"/>
        <v>3.988988211497686</v>
      </c>
      <c r="M12">
        <f t="shared" si="4"/>
        <v>-17.164249747162916</v>
      </c>
      <c r="N12">
        <f t="shared" si="5"/>
        <v>-3.0900087393499533</v>
      </c>
      <c r="O12">
        <f t="shared" si="6"/>
        <v>0.61183820634291153</v>
      </c>
      <c r="P12">
        <f t="shared" si="7"/>
        <v>2.8551680751593569</v>
      </c>
      <c r="Q12">
        <f t="shared" si="8"/>
        <v>0.14891344171393867</v>
      </c>
      <c r="R12">
        <f t="shared" si="9"/>
        <v>-2.5559875042876312</v>
      </c>
      <c r="S12">
        <f t="shared" si="10"/>
        <v>0.29918057087172567</v>
      </c>
      <c r="T12">
        <f t="shared" si="11"/>
        <v>9.4977959006897039E-2</v>
      </c>
    </row>
    <row r="13" spans="2:20" x14ac:dyDescent="0.25">
      <c r="B13" t="s">
        <v>7</v>
      </c>
      <c r="C13">
        <v>0.92400000000000004</v>
      </c>
      <c r="H13">
        <f t="shared" si="12"/>
        <v>12.600000000000001</v>
      </c>
      <c r="I13">
        <f t="shared" si="3"/>
        <v>0.21991148575128555</v>
      </c>
      <c r="J13">
        <f t="shared" si="0"/>
        <v>-2.4718909526175148</v>
      </c>
      <c r="K13">
        <f t="shared" si="1"/>
        <v>0.3738383586092735</v>
      </c>
      <c r="L13">
        <f t="shared" si="2"/>
        <v>3.9850707675010764</v>
      </c>
      <c r="M13">
        <f t="shared" si="4"/>
        <v>-17.12262690469894</v>
      </c>
      <c r="N13">
        <f t="shared" si="5"/>
        <v>-3.0741378001070543</v>
      </c>
      <c r="O13">
        <f t="shared" si="6"/>
        <v>0.68715121039910831</v>
      </c>
      <c r="P13">
        <f t="shared" si="7"/>
        <v>2.8405033272989182</v>
      </c>
      <c r="Q13">
        <f t="shared" si="8"/>
        <v>0.17172896680425165</v>
      </c>
      <c r="R13">
        <f t="shared" si="9"/>
        <v>-2.9404510273186304</v>
      </c>
      <c r="S13">
        <f t="shared" si="10"/>
        <v>-9.9947700019712205E-2</v>
      </c>
      <c r="T13">
        <f t="shared" si="11"/>
        <v>-3.1729428577686417E-2</v>
      </c>
    </row>
    <row r="14" spans="2:20" x14ac:dyDescent="0.25">
      <c r="B14" t="s">
        <v>8</v>
      </c>
      <c r="C14">
        <v>-3.15</v>
      </c>
      <c r="H14">
        <f t="shared" si="12"/>
        <v>14.000000000000002</v>
      </c>
      <c r="I14">
        <f t="shared" si="3"/>
        <v>0.24434609527920617</v>
      </c>
      <c r="J14">
        <f t="shared" si="0"/>
        <v>-2.4620193825305199</v>
      </c>
      <c r="K14">
        <f t="shared" si="1"/>
        <v>0.4341204441673262</v>
      </c>
      <c r="L14">
        <f t="shared" si="2"/>
        <v>3.9805961994624406</v>
      </c>
      <c r="M14">
        <f t="shared" si="4"/>
        <v>-17.075084619288432</v>
      </c>
      <c r="N14">
        <f t="shared" si="5"/>
        <v>-3.0564315377693889</v>
      </c>
      <c r="O14">
        <f t="shared" si="6"/>
        <v>0.76205397113895335</v>
      </c>
      <c r="P14">
        <f t="shared" si="7"/>
        <v>2.8241427408989157</v>
      </c>
      <c r="Q14">
        <f t="shared" si="8"/>
        <v>0.19451398649329921</v>
      </c>
      <c r="R14">
        <f t="shared" si="9"/>
        <v>-3.3213427790082113</v>
      </c>
      <c r="S14">
        <f t="shared" si="10"/>
        <v>-0.49720003810929558</v>
      </c>
      <c r="T14">
        <f t="shared" si="11"/>
        <v>-0.15784128193945893</v>
      </c>
    </row>
    <row r="15" spans="2:20" x14ac:dyDescent="0.25">
      <c r="B15" t="s">
        <v>9</v>
      </c>
      <c r="C15">
        <v>0</v>
      </c>
      <c r="H15">
        <f t="shared" si="12"/>
        <v>15.400000000000002</v>
      </c>
      <c r="I15">
        <f t="shared" si="3"/>
        <v>0.26878070480712679</v>
      </c>
      <c r="J15">
        <f t="shared" si="0"/>
        <v>-2.4506779365543045</v>
      </c>
      <c r="K15">
        <f t="shared" si="1"/>
        <v>0.4941433509478152</v>
      </c>
      <c r="L15">
        <f t="shared" si="2"/>
        <v>3.9755653025158737</v>
      </c>
      <c r="M15">
        <f t="shared" si="4"/>
        <v>-17.02163133923116</v>
      </c>
      <c r="N15">
        <f t="shared" si="5"/>
        <v>-3.0369005233374464</v>
      </c>
      <c r="O15">
        <f t="shared" si="6"/>
        <v>0.8365017700834485</v>
      </c>
      <c r="P15">
        <f t="shared" si="7"/>
        <v>2.8060960835638005</v>
      </c>
      <c r="Q15">
        <f t="shared" si="8"/>
        <v>0.21726442845821903</v>
      </c>
      <c r="R15">
        <f t="shared" si="9"/>
        <v>-3.698195004344567</v>
      </c>
      <c r="S15">
        <f t="shared" si="10"/>
        <v>-0.89209892078076658</v>
      </c>
      <c r="T15">
        <f t="shared" si="11"/>
        <v>-0.28320600659706874</v>
      </c>
    </row>
    <row r="16" spans="2:20" x14ac:dyDescent="0.25">
      <c r="H16">
        <f t="shared" si="12"/>
        <v>16.8</v>
      </c>
      <c r="I16">
        <f t="shared" si="3"/>
        <v>0.29321531433504738</v>
      </c>
      <c r="J16">
        <f t="shared" si="0"/>
        <v>-2.4378733857639077</v>
      </c>
      <c r="K16">
        <f t="shared" si="1"/>
        <v>0.55387124404866872</v>
      </c>
      <c r="L16">
        <f t="shared" si="2"/>
        <v>3.9699789713406362</v>
      </c>
      <c r="M16">
        <f t="shared" si="4"/>
        <v>-16.962276570494261</v>
      </c>
      <c r="N16">
        <f t="shared" si="5"/>
        <v>-3.0155564172260116</v>
      </c>
      <c r="O16">
        <f t="shared" si="6"/>
        <v>0.91045016037508575</v>
      </c>
      <c r="P16">
        <f t="shared" si="7"/>
        <v>2.7863741295168349</v>
      </c>
      <c r="Q16">
        <f t="shared" si="8"/>
        <v>0.23997621706280162</v>
      </c>
      <c r="R16">
        <f t="shared" si="9"/>
        <v>-4.0705429641602047</v>
      </c>
      <c r="S16">
        <f t="shared" si="10"/>
        <v>-1.2841688346433697</v>
      </c>
      <c r="T16">
        <f t="shared" si="11"/>
        <v>-0.40767264591853009</v>
      </c>
    </row>
    <row r="17" spans="2:20" x14ac:dyDescent="0.25">
      <c r="B17" t="s">
        <v>20</v>
      </c>
      <c r="C17">
        <f>SQRT(C14^2+C15^2)</f>
        <v>3.15</v>
      </c>
      <c r="H17">
        <f t="shared" si="12"/>
        <v>18.2</v>
      </c>
      <c r="I17">
        <f t="shared" si="3"/>
        <v>0.31764992386296798</v>
      </c>
      <c r="J17">
        <f t="shared" si="0"/>
        <v>-2.4236133747378474</v>
      </c>
      <c r="K17">
        <f t="shared" si="1"/>
        <v>0.61326846469700536</v>
      </c>
      <c r="L17">
        <f t="shared" si="2"/>
        <v>3.9638382002478156</v>
      </c>
      <c r="M17">
        <f t="shared" si="4"/>
        <v>-16.897030877633043</v>
      </c>
      <c r="N17">
        <f t="shared" si="5"/>
        <v>-2.9924119623026555</v>
      </c>
      <c r="O17">
        <f t="shared" si="6"/>
        <v>0.98385499331353221</v>
      </c>
      <c r="P17">
        <f t="shared" si="7"/>
        <v>2.764988653167654</v>
      </c>
      <c r="Q17">
        <f t="shared" si="8"/>
        <v>0.26264527288659584</v>
      </c>
      <c r="R17">
        <f t="shared" si="9"/>
        <v>-4.4379252858291665</v>
      </c>
      <c r="S17">
        <f t="shared" si="10"/>
        <v>-1.6729366326615125</v>
      </c>
      <c r="T17">
        <f t="shared" si="11"/>
        <v>-0.53109099449571828</v>
      </c>
    </row>
    <row r="18" spans="2:20" x14ac:dyDescent="0.25">
      <c r="B18" t="s">
        <v>21</v>
      </c>
      <c r="C18">
        <v>180</v>
      </c>
      <c r="H18">
        <f t="shared" si="12"/>
        <v>19.599999999999998</v>
      </c>
      <c r="I18">
        <f t="shared" si="3"/>
        <v>0.34208453339088857</v>
      </c>
      <c r="J18">
        <f t="shared" si="0"/>
        <v>-2.4079064169941455</v>
      </c>
      <c r="K18">
        <f t="shared" si="1"/>
        <v>0.67229955153816379</v>
      </c>
      <c r="L18">
        <f t="shared" si="2"/>
        <v>3.9571440832788261</v>
      </c>
      <c r="M18">
        <f t="shared" si="4"/>
        <v>-16.825905884837528</v>
      </c>
      <c r="N18">
        <f t="shared" si="5"/>
        <v>-2.9674809762799845</v>
      </c>
      <c r="O18">
        <f t="shared" si="6"/>
        <v>1.0566724447133036</v>
      </c>
      <c r="P18">
        <f t="shared" si="7"/>
        <v>2.7419524220827056</v>
      </c>
      <c r="Q18">
        <f t="shared" si="8"/>
        <v>0.28526751222604219</v>
      </c>
      <c r="R18">
        <f t="shared" si="9"/>
        <v>-4.7998843127171247</v>
      </c>
      <c r="S18">
        <f t="shared" si="10"/>
        <v>-2.0579318906344191</v>
      </c>
      <c r="T18">
        <f t="shared" si="11"/>
        <v>-0.65331171131251398</v>
      </c>
    </row>
    <row r="19" spans="2:20" x14ac:dyDescent="0.25">
      <c r="H19">
        <f t="shared" si="12"/>
        <v>20.999999999999996</v>
      </c>
      <c r="I19">
        <f t="shared" si="3"/>
        <v>0.36651914291880916</v>
      </c>
      <c r="J19">
        <f t="shared" si="0"/>
        <v>-2.3907618899075884</v>
      </c>
      <c r="K19">
        <f t="shared" si="1"/>
        <v>0.73092926180684192</v>
      </c>
      <c r="L19">
        <f t="shared" si="2"/>
        <v>3.9498978143164769</v>
      </c>
      <c r="M19">
        <f t="shared" si="4"/>
        <v>-16.748914277112569</v>
      </c>
      <c r="N19">
        <f t="shared" si="5"/>
        <v>-2.9407783434661856</v>
      </c>
      <c r="O19">
        <f t="shared" si="6"/>
        <v>1.1288590410676957</v>
      </c>
      <c r="P19">
        <f t="shared" si="7"/>
        <v>2.7172791893627557</v>
      </c>
      <c r="Q19">
        <f t="shared" si="8"/>
        <v>0.30783884656420091</v>
      </c>
      <c r="R19">
        <f t="shared" si="9"/>
        <v>-5.1559664522690101</v>
      </c>
      <c r="S19">
        <f t="shared" si="10"/>
        <v>-2.4386872629062544</v>
      </c>
      <c r="T19">
        <f t="shared" si="11"/>
        <v>-0.77418643266865217</v>
      </c>
    </row>
    <row r="20" spans="2:20" x14ac:dyDescent="0.25">
      <c r="B20" s="4" t="s">
        <v>10</v>
      </c>
      <c r="C20" s="4">
        <v>0</v>
      </c>
      <c r="H20">
        <f t="shared" si="12"/>
        <v>22.399999999999995</v>
      </c>
      <c r="I20">
        <f t="shared" si="3"/>
        <v>0.39095375244672975</v>
      </c>
      <c r="J20">
        <f t="shared" si="0"/>
        <v>-2.3721900291112412</v>
      </c>
      <c r="K20">
        <f t="shared" si="1"/>
        <v>0.78912259236775584</v>
      </c>
      <c r="L20">
        <f t="shared" si="2"/>
        <v>3.942100687209416</v>
      </c>
      <c r="M20">
        <f t="shared" si="4"/>
        <v>-16.666069801600045</v>
      </c>
      <c r="N20">
        <f t="shared" si="5"/>
        <v>-2.9123200058787861</v>
      </c>
      <c r="O20">
        <f t="shared" si="6"/>
        <v>1.2003716855033639</v>
      </c>
      <c r="P20">
        <f t="shared" si="7"/>
        <v>2.6909836854319984</v>
      </c>
      <c r="Q20">
        <f t="shared" si="8"/>
        <v>0.33035518200553116</v>
      </c>
      <c r="R20">
        <f t="shared" si="9"/>
        <v>-5.5057225226244695</v>
      </c>
      <c r="S20">
        <f t="shared" si="10"/>
        <v>-2.8147388371924711</v>
      </c>
      <c r="T20">
        <f t="shared" si="11"/>
        <v>-0.89356788482300675</v>
      </c>
    </row>
    <row r="21" spans="2:20" x14ac:dyDescent="0.25">
      <c r="B21" s="4" t="s">
        <v>11</v>
      </c>
      <c r="C21" s="4">
        <v>0</v>
      </c>
      <c r="H21">
        <f t="shared" si="12"/>
        <v>23.799999999999994</v>
      </c>
      <c r="I21">
        <f t="shared" si="3"/>
        <v>0.41538836197465034</v>
      </c>
      <c r="J21">
        <f t="shared" si="0"/>
        <v>-2.3522019223855639</v>
      </c>
      <c r="K21">
        <f t="shared" si="1"/>
        <v>0.84684480061322776</v>
      </c>
      <c r="L21">
        <f t="shared" si="2"/>
        <v>3.9337540959108477</v>
      </c>
      <c r="M21">
        <f t="shared" si="4"/>
        <v>-16.577387269052757</v>
      </c>
      <c r="N21">
        <f t="shared" si="5"/>
        <v>-2.8821229537269484</v>
      </c>
      <c r="O21">
        <f t="shared" si="6"/>
        <v>1.2711676835100274</v>
      </c>
      <c r="P21">
        <f t="shared" si="7"/>
        <v>2.6630816092437004</v>
      </c>
      <c r="Q21">
        <f t="shared" si="8"/>
        <v>0.35281241867198149</v>
      </c>
      <c r="R21">
        <f t="shared" si="9"/>
        <v>-5.8487080976566173</v>
      </c>
      <c r="S21">
        <f t="shared" si="10"/>
        <v>-3.1856264884129168</v>
      </c>
      <c r="T21">
        <f t="shared" si="11"/>
        <v>-1.0113099963215608</v>
      </c>
    </row>
    <row r="22" spans="2:20" x14ac:dyDescent="0.25">
      <c r="H22">
        <f t="shared" si="12"/>
        <v>25.199999999999992</v>
      </c>
      <c r="I22">
        <f t="shared" si="3"/>
        <v>0.43982297150257094</v>
      </c>
      <c r="J22">
        <f t="shared" si="0"/>
        <v>-2.3308095030387803</v>
      </c>
      <c r="K22">
        <f t="shared" si="1"/>
        <v>0.90406142520523058</v>
      </c>
      <c r="L22">
        <f t="shared" si="2"/>
        <v>3.9248595346325219</v>
      </c>
      <c r="M22">
        <f t="shared" si="4"/>
        <v>-16.482882555470546</v>
      </c>
      <c r="N22">
        <f t="shared" si="5"/>
        <v>-2.8502052152679616</v>
      </c>
      <c r="O22">
        <f t="shared" si="6"/>
        <v>1.3412047684299784</v>
      </c>
      <c r="P22">
        <f t="shared" si="7"/>
        <v>2.6335896189075965</v>
      </c>
      <c r="Q22">
        <f t="shared" si="8"/>
        <v>0.37520645005647701</v>
      </c>
      <c r="R22">
        <f t="shared" si="9"/>
        <v>-6.1844838503359361</v>
      </c>
      <c r="S22">
        <f t="shared" si="10"/>
        <v>-3.5508942314283396</v>
      </c>
      <c r="T22">
        <f t="shared" si="11"/>
        <v>-1.1272680099772507</v>
      </c>
    </row>
    <row r="23" spans="2:20" x14ac:dyDescent="0.25">
      <c r="B23" t="s">
        <v>12</v>
      </c>
      <c r="C23">
        <v>1.5</v>
      </c>
    </row>
    <row r="24" spans="2:20" x14ac:dyDescent="0.25">
      <c r="B24" t="s">
        <v>13</v>
      </c>
      <c r="C24">
        <v>0.05</v>
      </c>
      <c r="H24">
        <v>-45</v>
      </c>
      <c r="J24">
        <f t="shared" ref="J24" si="13">$C$26*COS(RADIANS($C$27+H24))</f>
        <v>-1.640147572476268</v>
      </c>
      <c r="K24">
        <f t="shared" ref="K24" si="14" xml:space="preserve"> -$C$26*SIN(RADIANS($C$27+H24))</f>
        <v>-1.8867739505569303</v>
      </c>
      <c r="L24">
        <f t="shared" ref="L24" si="15">SQRT(($C$23-J24)^2 + ($C$24-K24)^2)</f>
        <v>3.6893929192327151</v>
      </c>
      <c r="S24">
        <f>MAX(S4:S22)/36</f>
        <v>9.7279391379829078E-2</v>
      </c>
      <c r="T24" s="3" t="s">
        <v>29</v>
      </c>
    </row>
    <row r="26" spans="2:20" x14ac:dyDescent="0.25">
      <c r="B26" t="s">
        <v>16</v>
      </c>
      <c r="C26">
        <v>2.5</v>
      </c>
    </row>
    <row r="27" spans="2:20" x14ac:dyDescent="0.25">
      <c r="B27" t="s">
        <v>17</v>
      </c>
      <c r="C27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tabSelected="1" workbookViewId="0">
      <selection activeCell="B39" sqref="B39"/>
    </sheetView>
  </sheetViews>
  <sheetFormatPr defaultRowHeight="15" x14ac:dyDescent="0.25"/>
  <cols>
    <col min="2" max="2" width="26.375" bestFit="1" customWidth="1"/>
    <col min="16" max="16" width="11" customWidth="1"/>
    <col min="17" max="18" width="14" bestFit="1" customWidth="1"/>
    <col min="19" max="19" width="15" bestFit="1" customWidth="1"/>
  </cols>
  <sheetData>
    <row r="1" spans="2:20" x14ac:dyDescent="0.25">
      <c r="P1" s="1" t="s">
        <v>23</v>
      </c>
    </row>
    <row r="2" spans="2:20" x14ac:dyDescent="0.25">
      <c r="P2" s="1" t="s">
        <v>24</v>
      </c>
    </row>
    <row r="3" spans="2:20" ht="30" customHeight="1" x14ac:dyDescent="0.25">
      <c r="E3" t="s">
        <v>4</v>
      </c>
      <c r="F3" t="s">
        <v>5</v>
      </c>
      <c r="H3" t="s">
        <v>14</v>
      </c>
      <c r="I3" s="2" t="s">
        <v>15</v>
      </c>
      <c r="J3" s="2" t="s">
        <v>10</v>
      </c>
      <c r="K3" s="2" t="s">
        <v>11</v>
      </c>
      <c r="L3" s="2" t="s">
        <v>4</v>
      </c>
      <c r="M3" s="2" t="s">
        <v>18</v>
      </c>
      <c r="N3" s="2" t="s">
        <v>19</v>
      </c>
      <c r="O3" s="2" t="s">
        <v>25</v>
      </c>
      <c r="P3" s="2" t="s">
        <v>22</v>
      </c>
      <c r="Q3" s="2" t="s">
        <v>26</v>
      </c>
      <c r="R3" s="2" t="s">
        <v>27</v>
      </c>
      <c r="S3" s="2" t="s">
        <v>28</v>
      </c>
      <c r="T3" s="2" t="s">
        <v>30</v>
      </c>
    </row>
    <row r="4" spans="2:20" x14ac:dyDescent="0.25">
      <c r="B4" t="s">
        <v>0</v>
      </c>
      <c r="C4">
        <v>4.3499999999999996</v>
      </c>
      <c r="E4">
        <v>22.47</v>
      </c>
      <c r="F4">
        <f>$C$7+($C$4-E4)*$C$10</f>
        <v>213.52500000000001</v>
      </c>
      <c r="H4">
        <v>0</v>
      </c>
      <c r="I4">
        <f>RADIANS(H4)</f>
        <v>0</v>
      </c>
      <c r="J4">
        <f t="shared" ref="J4:J22" si="0">$C$26*COS(RADIANS($C$27+H4))</f>
        <v>6.1257422745431001E-17</v>
      </c>
      <c r="K4">
        <f t="shared" ref="K4:K22" si="1" xml:space="preserve"> -$C$26*SIN(RADIANS($C$27+H4))</f>
        <v>-1</v>
      </c>
      <c r="L4">
        <f t="shared" ref="L4:L22" si="2">SQRT(($C$23-J4)^2 + ($C$24-K4)^2)</f>
        <v>4</v>
      </c>
      <c r="M4">
        <f>-(($C$5-L4)*$C$10+$C$8)</f>
        <v>-17.28125</v>
      </c>
      <c r="N4">
        <f>$C$17*COS(RADIANS($C$18-H4))</f>
        <v>-3.15</v>
      </c>
      <c r="O4">
        <f>$C$17*SIN(RADIANS($C$18-H4))</f>
        <v>3.859217632962153E-16</v>
      </c>
      <c r="P4">
        <f>-N4*$C$13</f>
        <v>2.9106000000000001</v>
      </c>
      <c r="Q4">
        <f>-(J4*$C$24-K4*$C$23)/L4</f>
        <v>-4.594306705907325E-17</v>
      </c>
      <c r="R4">
        <f>Q4*M4</f>
        <v>7.9395362761460961E-16</v>
      </c>
      <c r="S4">
        <f>P4+R4</f>
        <v>2.910600000000001</v>
      </c>
      <c r="T4">
        <f>S4/$C$17</f>
        <v>0.92400000000000038</v>
      </c>
    </row>
    <row r="5" spans="2:20" x14ac:dyDescent="0.25">
      <c r="B5" t="s">
        <v>1</v>
      </c>
      <c r="C5">
        <v>2.75</v>
      </c>
      <c r="E5">
        <v>13.98</v>
      </c>
      <c r="H5">
        <f>H4+$G$7</f>
        <v>1.4</v>
      </c>
      <c r="I5">
        <f t="shared" ref="I5:I22" si="3">RADIANS(H5)</f>
        <v>2.4434609527920613E-2</v>
      </c>
      <c r="J5">
        <f t="shared" si="0"/>
        <v>-2.4432178152653125E-2</v>
      </c>
      <c r="K5">
        <f t="shared" si="1"/>
        <v>-0.99970148978118312</v>
      </c>
      <c r="L5">
        <f t="shared" si="2"/>
        <v>3.9997761110701058</v>
      </c>
      <c r="M5">
        <f t="shared" ref="M5:M22" si="4">-(($C$5-L5)*$C$10+$C$8)</f>
        <v>-17.278871180119879</v>
      </c>
      <c r="N5">
        <f t="shared" ref="N5:N22" si="5">$C$17*COS(RADIANS($C$18-H5))</f>
        <v>-3.1490596928107268</v>
      </c>
      <c r="O5">
        <f t="shared" ref="O5:O22" si="6">$C$17*SIN(RADIANS($C$18-H5))</f>
        <v>7.6961361180857224E-2</v>
      </c>
      <c r="P5">
        <f t="shared" ref="P5:P22" si="7">-N5*$C$13</f>
        <v>2.9097311561571115</v>
      </c>
      <c r="Q5">
        <f t="shared" ref="Q5:Q22" si="8">-(J5*$C$24-K5*$C$23)/L5</f>
        <v>1.8325159314567113E-2</v>
      </c>
      <c r="R5">
        <f t="shared" ref="R5:R22" si="9">Q5*M5</f>
        <v>-0.31663806715157905</v>
      </c>
      <c r="S5">
        <f t="shared" ref="S5:S22" si="10">P5+R5</f>
        <v>2.5930930890055324</v>
      </c>
      <c r="T5">
        <f t="shared" ref="T5:T22" si="11">S5/$C$17</f>
        <v>0.82320415523985158</v>
      </c>
    </row>
    <row r="6" spans="2:20" x14ac:dyDescent="0.25">
      <c r="H6">
        <f t="shared" ref="H6:H22" si="12">H5+$G$7</f>
        <v>2.8</v>
      </c>
      <c r="I6">
        <f t="shared" si="3"/>
        <v>4.8869219055841226E-2</v>
      </c>
      <c r="J6">
        <f t="shared" si="0"/>
        <v>-4.8849769795613271E-2</v>
      </c>
      <c r="K6">
        <f t="shared" si="1"/>
        <v>-0.99880613734143409</v>
      </c>
      <c r="L6">
        <f t="shared" si="2"/>
        <v>3.9991045027666638</v>
      </c>
      <c r="M6">
        <f t="shared" si="4"/>
        <v>-17.271735341895806</v>
      </c>
      <c r="N6">
        <f t="shared" si="5"/>
        <v>-3.1462393326255169</v>
      </c>
      <c r="O6">
        <f t="shared" si="6"/>
        <v>0.15387677485618237</v>
      </c>
      <c r="P6">
        <f t="shared" si="7"/>
        <v>2.9071251433459779</v>
      </c>
      <c r="Q6">
        <f t="shared" si="8"/>
        <v>3.6645531339692158E-2</v>
      </c>
      <c r="R6">
        <f t="shared" si="9"/>
        <v>-0.63293191876231136</v>
      </c>
      <c r="S6">
        <f t="shared" si="10"/>
        <v>2.2741932245836667</v>
      </c>
      <c r="T6">
        <f t="shared" si="11"/>
        <v>0.72196610304243392</v>
      </c>
    </row>
    <row r="7" spans="2:20" x14ac:dyDescent="0.25">
      <c r="B7" t="s">
        <v>2</v>
      </c>
      <c r="C7">
        <v>21</v>
      </c>
      <c r="F7" t="s">
        <v>31</v>
      </c>
      <c r="G7">
        <v>1.4</v>
      </c>
      <c r="H7">
        <f t="shared" si="12"/>
        <v>4.1999999999999993</v>
      </c>
      <c r="I7">
        <f t="shared" si="3"/>
        <v>7.3303828583761832E-2</v>
      </c>
      <c r="J7">
        <f t="shared" si="0"/>
        <v>-7.323819712763173E-2</v>
      </c>
      <c r="K7">
        <f t="shared" si="1"/>
        <v>-0.9973144772244581</v>
      </c>
      <c r="L7">
        <f t="shared" si="2"/>
        <v>3.9979853505668013</v>
      </c>
      <c r="M7">
        <f t="shared" si="4"/>
        <v>-17.259844349772266</v>
      </c>
      <c r="N7">
        <f t="shared" si="5"/>
        <v>-3.141540603257043</v>
      </c>
      <c r="O7">
        <f t="shared" si="6"/>
        <v>0.23070032095203982</v>
      </c>
      <c r="P7">
        <f t="shared" si="7"/>
        <v>2.902783517409508</v>
      </c>
      <c r="Q7">
        <f t="shared" si="8"/>
        <v>5.4956327279124688E-2</v>
      </c>
      <c r="R7">
        <f t="shared" si="9"/>
        <v>-0.9485376548728357</v>
      </c>
      <c r="S7">
        <f t="shared" si="10"/>
        <v>1.9542458625366723</v>
      </c>
      <c r="T7">
        <f t="shared" si="11"/>
        <v>0.62039551191640396</v>
      </c>
    </row>
    <row r="8" spans="2:20" x14ac:dyDescent="0.25">
      <c r="B8" t="s">
        <v>3</v>
      </c>
      <c r="C8">
        <v>4</v>
      </c>
      <c r="H8">
        <f t="shared" si="12"/>
        <v>5.6</v>
      </c>
      <c r="I8">
        <f t="shared" si="3"/>
        <v>9.7738438111682452E-2</v>
      </c>
      <c r="J8">
        <f t="shared" si="0"/>
        <v>-9.7582899759149327E-2</v>
      </c>
      <c r="K8">
        <f t="shared" si="1"/>
        <v>-0.99522739998183118</v>
      </c>
      <c r="L8">
        <f t="shared" si="2"/>
        <v>3.9964189469937939</v>
      </c>
      <c r="M8">
        <f t="shared" si="4"/>
        <v>-17.243201311809059</v>
      </c>
      <c r="N8">
        <f t="shared" si="5"/>
        <v>-3.1349663099427683</v>
      </c>
      <c r="O8">
        <f t="shared" si="6"/>
        <v>0.30738613424132022</v>
      </c>
      <c r="P8">
        <f t="shared" si="7"/>
        <v>2.8967088703871182</v>
      </c>
      <c r="Q8">
        <f t="shared" si="8"/>
        <v>7.3252755319274235E-2</v>
      </c>
      <c r="R8">
        <f t="shared" si="9"/>
        <v>-1.2631120066149375</v>
      </c>
      <c r="S8">
        <f t="shared" si="10"/>
        <v>1.6335968637721807</v>
      </c>
      <c r="T8">
        <f t="shared" si="11"/>
        <v>0.51860217897529548</v>
      </c>
    </row>
    <row r="9" spans="2:20" x14ac:dyDescent="0.25">
      <c r="H9">
        <f t="shared" si="12"/>
        <v>7</v>
      </c>
      <c r="I9">
        <f t="shared" si="3"/>
        <v>0.12217304763960307</v>
      </c>
      <c r="J9">
        <f t="shared" si="0"/>
        <v>-0.12186934340514737</v>
      </c>
      <c r="K9">
        <f t="shared" si="1"/>
        <v>-0.99254615164132209</v>
      </c>
      <c r="L9">
        <f t="shared" si="2"/>
        <v>3.9944057017093209</v>
      </c>
      <c r="M9">
        <f t="shared" si="4"/>
        <v>-17.221810580661536</v>
      </c>
      <c r="N9">
        <f t="shared" si="5"/>
        <v>-3.1265203776701642</v>
      </c>
      <c r="O9">
        <f t="shared" si="6"/>
        <v>0.38388843172621478</v>
      </c>
      <c r="P9">
        <f t="shared" si="7"/>
        <v>2.8889048289672319</v>
      </c>
      <c r="Q9">
        <f t="shared" si="8"/>
        <v>9.1530019111225464E-2</v>
      </c>
      <c r="R9">
        <f t="shared" si="9"/>
        <v>-1.5763126515778554</v>
      </c>
      <c r="S9">
        <f t="shared" si="10"/>
        <v>1.3125921773893765</v>
      </c>
      <c r="T9">
        <f t="shared" si="11"/>
        <v>0.4166959293299608</v>
      </c>
    </row>
    <row r="10" spans="2:20" x14ac:dyDescent="0.25">
      <c r="B10" t="s">
        <v>6</v>
      </c>
      <c r="C10">
        <f>(C8-C7)/(C4-C5)</f>
        <v>-10.625000000000002</v>
      </c>
      <c r="H10">
        <f t="shared" si="12"/>
        <v>8.4</v>
      </c>
      <c r="I10">
        <f t="shared" si="3"/>
        <v>0.14660765716752369</v>
      </c>
      <c r="J10">
        <f t="shared" si="0"/>
        <v>-0.14608302856241176</v>
      </c>
      <c r="K10">
        <f t="shared" si="1"/>
        <v>-0.98927233296298833</v>
      </c>
      <c r="L10">
        <f t="shared" si="2"/>
        <v>3.9919461416429369</v>
      </c>
      <c r="M10">
        <f t="shared" si="4"/>
        <v>-17.195677754956208</v>
      </c>
      <c r="N10">
        <f t="shared" si="5"/>
        <v>-3.1162078488334126</v>
      </c>
      <c r="O10">
        <f t="shared" si="6"/>
        <v>0.46016153997159753</v>
      </c>
      <c r="P10">
        <f t="shared" si="7"/>
        <v>2.8793760523220735</v>
      </c>
      <c r="Q10">
        <f t="shared" si="8"/>
        <v>0.10978331624155337</v>
      </c>
      <c r="R10">
        <f t="shared" si="9"/>
        <v>-1.8877985289602017</v>
      </c>
      <c r="S10">
        <f t="shared" si="10"/>
        <v>0.99157752336187177</v>
      </c>
      <c r="T10">
        <f t="shared" si="11"/>
        <v>0.31478651535297519</v>
      </c>
    </row>
    <row r="11" spans="2:20" x14ac:dyDescent="0.25">
      <c r="H11">
        <f t="shared" si="12"/>
        <v>9.8000000000000007</v>
      </c>
      <c r="I11">
        <f t="shared" si="3"/>
        <v>0.17104226669544431</v>
      </c>
      <c r="J11">
        <f t="shared" si="0"/>
        <v>-0.17020949916603251</v>
      </c>
      <c r="K11">
        <f t="shared" si="1"/>
        <v>-0.98540789848349009</v>
      </c>
      <c r="L11">
        <f t="shared" si="2"/>
        <v>3.9890409111590901</v>
      </c>
      <c r="M11">
        <f t="shared" si="4"/>
        <v>-17.164809681065336</v>
      </c>
      <c r="N11">
        <f t="shared" si="5"/>
        <v>-3.1040348802229936</v>
      </c>
      <c r="O11">
        <f t="shared" si="6"/>
        <v>0.53615992237300303</v>
      </c>
      <c r="P11">
        <f t="shared" si="7"/>
        <v>2.8681282293260462</v>
      </c>
      <c r="Q11">
        <f t="shared" si="8"/>
        <v>0.12800783668817398</v>
      </c>
      <c r="R11">
        <f t="shared" si="9"/>
        <v>-2.1972301544373991</v>
      </c>
      <c r="S11">
        <f t="shared" si="10"/>
        <v>0.67089807488864706</v>
      </c>
      <c r="T11">
        <f t="shared" si="11"/>
        <v>0.21298351583766573</v>
      </c>
    </row>
    <row r="12" spans="2:20" x14ac:dyDescent="0.25">
      <c r="H12">
        <f t="shared" si="12"/>
        <v>11.200000000000001</v>
      </c>
      <c r="I12">
        <f t="shared" si="3"/>
        <v>0.19547687622336493</v>
      </c>
      <c r="J12">
        <f t="shared" si="0"/>
        <v>-0.19423435121997196</v>
      </c>
      <c r="K12">
        <f t="shared" si="1"/>
        <v>-0.98095515534919153</v>
      </c>
      <c r="L12">
        <f t="shared" si="2"/>
        <v>3.9856907722620867</v>
      </c>
      <c r="M12">
        <f t="shared" si="4"/>
        <v>-17.129214455284675</v>
      </c>
      <c r="N12">
        <f t="shared" si="5"/>
        <v>-3.0900087393499533</v>
      </c>
      <c r="O12">
        <f t="shared" si="6"/>
        <v>0.61183820634291153</v>
      </c>
      <c r="P12">
        <f t="shared" si="7"/>
        <v>2.8551680751593569</v>
      </c>
      <c r="Q12">
        <f t="shared" si="8"/>
        <v>0.14619876125743733</v>
      </c>
      <c r="R12">
        <f t="shared" si="9"/>
        <v>-2.5042699346756088</v>
      </c>
      <c r="S12">
        <f t="shared" si="10"/>
        <v>0.35089814048374812</v>
      </c>
      <c r="T12">
        <f t="shared" si="11"/>
        <v>0.11139623507420576</v>
      </c>
    </row>
    <row r="13" spans="2:20" x14ac:dyDescent="0.25">
      <c r="B13" t="s">
        <v>7</v>
      </c>
      <c r="C13">
        <v>0.92400000000000004</v>
      </c>
      <c r="H13">
        <f t="shared" si="12"/>
        <v>12.600000000000001</v>
      </c>
      <c r="I13">
        <f t="shared" si="3"/>
        <v>0.21991148575128555</v>
      </c>
      <c r="J13">
        <f t="shared" si="0"/>
        <v>-0.21814324139654234</v>
      </c>
      <c r="K13">
        <f t="shared" si="1"/>
        <v>-0.97591676193874743</v>
      </c>
      <c r="L13">
        <f t="shared" si="2"/>
        <v>3.9818966048395183</v>
      </c>
      <c r="M13">
        <f t="shared" si="4"/>
        <v>-17.088901426419884</v>
      </c>
      <c r="N13">
        <f t="shared" si="5"/>
        <v>-3.0741378001070543</v>
      </c>
      <c r="O13">
        <f t="shared" si="6"/>
        <v>0.68715121039910831</v>
      </c>
      <c r="P13">
        <f t="shared" si="7"/>
        <v>2.8405033272989182</v>
      </c>
      <c r="Q13">
        <f t="shared" si="8"/>
        <v>0.16435125999862632</v>
      </c>
      <c r="R13">
        <f t="shared" si="9"/>
        <v>-2.8085824814244305</v>
      </c>
      <c r="S13">
        <f t="shared" si="10"/>
        <v>3.1920845874487735E-2</v>
      </c>
      <c r="T13">
        <f t="shared" si="11"/>
        <v>1.0133601864916741E-2</v>
      </c>
    </row>
    <row r="14" spans="2:20" x14ac:dyDescent="0.25">
      <c r="B14" t="s">
        <v>8</v>
      </c>
      <c r="C14">
        <v>-3.15</v>
      </c>
      <c r="H14">
        <f t="shared" si="12"/>
        <v>14.000000000000002</v>
      </c>
      <c r="I14">
        <f t="shared" si="3"/>
        <v>0.24434609527920617</v>
      </c>
      <c r="J14">
        <f t="shared" si="0"/>
        <v>-0.24192189559966779</v>
      </c>
      <c r="K14">
        <f t="shared" si="1"/>
        <v>-0.97029572627599647</v>
      </c>
      <c r="L14">
        <f t="shared" si="2"/>
        <v>3.9776594069447397</v>
      </c>
      <c r="M14">
        <f t="shared" si="4"/>
        <v>-17.043881198787862</v>
      </c>
      <c r="N14">
        <f t="shared" si="5"/>
        <v>-3.0564315377693889</v>
      </c>
      <c r="O14">
        <f t="shared" si="6"/>
        <v>0.76205397113895335</v>
      </c>
      <c r="P14">
        <f t="shared" si="7"/>
        <v>2.8241427408989157</v>
      </c>
      <c r="Q14">
        <f t="shared" si="8"/>
        <v>0.18246049059199557</v>
      </c>
      <c r="R14">
        <f t="shared" si="9"/>
        <v>-3.1098349251225228</v>
      </c>
      <c r="S14">
        <f t="shared" si="10"/>
        <v>-0.28569218422360709</v>
      </c>
      <c r="T14">
        <f t="shared" si="11"/>
        <v>-9.0695931499557805E-2</v>
      </c>
    </row>
    <row r="15" spans="2:20" x14ac:dyDescent="0.25">
      <c r="B15" t="s">
        <v>9</v>
      </c>
      <c r="C15">
        <v>0</v>
      </c>
      <c r="H15">
        <f t="shared" si="12"/>
        <v>15.400000000000002</v>
      </c>
      <c r="I15">
        <f t="shared" si="3"/>
        <v>0.26878070480712679</v>
      </c>
      <c r="J15">
        <f t="shared" si="0"/>
        <v>-0.26555611748680891</v>
      </c>
      <c r="K15">
        <f t="shared" si="1"/>
        <v>-0.96409540423411011</v>
      </c>
      <c r="L15">
        <f t="shared" si="2"/>
        <v>3.9729802951191013</v>
      </c>
      <c r="M15">
        <f t="shared" si="4"/>
        <v>-16.994165635640456</v>
      </c>
      <c r="N15">
        <f t="shared" si="5"/>
        <v>-3.0369005233374464</v>
      </c>
      <c r="O15">
        <f t="shared" si="6"/>
        <v>0.8365017700834485</v>
      </c>
      <c r="P15">
        <f t="shared" si="7"/>
        <v>2.8060960835638005</v>
      </c>
      <c r="Q15">
        <f t="shared" si="8"/>
        <v>0.2005215967064202</v>
      </c>
      <c r="R15">
        <f t="shared" si="9"/>
        <v>-3.4076972279520006</v>
      </c>
      <c r="S15">
        <f t="shared" si="10"/>
        <v>-0.60160114438820012</v>
      </c>
      <c r="T15">
        <f t="shared" si="11"/>
        <v>-0.19098449028196829</v>
      </c>
    </row>
    <row r="16" spans="2:20" x14ac:dyDescent="0.25">
      <c r="H16">
        <f t="shared" si="12"/>
        <v>16.8</v>
      </c>
      <c r="I16">
        <f t="shared" si="3"/>
        <v>0.29321531433504738</v>
      </c>
      <c r="J16">
        <f t="shared" si="0"/>
        <v>-0.28903179694447151</v>
      </c>
      <c r="K16">
        <f t="shared" si="1"/>
        <v>-0.95731949753206724</v>
      </c>
      <c r="L16">
        <f t="shared" si="2"/>
        <v>3.9678605047547229</v>
      </c>
      <c r="M16">
        <f t="shared" si="4"/>
        <v>-16.939767863018933</v>
      </c>
      <c r="N16">
        <f t="shared" si="5"/>
        <v>-3.0155564172260116</v>
      </c>
      <c r="O16">
        <f t="shared" si="6"/>
        <v>0.91045016037508575</v>
      </c>
      <c r="P16">
        <f t="shared" si="7"/>
        <v>2.7863741295168349</v>
      </c>
      <c r="Q16">
        <f t="shared" si="8"/>
        <v>0.21852970632268101</v>
      </c>
      <c r="R16">
        <f t="shared" si="9"/>
        <v>-3.7018424962799172</v>
      </c>
      <c r="S16">
        <f t="shared" si="10"/>
        <v>-0.9154683667630823</v>
      </c>
      <c r="T16">
        <f t="shared" si="11"/>
        <v>-0.29062487833748646</v>
      </c>
    </row>
    <row r="17" spans="2:20" x14ac:dyDescent="0.25">
      <c r="B17" t="s">
        <v>20</v>
      </c>
      <c r="C17">
        <f>SQRT(C14^2+C15^2)</f>
        <v>3.15</v>
      </c>
      <c r="H17">
        <f t="shared" si="12"/>
        <v>18.2</v>
      </c>
      <c r="I17">
        <f t="shared" si="3"/>
        <v>0.31764992386296798</v>
      </c>
      <c r="J17">
        <f t="shared" si="0"/>
        <v>-0.3123349185122325</v>
      </c>
      <c r="K17">
        <f t="shared" si="1"/>
        <v>-0.94997205152465258</v>
      </c>
      <c r="L17">
        <f t="shared" si="2"/>
        <v>3.9623013904986983</v>
      </c>
      <c r="M17">
        <f t="shared" si="4"/>
        <v>-16.880702274048673</v>
      </c>
      <c r="N17">
        <f t="shared" si="5"/>
        <v>-2.9924119623026555</v>
      </c>
      <c r="O17">
        <f t="shared" si="6"/>
        <v>0.98385499331353221</v>
      </c>
      <c r="P17">
        <f t="shared" si="7"/>
        <v>2.764988653167654</v>
      </c>
      <c r="Q17">
        <f t="shared" si="8"/>
        <v>0.2364799300183385</v>
      </c>
      <c r="R17">
        <f t="shared" si="9"/>
        <v>-3.991947292427438</v>
      </c>
      <c r="S17">
        <f t="shared" si="10"/>
        <v>-1.226958639259784</v>
      </c>
      <c r="T17">
        <f t="shared" si="11"/>
        <v>-0.38951067913009019</v>
      </c>
    </row>
    <row r="18" spans="2:20" x14ac:dyDescent="0.25">
      <c r="B18" t="s">
        <v>21</v>
      </c>
      <c r="C18">
        <v>180</v>
      </c>
      <c r="H18">
        <f t="shared" si="12"/>
        <v>19.599999999999998</v>
      </c>
      <c r="I18">
        <f t="shared" si="3"/>
        <v>0.34208453339088857</v>
      </c>
      <c r="J18">
        <f t="shared" si="0"/>
        <v>-0.33545156975025497</v>
      </c>
      <c r="K18">
        <f t="shared" si="1"/>
        <v>-0.94205745278729669</v>
      </c>
      <c r="L18">
        <f t="shared" si="2"/>
        <v>3.9563044266997176</v>
      </c>
      <c r="M18">
        <f t="shared" si="4"/>
        <v>-16.816984533684504</v>
      </c>
      <c r="N18">
        <f t="shared" si="5"/>
        <v>-2.9674809762799845</v>
      </c>
      <c r="O18">
        <f t="shared" si="6"/>
        <v>1.0566724447133036</v>
      </c>
      <c r="P18">
        <f t="shared" si="7"/>
        <v>2.7419524220827056</v>
      </c>
      <c r="Q18">
        <f t="shared" si="8"/>
        <v>0.25436735921008208</v>
      </c>
      <c r="R18">
        <f t="shared" si="9"/>
        <v>-4.2776919457101208</v>
      </c>
      <c r="S18">
        <f t="shared" si="10"/>
        <v>-1.5357395236274152</v>
      </c>
      <c r="T18">
        <f t="shared" si="11"/>
        <v>-0.48753635670711593</v>
      </c>
    </row>
    <row r="19" spans="2:20" x14ac:dyDescent="0.25">
      <c r="H19">
        <f t="shared" si="12"/>
        <v>20.999999999999996</v>
      </c>
      <c r="I19">
        <f t="shared" si="3"/>
        <v>0.36651914291880916</v>
      </c>
      <c r="J19">
        <f t="shared" si="0"/>
        <v>-0.35836794954530027</v>
      </c>
      <c r="K19">
        <f t="shared" si="1"/>
        <v>-0.93358042649720174</v>
      </c>
      <c r="L19">
        <f t="shared" si="2"/>
        <v>3.949871207898203</v>
      </c>
      <c r="M19">
        <f t="shared" si="4"/>
        <v>-16.74863158391841</v>
      </c>
      <c r="N19">
        <f t="shared" si="5"/>
        <v>-2.9407783434661856</v>
      </c>
      <c r="O19">
        <f t="shared" si="6"/>
        <v>1.1288590410676957</v>
      </c>
      <c r="P19">
        <f t="shared" si="7"/>
        <v>2.7172791893627557</v>
      </c>
      <c r="Q19">
        <f t="shared" si="8"/>
        <v>0.27218706434936718</v>
      </c>
      <c r="R19">
        <f t="shared" si="9"/>
        <v>-4.558760862695844</v>
      </c>
      <c r="S19">
        <f t="shared" si="10"/>
        <v>-1.8414816733330883</v>
      </c>
      <c r="T19">
        <f t="shared" si="11"/>
        <v>-0.58459735661367884</v>
      </c>
    </row>
    <row r="20" spans="2:20" x14ac:dyDescent="0.25">
      <c r="B20" s="4" t="s">
        <v>10</v>
      </c>
      <c r="C20" s="4">
        <v>0</v>
      </c>
      <c r="H20">
        <f t="shared" si="12"/>
        <v>22.399999999999995</v>
      </c>
      <c r="I20">
        <f t="shared" si="3"/>
        <v>0.39095375244672975</v>
      </c>
      <c r="J20">
        <f t="shared" si="0"/>
        <v>-0.38107037635027391</v>
      </c>
      <c r="K20">
        <f t="shared" si="1"/>
        <v>-0.92454603361231324</v>
      </c>
      <c r="L20">
        <f t="shared" si="2"/>
        <v>3.9430034493611439</v>
      </c>
      <c r="M20">
        <f t="shared" si="4"/>
        <v>-16.675661649462157</v>
      </c>
      <c r="N20">
        <f t="shared" si="5"/>
        <v>-2.9123200058787861</v>
      </c>
      <c r="O20">
        <f t="shared" si="6"/>
        <v>1.2003716855033639</v>
      </c>
      <c r="P20">
        <f t="shared" si="7"/>
        <v>2.6909836854319984</v>
      </c>
      <c r="Q20">
        <f t="shared" si="8"/>
        <v>0.28993409306706236</v>
      </c>
      <c r="R20">
        <f t="shared" si="9"/>
        <v>-4.8348428366300036</v>
      </c>
      <c r="S20">
        <f t="shared" si="10"/>
        <v>-2.1438591511980052</v>
      </c>
      <c r="T20">
        <f t="shared" si="11"/>
        <v>-0.68059020672952553</v>
      </c>
    </row>
    <row r="21" spans="2:20" x14ac:dyDescent="0.25">
      <c r="B21" s="4" t="s">
        <v>11</v>
      </c>
      <c r="C21" s="4">
        <v>0</v>
      </c>
      <c r="H21">
        <f t="shared" si="12"/>
        <v>23.799999999999994</v>
      </c>
      <c r="I21">
        <f t="shared" si="3"/>
        <v>0.41538836197465034</v>
      </c>
      <c r="J21">
        <f t="shared" si="0"/>
        <v>-0.40354529635238989</v>
      </c>
      <c r="K21">
        <f t="shared" si="1"/>
        <v>-0.91495966784982485</v>
      </c>
      <c r="L21">
        <f t="shared" si="2"/>
        <v>3.9357029876629346</v>
      </c>
      <c r="M21">
        <f t="shared" si="4"/>
        <v>-16.59809424391868</v>
      </c>
      <c r="N21">
        <f t="shared" si="5"/>
        <v>-2.8821229537269484</v>
      </c>
      <c r="O21">
        <f t="shared" si="6"/>
        <v>1.2711676835100274</v>
      </c>
      <c r="P21">
        <f t="shared" si="7"/>
        <v>2.6630816092437004</v>
      </c>
      <c r="Q21">
        <f t="shared" si="8"/>
        <v>0.30760346826274587</v>
      </c>
      <c r="R21">
        <f t="shared" si="9"/>
        <v>-5.1056313559813047</v>
      </c>
      <c r="S21">
        <f t="shared" si="10"/>
        <v>-2.4425497467376043</v>
      </c>
      <c r="T21">
        <f t="shared" si="11"/>
        <v>-0.77541261801193784</v>
      </c>
    </row>
    <row r="22" spans="2:20" x14ac:dyDescent="0.25">
      <c r="H22">
        <f t="shared" si="12"/>
        <v>25.199999999999992</v>
      </c>
      <c r="I22">
        <f t="shared" si="3"/>
        <v>0.43982297150257094</v>
      </c>
      <c r="J22">
        <f t="shared" si="0"/>
        <v>-0.42577929156507233</v>
      </c>
      <c r="K22">
        <f t="shared" si="1"/>
        <v>-0.90482705246601969</v>
      </c>
      <c r="L22">
        <f t="shared" si="2"/>
        <v>3.927971781313623</v>
      </c>
      <c r="M22">
        <f t="shared" si="4"/>
        <v>-16.515950176457245</v>
      </c>
      <c r="N22">
        <f t="shared" si="5"/>
        <v>-2.8502052152679616</v>
      </c>
      <c r="O22">
        <f t="shared" si="6"/>
        <v>1.3412047684299784</v>
      </c>
      <c r="P22">
        <f t="shared" si="7"/>
        <v>2.6335896189075965</v>
      </c>
      <c r="Q22">
        <f t="shared" si="8"/>
        <v>0.32519018613418843</v>
      </c>
      <c r="R22">
        <f t="shared" si="9"/>
        <v>-5.3708249120651139</v>
      </c>
      <c r="S22">
        <f t="shared" si="10"/>
        <v>-2.7372352931575175</v>
      </c>
      <c r="T22">
        <f t="shared" si="11"/>
        <v>-0.86896358512937066</v>
      </c>
    </row>
    <row r="23" spans="2:20" x14ac:dyDescent="0.25">
      <c r="B23" t="s">
        <v>12</v>
      </c>
      <c r="C23">
        <v>0</v>
      </c>
    </row>
    <row r="24" spans="2:20" x14ac:dyDescent="0.25">
      <c r="B24" t="s">
        <v>13</v>
      </c>
      <c r="C24">
        <v>3</v>
      </c>
      <c r="H24">
        <v>-45</v>
      </c>
      <c r="J24">
        <f t="shared" ref="J24" si="13">$C$26*COS(RADIANS($C$27+H24))</f>
        <v>0.70710678118654757</v>
      </c>
      <c r="K24">
        <f t="shared" ref="K24" si="14" xml:space="preserve"> -$C$26*SIN(RADIANS($C$27+H24))</f>
        <v>-0.70710678118654746</v>
      </c>
      <c r="L24">
        <f t="shared" ref="L24" si="15">SQRT(($C$23-J24)^2 + ($C$24-K24)^2)</f>
        <v>3.7739423269466221</v>
      </c>
      <c r="S24">
        <f>MAX(S4:S22)/36</f>
        <v>8.0850000000000033E-2</v>
      </c>
      <c r="T24" s="3" t="s">
        <v>29</v>
      </c>
    </row>
    <row r="26" spans="2:20" x14ac:dyDescent="0.25">
      <c r="B26" t="s">
        <v>16</v>
      </c>
      <c r="C26">
        <v>1</v>
      </c>
    </row>
    <row r="27" spans="2:20" x14ac:dyDescent="0.25">
      <c r="B27" t="s">
        <v>17</v>
      </c>
      <c r="C27">
        <v>90</v>
      </c>
    </row>
    <row r="28" spans="2:20" x14ac:dyDescent="0.25">
      <c r="C28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S-588 Infusion</vt:lpstr>
      <vt:lpstr>S-588 Aspiration</vt:lpstr>
    </vt:vector>
  </TitlesOfParts>
  <Company>IEM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VanHulle</dc:creator>
  <cp:lastModifiedBy>Luke VanHulle</cp:lastModifiedBy>
  <dcterms:created xsi:type="dcterms:W3CDTF">2018-09-28T14:00:50Z</dcterms:created>
  <dcterms:modified xsi:type="dcterms:W3CDTF">2019-02-22T14:31:02Z</dcterms:modified>
</cp:coreProperties>
</file>