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bertverstraete/Documents/"/>
    </mc:Choice>
  </mc:AlternateContent>
  <bookViews>
    <workbookView xWindow="760" yWindow="460" windowWidth="30780" windowHeight="20540" tabRatio="500"/>
  </bookViews>
  <sheets>
    <sheet name="Werkprestaties" sheetId="1" r:id="rId1"/>
    <sheet name="Vaste Kosten Varia" sheetId="2" r:id="rId2"/>
    <sheet name="Vaste Kosten Kantoor &amp; Werk" sheetId="4" r:id="rId3"/>
    <sheet name="Omzet" sheetId="3" r:id="rId4"/>
    <sheet name="Schatting variabele kost" sheetId="7" r:id="rId5"/>
    <sheet name="BreakEven Schatting" sheetId="5" r:id="rId6"/>
    <sheet name="BreakEven Effectief" sheetId="6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2" i="1" l="1"/>
  <c r="J4" i="1"/>
  <c r="J7" i="1"/>
  <c r="H7" i="1"/>
  <c r="K18" i="1"/>
  <c r="I18" i="1"/>
  <c r="K35" i="1"/>
  <c r="I35" i="1"/>
  <c r="K20" i="1"/>
  <c r="I20" i="1"/>
  <c r="K44" i="1"/>
  <c r="I44" i="1"/>
  <c r="K39" i="1"/>
  <c r="I39" i="1"/>
  <c r="K16" i="1"/>
  <c r="I16" i="1"/>
  <c r="K38" i="1"/>
  <c r="I38" i="1"/>
  <c r="K40" i="1"/>
  <c r="I40" i="1"/>
  <c r="K41" i="1"/>
  <c r="I41" i="1"/>
  <c r="K6" i="1"/>
  <c r="K7" i="1"/>
  <c r="K8" i="1"/>
  <c r="K9" i="1"/>
  <c r="K10" i="1"/>
  <c r="K11" i="1"/>
  <c r="K12" i="1"/>
  <c r="K13" i="1"/>
  <c r="K14" i="1"/>
  <c r="K15" i="1"/>
  <c r="K17" i="1"/>
  <c r="J19" i="1"/>
  <c r="K19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42" i="1"/>
  <c r="K43" i="1"/>
  <c r="K45" i="1"/>
  <c r="K46" i="1"/>
  <c r="K5" i="1"/>
  <c r="I45" i="1"/>
  <c r="I30" i="1"/>
  <c r="I27" i="1"/>
  <c r="I15" i="1"/>
  <c r="B5" i="6"/>
  <c r="H19" i="1"/>
  <c r="H4" i="1"/>
  <c r="H47" i="1"/>
  <c r="I47" i="1"/>
  <c r="B9" i="5"/>
  <c r="I37" i="1"/>
  <c r="I25" i="1"/>
  <c r="I34" i="1"/>
  <c r="J47" i="1"/>
  <c r="K47" i="1"/>
  <c r="B9" i="6"/>
  <c r="B27" i="6"/>
  <c r="B27" i="5"/>
  <c r="C13" i="6"/>
  <c r="C14" i="6"/>
  <c r="C15" i="6"/>
  <c r="C16" i="6"/>
  <c r="C17" i="6"/>
  <c r="C18" i="6"/>
  <c r="C19" i="6"/>
  <c r="C20" i="6"/>
  <c r="C21" i="6"/>
  <c r="C22" i="6"/>
  <c r="C23" i="6"/>
  <c r="C24" i="6"/>
  <c r="C12" i="6"/>
  <c r="C13" i="5"/>
  <c r="C14" i="5"/>
  <c r="C15" i="5"/>
  <c r="C16" i="5"/>
  <c r="C17" i="5"/>
  <c r="C18" i="5"/>
  <c r="C19" i="5"/>
  <c r="C20" i="5"/>
  <c r="C21" i="5"/>
  <c r="C22" i="5"/>
  <c r="C23" i="5"/>
  <c r="C24" i="5"/>
  <c r="C12" i="5"/>
  <c r="E3" i="7"/>
  <c r="J8" i="4"/>
  <c r="B5" i="5"/>
  <c r="J9" i="4"/>
  <c r="J14" i="4"/>
  <c r="J13" i="4"/>
  <c r="E5" i="4"/>
  <c r="D5" i="4"/>
  <c r="C5" i="4"/>
  <c r="B5" i="4"/>
  <c r="B43" i="4"/>
  <c r="C43" i="4"/>
  <c r="B44" i="4"/>
  <c r="C44" i="4"/>
  <c r="C45" i="4"/>
  <c r="C34" i="4"/>
  <c r="D34" i="4"/>
  <c r="D36" i="4"/>
  <c r="D37" i="4"/>
  <c r="F28" i="4"/>
  <c r="G28" i="4"/>
  <c r="F29" i="4"/>
  <c r="G29" i="4"/>
  <c r="G30" i="4"/>
  <c r="F22" i="4"/>
  <c r="G22" i="4"/>
  <c r="D17" i="4"/>
  <c r="D18" i="4"/>
  <c r="L4" i="4"/>
  <c r="B4" i="6"/>
  <c r="B29" i="6"/>
  <c r="B28" i="6"/>
  <c r="B4" i="5"/>
  <c r="B7" i="6"/>
  <c r="B8" i="6"/>
  <c r="A14" i="6"/>
  <c r="A15" i="6"/>
  <c r="A16" i="6"/>
  <c r="A17" i="6"/>
  <c r="A18" i="6"/>
  <c r="A19" i="6"/>
  <c r="A20" i="6"/>
  <c r="A21" i="6"/>
  <c r="A22" i="6"/>
  <c r="A23" i="6"/>
  <c r="A24" i="6"/>
  <c r="A13" i="6"/>
  <c r="B29" i="5"/>
  <c r="B28" i="5"/>
  <c r="B7" i="5"/>
  <c r="B8" i="5"/>
  <c r="A13" i="5"/>
  <c r="A14" i="5"/>
  <c r="A15" i="5"/>
  <c r="A16" i="5"/>
  <c r="A17" i="5"/>
  <c r="A18" i="5"/>
  <c r="A19" i="5"/>
  <c r="A20" i="5"/>
  <c r="A21" i="5"/>
  <c r="A22" i="5"/>
  <c r="A23" i="5"/>
  <c r="A24" i="5"/>
  <c r="B13" i="5"/>
  <c r="B14" i="5"/>
  <c r="B15" i="5"/>
  <c r="B16" i="5"/>
  <c r="B17" i="5"/>
  <c r="B18" i="5"/>
  <c r="B19" i="5"/>
  <c r="B20" i="5"/>
  <c r="B21" i="5"/>
  <c r="B22" i="5"/>
  <c r="B23" i="5"/>
  <c r="B24" i="5"/>
  <c r="D13" i="5"/>
  <c r="D14" i="5"/>
  <c r="D15" i="5"/>
  <c r="D16" i="5"/>
  <c r="D17" i="5"/>
  <c r="D18" i="5"/>
  <c r="D19" i="5"/>
  <c r="D20" i="5"/>
  <c r="D21" i="5"/>
  <c r="D22" i="5"/>
  <c r="D23" i="5"/>
  <c r="D24" i="5"/>
  <c r="C23" i="3"/>
  <c r="C5" i="3"/>
  <c r="C7" i="3"/>
  <c r="E14" i="3"/>
  <c r="F14" i="3"/>
  <c r="E15" i="3"/>
  <c r="F15" i="3"/>
  <c r="E16" i="3"/>
  <c r="F16" i="3"/>
  <c r="F18" i="3"/>
  <c r="E3" i="3"/>
  <c r="F3" i="3"/>
  <c r="E4" i="3"/>
  <c r="F4" i="3"/>
  <c r="E5" i="3"/>
  <c r="F5" i="3"/>
  <c r="F7" i="3"/>
  <c r="F27" i="3"/>
  <c r="F28" i="3"/>
  <c r="H3" i="3"/>
  <c r="C18" i="3"/>
  <c r="C14" i="3"/>
  <c r="C14" i="2"/>
  <c r="C13" i="2"/>
  <c r="C36" i="4"/>
  <c r="C37" i="4"/>
  <c r="F30" i="4"/>
  <c r="C17" i="4"/>
  <c r="C18" i="4"/>
  <c r="B14" i="2"/>
  <c r="B9" i="2"/>
  <c r="C4" i="2"/>
  <c r="E6" i="3"/>
  <c r="F6" i="3"/>
  <c r="B6" i="5"/>
  <c r="B6" i="6"/>
  <c r="E5" i="7"/>
  <c r="E7" i="7"/>
  <c r="C3" i="7"/>
  <c r="B24" i="6"/>
  <c r="D24" i="6"/>
  <c r="B23" i="6"/>
  <c r="D23" i="6"/>
  <c r="B22" i="6"/>
  <c r="D22" i="6"/>
  <c r="B21" i="6"/>
  <c r="D21" i="6"/>
  <c r="B20" i="6"/>
  <c r="D20" i="6"/>
  <c r="B19" i="6"/>
  <c r="D19" i="6"/>
  <c r="B18" i="6"/>
  <c r="D18" i="6"/>
  <c r="B17" i="6"/>
  <c r="D17" i="6"/>
  <c r="B16" i="6"/>
  <c r="D16" i="6"/>
  <c r="B15" i="6"/>
  <c r="D15" i="6"/>
  <c r="B14" i="6"/>
  <c r="D14" i="6"/>
  <c r="B13" i="6"/>
  <c r="D13" i="6"/>
  <c r="B12" i="6"/>
  <c r="D12" i="6"/>
  <c r="B12" i="5"/>
  <c r="D12" i="5"/>
  <c r="H9" i="3"/>
  <c r="H6" i="3"/>
  <c r="B6" i="1"/>
  <c r="I46" i="1"/>
  <c r="I43" i="1"/>
  <c r="I36" i="1"/>
  <c r="I33" i="1"/>
  <c r="I32" i="1"/>
  <c r="I31" i="1"/>
  <c r="I29" i="1"/>
  <c r="I28" i="1"/>
  <c r="I26" i="1"/>
  <c r="I24" i="1"/>
  <c r="I23" i="1"/>
  <c r="I22" i="1"/>
  <c r="I21" i="1"/>
  <c r="I19" i="1"/>
  <c r="I17" i="1"/>
  <c r="I14" i="1"/>
  <c r="I13" i="1"/>
  <c r="I12" i="1"/>
  <c r="I11" i="1"/>
  <c r="I10" i="1"/>
  <c r="I9" i="1"/>
  <c r="I8" i="1"/>
  <c r="I7" i="1"/>
  <c r="I6" i="1"/>
  <c r="I5" i="1"/>
  <c r="K4" i="1"/>
  <c r="I4" i="1"/>
  <c r="D18" i="3"/>
  <c r="E18" i="3"/>
  <c r="E7" i="3"/>
</calcChain>
</file>

<file path=xl/sharedStrings.xml><?xml version="1.0" encoding="utf-8"?>
<sst xmlns="http://schemas.openxmlformats.org/spreadsheetml/2006/main" count="218" uniqueCount="178">
  <si>
    <t>Werknemers</t>
  </si>
  <si>
    <t xml:space="preserve">Kostprijs / uur </t>
  </si>
  <si>
    <t>Tom
 (Senior Software 
Ontwikkelaar B)</t>
  </si>
  <si>
    <t>Jente
 (Senior Software
 Ontwikkelaar A)</t>
  </si>
  <si>
    <t>Tiziano 
(Junior Software
 Ontwikkelaar B)</t>
  </si>
  <si>
    <t>Bert 
(Junior Software 
Ontwikkelaar A)</t>
  </si>
  <si>
    <t>Prestatie kosten</t>
  </si>
  <si>
    <t>Onderwerp</t>
  </si>
  <si>
    <t>Analyse</t>
  </si>
  <si>
    <t xml:space="preserve">    - Informatiemodellering</t>
  </si>
  <si>
    <t xml:space="preserve">           ORM schema opstellen database</t>
  </si>
  <si>
    <t xml:space="preserve">           Omzetting ORM naar ERD</t>
  </si>
  <si>
    <t xml:space="preserve">     -  Conceptueel</t>
  </si>
  <si>
    <t xml:space="preserve">            Basisfunctionaliteit bepalen</t>
  </si>
  <si>
    <t xml:space="preserve">            Low fidelity wireframes maken</t>
  </si>
  <si>
    <t xml:space="preserve">            High fidelity wireframes maken</t>
  </si>
  <si>
    <t xml:space="preserve">            Functionele Analyse</t>
  </si>
  <si>
    <t xml:space="preserve">            Non-functionele Analyse</t>
  </si>
  <si>
    <t xml:space="preserve">            Kosten Analyse</t>
  </si>
  <si>
    <t xml:space="preserve">            Usability Analyse</t>
  </si>
  <si>
    <t>Geschatte uren</t>
  </si>
  <si>
    <t>Geschatte kost</t>
  </si>
  <si>
    <t xml:space="preserve">       - Programmeren</t>
  </si>
  <si>
    <t>Werkelijk gepresteerde uren</t>
  </si>
  <si>
    <t>Werkelijke kost</t>
  </si>
  <si>
    <t xml:space="preserve">            Basic gamesense</t>
  </si>
  <si>
    <t xml:space="preserve">            DB Configuratie</t>
  </si>
  <si>
    <t xml:space="preserve">            ERD naar MySQL</t>
  </si>
  <si>
    <t xml:space="preserve">            Communicatie back &amp; frontend</t>
  </si>
  <si>
    <t xml:space="preserve">            Frontend Website (VUE)</t>
  </si>
  <si>
    <t xml:space="preserve">            Campaign implementatie</t>
  </si>
  <si>
    <t xml:space="preserve">            Multiplayer</t>
  </si>
  <si>
    <t xml:space="preserve">            Extra gamemodes</t>
  </si>
  <si>
    <t xml:space="preserve">            Shop &amp; betaling</t>
  </si>
  <si>
    <t xml:space="preserve">            Inkomsten bepalen en analyseren</t>
  </si>
  <si>
    <t xml:space="preserve">            Power-ups &amp; downs</t>
  </si>
  <si>
    <t xml:space="preserve">            Achievements &amp; highscores</t>
  </si>
  <si>
    <t xml:space="preserve">            Implementatie sociale aspecten 
             clans, chats enz..</t>
  </si>
  <si>
    <t>GEMM KOST / UUR</t>
  </si>
  <si>
    <t>Software</t>
  </si>
  <si>
    <t>Prijs/Computer</t>
  </si>
  <si>
    <t>Intellij IDEA</t>
  </si>
  <si>
    <t>totaal</t>
  </si>
  <si>
    <t>Inkomst per aankoop</t>
  </si>
  <si>
    <t>geschat aantal aankopen per jaar</t>
  </si>
  <si>
    <t>1000coins</t>
  </si>
  <si>
    <t>2250coins(-25%)</t>
  </si>
  <si>
    <t>7000 coins (-40%)</t>
  </si>
  <si>
    <t>12800coins(60%)</t>
  </si>
  <si>
    <t>totaal per jaar</t>
  </si>
  <si>
    <t>Totaal</t>
  </si>
  <si>
    <t>Geschat aantal aankopen per dag</t>
  </si>
  <si>
    <t>Ads mobile</t>
  </si>
  <si>
    <t>Ads facebook</t>
  </si>
  <si>
    <t>Ads browser</t>
  </si>
  <si>
    <t>users per dag</t>
  </si>
  <si>
    <t>Geschat inkomen per 1000 gebruikers</t>
  </si>
  <si>
    <t>Geschat inkomen per dag</t>
  </si>
  <si>
    <t xml:space="preserve">Geschat inkomen per jaar </t>
  </si>
  <si>
    <t>Geshatte inkomen (Ads)</t>
  </si>
  <si>
    <t>Geschatte inkomen (in-game purchases)</t>
  </si>
  <si>
    <t>Full mobile version (no ads)</t>
  </si>
  <si>
    <t>Geschatte inkomen (Aankoop full version)</t>
  </si>
  <si>
    <t>Full version</t>
  </si>
  <si>
    <t>Prijs per aankoop</t>
  </si>
  <si>
    <t>Geschat aantal aankopen per jaar</t>
  </si>
  <si>
    <t>Huur Appartement/kantoor</t>
  </si>
  <si>
    <t>Kantoor</t>
  </si>
  <si>
    <t>prijs per maand</t>
  </si>
  <si>
    <t>prijs per kwartaal</t>
  </si>
  <si>
    <t>Water</t>
  </si>
  <si>
    <t>Prijs</t>
  </si>
  <si>
    <t>Verbruik</t>
  </si>
  <si>
    <t>Totaal verbruik</t>
  </si>
  <si>
    <t>totaal water</t>
  </si>
  <si>
    <t>120L/dag</t>
  </si>
  <si>
    <t>10980L</t>
  </si>
  <si>
    <t>10,98m³</t>
  </si>
  <si>
    <t>Elektriciteit</t>
  </si>
  <si>
    <t>Elektriciteit(luminus)</t>
  </si>
  <si>
    <t>aantal dagen</t>
  </si>
  <si>
    <t>aantal uren per dag</t>
  </si>
  <si>
    <t>8 uur</t>
  </si>
  <si>
    <t>Laptops</t>
  </si>
  <si>
    <t>verbruik per uur</t>
  </si>
  <si>
    <t>1,38kWh</t>
  </si>
  <si>
    <t>Verlichting</t>
  </si>
  <si>
    <t>0,104kWh</t>
  </si>
  <si>
    <t>Internet</t>
  </si>
  <si>
    <t>Telenet(internet fiber)</t>
  </si>
  <si>
    <t>Prijs per maand</t>
  </si>
  <si>
    <t>Prijs per kwartaal</t>
  </si>
  <si>
    <t>Subtotaal</t>
  </si>
  <si>
    <t>Uitbreiding pakket</t>
  </si>
  <si>
    <t>€0,53/kWh</t>
  </si>
  <si>
    <t>Projectkosten(Werkprestaties)</t>
  </si>
  <si>
    <t xml:space="preserve">            Mobile port</t>
  </si>
  <si>
    <t>Installatiekosten (eenmalig)</t>
  </si>
  <si>
    <t>Prijs / m³</t>
  </si>
  <si>
    <t>90 dagen</t>
  </si>
  <si>
    <t>Subtotaal(kwartaal)</t>
  </si>
  <si>
    <t>Totaal kosten / kwartaal</t>
  </si>
  <si>
    <t>Meubilair</t>
  </si>
  <si>
    <t>Eenmalige prijs</t>
  </si>
  <si>
    <t>Bureau</t>
  </si>
  <si>
    <t>Bureaustoelen</t>
  </si>
  <si>
    <t>Link</t>
  </si>
  <si>
    <t>Omzet per gebruiker</t>
  </si>
  <si>
    <t>Omzet</t>
  </si>
  <si>
    <t>Omzet per bezoeker (10000 per dag)</t>
  </si>
  <si>
    <t>Omzet per dag (10000 bezoekers)</t>
  </si>
  <si>
    <t>Omzet per jaar (10000 * 365,25 bezoekers)</t>
  </si>
  <si>
    <t>Vaste kosten</t>
  </si>
  <si>
    <t>Break even punt</t>
  </si>
  <si>
    <t>Totale Kosten</t>
  </si>
  <si>
    <t>bezoekers</t>
  </si>
  <si>
    <t>Aantal bezoekers</t>
  </si>
  <si>
    <t>Uitgaven</t>
  </si>
  <si>
    <t>Winst / verlies</t>
  </si>
  <si>
    <t>Verbruik per spel (in GB)</t>
  </si>
  <si>
    <t>Kost / gb verbruik (AWS)</t>
  </si>
  <si>
    <t>Kost / bezoeker</t>
  </si>
  <si>
    <t>Gemiddeld aantal games / bezoeker</t>
  </si>
  <si>
    <t>Kost / dag (10000 bezoekers)</t>
  </si>
  <si>
    <t xml:space="preserve">Kost / jaar </t>
  </si>
  <si>
    <t>Variabele kost hosting</t>
  </si>
  <si>
    <t>Variabele kosten / gebruiker</t>
  </si>
  <si>
    <t>Break even punt(dagen)</t>
  </si>
  <si>
    <t>Kost app stores</t>
  </si>
  <si>
    <t>Appstore</t>
  </si>
  <si>
    <t>Playstore</t>
  </si>
  <si>
    <t>Registratiekosten</t>
  </si>
  <si>
    <t>Comissie per aankoop (verkoopsplatform)</t>
  </si>
  <si>
    <t>Marketing</t>
  </si>
  <si>
    <t>Kost / kwartaal</t>
  </si>
  <si>
    <t>Adwords</t>
  </si>
  <si>
    <t>Prijs per jaar</t>
  </si>
  <si>
    <t>Subtotaal (jaar)</t>
  </si>
  <si>
    <t>Subtotaal(jaar)</t>
  </si>
  <si>
    <t>prijs per jaar</t>
  </si>
  <si>
    <t>Werk / jaar na initieel project</t>
  </si>
  <si>
    <t>Gemmidelde kost / werknemer per uur</t>
  </si>
  <si>
    <t>Aantal uren per werkdag</t>
  </si>
  <si>
    <t>Aantal dagen / jaar</t>
  </si>
  <si>
    <t>Totaal / jaar</t>
  </si>
  <si>
    <t xml:space="preserve">Geschatte winst / jaar </t>
  </si>
  <si>
    <t xml:space="preserve">Geschatte omzet / jaar </t>
  </si>
  <si>
    <t xml:space="preserve">Geschatte kost / jaar </t>
  </si>
  <si>
    <t>Huur co-working</t>
  </si>
  <si>
    <t>Bemeubeld kantoor</t>
  </si>
  <si>
    <t>prijs per dag</t>
  </si>
  <si>
    <t>dagen per maand</t>
  </si>
  <si>
    <t>Totaal kosten / jaar</t>
  </si>
  <si>
    <t>Co working</t>
  </si>
  <si>
    <t>Eigen kantoor</t>
  </si>
  <si>
    <t xml:space="preserve">            Unit-testing</t>
  </si>
  <si>
    <t xml:space="preserve">            Registratie/login platform</t>
  </si>
  <si>
    <t xml:space="preserve">            Hosting</t>
  </si>
  <si>
    <t>Breakeven / jaar (Effectief)</t>
  </si>
  <si>
    <t>Breakeven / jaar (Schatting)</t>
  </si>
  <si>
    <t>Prestaties tot nu toe (schatting)</t>
  </si>
  <si>
    <t>Prestaties tot nu toe (Effectief)</t>
  </si>
  <si>
    <t xml:space="preserve">            Social unit tests</t>
  </si>
  <si>
    <t>NOTE: alle nog niet ingevulde prestaties zijn nog te doen</t>
  </si>
  <si>
    <t>Werkelijke kosten gaan dus nog een stuk naar boven</t>
  </si>
  <si>
    <t xml:space="preserve">            Power ups &amp; downs bedenken</t>
  </si>
  <si>
    <t xml:space="preserve">            Implementatie tech tree</t>
  </si>
  <si>
    <t xml:space="preserve">            Images components</t>
  </si>
  <si>
    <t xml:space="preserve">            Refactoring</t>
  </si>
  <si>
    <t xml:space="preserve">            Design improvement</t>
  </si>
  <si>
    <t xml:space="preserve">            Registratieservlet POST fix</t>
  </si>
  <si>
    <t xml:space="preserve">            Router guard VUE</t>
  </si>
  <si>
    <t xml:space="preserve">            Implementatie feedback in analyse</t>
  </si>
  <si>
    <t xml:space="preserve">            Vue session</t>
  </si>
  <si>
    <t xml:space="preserve">            Bugfixes</t>
  </si>
  <si>
    <r>
      <t xml:space="preserve">            </t>
    </r>
    <r>
      <rPr>
        <sz val="12"/>
        <color theme="1"/>
        <rFont val="Calibri"/>
        <family val="2"/>
        <scheme val="minor"/>
      </rPr>
      <t>Netbeans naar intelliJ</t>
    </r>
  </si>
  <si>
    <t xml:space="preserve">            Websockets</t>
  </si>
  <si>
    <t xml:space="preserve">            Frameworks en tech bepalen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</si>
</sst>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(&quot;€&quot;\ * #,##0_);_(&quot;€&quot;\ * \(#,##0\);_(&quot;€&quot;\ * &quot;-&quot;_);_(@_)"/>
    <numFmt numFmtId="44" formatCode="_(&quot;€&quot;\ * #,##0.00_);_(&quot;€&quot;\ * \(#,##0.00\);_(&quot;€&quot;\ * &quot;-&quot;??_);_(@_)"/>
    <numFmt numFmtId="164" formatCode="h:mm;@"/>
    <numFmt numFmtId="165" formatCode="[$€-813]\ #,##0.00"/>
    <numFmt numFmtId="166" formatCode="_ [$€-813]\ * #,##0.00_ ;_ [$€-813]\ * \-#,##0.00_ ;_ [$€-813]\ * &quot;-&quot;??_ ;_ @_ "/>
    <numFmt numFmtId="167" formatCode="[$€-813]\ #,##0.0000"/>
    <numFmt numFmtId="168" formatCode="_ [$€-813]\ * #,##0.0000_ ;_ [$€-813]\ * \-#,##0.0000_ ;_ [$€-813]\ * &quot;-&quot;????_ ;_ @_ "/>
    <numFmt numFmtId="169" formatCode="_ [$€-813]\ * #,##0.000_ ;_ [$€-813]\ * \-#,##0.000_ ;_ [$€-813]\ * &quot;-&quot;???_ ;_ @_ "/>
    <numFmt numFmtId="170" formatCode="_ [$€-813]\ * #,##0.00000_ ;_ [$€-813]\ * \-#,##0.00000_ ;_ [$€-813]\ * &quot;-&quot;?????_ ;_ @_ 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6"/>
      <color theme="1"/>
      <name val="Calibri (Hoofdtekst)"/>
    </font>
    <font>
      <b/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b/>
      <u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72"/>
      <color theme="1"/>
      <name val="Calibri (Hoofdtekst)"/>
    </font>
    <font>
      <sz val="16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rgb="FF000000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left" vertical="top"/>
    </xf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4" fillId="0" borderId="0" xfId="0" applyFont="1"/>
    <xf numFmtId="0" fontId="5" fillId="2" borderId="0" xfId="0" applyFont="1" applyFill="1"/>
    <xf numFmtId="165" fontId="0" fillId="2" borderId="0" xfId="0" applyNumberFormat="1" applyFont="1" applyFill="1"/>
    <xf numFmtId="0" fontId="4" fillId="0" borderId="0" xfId="0" applyFont="1" applyAlignment="1"/>
    <xf numFmtId="0" fontId="0" fillId="0" borderId="0" xfId="0" applyAlignment="1"/>
    <xf numFmtId="0" fontId="4" fillId="3" borderId="0" xfId="0" applyFont="1" applyFill="1"/>
    <xf numFmtId="0" fontId="0" fillId="3" borderId="0" xfId="0" applyFill="1"/>
    <xf numFmtId="0" fontId="6" fillId="2" borderId="0" xfId="0" applyFont="1" applyFill="1"/>
    <xf numFmtId="0" fontId="0" fillId="2" borderId="0" xfId="0" applyFill="1"/>
    <xf numFmtId="165" fontId="0" fillId="2" borderId="0" xfId="0" applyNumberFormat="1" applyFill="1"/>
    <xf numFmtId="165" fontId="6" fillId="2" borderId="0" xfId="0" applyNumberFormat="1" applyFont="1" applyFill="1"/>
    <xf numFmtId="0" fontId="0" fillId="4" borderId="0" xfId="0" applyFill="1"/>
    <xf numFmtId="0" fontId="0" fillId="0" borderId="0" xfId="0" applyAlignment="1">
      <alignment horizontal="right"/>
    </xf>
    <xf numFmtId="0" fontId="4" fillId="2" borderId="0" xfId="0" applyFont="1" applyFill="1"/>
    <xf numFmtId="0" fontId="0" fillId="2" borderId="0" xfId="0" applyFill="1" applyAlignment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0" borderId="0" xfId="0" applyNumberFormat="1" applyFont="1"/>
    <xf numFmtId="165" fontId="4" fillId="0" borderId="0" xfId="0" applyNumberFormat="1" applyFont="1"/>
    <xf numFmtId="165" fontId="0" fillId="0" borderId="0" xfId="0" applyNumberFormat="1" applyFont="1"/>
    <xf numFmtId="0" fontId="6" fillId="0" borderId="0" xfId="0" applyFont="1"/>
    <xf numFmtId="0" fontId="4" fillId="4" borderId="0" xfId="0" applyFont="1" applyFill="1"/>
    <xf numFmtId="0" fontId="0" fillId="5" borderId="0" xfId="0" applyFill="1"/>
    <xf numFmtId="0" fontId="4" fillId="5" borderId="0" xfId="0" applyFont="1" applyFill="1"/>
    <xf numFmtId="0" fontId="0" fillId="5" borderId="0" xfId="0" applyFill="1" applyAlignment="1">
      <alignment wrapText="1"/>
    </xf>
    <xf numFmtId="0" fontId="6" fillId="2" borderId="0" xfId="0" applyNumberFormat="1" applyFont="1" applyFill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left" wrapText="1"/>
    </xf>
    <xf numFmtId="0" fontId="9" fillId="0" borderId="0" xfId="1"/>
    <xf numFmtId="0" fontId="9" fillId="4" borderId="0" xfId="1" applyFill="1"/>
    <xf numFmtId="165" fontId="8" fillId="2" borderId="0" xfId="0" applyNumberFormat="1" applyFont="1" applyFill="1"/>
    <xf numFmtId="2" fontId="0" fillId="0" borderId="0" xfId="0" applyNumberFormat="1"/>
    <xf numFmtId="4" fontId="0" fillId="2" borderId="0" xfId="0" applyNumberFormat="1" applyFont="1" applyFill="1"/>
    <xf numFmtId="4" fontId="0" fillId="0" borderId="0" xfId="0" applyNumberFormat="1"/>
    <xf numFmtId="44" fontId="0" fillId="2" borderId="0" xfId="0" applyNumberFormat="1" applyFill="1"/>
    <xf numFmtId="166" fontId="10" fillId="2" borderId="0" xfId="0" applyNumberFormat="1" applyFont="1" applyFill="1"/>
    <xf numFmtId="0" fontId="8" fillId="2" borderId="0" xfId="0" applyFont="1" applyFill="1"/>
    <xf numFmtId="167" fontId="6" fillId="2" borderId="0" xfId="0" applyNumberFormat="1" applyFont="1" applyFill="1"/>
    <xf numFmtId="1" fontId="0" fillId="0" borderId="0" xfId="0" applyNumberFormat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  <xf numFmtId="169" fontId="0" fillId="2" borderId="0" xfId="0" applyNumberFormat="1" applyFill="1"/>
    <xf numFmtId="170" fontId="0" fillId="2" borderId="0" xfId="0" applyNumberFormat="1" applyFill="1"/>
    <xf numFmtId="170" fontId="0" fillId="0" borderId="0" xfId="0" applyNumberFormat="1"/>
    <xf numFmtId="0" fontId="7" fillId="2" borderId="0" xfId="0" applyFont="1" applyFill="1"/>
    <xf numFmtId="44" fontId="0" fillId="0" borderId="0" xfId="0" applyNumberFormat="1"/>
    <xf numFmtId="0" fontId="12" fillId="0" borderId="0" xfId="0" applyFont="1"/>
    <xf numFmtId="9" fontId="0" fillId="0" borderId="0" xfId="0" applyNumberFormat="1"/>
    <xf numFmtId="42" fontId="0" fillId="0" borderId="0" xfId="0" applyNumberFormat="1"/>
    <xf numFmtId="42" fontId="6" fillId="2" borderId="0" xfId="0" applyNumberFormat="1" applyFont="1" applyFill="1"/>
    <xf numFmtId="42" fontId="10" fillId="2" borderId="0" xfId="0" applyNumberFormat="1" applyFont="1" applyFill="1"/>
    <xf numFmtId="0" fontId="0" fillId="3" borderId="0" xfId="0" applyFont="1" applyFill="1"/>
    <xf numFmtId="168" fontId="6" fillId="2" borderId="0" xfId="0" applyNumberFormat="1" applyFont="1" applyFill="1"/>
    <xf numFmtId="0" fontId="14" fillId="6" borderId="0" xfId="0" applyFont="1" applyFill="1"/>
    <xf numFmtId="168" fontId="14" fillId="6" borderId="0" xfId="0" applyNumberFormat="1" applyFont="1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0" fontId="0" fillId="0" borderId="0" xfId="0" applyFont="1"/>
    <xf numFmtId="0" fontId="0" fillId="0" borderId="0" xfId="0" applyNumberFormat="1" applyFont="1"/>
    <xf numFmtId="0" fontId="6" fillId="2" borderId="0" xfId="0" applyFont="1" applyFill="1" applyAlignment="1">
      <alignment horizontal="left"/>
    </xf>
    <xf numFmtId="0" fontId="0" fillId="0" borderId="2" xfId="0" applyBorder="1"/>
    <xf numFmtId="165" fontId="4" fillId="0" borderId="2" xfId="0" applyNumberFormat="1" applyFont="1" applyBorder="1"/>
    <xf numFmtId="165" fontId="0" fillId="0" borderId="2" xfId="0" applyNumberFormat="1" applyFont="1" applyBorder="1"/>
    <xf numFmtId="165" fontId="0" fillId="0" borderId="1" xfId="0" applyNumberFormat="1" applyFont="1" applyBorder="1"/>
  </cellXfs>
  <cellStyles count="2">
    <cellStyle name="Hyperlink" xfId="1" builtinId="8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Breakeven grafiek (schatting)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'BreakEven Schatting'!$C$11</c:f>
              <c:strCache>
                <c:ptCount val="1"/>
                <c:pt idx="0">
                  <c:v>Uitgaven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'BreakEven Schatting'!$A$12:$A$24</c:f>
              <c:numCache>
                <c:formatCode>General</c:formatCode>
                <c:ptCount val="13"/>
                <c:pt idx="0">
                  <c:v>0.0</c:v>
                </c:pt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  <c:pt idx="11">
                  <c:v>1.1E7</c:v>
                </c:pt>
                <c:pt idx="12">
                  <c:v>1.2E7</c:v>
                </c:pt>
              </c:numCache>
            </c:numRef>
          </c:xVal>
          <c:yVal>
            <c:numRef>
              <c:f>'BreakEven Schatting'!$C$12:$C$24</c:f>
              <c:numCache>
                <c:formatCode>[$€-813]\ #,##0.00</c:formatCode>
                <c:ptCount val="13"/>
                <c:pt idx="0">
                  <c:v>138233.0</c:v>
                </c:pt>
                <c:pt idx="1">
                  <c:v>139431.5</c:v>
                </c:pt>
                <c:pt idx="2">
                  <c:v>140630.0</c:v>
                </c:pt>
                <c:pt idx="3">
                  <c:v>141828.5</c:v>
                </c:pt>
                <c:pt idx="4">
                  <c:v>143027.0</c:v>
                </c:pt>
                <c:pt idx="5">
                  <c:v>144225.5</c:v>
                </c:pt>
                <c:pt idx="6">
                  <c:v>145424.0</c:v>
                </c:pt>
                <c:pt idx="7">
                  <c:v>146622.5</c:v>
                </c:pt>
                <c:pt idx="8">
                  <c:v>147821.0</c:v>
                </c:pt>
                <c:pt idx="9">
                  <c:v>149019.5</c:v>
                </c:pt>
                <c:pt idx="10">
                  <c:v>150218.0</c:v>
                </c:pt>
                <c:pt idx="11">
                  <c:v>151416.5</c:v>
                </c:pt>
                <c:pt idx="12">
                  <c:v>152615.0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'BreakEven Schatting'!$B$11</c:f>
              <c:strCache>
                <c:ptCount val="1"/>
                <c:pt idx="0">
                  <c:v>Omzet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'BreakEven Schatting'!$A$12:$A$24</c:f>
              <c:numCache>
                <c:formatCode>General</c:formatCode>
                <c:ptCount val="13"/>
                <c:pt idx="0">
                  <c:v>0.0</c:v>
                </c:pt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  <c:pt idx="11">
                  <c:v>1.1E7</c:v>
                </c:pt>
                <c:pt idx="12">
                  <c:v>1.2E7</c:v>
                </c:pt>
              </c:numCache>
            </c:numRef>
          </c:xVal>
          <c:yVal>
            <c:numRef>
              <c:f>'BreakEven Schatting'!$B$12:$B$24</c:f>
              <c:numCache>
                <c:formatCode>[$€-813]\ #,##0.00</c:formatCode>
                <c:ptCount val="13"/>
                <c:pt idx="0">
                  <c:v>0.0</c:v>
                </c:pt>
                <c:pt idx="1">
                  <c:v>17569.37179487179</c:v>
                </c:pt>
                <c:pt idx="2">
                  <c:v>35138.74358974359</c:v>
                </c:pt>
                <c:pt idx="3">
                  <c:v>52708.11538461538</c:v>
                </c:pt>
                <c:pt idx="4">
                  <c:v>70277.48717948717</c:v>
                </c:pt>
                <c:pt idx="5">
                  <c:v>87846.85897435896</c:v>
                </c:pt>
                <c:pt idx="6">
                  <c:v>105416.2307692308</c:v>
                </c:pt>
                <c:pt idx="7">
                  <c:v>122985.6025641026</c:v>
                </c:pt>
                <c:pt idx="8">
                  <c:v>140554.9743589743</c:v>
                </c:pt>
                <c:pt idx="9">
                  <c:v>158124.3461538462</c:v>
                </c:pt>
                <c:pt idx="10">
                  <c:v>175693.717948718</c:v>
                </c:pt>
                <c:pt idx="11">
                  <c:v>193263.0897435897</c:v>
                </c:pt>
                <c:pt idx="12">
                  <c:v>210832.4615384615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876816"/>
        <c:axId val="1484879360"/>
      </c:scatterChart>
      <c:valAx>
        <c:axId val="148487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</a:t>
                </a:r>
                <a:r>
                  <a:rPr lang="nl-NL" baseline="0"/>
                  <a:t> bezoekers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84879360"/>
        <c:crosses val="autoZero"/>
        <c:crossBetween val="midCat"/>
      </c:valAx>
      <c:valAx>
        <c:axId val="14848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r-IN" sz="900" b="0" i="0" u="none" strike="noStrike" cap="all" baseline="0">
                    <a:effectLst/>
                  </a:rPr>
                  <a:t>€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([$€-813]\ * #,##0.00_);_([$€-813]\ * \(#,##0.00\);_([$€-813]\ * &quot;-&quot;??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8487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Breakeven grafiek (Effectief)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'BreakEven Effectief'!$C$11</c:f>
              <c:strCache>
                <c:ptCount val="1"/>
                <c:pt idx="0">
                  <c:v>Uitgaven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'BreakEven Effectief'!$A$12:$A$24</c:f>
              <c:numCache>
                <c:formatCode>General</c:formatCode>
                <c:ptCount val="13"/>
                <c:pt idx="0">
                  <c:v>0.0</c:v>
                </c:pt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  <c:pt idx="11">
                  <c:v>1.1E7</c:v>
                </c:pt>
                <c:pt idx="12">
                  <c:v>1.2E7</c:v>
                </c:pt>
              </c:numCache>
            </c:numRef>
          </c:xVal>
          <c:yVal>
            <c:numRef>
              <c:f>'BreakEven Effectief'!$C$12:$C$24</c:f>
              <c:numCache>
                <c:formatCode>[$€-813]\ #,##0.00</c:formatCode>
                <c:ptCount val="13"/>
                <c:pt idx="0">
                  <c:v>143953.0</c:v>
                </c:pt>
                <c:pt idx="1">
                  <c:v>145151.5</c:v>
                </c:pt>
                <c:pt idx="2">
                  <c:v>146350.0</c:v>
                </c:pt>
                <c:pt idx="3">
                  <c:v>147548.5</c:v>
                </c:pt>
                <c:pt idx="4">
                  <c:v>148747.0</c:v>
                </c:pt>
                <c:pt idx="5">
                  <c:v>149945.5</c:v>
                </c:pt>
                <c:pt idx="6">
                  <c:v>151144.0</c:v>
                </c:pt>
                <c:pt idx="7">
                  <c:v>152342.5</c:v>
                </c:pt>
                <c:pt idx="8">
                  <c:v>153541.0</c:v>
                </c:pt>
                <c:pt idx="9">
                  <c:v>154739.5</c:v>
                </c:pt>
                <c:pt idx="10">
                  <c:v>155938.0</c:v>
                </c:pt>
                <c:pt idx="11">
                  <c:v>157136.5</c:v>
                </c:pt>
                <c:pt idx="12">
                  <c:v>158335.0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'BreakEven Effectief'!$B$11</c:f>
              <c:strCache>
                <c:ptCount val="1"/>
                <c:pt idx="0">
                  <c:v>Omzet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'BreakEven Effectief'!$A$12:$A$24</c:f>
              <c:numCache>
                <c:formatCode>General</c:formatCode>
                <c:ptCount val="13"/>
                <c:pt idx="0">
                  <c:v>0.0</c:v>
                </c:pt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  <c:pt idx="11">
                  <c:v>1.1E7</c:v>
                </c:pt>
                <c:pt idx="12">
                  <c:v>1.2E7</c:v>
                </c:pt>
              </c:numCache>
            </c:numRef>
          </c:xVal>
          <c:yVal>
            <c:numRef>
              <c:f>'BreakEven Effectief'!$B$12:$B$24</c:f>
              <c:numCache>
                <c:formatCode>[$€-813]\ #,##0.00</c:formatCode>
                <c:ptCount val="13"/>
                <c:pt idx="0">
                  <c:v>0.0</c:v>
                </c:pt>
                <c:pt idx="1">
                  <c:v>17569.37179487179</c:v>
                </c:pt>
                <c:pt idx="2">
                  <c:v>35138.74358974359</c:v>
                </c:pt>
                <c:pt idx="3">
                  <c:v>52708.11538461538</c:v>
                </c:pt>
                <c:pt idx="4">
                  <c:v>70277.48717948717</c:v>
                </c:pt>
                <c:pt idx="5">
                  <c:v>87846.85897435896</c:v>
                </c:pt>
                <c:pt idx="6">
                  <c:v>105416.2307692308</c:v>
                </c:pt>
                <c:pt idx="7">
                  <c:v>122985.6025641026</c:v>
                </c:pt>
                <c:pt idx="8">
                  <c:v>140554.9743589743</c:v>
                </c:pt>
                <c:pt idx="9">
                  <c:v>158124.3461538462</c:v>
                </c:pt>
                <c:pt idx="10">
                  <c:v>175693.717948718</c:v>
                </c:pt>
                <c:pt idx="11">
                  <c:v>193263.0897435897</c:v>
                </c:pt>
                <c:pt idx="12">
                  <c:v>210832.4615384615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947648"/>
        <c:axId val="1469950768"/>
      </c:scatterChart>
      <c:valAx>
        <c:axId val="14699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</a:t>
                </a:r>
                <a:r>
                  <a:rPr lang="nl-NL" baseline="0"/>
                  <a:t> bezoekers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9950768"/>
        <c:crosses val="autoZero"/>
        <c:crossBetween val="midCat"/>
      </c:valAx>
      <c:valAx>
        <c:axId val="14699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r-IN" sz="900" b="0" i="0" u="none" strike="noStrike" cap="all" baseline="0">
                    <a:effectLst/>
                  </a:rPr>
                  <a:t>€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([$€-813]\ * #,##0.00_);_([$€-813]\ * \(#,##0.00\);_([$€-813]\ * &quot;-&quot;??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994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2</xdr:row>
      <xdr:rowOff>38100</xdr:rowOff>
    </xdr:from>
    <xdr:to>
      <xdr:col>11</xdr:col>
      <xdr:colOff>774700</xdr:colOff>
      <xdr:row>24</xdr:row>
      <xdr:rowOff>76200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76200</xdr:rowOff>
    </xdr:from>
    <xdr:to>
      <xdr:col>12</xdr:col>
      <xdr:colOff>69850</xdr:colOff>
      <xdr:row>24</xdr:row>
      <xdr:rowOff>114300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moweb.be/nl/zoekertje/kantoor/te-huur/brugge/8000/id5369860" TargetMode="External"/><Relationship Id="rId4" Type="http://schemas.openxmlformats.org/officeDocument/2006/relationships/hyperlink" Target="http://www.selfstorage-achel.com/kantoorruimte.htm" TargetMode="External"/><Relationship Id="rId5" Type="http://schemas.openxmlformats.org/officeDocument/2006/relationships/hyperlink" Target="https://www.immoweb.be/nl/zoekertje/kantoor/te-huur/brugge/8000/id5369860" TargetMode="External"/><Relationship Id="rId1" Type="http://schemas.openxmlformats.org/officeDocument/2006/relationships/hyperlink" Target="http://www.ikea.com/be/nl/catalog/products/S69047142/" TargetMode="External"/><Relationship Id="rId2" Type="http://schemas.openxmlformats.org/officeDocument/2006/relationships/hyperlink" Target="http://www.ikea.com/be/nl/catalog/products/S89176227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>
      <selection activeCell="G43" sqref="G43"/>
    </sheetView>
  </sheetViews>
  <sheetFormatPr baseColWidth="10" defaultRowHeight="16" x14ac:dyDescent="0.2"/>
  <cols>
    <col min="1" max="1" width="32.83203125" customWidth="1"/>
    <col min="2" max="2" width="22.83203125" customWidth="1"/>
    <col min="3" max="3" width="19.1640625" customWidth="1"/>
    <col min="4" max="4" width="21.5" customWidth="1"/>
    <col min="5" max="5" width="15.83203125" customWidth="1"/>
    <col min="7" max="7" width="37.33203125" customWidth="1"/>
    <col min="8" max="8" width="22.83203125" customWidth="1"/>
    <col min="9" max="9" width="15.6640625" customWidth="1"/>
    <col min="10" max="10" width="24.6640625" customWidth="1"/>
    <col min="11" max="11" width="15.5" customWidth="1"/>
    <col min="12" max="12" width="23.5" customWidth="1"/>
    <col min="13" max="13" width="25.83203125" customWidth="1"/>
    <col min="14" max="14" width="14.83203125" customWidth="1"/>
  </cols>
  <sheetData>
    <row r="1" spans="1:11" ht="21" x14ac:dyDescent="0.25">
      <c r="A1" s="11"/>
      <c r="B1" s="61" t="s">
        <v>6</v>
      </c>
      <c r="C1" s="61"/>
      <c r="D1" s="61"/>
      <c r="E1" s="11"/>
      <c r="G1" s="62" t="s">
        <v>95</v>
      </c>
      <c r="H1" s="62"/>
      <c r="I1" s="62"/>
      <c r="J1" s="62"/>
      <c r="K1" s="62"/>
    </row>
    <row r="2" spans="1:11" ht="48" x14ac:dyDescent="0.2">
      <c r="A2" s="31" t="s">
        <v>0</v>
      </c>
      <c r="B2" s="32" t="s">
        <v>5</v>
      </c>
      <c r="C2" s="32" t="s">
        <v>4</v>
      </c>
      <c r="D2" s="32" t="s">
        <v>3</v>
      </c>
      <c r="E2" s="32" t="s">
        <v>2</v>
      </c>
      <c r="G2" s="27" t="s">
        <v>7</v>
      </c>
      <c r="H2" s="27" t="s">
        <v>20</v>
      </c>
      <c r="I2" s="27" t="s">
        <v>21</v>
      </c>
      <c r="J2" s="27" t="s">
        <v>23</v>
      </c>
      <c r="K2" s="27" t="s">
        <v>24</v>
      </c>
    </row>
    <row r="3" spans="1:11" x14ac:dyDescent="0.2">
      <c r="A3" s="31" t="s">
        <v>1</v>
      </c>
      <c r="B3" s="1">
        <v>50</v>
      </c>
      <c r="C3" s="20">
        <v>50</v>
      </c>
      <c r="D3" s="20">
        <v>80</v>
      </c>
      <c r="E3" s="20">
        <v>80</v>
      </c>
      <c r="G3" s="27" t="s">
        <v>8</v>
      </c>
      <c r="H3" s="2"/>
      <c r="K3" s="72"/>
    </row>
    <row r="4" spans="1:11" x14ac:dyDescent="0.2">
      <c r="A4" s="27"/>
      <c r="C4" s="20"/>
      <c r="D4" s="20"/>
      <c r="E4" s="20"/>
      <c r="G4" s="28" t="s">
        <v>9</v>
      </c>
      <c r="H4" s="22">
        <f>SUM(H5:H6)</f>
        <v>15.5</v>
      </c>
      <c r="I4" s="23">
        <f>H4*$B$6</f>
        <v>1007.5</v>
      </c>
      <c r="J4" s="5">
        <f>SUM(J5:J6)</f>
        <v>15.5</v>
      </c>
      <c r="K4" s="73">
        <f>J4*$B$6</f>
        <v>1007.5</v>
      </c>
    </row>
    <row r="5" spans="1:11" x14ac:dyDescent="0.2">
      <c r="A5" s="31"/>
      <c r="B5" s="20"/>
      <c r="C5" s="20"/>
      <c r="D5" s="20"/>
      <c r="E5" s="20"/>
      <c r="G5" s="27" t="s">
        <v>10</v>
      </c>
      <c r="H5" s="3">
        <v>15</v>
      </c>
      <c r="I5" s="4">
        <f t="shared" ref="I5:I46" si="0">H5*$B$6</f>
        <v>975</v>
      </c>
      <c r="J5">
        <v>15</v>
      </c>
      <c r="K5" s="74">
        <f t="shared" ref="K5:K46" si="1">J5*$B$6</f>
        <v>975</v>
      </c>
    </row>
    <row r="6" spans="1:11" x14ac:dyDescent="0.2">
      <c r="A6" s="31" t="s">
        <v>38</v>
      </c>
      <c r="B6" s="71">
        <f>(B3+C3+D3+E3)/4</f>
        <v>65</v>
      </c>
      <c r="C6" s="20"/>
      <c r="D6" s="20"/>
      <c r="E6" s="20"/>
      <c r="G6" s="27" t="s">
        <v>11</v>
      </c>
      <c r="H6" s="3">
        <v>0.5</v>
      </c>
      <c r="I6" s="4">
        <f t="shared" si="0"/>
        <v>32.5</v>
      </c>
      <c r="J6">
        <v>0.5</v>
      </c>
      <c r="K6" s="74">
        <f t="shared" si="1"/>
        <v>32.5</v>
      </c>
    </row>
    <row r="7" spans="1:11" x14ac:dyDescent="0.2">
      <c r="G7" s="28" t="s">
        <v>12</v>
      </c>
      <c r="H7" s="22">
        <f>SUM(H8:H18)</f>
        <v>95</v>
      </c>
      <c r="I7" s="23">
        <f t="shared" si="0"/>
        <v>6175</v>
      </c>
      <c r="J7" s="5">
        <f>SUM(J8:J18)</f>
        <v>133</v>
      </c>
      <c r="K7" s="74">
        <f t="shared" si="1"/>
        <v>8645</v>
      </c>
    </row>
    <row r="8" spans="1:11" x14ac:dyDescent="0.2">
      <c r="G8" s="27" t="s">
        <v>13</v>
      </c>
      <c r="H8" s="3">
        <v>4</v>
      </c>
      <c r="I8" s="4">
        <f t="shared" si="0"/>
        <v>260</v>
      </c>
      <c r="J8">
        <v>5</v>
      </c>
      <c r="K8" s="74">
        <f t="shared" si="1"/>
        <v>325</v>
      </c>
    </row>
    <row r="9" spans="1:11" x14ac:dyDescent="0.2">
      <c r="G9" s="27" t="s">
        <v>14</v>
      </c>
      <c r="H9" s="3">
        <v>15</v>
      </c>
      <c r="I9" s="4">
        <f t="shared" si="0"/>
        <v>975</v>
      </c>
      <c r="J9">
        <v>17</v>
      </c>
      <c r="K9" s="74">
        <f t="shared" si="1"/>
        <v>1105</v>
      </c>
    </row>
    <row r="10" spans="1:11" x14ac:dyDescent="0.2">
      <c r="G10" s="27" t="s">
        <v>15</v>
      </c>
      <c r="H10" s="3">
        <v>10</v>
      </c>
      <c r="I10" s="4">
        <f t="shared" si="0"/>
        <v>650</v>
      </c>
      <c r="J10">
        <v>15</v>
      </c>
      <c r="K10" s="74">
        <f t="shared" si="1"/>
        <v>975</v>
      </c>
    </row>
    <row r="11" spans="1:11" x14ac:dyDescent="0.2">
      <c r="G11" s="27" t="s">
        <v>16</v>
      </c>
      <c r="H11" s="3">
        <v>20</v>
      </c>
      <c r="I11" s="4">
        <f t="shared" si="0"/>
        <v>1300</v>
      </c>
      <c r="J11">
        <v>40</v>
      </c>
      <c r="K11" s="74">
        <f t="shared" si="1"/>
        <v>2600</v>
      </c>
    </row>
    <row r="12" spans="1:11" x14ac:dyDescent="0.2">
      <c r="G12" s="27" t="s">
        <v>17</v>
      </c>
      <c r="H12" s="3">
        <v>15</v>
      </c>
      <c r="I12" s="4">
        <f t="shared" si="0"/>
        <v>975</v>
      </c>
      <c r="J12">
        <v>20</v>
      </c>
      <c r="K12" s="74">
        <f t="shared" si="1"/>
        <v>1300</v>
      </c>
    </row>
    <row r="13" spans="1:11" x14ac:dyDescent="0.2">
      <c r="G13" s="27" t="s">
        <v>18</v>
      </c>
      <c r="H13" s="3">
        <v>5</v>
      </c>
      <c r="I13" s="4">
        <f t="shared" si="0"/>
        <v>325</v>
      </c>
      <c r="J13">
        <v>8</v>
      </c>
      <c r="K13" s="74">
        <f t="shared" si="1"/>
        <v>520</v>
      </c>
    </row>
    <row r="14" spans="1:11" x14ac:dyDescent="0.2">
      <c r="G14" s="27" t="s">
        <v>19</v>
      </c>
      <c r="H14" s="3">
        <v>10</v>
      </c>
      <c r="I14" s="4">
        <f t="shared" si="0"/>
        <v>650</v>
      </c>
      <c r="J14">
        <v>5</v>
      </c>
      <c r="K14" s="74">
        <f t="shared" si="1"/>
        <v>325</v>
      </c>
    </row>
    <row r="15" spans="1:11" x14ac:dyDescent="0.2">
      <c r="G15" s="27" t="s">
        <v>165</v>
      </c>
      <c r="H15" s="3">
        <v>4</v>
      </c>
      <c r="I15" s="4">
        <f t="shared" si="0"/>
        <v>260</v>
      </c>
      <c r="J15">
        <v>4</v>
      </c>
      <c r="K15" s="74">
        <f t="shared" si="1"/>
        <v>260</v>
      </c>
    </row>
    <row r="16" spans="1:11" x14ac:dyDescent="0.2">
      <c r="G16" s="27" t="s">
        <v>172</v>
      </c>
      <c r="H16" s="3">
        <v>5</v>
      </c>
      <c r="I16" s="4">
        <f t="shared" si="0"/>
        <v>325</v>
      </c>
      <c r="J16">
        <v>10</v>
      </c>
      <c r="K16" s="74">
        <f t="shared" si="1"/>
        <v>650</v>
      </c>
    </row>
    <row r="17" spans="7:11" x14ac:dyDescent="0.2">
      <c r="G17" s="27" t="s">
        <v>34</v>
      </c>
      <c r="H17" s="3">
        <v>5</v>
      </c>
      <c r="I17" s="4">
        <f t="shared" si="0"/>
        <v>325</v>
      </c>
      <c r="J17">
        <v>7</v>
      </c>
      <c r="K17" s="74">
        <f t="shared" si="1"/>
        <v>455</v>
      </c>
    </row>
    <row r="18" spans="7:11" x14ac:dyDescent="0.2">
      <c r="G18" s="27" t="s">
        <v>177</v>
      </c>
      <c r="H18" s="3">
        <v>2</v>
      </c>
      <c r="I18" s="4">
        <f t="shared" si="0"/>
        <v>130</v>
      </c>
      <c r="J18">
        <v>2</v>
      </c>
      <c r="K18" s="74">
        <f t="shared" si="1"/>
        <v>130</v>
      </c>
    </row>
    <row r="19" spans="7:11" x14ac:dyDescent="0.2">
      <c r="G19" s="28" t="s">
        <v>22</v>
      </c>
      <c r="H19" s="22">
        <f>SUM(H21:H46)</f>
        <v>178.5</v>
      </c>
      <c r="I19" s="23">
        <f t="shared" si="0"/>
        <v>11602.5</v>
      </c>
      <c r="J19" s="5">
        <f>SUM(J21:J46)</f>
        <v>228.5</v>
      </c>
      <c r="K19" s="73">
        <f t="shared" si="1"/>
        <v>14852.5</v>
      </c>
    </row>
    <row r="20" spans="7:11" x14ac:dyDescent="0.2">
      <c r="G20" s="28" t="s">
        <v>175</v>
      </c>
      <c r="H20" s="70">
        <v>2</v>
      </c>
      <c r="I20" s="24">
        <f>H20*$B$6</f>
        <v>130</v>
      </c>
      <c r="J20" s="69">
        <v>2</v>
      </c>
      <c r="K20" s="74">
        <f>J20*$B$6</f>
        <v>130</v>
      </c>
    </row>
    <row r="21" spans="7:11" x14ac:dyDescent="0.2">
      <c r="G21" s="27" t="s">
        <v>25</v>
      </c>
      <c r="H21" s="3">
        <v>9</v>
      </c>
      <c r="I21" s="4">
        <f t="shared" si="0"/>
        <v>585</v>
      </c>
      <c r="J21">
        <v>9</v>
      </c>
      <c r="K21" s="74">
        <f t="shared" si="1"/>
        <v>585</v>
      </c>
    </row>
    <row r="22" spans="7:11" x14ac:dyDescent="0.2">
      <c r="G22" s="27" t="s">
        <v>26</v>
      </c>
      <c r="H22" s="3">
        <v>1</v>
      </c>
      <c r="I22" s="4">
        <f t="shared" si="0"/>
        <v>65</v>
      </c>
      <c r="J22">
        <v>1</v>
      </c>
      <c r="K22" s="74">
        <f t="shared" si="1"/>
        <v>65</v>
      </c>
    </row>
    <row r="23" spans="7:11" x14ac:dyDescent="0.2">
      <c r="G23" s="27" t="s">
        <v>27</v>
      </c>
      <c r="H23" s="3">
        <v>4</v>
      </c>
      <c r="I23" s="4">
        <f t="shared" si="0"/>
        <v>260</v>
      </c>
      <c r="J23">
        <v>3</v>
      </c>
      <c r="K23" s="74">
        <f t="shared" si="1"/>
        <v>195</v>
      </c>
    </row>
    <row r="24" spans="7:11" x14ac:dyDescent="0.2">
      <c r="G24" s="27" t="s">
        <v>29</v>
      </c>
      <c r="H24" s="3">
        <v>20</v>
      </c>
      <c r="I24" s="4">
        <f t="shared" si="0"/>
        <v>1300</v>
      </c>
      <c r="J24">
        <v>25</v>
      </c>
      <c r="K24" s="74">
        <f t="shared" si="1"/>
        <v>1625</v>
      </c>
    </row>
    <row r="25" spans="7:11" x14ac:dyDescent="0.2">
      <c r="G25" s="27" t="s">
        <v>156</v>
      </c>
      <c r="H25" s="3">
        <v>8</v>
      </c>
      <c r="I25" s="4">
        <f t="shared" si="0"/>
        <v>520</v>
      </c>
      <c r="J25">
        <v>6</v>
      </c>
      <c r="K25" s="74">
        <f t="shared" si="1"/>
        <v>390</v>
      </c>
    </row>
    <row r="26" spans="7:11" x14ac:dyDescent="0.2">
      <c r="G26" s="27" t="s">
        <v>28</v>
      </c>
      <c r="H26" s="3">
        <v>2</v>
      </c>
      <c r="I26" s="4">
        <f t="shared" si="0"/>
        <v>130</v>
      </c>
      <c r="J26">
        <v>2</v>
      </c>
      <c r="K26" s="74">
        <f t="shared" si="1"/>
        <v>130</v>
      </c>
    </row>
    <row r="27" spans="7:11" x14ac:dyDescent="0.2">
      <c r="G27" s="27" t="s">
        <v>166</v>
      </c>
      <c r="H27" s="3">
        <v>3</v>
      </c>
      <c r="I27" s="4">
        <f t="shared" si="0"/>
        <v>195</v>
      </c>
      <c r="K27" s="74">
        <f t="shared" si="1"/>
        <v>0</v>
      </c>
    </row>
    <row r="28" spans="7:11" x14ac:dyDescent="0.2">
      <c r="G28" s="27" t="s">
        <v>30</v>
      </c>
      <c r="H28" s="3">
        <v>20</v>
      </c>
      <c r="I28" s="4">
        <f t="shared" si="0"/>
        <v>1300</v>
      </c>
      <c r="K28" s="74">
        <f t="shared" si="1"/>
        <v>0</v>
      </c>
    </row>
    <row r="29" spans="7:11" x14ac:dyDescent="0.2">
      <c r="G29" s="27" t="s">
        <v>31</v>
      </c>
      <c r="H29" s="3">
        <v>5</v>
      </c>
      <c r="I29" s="4">
        <f t="shared" si="0"/>
        <v>325</v>
      </c>
      <c r="J29">
        <v>6</v>
      </c>
      <c r="K29" s="74">
        <f t="shared" si="1"/>
        <v>390</v>
      </c>
    </row>
    <row r="30" spans="7:11" x14ac:dyDescent="0.2">
      <c r="G30" s="27" t="s">
        <v>167</v>
      </c>
      <c r="H30" s="3">
        <v>3</v>
      </c>
      <c r="I30" s="4">
        <f t="shared" si="0"/>
        <v>195</v>
      </c>
      <c r="K30" s="74">
        <f t="shared" si="1"/>
        <v>0</v>
      </c>
    </row>
    <row r="31" spans="7:11" x14ac:dyDescent="0.2">
      <c r="G31" s="27" t="s">
        <v>32</v>
      </c>
      <c r="H31" s="3">
        <v>10</v>
      </c>
      <c r="I31" s="4">
        <f t="shared" si="0"/>
        <v>650</v>
      </c>
      <c r="J31">
        <v>22</v>
      </c>
      <c r="K31" s="74">
        <f t="shared" si="1"/>
        <v>1430</v>
      </c>
    </row>
    <row r="32" spans="7:11" x14ac:dyDescent="0.2">
      <c r="G32" s="27" t="s">
        <v>33</v>
      </c>
      <c r="H32" s="3">
        <v>8</v>
      </c>
      <c r="I32" s="4">
        <f t="shared" si="0"/>
        <v>520</v>
      </c>
      <c r="J32">
        <v>16</v>
      </c>
      <c r="K32" s="74">
        <f t="shared" si="1"/>
        <v>1040</v>
      </c>
    </row>
    <row r="33" spans="7:11" ht="22" customHeight="1" x14ac:dyDescent="0.2">
      <c r="G33" s="27" t="s">
        <v>35</v>
      </c>
      <c r="H33" s="3">
        <v>14</v>
      </c>
      <c r="I33" s="4">
        <f t="shared" si="0"/>
        <v>910</v>
      </c>
      <c r="J33">
        <v>14</v>
      </c>
      <c r="K33" s="74">
        <f t="shared" si="1"/>
        <v>910</v>
      </c>
    </row>
    <row r="34" spans="7:11" ht="22" customHeight="1" x14ac:dyDescent="0.2">
      <c r="G34" s="27" t="s">
        <v>155</v>
      </c>
      <c r="H34" s="3">
        <v>15</v>
      </c>
      <c r="I34" s="4">
        <f t="shared" si="0"/>
        <v>975</v>
      </c>
      <c r="K34" s="74">
        <f t="shared" si="1"/>
        <v>0</v>
      </c>
    </row>
    <row r="35" spans="7:11" ht="22" customHeight="1" x14ac:dyDescent="0.2">
      <c r="G35" s="27" t="s">
        <v>176</v>
      </c>
      <c r="H35" s="3">
        <v>4</v>
      </c>
      <c r="I35" s="4">
        <f t="shared" si="0"/>
        <v>260</v>
      </c>
      <c r="J35">
        <v>5</v>
      </c>
      <c r="K35" s="74">
        <f t="shared" si="1"/>
        <v>325</v>
      </c>
    </row>
    <row r="36" spans="7:11" ht="26" customHeight="1" x14ac:dyDescent="0.2">
      <c r="G36" s="27" t="s">
        <v>36</v>
      </c>
      <c r="H36" s="3">
        <v>8</v>
      </c>
      <c r="I36" s="4">
        <f t="shared" si="0"/>
        <v>520</v>
      </c>
      <c r="K36" s="74">
        <f t="shared" si="1"/>
        <v>0</v>
      </c>
    </row>
    <row r="37" spans="7:11" ht="26" customHeight="1" x14ac:dyDescent="0.2">
      <c r="G37" s="27" t="s">
        <v>157</v>
      </c>
      <c r="H37" s="3">
        <v>4</v>
      </c>
      <c r="I37" s="4">
        <f t="shared" si="0"/>
        <v>260</v>
      </c>
      <c r="J37">
        <v>80</v>
      </c>
      <c r="K37" s="74">
        <f t="shared" si="1"/>
        <v>5200</v>
      </c>
    </row>
    <row r="38" spans="7:11" ht="26" customHeight="1" x14ac:dyDescent="0.2">
      <c r="G38" s="27" t="s">
        <v>171</v>
      </c>
      <c r="H38" s="3">
        <v>2</v>
      </c>
      <c r="I38" s="4">
        <f t="shared" si="0"/>
        <v>130</v>
      </c>
      <c r="J38">
        <v>2</v>
      </c>
      <c r="K38" s="74">
        <f t="shared" si="1"/>
        <v>130</v>
      </c>
    </row>
    <row r="39" spans="7:11" ht="26" customHeight="1" x14ac:dyDescent="0.2">
      <c r="G39" s="27" t="s">
        <v>173</v>
      </c>
      <c r="H39" s="3">
        <v>0.5</v>
      </c>
      <c r="I39" s="4">
        <f t="shared" si="0"/>
        <v>32.5</v>
      </c>
      <c r="J39">
        <v>0.5</v>
      </c>
      <c r="K39" s="74">
        <f t="shared" si="1"/>
        <v>32.5</v>
      </c>
    </row>
    <row r="40" spans="7:11" ht="26" customHeight="1" x14ac:dyDescent="0.2">
      <c r="G40" s="27" t="s">
        <v>170</v>
      </c>
      <c r="H40" s="3">
        <v>3</v>
      </c>
      <c r="I40" s="4">
        <f t="shared" si="0"/>
        <v>195</v>
      </c>
      <c r="J40">
        <v>3</v>
      </c>
      <c r="K40" s="74">
        <f t="shared" si="1"/>
        <v>195</v>
      </c>
    </row>
    <row r="41" spans="7:11" ht="26" customHeight="1" x14ac:dyDescent="0.2">
      <c r="G41" s="27" t="s">
        <v>169</v>
      </c>
      <c r="H41" s="3">
        <v>5</v>
      </c>
      <c r="I41" s="4">
        <f t="shared" si="0"/>
        <v>325</v>
      </c>
      <c r="J41">
        <v>5</v>
      </c>
      <c r="K41" s="74">
        <f t="shared" si="1"/>
        <v>325</v>
      </c>
    </row>
    <row r="42" spans="7:11" ht="26" customHeight="1" x14ac:dyDescent="0.2">
      <c r="G42" s="27" t="s">
        <v>162</v>
      </c>
      <c r="H42" s="3">
        <v>2</v>
      </c>
      <c r="I42" s="4">
        <f t="shared" si="0"/>
        <v>130</v>
      </c>
      <c r="K42" s="74">
        <f t="shared" si="1"/>
        <v>0</v>
      </c>
    </row>
    <row r="43" spans="7:11" ht="42" customHeight="1" x14ac:dyDescent="0.2">
      <c r="G43" s="29" t="s">
        <v>37</v>
      </c>
      <c r="H43" s="3">
        <v>6</v>
      </c>
      <c r="I43" s="4">
        <f t="shared" si="0"/>
        <v>390</v>
      </c>
      <c r="J43">
        <v>6</v>
      </c>
      <c r="K43" s="74">
        <f t="shared" si="1"/>
        <v>390</v>
      </c>
    </row>
    <row r="44" spans="7:11" ht="42" customHeight="1" x14ac:dyDescent="0.2">
      <c r="G44" s="29" t="s">
        <v>174</v>
      </c>
      <c r="H44" s="3">
        <v>2</v>
      </c>
      <c r="I44" s="4">
        <f t="shared" si="0"/>
        <v>130</v>
      </c>
      <c r="J44">
        <v>2</v>
      </c>
      <c r="K44" s="74">
        <f t="shared" si="1"/>
        <v>130</v>
      </c>
    </row>
    <row r="45" spans="7:11" ht="42" customHeight="1" x14ac:dyDescent="0.2">
      <c r="G45" s="29" t="s">
        <v>168</v>
      </c>
      <c r="H45" s="3">
        <v>5</v>
      </c>
      <c r="I45" s="4">
        <f t="shared" si="0"/>
        <v>325</v>
      </c>
      <c r="J45">
        <v>5</v>
      </c>
      <c r="K45" s="74">
        <f t="shared" si="1"/>
        <v>325</v>
      </c>
    </row>
    <row r="46" spans="7:11" x14ac:dyDescent="0.2">
      <c r="G46" s="27" t="s">
        <v>96</v>
      </c>
      <c r="H46" s="3">
        <v>15</v>
      </c>
      <c r="I46" s="4">
        <f t="shared" si="0"/>
        <v>975</v>
      </c>
      <c r="J46">
        <v>16</v>
      </c>
      <c r="K46" s="75">
        <f t="shared" si="1"/>
        <v>1040</v>
      </c>
    </row>
    <row r="47" spans="7:11" x14ac:dyDescent="0.2">
      <c r="G47" s="12" t="s">
        <v>50</v>
      </c>
      <c r="H47" s="30">
        <f>H19+H7+H4</f>
        <v>289</v>
      </c>
      <c r="I47" s="15">
        <f>H47*$B$6</f>
        <v>18785</v>
      </c>
      <c r="J47" s="12">
        <f>J19+J7+J4</f>
        <v>377</v>
      </c>
      <c r="K47" s="15">
        <f>J47*$B$6</f>
        <v>24505</v>
      </c>
    </row>
    <row r="48" spans="7:11" x14ac:dyDescent="0.2">
      <c r="G48" s="27" t="s">
        <v>163</v>
      </c>
    </row>
    <row r="49" spans="7:7" x14ac:dyDescent="0.2">
      <c r="G49" s="27" t="s">
        <v>164</v>
      </c>
    </row>
  </sheetData>
  <mergeCells count="2">
    <mergeCell ref="B1:D1"/>
    <mergeCell ref="G1:K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A17" sqref="A17"/>
    </sheetView>
  </sheetViews>
  <sheetFormatPr baseColWidth="10" defaultRowHeight="16" x14ac:dyDescent="0.2"/>
  <cols>
    <col min="1" max="1" width="13.83203125" customWidth="1"/>
    <col min="2" max="2" width="18.5" customWidth="1"/>
    <col min="3" max="3" width="14" customWidth="1"/>
  </cols>
  <sheetData>
    <row r="2" spans="1:3" x14ac:dyDescent="0.2">
      <c r="A2" s="11"/>
      <c r="B2" s="10" t="s">
        <v>39</v>
      </c>
      <c r="C2" s="10" t="s">
        <v>40</v>
      </c>
    </row>
    <row r="3" spans="1:3" x14ac:dyDescent="0.2">
      <c r="A3" s="11"/>
      <c r="B3" t="s">
        <v>41</v>
      </c>
      <c r="C3" s="4">
        <v>249.5</v>
      </c>
    </row>
    <row r="4" spans="1:3" x14ac:dyDescent="0.2">
      <c r="A4" s="12" t="s">
        <v>42</v>
      </c>
      <c r="B4" s="41"/>
      <c r="C4" s="35">
        <f>C3*4</f>
        <v>998</v>
      </c>
    </row>
    <row r="6" spans="1:3" x14ac:dyDescent="0.2">
      <c r="A6" s="10" t="s">
        <v>128</v>
      </c>
      <c r="B6" s="10" t="s">
        <v>131</v>
      </c>
    </row>
    <row r="7" spans="1:3" x14ac:dyDescent="0.2">
      <c r="A7" s="11" t="s">
        <v>129</v>
      </c>
      <c r="B7" s="54">
        <v>25</v>
      </c>
    </row>
    <row r="8" spans="1:3" x14ac:dyDescent="0.2">
      <c r="A8" s="11" t="s">
        <v>130</v>
      </c>
      <c r="B8" s="54">
        <v>25</v>
      </c>
    </row>
    <row r="9" spans="1:3" x14ac:dyDescent="0.2">
      <c r="A9" s="12" t="s">
        <v>42</v>
      </c>
      <c r="B9" s="55">
        <f>B7+B8</f>
        <v>50</v>
      </c>
    </row>
    <row r="12" spans="1:3" x14ac:dyDescent="0.2">
      <c r="A12" s="11" t="s">
        <v>133</v>
      </c>
      <c r="B12" s="11" t="s">
        <v>134</v>
      </c>
      <c r="C12" s="11" t="s">
        <v>124</v>
      </c>
    </row>
    <row r="13" spans="1:3" x14ac:dyDescent="0.2">
      <c r="A13" s="11" t="s">
        <v>135</v>
      </c>
      <c r="B13" s="54">
        <v>3000</v>
      </c>
      <c r="C13" s="54">
        <f xml:space="preserve"> B13*4</f>
        <v>12000</v>
      </c>
    </row>
    <row r="14" spans="1:3" ht="19" x14ac:dyDescent="0.35">
      <c r="A14" s="12" t="s">
        <v>42</v>
      </c>
      <c r="B14" s="56">
        <f>B13</f>
        <v>3000</v>
      </c>
      <c r="C14" s="56">
        <f>C13</f>
        <v>12000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11" workbookViewId="0">
      <selection activeCell="J24" sqref="J24"/>
    </sheetView>
  </sheetViews>
  <sheetFormatPr baseColWidth="10" defaultRowHeight="16" x14ac:dyDescent="0.2"/>
  <cols>
    <col min="1" max="1" width="24.33203125" customWidth="1"/>
    <col min="2" max="2" width="13.83203125" bestFit="1" customWidth="1"/>
    <col min="3" max="3" width="15.1640625" bestFit="1" customWidth="1"/>
    <col min="4" max="4" width="17" bestFit="1" customWidth="1"/>
    <col min="5" max="5" width="19" customWidth="1"/>
    <col min="6" max="6" width="18.6640625" customWidth="1"/>
    <col min="7" max="7" width="14" bestFit="1" customWidth="1"/>
    <col min="8" max="8" width="20.6640625" customWidth="1"/>
    <col min="9" max="9" width="24.1640625" customWidth="1"/>
    <col min="10" max="10" width="33.1640625" customWidth="1"/>
    <col min="11" max="11" width="24.5" customWidth="1"/>
    <col min="12" max="12" width="22" customWidth="1"/>
  </cols>
  <sheetData>
    <row r="1" spans="1:12" ht="21" x14ac:dyDescent="0.25">
      <c r="I1" s="64" t="s">
        <v>140</v>
      </c>
      <c r="J1" s="64"/>
      <c r="K1" s="64"/>
      <c r="L1" s="64"/>
    </row>
    <row r="2" spans="1:12" x14ac:dyDescent="0.2">
      <c r="I2" s="11" t="s">
        <v>0</v>
      </c>
      <c r="J2" s="11" t="s">
        <v>141</v>
      </c>
      <c r="K2" s="11" t="s">
        <v>142</v>
      </c>
      <c r="L2" s="11" t="s">
        <v>143</v>
      </c>
    </row>
    <row r="3" spans="1:12" x14ac:dyDescent="0.2">
      <c r="A3" s="63" t="s">
        <v>148</v>
      </c>
      <c r="B3" s="63"/>
      <c r="C3" s="63"/>
      <c r="D3" s="63"/>
      <c r="E3" s="63"/>
      <c r="I3">
        <v>4</v>
      </c>
      <c r="J3" s="51">
        <v>65</v>
      </c>
      <c r="K3">
        <v>8</v>
      </c>
      <c r="L3">
        <v>50</v>
      </c>
    </row>
    <row r="4" spans="1:12" x14ac:dyDescent="0.2">
      <c r="A4" s="11"/>
      <c r="B4" s="11" t="s">
        <v>150</v>
      </c>
      <c r="C4" s="11" t="s">
        <v>151</v>
      </c>
      <c r="D4" s="11" t="s">
        <v>68</v>
      </c>
      <c r="E4" s="11" t="s">
        <v>139</v>
      </c>
      <c r="I4" s="13" t="s">
        <v>144</v>
      </c>
      <c r="J4" s="13"/>
      <c r="K4" s="13"/>
      <c r="L4" s="39">
        <f>I3*J3*K3*L3</f>
        <v>104000</v>
      </c>
    </row>
    <row r="5" spans="1:12" x14ac:dyDescent="0.2">
      <c r="A5" s="11" t="s">
        <v>149</v>
      </c>
      <c r="B5">
        <f>50</f>
        <v>50</v>
      </c>
      <c r="C5">
        <f>4</f>
        <v>4</v>
      </c>
      <c r="D5" s="12">
        <f>B5*C5</f>
        <v>200</v>
      </c>
      <c r="E5" s="12">
        <f>D5*12</f>
        <v>2400</v>
      </c>
    </row>
    <row r="7" spans="1:12" x14ac:dyDescent="0.2">
      <c r="I7" s="65" t="s">
        <v>153</v>
      </c>
      <c r="J7" s="65"/>
      <c r="K7" s="11"/>
    </row>
    <row r="8" spans="1:12" x14ac:dyDescent="0.2">
      <c r="I8" s="18" t="s">
        <v>101</v>
      </c>
      <c r="J8" s="15">
        <f>D5*3</f>
        <v>600</v>
      </c>
      <c r="K8" s="33" t="s">
        <v>106</v>
      </c>
    </row>
    <row r="9" spans="1:12" x14ac:dyDescent="0.2">
      <c r="I9" s="18" t="s">
        <v>152</v>
      </c>
      <c r="J9" s="15">
        <f>E5</f>
        <v>2400</v>
      </c>
      <c r="K9" s="13"/>
    </row>
    <row r="12" spans="1:12" x14ac:dyDescent="0.2">
      <c r="I12" s="65" t="s">
        <v>154</v>
      </c>
      <c r="J12" s="65"/>
      <c r="K12" s="11"/>
    </row>
    <row r="13" spans="1:12" x14ac:dyDescent="0.2">
      <c r="I13" s="18" t="s">
        <v>101</v>
      </c>
      <c r="J13" s="35">
        <f>C37+F30+F22+C18+C45</f>
        <v>2493.962</v>
      </c>
      <c r="K13" s="34" t="s">
        <v>106</v>
      </c>
    </row>
    <row r="14" spans="1:12" x14ac:dyDescent="0.2">
      <c r="I14" s="18" t="s">
        <v>152</v>
      </c>
      <c r="J14" s="35">
        <f>C45+D37+G30+G22+D18</f>
        <v>7439.0479999999998</v>
      </c>
      <c r="K14" s="50"/>
    </row>
    <row r="15" spans="1:12" x14ac:dyDescent="0.2">
      <c r="A15" s="63" t="s">
        <v>66</v>
      </c>
      <c r="B15" s="63"/>
      <c r="C15" s="63"/>
      <c r="D15" s="63"/>
      <c r="F15" s="9"/>
      <c r="G15" s="9"/>
    </row>
    <row r="16" spans="1:12" x14ac:dyDescent="0.2">
      <c r="A16" s="10"/>
      <c r="B16" s="10" t="s">
        <v>68</v>
      </c>
      <c r="C16" s="10" t="s">
        <v>69</v>
      </c>
      <c r="D16" s="10" t="s">
        <v>139</v>
      </c>
    </row>
    <row r="17" spans="1:7" x14ac:dyDescent="0.2">
      <c r="A17" s="10" t="s">
        <v>67</v>
      </c>
      <c r="B17" s="4">
        <v>400</v>
      </c>
      <c r="C17" s="4">
        <f>B17*3</f>
        <v>1200</v>
      </c>
      <c r="D17" s="4">
        <f>B17*12</f>
        <v>4800</v>
      </c>
      <c r="E17" s="34" t="s">
        <v>106</v>
      </c>
    </row>
    <row r="18" spans="1:7" x14ac:dyDescent="0.2">
      <c r="A18" s="18" t="s">
        <v>50</v>
      </c>
      <c r="B18" s="13"/>
      <c r="C18" s="15">
        <f>C17</f>
        <v>1200</v>
      </c>
      <c r="D18" s="15">
        <f>D17</f>
        <v>4800</v>
      </c>
    </row>
    <row r="20" spans="1:7" x14ac:dyDescent="0.2">
      <c r="A20" s="11"/>
      <c r="B20" s="63" t="s">
        <v>70</v>
      </c>
      <c r="C20" s="63"/>
      <c r="D20" s="63"/>
      <c r="E20" s="11"/>
      <c r="F20" s="11"/>
      <c r="G20" s="11"/>
    </row>
    <row r="21" spans="1:7" x14ac:dyDescent="0.2">
      <c r="A21" s="11"/>
      <c r="B21" s="10" t="s">
        <v>98</v>
      </c>
      <c r="C21" s="10" t="s">
        <v>72</v>
      </c>
      <c r="D21" s="10" t="s">
        <v>73</v>
      </c>
      <c r="E21" s="10" t="s">
        <v>74</v>
      </c>
      <c r="F21" s="10" t="s">
        <v>100</v>
      </c>
      <c r="G21" s="10" t="s">
        <v>137</v>
      </c>
    </row>
    <row r="22" spans="1:7" x14ac:dyDescent="0.2">
      <c r="A22" s="10" t="s">
        <v>70</v>
      </c>
      <c r="B22" s="4">
        <v>4.3</v>
      </c>
      <c r="C22" s="17" t="s">
        <v>75</v>
      </c>
      <c r="D22" s="17" t="s">
        <v>76</v>
      </c>
      <c r="E22" s="17" t="s">
        <v>77</v>
      </c>
      <c r="F22" s="15">
        <f>4.3*10.98</f>
        <v>47.213999999999999</v>
      </c>
      <c r="G22" s="12">
        <f>F22*4</f>
        <v>188.85599999999999</v>
      </c>
    </row>
    <row r="23" spans="1:7" x14ac:dyDescent="0.2">
      <c r="A23" s="26"/>
      <c r="B23" s="4"/>
    </row>
    <row r="24" spans="1:7" x14ac:dyDescent="0.2">
      <c r="A24" s="5"/>
    </row>
    <row r="25" spans="1:7" x14ac:dyDescent="0.2">
      <c r="A25" s="5"/>
      <c r="B25" s="63" t="s">
        <v>78</v>
      </c>
      <c r="C25" s="63"/>
      <c r="D25" s="63"/>
    </row>
    <row r="26" spans="1:7" x14ac:dyDescent="0.2">
      <c r="A26" s="5"/>
      <c r="B26" s="10" t="s">
        <v>71</v>
      </c>
      <c r="C26" s="10" t="s">
        <v>84</v>
      </c>
      <c r="D26" s="10" t="s">
        <v>80</v>
      </c>
      <c r="E26" s="10" t="s">
        <v>81</v>
      </c>
      <c r="F26" s="10" t="s">
        <v>100</v>
      </c>
      <c r="G26" s="10" t="s">
        <v>138</v>
      </c>
    </row>
    <row r="27" spans="1:7" x14ac:dyDescent="0.2">
      <c r="A27" s="10" t="s">
        <v>79</v>
      </c>
      <c r="B27" s="16" t="s">
        <v>94</v>
      </c>
      <c r="C27" s="16"/>
      <c r="D27" s="16" t="s">
        <v>99</v>
      </c>
      <c r="E27" s="16" t="s">
        <v>82</v>
      </c>
    </row>
    <row r="28" spans="1:7" x14ac:dyDescent="0.2">
      <c r="A28" s="10" t="s">
        <v>83</v>
      </c>
      <c r="B28" s="16" t="s">
        <v>94</v>
      </c>
      <c r="C28" t="s">
        <v>85</v>
      </c>
      <c r="D28" s="16" t="s">
        <v>99</v>
      </c>
      <c r="E28" t="s">
        <v>82</v>
      </c>
      <c r="F28" s="4">
        <f>1.38*0.53*30.5*8</f>
        <v>178.46159999999998</v>
      </c>
      <c r="G28" s="4">
        <f>F28*4</f>
        <v>713.8463999999999</v>
      </c>
    </row>
    <row r="29" spans="1:7" x14ac:dyDescent="0.2">
      <c r="A29" s="10" t="s">
        <v>86</v>
      </c>
      <c r="B29" s="16" t="s">
        <v>94</v>
      </c>
      <c r="C29" t="s">
        <v>87</v>
      </c>
      <c r="D29" s="16" t="s">
        <v>99</v>
      </c>
      <c r="E29" t="s">
        <v>82</v>
      </c>
      <c r="F29" s="4">
        <f>0.53*0.104*90*8</f>
        <v>39.686399999999999</v>
      </c>
      <c r="G29" s="4">
        <f>F29*4</f>
        <v>158.7456</v>
      </c>
    </row>
    <row r="30" spans="1:7" x14ac:dyDescent="0.2">
      <c r="A30" s="18" t="s">
        <v>50</v>
      </c>
      <c r="B30" s="19"/>
      <c r="C30" s="19"/>
      <c r="D30" s="19"/>
      <c r="E30" s="13"/>
      <c r="F30" s="15">
        <f>SUM(F27:F29)</f>
        <v>218.14799999999997</v>
      </c>
      <c r="G30" s="15">
        <f>G28+G29</f>
        <v>872.59199999999987</v>
      </c>
    </row>
    <row r="32" spans="1:7" x14ac:dyDescent="0.2">
      <c r="A32" s="11"/>
      <c r="B32" s="21" t="s">
        <v>88</v>
      </c>
      <c r="C32" s="21"/>
      <c r="D32" s="21"/>
    </row>
    <row r="33" spans="1:6" x14ac:dyDescent="0.2">
      <c r="A33" s="11"/>
      <c r="B33" s="10" t="s">
        <v>90</v>
      </c>
      <c r="C33" s="10" t="s">
        <v>91</v>
      </c>
      <c r="D33" s="57" t="s">
        <v>136</v>
      </c>
      <c r="E33" s="26"/>
      <c r="F33" s="26"/>
    </row>
    <row r="34" spans="1:6" x14ac:dyDescent="0.2">
      <c r="A34" s="10" t="s">
        <v>89</v>
      </c>
      <c r="B34" s="4">
        <v>51</v>
      </c>
      <c r="C34" s="4">
        <f>B34*3</f>
        <v>153</v>
      </c>
      <c r="D34" s="51">
        <f>C34*4</f>
        <v>612</v>
      </c>
      <c r="E34" s="4"/>
    </row>
    <row r="35" spans="1:6" x14ac:dyDescent="0.2">
      <c r="A35" s="10" t="s">
        <v>97</v>
      </c>
      <c r="B35" s="4">
        <v>50</v>
      </c>
      <c r="C35" s="4"/>
      <c r="D35" s="51"/>
      <c r="E35" s="4"/>
    </row>
    <row r="36" spans="1:6" x14ac:dyDescent="0.2">
      <c r="A36" s="10" t="s">
        <v>93</v>
      </c>
      <c r="B36" s="4">
        <v>10</v>
      </c>
      <c r="C36" s="4">
        <f>B36*3</f>
        <v>30</v>
      </c>
      <c r="D36" s="51">
        <f>B36*12</f>
        <v>120</v>
      </c>
      <c r="E36" s="4"/>
    </row>
    <row r="37" spans="1:6" x14ac:dyDescent="0.2">
      <c r="A37" s="18" t="s">
        <v>50</v>
      </c>
      <c r="B37" s="14"/>
      <c r="C37" s="15">
        <f>C34+C36+B35</f>
        <v>233</v>
      </c>
      <c r="D37" s="15">
        <f>D34+D36+B35</f>
        <v>782</v>
      </c>
    </row>
    <row r="41" spans="1:6" x14ac:dyDescent="0.2">
      <c r="A41" s="63" t="s">
        <v>102</v>
      </c>
      <c r="B41" s="63"/>
      <c r="C41" s="63"/>
      <c r="D41" s="63"/>
    </row>
    <row r="42" spans="1:6" x14ac:dyDescent="0.2">
      <c r="A42" s="11"/>
      <c r="B42" s="11" t="s">
        <v>103</v>
      </c>
      <c r="C42" s="11" t="s">
        <v>92</v>
      </c>
      <c r="D42" s="11"/>
    </row>
    <row r="43" spans="1:6" x14ac:dyDescent="0.2">
      <c r="A43" s="11" t="s">
        <v>104</v>
      </c>
      <c r="B43" s="4">
        <f>79.9*4</f>
        <v>319.60000000000002</v>
      </c>
      <c r="C43" s="4">
        <f>B43</f>
        <v>319.60000000000002</v>
      </c>
      <c r="D43" s="33" t="s">
        <v>106</v>
      </c>
    </row>
    <row r="44" spans="1:6" x14ac:dyDescent="0.2">
      <c r="A44" s="11" t="s">
        <v>105</v>
      </c>
      <c r="B44" s="4">
        <f>119*4</f>
        <v>476</v>
      </c>
      <c r="C44" s="4">
        <f>B44</f>
        <v>476</v>
      </c>
      <c r="D44" s="33" t="s">
        <v>106</v>
      </c>
    </row>
    <row r="45" spans="1:6" x14ac:dyDescent="0.2">
      <c r="A45" s="18" t="s">
        <v>50</v>
      </c>
      <c r="B45" s="13"/>
      <c r="C45" s="15">
        <f>C43+C44</f>
        <v>795.6</v>
      </c>
      <c r="D45" s="13"/>
    </row>
    <row r="50" spans="4:4" x14ac:dyDescent="0.2">
      <c r="D50" s="4"/>
    </row>
  </sheetData>
  <mergeCells count="8">
    <mergeCell ref="A15:D15"/>
    <mergeCell ref="I1:L1"/>
    <mergeCell ref="A3:E3"/>
    <mergeCell ref="A41:D41"/>
    <mergeCell ref="I12:J12"/>
    <mergeCell ref="I7:J7"/>
    <mergeCell ref="B20:D20"/>
    <mergeCell ref="B25:D25"/>
  </mergeCells>
  <hyperlinks>
    <hyperlink ref="D43" r:id="rId1"/>
    <hyperlink ref="D44" r:id="rId2"/>
    <hyperlink ref="E17" r:id="rId3"/>
    <hyperlink ref="K8" r:id="rId4"/>
    <hyperlink ref="K13" r:id="rId5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H32" sqref="H32"/>
    </sheetView>
  </sheetViews>
  <sheetFormatPr baseColWidth="10" defaultRowHeight="16" x14ac:dyDescent="0.2"/>
  <cols>
    <col min="1" max="1" width="14.5" bestFit="1" customWidth="1"/>
    <col min="2" max="2" width="30.6640625" customWidth="1"/>
    <col min="3" max="3" width="32.5" bestFit="1" customWidth="1"/>
    <col min="4" max="4" width="36.1640625" customWidth="1"/>
    <col min="5" max="5" width="30" customWidth="1"/>
    <col min="6" max="6" width="22.83203125" bestFit="1" customWidth="1"/>
    <col min="8" max="8" width="41.5" customWidth="1"/>
  </cols>
  <sheetData>
    <row r="1" spans="1:11" x14ac:dyDescent="0.2">
      <c r="A1" s="8"/>
      <c r="B1" s="67" t="s">
        <v>60</v>
      </c>
      <c r="C1" s="67"/>
      <c r="D1" s="67"/>
      <c r="E1" s="67"/>
      <c r="F1" s="67"/>
      <c r="G1" s="9"/>
      <c r="H1" s="9"/>
      <c r="I1" s="9"/>
      <c r="J1" s="9"/>
      <c r="K1" s="9"/>
    </row>
    <row r="2" spans="1:11" x14ac:dyDescent="0.2">
      <c r="B2" s="11"/>
      <c r="C2" s="10" t="s">
        <v>51</v>
      </c>
      <c r="D2" s="10" t="s">
        <v>43</v>
      </c>
      <c r="E2" s="10" t="s">
        <v>44</v>
      </c>
      <c r="F2" s="10" t="s">
        <v>49</v>
      </c>
      <c r="H2" s="12" t="s">
        <v>109</v>
      </c>
    </row>
    <row r="3" spans="1:11" x14ac:dyDescent="0.2">
      <c r="B3" s="10" t="s">
        <v>45</v>
      </c>
      <c r="C3">
        <v>25</v>
      </c>
      <c r="D3" s="4">
        <v>9.99</v>
      </c>
      <c r="E3">
        <f>C3*365.25</f>
        <v>9131.25</v>
      </c>
      <c r="F3" s="4">
        <f>E3*D3</f>
        <v>91221.1875</v>
      </c>
      <c r="H3" s="42">
        <f>(F7+F18+F28)/(39000*365.25)</f>
        <v>1.7569371794871794E-2</v>
      </c>
    </row>
    <row r="4" spans="1:11" x14ac:dyDescent="0.2">
      <c r="B4" s="10" t="s">
        <v>46</v>
      </c>
      <c r="C4">
        <v>5</v>
      </c>
      <c r="D4" s="4">
        <v>19.989999999999998</v>
      </c>
      <c r="E4" s="38">
        <f>C4*365.25</f>
        <v>1826.25</v>
      </c>
      <c r="F4" s="4">
        <f>D4*E4</f>
        <v>36506.737499999996</v>
      </c>
      <c r="H4" s="25"/>
    </row>
    <row r="5" spans="1:11" x14ac:dyDescent="0.2">
      <c r="B5" s="10" t="s">
        <v>47</v>
      </c>
      <c r="C5" s="36">
        <f>1</f>
        <v>1</v>
      </c>
      <c r="D5" s="4">
        <v>49.99</v>
      </c>
      <c r="E5" s="38">
        <f>C5*365.25</f>
        <v>365.25</v>
      </c>
      <c r="F5" s="4">
        <f>D5*E5</f>
        <v>18258.8475</v>
      </c>
      <c r="H5" s="12" t="s">
        <v>110</v>
      </c>
    </row>
    <row r="6" spans="1:11" x14ac:dyDescent="0.2">
      <c r="B6" s="10" t="s">
        <v>48</v>
      </c>
      <c r="C6">
        <v>0.2</v>
      </c>
      <c r="D6" s="4">
        <v>79.989999999999995</v>
      </c>
      <c r="E6" s="38">
        <f>C6*365.25</f>
        <v>73.05</v>
      </c>
      <c r="F6" s="4">
        <f>D6*E6</f>
        <v>5843.2694999999994</v>
      </c>
      <c r="H6" s="15">
        <f>F7/365.25+F18/365.25+F28/365.25</f>
        <v>685.20550000000003</v>
      </c>
    </row>
    <row r="7" spans="1:11" x14ac:dyDescent="0.2">
      <c r="B7" s="6" t="s">
        <v>50</v>
      </c>
      <c r="C7" s="37">
        <f>SUM(C3:C6)</f>
        <v>31.2</v>
      </c>
      <c r="D7" s="7"/>
      <c r="E7" s="37">
        <f>SUM(E3:E6)</f>
        <v>11395.8</v>
      </c>
      <c r="F7" s="15">
        <f>SUM(F3:F6)</f>
        <v>151830.04199999999</v>
      </c>
      <c r="H7" s="25"/>
    </row>
    <row r="8" spans="1:11" x14ac:dyDescent="0.2">
      <c r="H8" s="12" t="s">
        <v>111</v>
      </c>
    </row>
    <row r="9" spans="1:11" x14ac:dyDescent="0.2">
      <c r="H9" s="15">
        <f>F7+F18+F28</f>
        <v>250271.30887499999</v>
      </c>
    </row>
    <row r="12" spans="1:11" x14ac:dyDescent="0.2">
      <c r="B12" s="67" t="s">
        <v>59</v>
      </c>
      <c r="C12" s="67"/>
      <c r="D12" s="67"/>
      <c r="E12" s="67"/>
      <c r="F12" s="67"/>
    </row>
    <row r="13" spans="1:11" x14ac:dyDescent="0.2">
      <c r="B13" s="11"/>
      <c r="C13" s="10" t="s">
        <v>55</v>
      </c>
      <c r="D13" s="10" t="s">
        <v>56</v>
      </c>
      <c r="E13" s="10" t="s">
        <v>57</v>
      </c>
      <c r="F13" s="10" t="s">
        <v>58</v>
      </c>
    </row>
    <row r="14" spans="1:11" x14ac:dyDescent="0.2">
      <c r="B14" s="10" t="s">
        <v>52</v>
      </c>
      <c r="C14">
        <f>20000</f>
        <v>20000</v>
      </c>
      <c r="D14" s="4">
        <v>3</v>
      </c>
      <c r="E14" s="4">
        <f>C14*D14/1000</f>
        <v>60</v>
      </c>
      <c r="F14" s="4">
        <f>E14*365.25</f>
        <v>21915</v>
      </c>
    </row>
    <row r="15" spans="1:11" x14ac:dyDescent="0.2">
      <c r="B15" s="10" t="s">
        <v>54</v>
      </c>
      <c r="C15">
        <v>4000</v>
      </c>
      <c r="D15" s="4">
        <v>2</v>
      </c>
      <c r="E15" s="4">
        <f>C15*D15/1000</f>
        <v>8</v>
      </c>
      <c r="F15" s="4">
        <f>E15*365.25</f>
        <v>2922</v>
      </c>
    </row>
    <row r="16" spans="1:11" x14ac:dyDescent="0.2">
      <c r="B16" s="10" t="s">
        <v>53</v>
      </c>
      <c r="C16">
        <v>10000</v>
      </c>
      <c r="D16" s="4">
        <v>3</v>
      </c>
      <c r="E16" s="4">
        <f>C16*D16/1000</f>
        <v>30</v>
      </c>
      <c r="F16" s="4">
        <f>E16*365.25</f>
        <v>10957.5</v>
      </c>
    </row>
    <row r="17" spans="2:8" x14ac:dyDescent="0.2">
      <c r="B17" s="10" t="s">
        <v>61</v>
      </c>
      <c r="C17">
        <v>5000</v>
      </c>
      <c r="D17" s="4">
        <v>0</v>
      </c>
      <c r="E17" s="4">
        <v>0</v>
      </c>
      <c r="F17" s="4">
        <v>0</v>
      </c>
    </row>
    <row r="18" spans="2:8" x14ac:dyDescent="0.2">
      <c r="B18" s="12" t="s">
        <v>50</v>
      </c>
      <c r="C18" s="13">
        <f>C14+C15+C16+C17</f>
        <v>39000</v>
      </c>
      <c r="D18" s="14">
        <f>SUM(D14:D17)</f>
        <v>8</v>
      </c>
      <c r="E18" s="14">
        <f>SUM(E14:E16)</f>
        <v>98</v>
      </c>
      <c r="F18" s="15">
        <f>SUM(F14:F16)</f>
        <v>35794.5</v>
      </c>
    </row>
    <row r="20" spans="2:8" x14ac:dyDescent="0.2">
      <c r="H20" s="4"/>
    </row>
    <row r="23" spans="2:8" x14ac:dyDescent="0.2">
      <c r="C23">
        <f>C18*365.26</f>
        <v>14245140</v>
      </c>
    </row>
    <row r="25" spans="2:8" x14ac:dyDescent="0.2">
      <c r="B25" s="67" t="s">
        <v>62</v>
      </c>
      <c r="C25" s="67"/>
      <c r="D25" s="67"/>
      <c r="E25" s="67"/>
    </row>
    <row r="26" spans="2:8" x14ac:dyDescent="0.2">
      <c r="B26" s="11"/>
      <c r="C26" s="10" t="s">
        <v>51</v>
      </c>
      <c r="D26" s="11" t="s">
        <v>132</v>
      </c>
      <c r="E26" s="10" t="s">
        <v>64</v>
      </c>
      <c r="F26" s="10" t="s">
        <v>65</v>
      </c>
    </row>
    <row r="27" spans="2:8" x14ac:dyDescent="0.2">
      <c r="B27" s="11" t="s">
        <v>63</v>
      </c>
      <c r="C27">
        <v>250</v>
      </c>
      <c r="D27" s="53">
        <v>0.3</v>
      </c>
      <c r="E27" s="4">
        <v>0.99</v>
      </c>
      <c r="F27" s="3">
        <f>C27*E27*365.25</f>
        <v>90399.375</v>
      </c>
    </row>
    <row r="28" spans="2:8" ht="19" x14ac:dyDescent="0.35">
      <c r="B28" s="12" t="s">
        <v>50</v>
      </c>
      <c r="C28" s="13"/>
      <c r="D28" s="13"/>
      <c r="E28" s="14"/>
      <c r="F28" s="40">
        <f>F27*0.7*E27</f>
        <v>62646.766874999994</v>
      </c>
    </row>
    <row r="33" spans="1:3" x14ac:dyDescent="0.2">
      <c r="B33" s="4"/>
    </row>
    <row r="45" spans="1:3" x14ac:dyDescent="0.2">
      <c r="A45" s="66"/>
      <c r="B45" s="66"/>
      <c r="C45" s="66"/>
    </row>
    <row r="46" spans="1:3" x14ac:dyDescent="0.2">
      <c r="A46" s="66"/>
      <c r="B46" s="66"/>
      <c r="C46" s="66"/>
    </row>
    <row r="47" spans="1:3" x14ac:dyDescent="0.2">
      <c r="A47" s="66"/>
      <c r="B47" s="66"/>
      <c r="C47" s="66"/>
    </row>
  </sheetData>
  <mergeCells count="6">
    <mergeCell ref="A45:C45"/>
    <mergeCell ref="A46:C46"/>
    <mergeCell ref="A47:C47"/>
    <mergeCell ref="B1:F1"/>
    <mergeCell ref="B12:F12"/>
    <mergeCell ref="B25:E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E3" sqref="E3"/>
    </sheetView>
  </sheetViews>
  <sheetFormatPr baseColWidth="10" defaultRowHeight="16" x14ac:dyDescent="0.2"/>
  <cols>
    <col min="2" max="2" width="24.6640625" customWidth="1"/>
    <col min="3" max="3" width="31" customWidth="1"/>
    <col min="4" max="4" width="30.83203125" customWidth="1"/>
    <col min="5" max="5" width="25.1640625" customWidth="1"/>
  </cols>
  <sheetData>
    <row r="1" spans="2:5" ht="27" customHeight="1" x14ac:dyDescent="0.3">
      <c r="B1" s="68" t="s">
        <v>125</v>
      </c>
      <c r="C1" s="68"/>
      <c r="D1" s="68"/>
      <c r="E1" s="68"/>
    </row>
    <row r="2" spans="2:5" x14ac:dyDescent="0.2">
      <c r="B2" s="11" t="s">
        <v>119</v>
      </c>
      <c r="C2" s="11" t="s">
        <v>120</v>
      </c>
      <c r="D2" s="11" t="s">
        <v>122</v>
      </c>
      <c r="E2" s="11" t="s">
        <v>121</v>
      </c>
    </row>
    <row r="3" spans="2:5" x14ac:dyDescent="0.2">
      <c r="B3">
        <v>9.4000000000000004E-3</v>
      </c>
      <c r="C3" s="46">
        <f>0.085</f>
        <v>8.5000000000000006E-2</v>
      </c>
      <c r="D3" s="16">
        <v>1.5</v>
      </c>
      <c r="E3" s="48">
        <f>B3*C3*D3</f>
        <v>1.1985000000000001E-3</v>
      </c>
    </row>
    <row r="4" spans="2:5" x14ac:dyDescent="0.2">
      <c r="E4" s="11" t="s">
        <v>123</v>
      </c>
    </row>
    <row r="5" spans="2:5" x14ac:dyDescent="0.2">
      <c r="E5" s="47">
        <f xml:space="preserve"> E3*10000</f>
        <v>11.985000000000001</v>
      </c>
    </row>
    <row r="6" spans="2:5" x14ac:dyDescent="0.2">
      <c r="E6" s="11" t="s">
        <v>124</v>
      </c>
    </row>
    <row r="7" spans="2:5" x14ac:dyDescent="0.2">
      <c r="E7" s="47">
        <f>E5*365.25</f>
        <v>4377.5212500000007</v>
      </c>
    </row>
  </sheetData>
  <mergeCells count="1">
    <mergeCell ref="B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zoomScale="89" zoomScaleNormal="400" workbookViewId="0">
      <selection activeCell="A10" sqref="A10"/>
    </sheetView>
  </sheetViews>
  <sheetFormatPr baseColWidth="10" defaultRowHeight="16" x14ac:dyDescent="0.2"/>
  <cols>
    <col min="1" max="1" width="29.6640625" customWidth="1"/>
    <col min="2" max="2" width="28" customWidth="1"/>
    <col min="3" max="3" width="22.6640625" customWidth="1"/>
    <col min="4" max="4" width="24.83203125" customWidth="1"/>
  </cols>
  <sheetData>
    <row r="1" spans="1:12" x14ac:dyDescent="0.2">
      <c r="A1" s="68" t="s">
        <v>159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x14ac:dyDescent="0.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1:12" x14ac:dyDescent="0.2">
      <c r="A3" s="11"/>
      <c r="B3" s="44"/>
    </row>
    <row r="4" spans="1:12" x14ac:dyDescent="0.2">
      <c r="A4" s="11" t="s">
        <v>126</v>
      </c>
      <c r="B4" s="45">
        <f>'Schatting variabele kost'!E3</f>
        <v>1.1985000000000001E-3</v>
      </c>
    </row>
    <row r="5" spans="1:12" x14ac:dyDescent="0.2">
      <c r="A5" s="11" t="s">
        <v>112</v>
      </c>
      <c r="B5" s="44">
        <f>'Vaste Kosten Varia'!C4+'Vaste Kosten Varia'!B9+'Vaste Kosten Varia'!C14+'Vaste Kosten Kantoor &amp; Werk'!L4+'Vaste Kosten Kantoor &amp; Werk'!J9</f>
        <v>119448</v>
      </c>
    </row>
    <row r="6" spans="1:12" x14ac:dyDescent="0.2">
      <c r="A6" s="11" t="s">
        <v>107</v>
      </c>
      <c r="B6" s="45">
        <f>Omzet!H3</f>
        <v>1.7569371794871794E-2</v>
      </c>
    </row>
    <row r="7" spans="1:12" x14ac:dyDescent="0.2">
      <c r="A7" s="11" t="s">
        <v>113</v>
      </c>
      <c r="B7" s="43">
        <f>B5/(B6-B4)</f>
        <v>7296373.7971130731</v>
      </c>
      <c r="C7" t="s">
        <v>115</v>
      </c>
    </row>
    <row r="8" spans="1:12" x14ac:dyDescent="0.2">
      <c r="A8" s="11" t="s">
        <v>127</v>
      </c>
      <c r="B8" s="43">
        <f>B7/Omzet!C18</f>
        <v>187.08650761828392</v>
      </c>
    </row>
    <row r="9" spans="1:12" x14ac:dyDescent="0.2">
      <c r="A9" s="11" t="s">
        <v>160</v>
      </c>
      <c r="B9" s="51">
        <f>Werkprestaties!I47</f>
        <v>18785</v>
      </c>
    </row>
    <row r="11" spans="1:12" x14ac:dyDescent="0.2">
      <c r="A11" s="11" t="s">
        <v>116</v>
      </c>
      <c r="B11" s="11" t="s">
        <v>108</v>
      </c>
      <c r="C11" s="11" t="s">
        <v>117</v>
      </c>
      <c r="D11" s="11" t="s">
        <v>118</v>
      </c>
    </row>
    <row r="12" spans="1:12" x14ac:dyDescent="0.2">
      <c r="A12">
        <v>0</v>
      </c>
      <c r="B12" s="4">
        <f t="shared" ref="B12:B24" si="0">A12*$B$6</f>
        <v>0</v>
      </c>
      <c r="C12" s="4">
        <f>$B$5+($B$4*A12)+$B$9</f>
        <v>138233</v>
      </c>
      <c r="D12" s="4">
        <f>B12-C12</f>
        <v>-138233</v>
      </c>
    </row>
    <row r="13" spans="1:12" x14ac:dyDescent="0.2">
      <c r="A13">
        <f>A12+1000000</f>
        <v>1000000</v>
      </c>
      <c r="B13" s="4">
        <f t="shared" si="0"/>
        <v>17569.371794871793</v>
      </c>
      <c r="C13" s="4">
        <f t="shared" ref="C13:C24" si="1">$B$5+($B$4*A13)+$B$9</f>
        <v>139431.5</v>
      </c>
      <c r="D13" s="4">
        <f t="shared" ref="D13:D24" si="2">B13-C13</f>
        <v>-121862.1282051282</v>
      </c>
    </row>
    <row r="14" spans="1:12" x14ac:dyDescent="0.2">
      <c r="A14">
        <f t="shared" ref="A14:A24" si="3">A13+1000000</f>
        <v>2000000</v>
      </c>
      <c r="B14" s="4">
        <f t="shared" si="0"/>
        <v>35138.743589743586</v>
      </c>
      <c r="C14" s="4">
        <f t="shared" si="1"/>
        <v>140630</v>
      </c>
      <c r="D14" s="4">
        <f t="shared" si="2"/>
        <v>-105491.25641025641</v>
      </c>
    </row>
    <row r="15" spans="1:12" x14ac:dyDescent="0.2">
      <c r="A15">
        <f t="shared" si="3"/>
        <v>3000000</v>
      </c>
      <c r="B15" s="4">
        <f t="shared" si="0"/>
        <v>52708.115384615383</v>
      </c>
      <c r="C15" s="4">
        <f t="shared" si="1"/>
        <v>141828.5</v>
      </c>
      <c r="D15" s="4">
        <f t="shared" si="2"/>
        <v>-89120.384615384624</v>
      </c>
    </row>
    <row r="16" spans="1:12" x14ac:dyDescent="0.2">
      <c r="A16">
        <f t="shared" si="3"/>
        <v>4000000</v>
      </c>
      <c r="B16" s="4">
        <f t="shared" si="0"/>
        <v>70277.487179487172</v>
      </c>
      <c r="C16" s="4">
        <f t="shared" si="1"/>
        <v>143027</v>
      </c>
      <c r="D16" s="4">
        <f t="shared" si="2"/>
        <v>-72749.512820512828</v>
      </c>
    </row>
    <row r="17" spans="1:4" x14ac:dyDescent="0.2">
      <c r="A17">
        <f t="shared" si="3"/>
        <v>5000000</v>
      </c>
      <c r="B17" s="4">
        <f t="shared" si="0"/>
        <v>87846.858974358969</v>
      </c>
      <c r="C17" s="4">
        <f t="shared" si="1"/>
        <v>144225.5</v>
      </c>
      <c r="D17" s="4">
        <f t="shared" si="2"/>
        <v>-56378.641025641031</v>
      </c>
    </row>
    <row r="18" spans="1:4" x14ac:dyDescent="0.2">
      <c r="A18">
        <f t="shared" si="3"/>
        <v>6000000</v>
      </c>
      <c r="B18" s="4">
        <f t="shared" si="0"/>
        <v>105416.23076923077</v>
      </c>
      <c r="C18" s="4">
        <f t="shared" si="1"/>
        <v>145424</v>
      </c>
      <c r="D18" s="4">
        <f t="shared" si="2"/>
        <v>-40007.769230769234</v>
      </c>
    </row>
    <row r="19" spans="1:4" x14ac:dyDescent="0.2">
      <c r="A19">
        <f t="shared" si="3"/>
        <v>7000000</v>
      </c>
      <c r="B19" s="4">
        <f t="shared" si="0"/>
        <v>122985.60256410256</v>
      </c>
      <c r="C19" s="4">
        <f t="shared" si="1"/>
        <v>146622.5</v>
      </c>
      <c r="D19" s="4">
        <f t="shared" si="2"/>
        <v>-23636.897435897437</v>
      </c>
    </row>
    <row r="20" spans="1:4" x14ac:dyDescent="0.2">
      <c r="A20">
        <f t="shared" si="3"/>
        <v>8000000</v>
      </c>
      <c r="B20" s="4">
        <f t="shared" si="0"/>
        <v>140554.97435897434</v>
      </c>
      <c r="C20" s="4">
        <f t="shared" si="1"/>
        <v>147821</v>
      </c>
      <c r="D20" s="4">
        <f t="shared" si="2"/>
        <v>-7266.0256410256552</v>
      </c>
    </row>
    <row r="21" spans="1:4" x14ac:dyDescent="0.2">
      <c r="A21">
        <f t="shared" si="3"/>
        <v>9000000</v>
      </c>
      <c r="B21" s="4">
        <f t="shared" si="0"/>
        <v>158124.34615384616</v>
      </c>
      <c r="C21" s="4">
        <f t="shared" si="1"/>
        <v>149019.5</v>
      </c>
      <c r="D21" s="4">
        <f t="shared" si="2"/>
        <v>9104.8461538461561</v>
      </c>
    </row>
    <row r="22" spans="1:4" x14ac:dyDescent="0.2">
      <c r="A22">
        <f t="shared" si="3"/>
        <v>10000000</v>
      </c>
      <c r="B22" s="4">
        <f t="shared" si="0"/>
        <v>175693.71794871794</v>
      </c>
      <c r="C22" s="4">
        <f t="shared" si="1"/>
        <v>150218</v>
      </c>
      <c r="D22" s="4">
        <f t="shared" si="2"/>
        <v>25475.717948717938</v>
      </c>
    </row>
    <row r="23" spans="1:4" x14ac:dyDescent="0.2">
      <c r="A23">
        <f t="shared" si="3"/>
        <v>11000000</v>
      </c>
      <c r="B23" s="4">
        <f t="shared" si="0"/>
        <v>193263.08974358972</v>
      </c>
      <c r="C23" s="4">
        <f t="shared" si="1"/>
        <v>151416.5</v>
      </c>
      <c r="D23" s="4">
        <f t="shared" si="2"/>
        <v>41846.58974358972</v>
      </c>
    </row>
    <row r="24" spans="1:4" x14ac:dyDescent="0.2">
      <c r="A24">
        <f t="shared" si="3"/>
        <v>12000000</v>
      </c>
      <c r="B24" s="4">
        <f t="shared" si="0"/>
        <v>210832.46153846153</v>
      </c>
      <c r="C24" s="4">
        <f t="shared" si="1"/>
        <v>152615</v>
      </c>
      <c r="D24" s="4">
        <f t="shared" si="2"/>
        <v>58217.461538461532</v>
      </c>
    </row>
    <row r="27" spans="1:4" x14ac:dyDescent="0.2">
      <c r="A27" s="12" t="s">
        <v>147</v>
      </c>
      <c r="B27" s="58">
        <f>Omzet!C18*365.25*B4+B5+B9</f>
        <v>155305.33287499999</v>
      </c>
    </row>
    <row r="28" spans="1:4" x14ac:dyDescent="0.2">
      <c r="A28" s="12" t="s">
        <v>146</v>
      </c>
      <c r="B28" s="58">
        <f>365.25*Omzet!C18*B6</f>
        <v>250271.30887499999</v>
      </c>
    </row>
    <row r="29" spans="1:4" x14ac:dyDescent="0.2">
      <c r="A29" s="12" t="s">
        <v>145</v>
      </c>
      <c r="B29" s="58">
        <f>B28-B27</f>
        <v>94965.975999999995</v>
      </c>
    </row>
    <row r="31" spans="1:4" x14ac:dyDescent="0.2">
      <c r="D31" s="45"/>
    </row>
    <row r="46" spans="4:4" ht="92" x14ac:dyDescent="1">
      <c r="D46" s="52"/>
    </row>
  </sheetData>
  <mergeCells count="1">
    <mergeCell ref="A1:L2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C42" sqref="C42"/>
    </sheetView>
  </sheetViews>
  <sheetFormatPr baseColWidth="10" defaultRowHeight="16" x14ac:dyDescent="0.2"/>
  <cols>
    <col min="1" max="1" width="26.1640625" customWidth="1"/>
    <col min="2" max="2" width="25.5" customWidth="1"/>
    <col min="3" max="3" width="23.6640625" customWidth="1"/>
    <col min="4" max="4" width="24.6640625" customWidth="1"/>
  </cols>
  <sheetData>
    <row r="1" spans="1:12" x14ac:dyDescent="0.2">
      <c r="A1" s="68" t="s">
        <v>158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x14ac:dyDescent="0.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1:12" x14ac:dyDescent="0.2">
      <c r="A3" s="11"/>
      <c r="B3" s="44"/>
    </row>
    <row r="4" spans="1:12" x14ac:dyDescent="0.2">
      <c r="A4" s="11" t="s">
        <v>126</v>
      </c>
      <c r="B4" s="49">
        <f>'Schatting variabele kost'!E3</f>
        <v>1.1985000000000001E-3</v>
      </c>
    </row>
    <row r="5" spans="1:12" x14ac:dyDescent="0.2">
      <c r="A5" s="11" t="s">
        <v>114</v>
      </c>
      <c r="B5" s="44">
        <f>'Vaste Kosten Varia'!C4+'Vaste Kosten Varia'!B9+'Vaste Kosten Varia'!C14+'Vaste Kosten Kantoor &amp; Werk'!L4+'Vaste Kosten Kantoor &amp; Werk'!J9</f>
        <v>119448</v>
      </c>
    </row>
    <row r="6" spans="1:12" x14ac:dyDescent="0.2">
      <c r="A6" s="11" t="s">
        <v>107</v>
      </c>
      <c r="B6" s="45">
        <f>Omzet!H3</f>
        <v>1.7569371794871794E-2</v>
      </c>
    </row>
    <row r="7" spans="1:12" x14ac:dyDescent="0.2">
      <c r="A7" s="11" t="s">
        <v>113</v>
      </c>
      <c r="B7" s="43">
        <f>B5/(B6-B4)</f>
        <v>7296373.7971130731</v>
      </c>
      <c r="C7" t="s">
        <v>115</v>
      </c>
    </row>
    <row r="8" spans="1:12" x14ac:dyDescent="0.2">
      <c r="A8" s="11" t="s">
        <v>127</v>
      </c>
      <c r="B8" s="43">
        <f>B7/Omzet!C18</f>
        <v>187.08650761828392</v>
      </c>
    </row>
    <row r="9" spans="1:12" x14ac:dyDescent="0.2">
      <c r="A9" s="11" t="s">
        <v>161</v>
      </c>
      <c r="B9" s="51">
        <f>Werkprestaties!K47</f>
        <v>24505</v>
      </c>
    </row>
    <row r="11" spans="1:12" x14ac:dyDescent="0.2">
      <c r="A11" s="11" t="s">
        <v>116</v>
      </c>
      <c r="B11" s="11" t="s">
        <v>108</v>
      </c>
      <c r="C11" s="11" t="s">
        <v>117</v>
      </c>
      <c r="D11" s="11" t="s">
        <v>118</v>
      </c>
    </row>
    <row r="12" spans="1:12" x14ac:dyDescent="0.2">
      <c r="A12">
        <v>0</v>
      </c>
      <c r="B12" s="4">
        <f>A12*$B$6</f>
        <v>0</v>
      </c>
      <c r="C12" s="4">
        <f>$B$5+($B$4*A12)+$B$9</f>
        <v>143953</v>
      </c>
      <c r="D12" s="4">
        <f>B12-C12</f>
        <v>-143953</v>
      </c>
    </row>
    <row r="13" spans="1:12" x14ac:dyDescent="0.2">
      <c r="A13">
        <f>A12+1000000</f>
        <v>1000000</v>
      </c>
      <c r="B13" s="4">
        <f t="shared" ref="B13:B24" si="0">A13*$B$6</f>
        <v>17569.371794871793</v>
      </c>
      <c r="C13" s="4">
        <f t="shared" ref="C13:C24" si="1">$B$5+($B$4*A13)+$B$9</f>
        <v>145151.5</v>
      </c>
      <c r="D13" s="4">
        <f t="shared" ref="D13:D24" si="2">B13-C13</f>
        <v>-127582.1282051282</v>
      </c>
    </row>
    <row r="14" spans="1:12" x14ac:dyDescent="0.2">
      <c r="A14">
        <f t="shared" ref="A14:A24" si="3">A13+1000000</f>
        <v>2000000</v>
      </c>
      <c r="B14" s="4">
        <f t="shared" si="0"/>
        <v>35138.743589743586</v>
      </c>
      <c r="C14" s="4">
        <f t="shared" si="1"/>
        <v>146350</v>
      </c>
      <c r="D14" s="4">
        <f t="shared" si="2"/>
        <v>-111211.25641025641</v>
      </c>
    </row>
    <row r="15" spans="1:12" x14ac:dyDescent="0.2">
      <c r="A15">
        <f t="shared" si="3"/>
        <v>3000000</v>
      </c>
      <c r="B15" s="4">
        <f t="shared" si="0"/>
        <v>52708.115384615383</v>
      </c>
      <c r="C15" s="4">
        <f t="shared" si="1"/>
        <v>147548.5</v>
      </c>
      <c r="D15" s="4">
        <f t="shared" si="2"/>
        <v>-94840.384615384624</v>
      </c>
    </row>
    <row r="16" spans="1:12" x14ac:dyDescent="0.2">
      <c r="A16">
        <f t="shared" si="3"/>
        <v>4000000</v>
      </c>
      <c r="B16" s="4">
        <f t="shared" si="0"/>
        <v>70277.487179487172</v>
      </c>
      <c r="C16" s="4">
        <f t="shared" si="1"/>
        <v>148747</v>
      </c>
      <c r="D16" s="4">
        <f t="shared" si="2"/>
        <v>-78469.512820512828</v>
      </c>
    </row>
    <row r="17" spans="1:4" x14ac:dyDescent="0.2">
      <c r="A17">
        <f t="shared" si="3"/>
        <v>5000000</v>
      </c>
      <c r="B17" s="4">
        <f t="shared" si="0"/>
        <v>87846.858974358969</v>
      </c>
      <c r="C17" s="4">
        <f t="shared" si="1"/>
        <v>149945.5</v>
      </c>
      <c r="D17" s="4">
        <f t="shared" si="2"/>
        <v>-62098.641025641031</v>
      </c>
    </row>
    <row r="18" spans="1:4" x14ac:dyDescent="0.2">
      <c r="A18">
        <f t="shared" si="3"/>
        <v>6000000</v>
      </c>
      <c r="B18" s="4">
        <f t="shared" si="0"/>
        <v>105416.23076923077</v>
      </c>
      <c r="C18" s="4">
        <f t="shared" si="1"/>
        <v>151144</v>
      </c>
      <c r="D18" s="4">
        <f t="shared" si="2"/>
        <v>-45727.769230769234</v>
      </c>
    </row>
    <row r="19" spans="1:4" x14ac:dyDescent="0.2">
      <c r="A19">
        <f t="shared" si="3"/>
        <v>7000000</v>
      </c>
      <c r="B19" s="4">
        <f t="shared" si="0"/>
        <v>122985.60256410256</v>
      </c>
      <c r="C19" s="4">
        <f t="shared" si="1"/>
        <v>152342.5</v>
      </c>
      <c r="D19" s="4">
        <f t="shared" si="2"/>
        <v>-29356.897435897437</v>
      </c>
    </row>
    <row r="20" spans="1:4" x14ac:dyDescent="0.2">
      <c r="A20">
        <f t="shared" si="3"/>
        <v>8000000</v>
      </c>
      <c r="B20" s="4">
        <f t="shared" si="0"/>
        <v>140554.97435897434</v>
      </c>
      <c r="C20" s="4">
        <f t="shared" si="1"/>
        <v>153541</v>
      </c>
      <c r="D20" s="4">
        <f t="shared" si="2"/>
        <v>-12986.025641025655</v>
      </c>
    </row>
    <row r="21" spans="1:4" x14ac:dyDescent="0.2">
      <c r="A21">
        <f t="shared" si="3"/>
        <v>9000000</v>
      </c>
      <c r="B21" s="4">
        <f t="shared" si="0"/>
        <v>158124.34615384616</v>
      </c>
      <c r="C21" s="4">
        <f t="shared" si="1"/>
        <v>154739.5</v>
      </c>
      <c r="D21" s="4">
        <f t="shared" si="2"/>
        <v>3384.8461538461561</v>
      </c>
    </row>
    <row r="22" spans="1:4" x14ac:dyDescent="0.2">
      <c r="A22">
        <f t="shared" si="3"/>
        <v>10000000</v>
      </c>
      <c r="B22" s="4">
        <f t="shared" si="0"/>
        <v>175693.71794871794</v>
      </c>
      <c r="C22" s="4">
        <f t="shared" si="1"/>
        <v>155938</v>
      </c>
      <c r="D22" s="4">
        <f t="shared" si="2"/>
        <v>19755.717948717938</v>
      </c>
    </row>
    <row r="23" spans="1:4" x14ac:dyDescent="0.2">
      <c r="A23">
        <f t="shared" si="3"/>
        <v>11000000</v>
      </c>
      <c r="B23" s="4">
        <f t="shared" si="0"/>
        <v>193263.08974358972</v>
      </c>
      <c r="C23" s="4">
        <f t="shared" si="1"/>
        <v>157136.5</v>
      </c>
      <c r="D23" s="4">
        <f t="shared" si="2"/>
        <v>36126.58974358972</v>
      </c>
    </row>
    <row r="24" spans="1:4" x14ac:dyDescent="0.2">
      <c r="A24">
        <f t="shared" si="3"/>
        <v>12000000</v>
      </c>
      <c r="B24" s="4">
        <f t="shared" si="0"/>
        <v>210832.46153846153</v>
      </c>
      <c r="C24" s="4">
        <f t="shared" si="1"/>
        <v>158335</v>
      </c>
      <c r="D24" s="4">
        <f t="shared" si="2"/>
        <v>52497.461538461532</v>
      </c>
    </row>
    <row r="27" spans="1:4" x14ac:dyDescent="0.2">
      <c r="A27" s="59" t="s">
        <v>147</v>
      </c>
      <c r="B27" s="60">
        <f>365.25*Omzet!C18*B4+B5+B9</f>
        <v>161025.33287499999</v>
      </c>
    </row>
    <row r="28" spans="1:4" x14ac:dyDescent="0.2">
      <c r="A28" s="59" t="s">
        <v>146</v>
      </c>
      <c r="B28" s="60">
        <f>365.25*B6*Omzet!C18</f>
        <v>250271.30887499996</v>
      </c>
    </row>
    <row r="29" spans="1:4" x14ac:dyDescent="0.2">
      <c r="A29" s="59" t="s">
        <v>145</v>
      </c>
      <c r="B29" s="60">
        <f>B28-B27</f>
        <v>89245.975999999966</v>
      </c>
    </row>
  </sheetData>
  <mergeCells count="1">
    <mergeCell ref="A1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Werkprestaties</vt:lpstr>
      <vt:lpstr>Vaste Kosten Varia</vt:lpstr>
      <vt:lpstr>Vaste Kosten Kantoor &amp; Werk</vt:lpstr>
      <vt:lpstr>Omzet</vt:lpstr>
      <vt:lpstr>Schatting variabele kost</vt:lpstr>
      <vt:lpstr>BreakEven Schatting</vt:lpstr>
      <vt:lpstr>BreakEven Effectief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2017-11-23T13:54:46Z</dcterms:created>
  <dcterms:modified xsi:type="dcterms:W3CDTF">2017-12-10T13:27:13Z</dcterms:modified>
</cp:coreProperties>
</file>