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wnloads\"/>
    </mc:Choice>
  </mc:AlternateContent>
  <xr:revisionPtr revIDLastSave="0" documentId="13_ncr:1_{5E68B45B-DDF9-497D-AFE2-6E3089FEB8B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Hoja1" sheetId="2" r:id="rId1"/>
    <sheet name="ClientExport_0207d89c5ea8d76f57" sheetId="1" r:id="rId2"/>
    <sheet name="Hoja2" sheetId="3" r:id="rId3"/>
  </sheets>
  <definedNames>
    <definedName name="_xlnm._FilterDatabase" localSheetId="1" hidden="1">ClientExport_0207d89c5ea8d76f57!$A$1:$O$937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8" i="1" l="1"/>
  <c r="A329" i="1"/>
  <c r="A309" i="1"/>
  <c r="A575" i="1"/>
  <c r="A328" i="1"/>
  <c r="A132" i="1"/>
  <c r="A130" i="1"/>
  <c r="A40" i="1"/>
  <c r="A236" i="1"/>
  <c r="A937" i="1"/>
  <c r="A187" i="1"/>
  <c r="A78" i="1"/>
  <c r="A308" i="1"/>
  <c r="A271" i="1"/>
  <c r="A894" i="1"/>
  <c r="A893" i="1"/>
  <c r="A307" i="1"/>
  <c r="A192" i="1"/>
  <c r="A186" i="1"/>
  <c r="A227" i="1"/>
  <c r="A531" i="1"/>
  <c r="A128" i="1"/>
  <c r="A226" i="1"/>
  <c r="A182" i="1"/>
  <c r="A275" i="1"/>
  <c r="A530" i="1"/>
  <c r="A311" i="1"/>
  <c r="A892" i="1"/>
  <c r="A191" i="1"/>
  <c r="A165" i="1"/>
  <c r="A269" i="1"/>
  <c r="A891" i="1"/>
  <c r="A890" i="1"/>
  <c r="A529" i="1"/>
  <c r="A306" i="1"/>
  <c r="A149" i="1"/>
  <c r="A528" i="1"/>
  <c r="A574" i="1"/>
  <c r="A105" i="1"/>
  <c r="A327" i="1"/>
  <c r="A305" i="1"/>
  <c r="A936" i="1"/>
  <c r="A85" i="1"/>
  <c r="A304" i="1"/>
  <c r="A889" i="1"/>
  <c r="A326" i="1"/>
  <c r="A268" i="1"/>
  <c r="A303" i="1"/>
  <c r="A88" i="1"/>
  <c r="A84" i="1"/>
  <c r="A116" i="1"/>
  <c r="A58" i="1"/>
  <c r="A302" i="1"/>
  <c r="A888" i="1"/>
  <c r="A527" i="1"/>
  <c r="A97" i="1"/>
  <c r="A232" i="1"/>
  <c r="A301" i="1"/>
  <c r="A300" i="1"/>
  <c r="A526" i="1"/>
  <c r="A100" i="1"/>
  <c r="A525" i="1"/>
  <c r="A524" i="1"/>
  <c r="A887" i="1"/>
  <c r="A886" i="1"/>
  <c r="A523" i="1"/>
  <c r="A299" i="1"/>
  <c r="A54" i="1"/>
  <c r="A522" i="1"/>
  <c r="A393" i="1"/>
  <c r="A521" i="1"/>
  <c r="A626" i="1"/>
  <c r="A520" i="1"/>
  <c r="A298" i="1"/>
  <c r="A216" i="1"/>
  <c r="A115" i="1"/>
  <c r="A297" i="1"/>
  <c r="A161" i="1"/>
  <c r="A233" i="1"/>
  <c r="A63" i="1"/>
  <c r="A215" i="1"/>
  <c r="A163" i="1"/>
  <c r="A162" i="1"/>
  <c r="A94" i="1"/>
  <c r="A519" i="1"/>
  <c r="A325" i="1"/>
  <c r="A518" i="1"/>
  <c r="A392" i="1"/>
  <c r="A176" i="1"/>
  <c r="A98" i="1"/>
  <c r="A885" i="1"/>
  <c r="A517" i="1"/>
  <c r="A572" i="1"/>
  <c r="A571" i="1"/>
  <c r="A103" i="1"/>
  <c r="A516" i="1"/>
  <c r="A125" i="1"/>
  <c r="A264" i="1"/>
  <c r="A515" i="1"/>
  <c r="A141" i="1"/>
  <c r="A570" i="1"/>
  <c r="A296" i="1"/>
  <c r="A47" i="1"/>
  <c r="A514" i="1"/>
  <c r="A295" i="1"/>
  <c r="A294" i="1"/>
  <c r="A513" i="1"/>
  <c r="A512" i="1"/>
  <c r="A511" i="1"/>
  <c r="A293" i="1"/>
  <c r="A292" i="1"/>
  <c r="A114" i="1"/>
  <c r="A160" i="1"/>
  <c r="A96" i="1"/>
  <c r="A291" i="1"/>
  <c r="A591" i="1"/>
  <c r="A935" i="1"/>
  <c r="A405" i="1"/>
  <c r="A510" i="1"/>
  <c r="A509" i="1"/>
  <c r="A289" i="1"/>
  <c r="A391" i="1"/>
  <c r="A508" i="1"/>
  <c r="A324" i="1"/>
  <c r="A507" i="1"/>
  <c r="A390" i="1"/>
  <c r="A506" i="1"/>
  <c r="A288" i="1"/>
  <c r="A884" i="1"/>
  <c r="A569" i="1"/>
  <c r="A338" i="1"/>
  <c r="A287" i="1"/>
  <c r="A290" i="1"/>
  <c r="A505" i="1"/>
  <c r="A286" i="1"/>
  <c r="A504" i="1"/>
  <c r="A310" i="1"/>
  <c r="A503" i="1"/>
  <c r="A250" i="1"/>
  <c r="A285" i="1"/>
  <c r="A124" i="1"/>
  <c r="A113" i="1"/>
  <c r="A502" i="1"/>
  <c r="A190" i="1"/>
  <c r="A543" i="1"/>
  <c r="A389" i="1"/>
  <c r="A501" i="1"/>
  <c r="A500" i="1"/>
  <c r="A284" i="1"/>
  <c r="A6" i="1"/>
  <c r="A499" i="1"/>
  <c r="A158" i="1"/>
  <c r="A112" i="1"/>
  <c r="A568" i="1"/>
  <c r="A272" i="1"/>
  <c r="A567" i="1"/>
  <c r="A498" i="1"/>
  <c r="A283" i="1"/>
  <c r="A497" i="1"/>
  <c r="A566" i="1"/>
  <c r="A35" i="1"/>
  <c r="A157" i="1"/>
  <c r="A10" i="1"/>
  <c r="A56" i="1"/>
  <c r="A52" i="1"/>
  <c r="A496" i="1"/>
  <c r="A495" i="1"/>
  <c r="A146" i="1"/>
  <c r="A134" i="1"/>
  <c r="A883" i="1"/>
  <c r="A542" i="1"/>
  <c r="A388" i="1"/>
  <c r="A882" i="1"/>
  <c r="A87" i="1"/>
  <c r="A282" i="1"/>
  <c r="A281" i="1"/>
  <c r="A494" i="1"/>
  <c r="A493" i="1"/>
  <c r="A92" i="1"/>
  <c r="A143" i="1"/>
  <c r="A387" i="1"/>
  <c r="A881" i="1"/>
  <c r="A880" i="1"/>
  <c r="A879" i="1"/>
  <c r="A181" i="1"/>
  <c r="A618" i="1"/>
  <c r="A386" i="1"/>
  <c r="A280" i="1"/>
  <c r="A279" i="1"/>
  <c r="A120" i="1"/>
  <c r="A184" i="1"/>
  <c r="A491" i="1"/>
  <c r="A878" i="1"/>
  <c r="A22" i="1"/>
  <c r="A323" i="1"/>
  <c r="A490" i="1"/>
  <c r="A489" i="1"/>
  <c r="A934" i="1"/>
  <c r="A276" i="1"/>
  <c r="A254" i="1"/>
  <c r="A76" i="1"/>
  <c r="A833" i="1"/>
  <c r="A565" i="1"/>
  <c r="A933" i="1"/>
  <c r="A322" i="1"/>
  <c r="A101" i="1"/>
  <c r="A877" i="1"/>
  <c r="A385" i="1"/>
  <c r="A384" i="1"/>
  <c r="A156" i="1"/>
  <c r="A488" i="1"/>
  <c r="A383" i="1"/>
  <c r="A28" i="1"/>
  <c r="A487" i="1"/>
  <c r="A277" i="1"/>
  <c r="A169" i="1"/>
  <c r="A486" i="1"/>
  <c r="A485" i="1"/>
  <c r="A876" i="1"/>
  <c r="A484" i="1"/>
  <c r="A34" i="1"/>
  <c r="A875" i="1"/>
  <c r="A483" i="1"/>
  <c r="A66" i="1"/>
  <c r="A313" i="1"/>
  <c r="A905" i="1"/>
  <c r="A836" i="1"/>
  <c r="A906" i="1"/>
  <c r="A654" i="1"/>
  <c r="A907" i="1"/>
  <c r="A48" i="1"/>
  <c r="A655" i="1"/>
  <c r="A656" i="1"/>
  <c r="A212" i="1"/>
  <c r="A244" i="1"/>
  <c r="A657" i="1"/>
  <c r="A908" i="1"/>
  <c r="A19" i="1"/>
  <c r="A75" i="1"/>
  <c r="A658" i="1"/>
  <c r="A659" i="1"/>
  <c r="A16" i="1"/>
  <c r="A660" i="1"/>
  <c r="A837" i="1"/>
  <c r="A592" i="1"/>
  <c r="A855" i="1"/>
  <c r="A661" i="1"/>
  <c r="A708" i="1"/>
  <c r="A709" i="1"/>
  <c r="A245" i="1"/>
  <c r="A315" i="1"/>
  <c r="A712" i="1"/>
  <c r="A394" i="1"/>
  <c r="A665" i="1"/>
  <c r="A666" i="1"/>
  <c r="A234" i="1"/>
  <c r="A909" i="1"/>
  <c r="A246" i="1"/>
  <c r="A27" i="1"/>
  <c r="A77" i="1"/>
  <c r="A667" i="1"/>
  <c r="A716" i="1"/>
  <c r="A90" i="1"/>
  <c r="A669" i="1"/>
  <c r="A670" i="1"/>
  <c r="A717" i="1"/>
  <c r="A4" i="1"/>
  <c r="A718" i="1"/>
  <c r="A825" i="1"/>
  <c r="A235" i="1"/>
  <c r="A2" i="1"/>
  <c r="A673" i="1"/>
  <c r="A674" i="1"/>
  <c r="A910" i="1"/>
  <c r="A36" i="1"/>
  <c r="A911" i="1"/>
  <c r="A3" i="1"/>
  <c r="A896" i="1"/>
  <c r="A675" i="1"/>
  <c r="A247" i="1"/>
  <c r="A912" i="1"/>
  <c r="A838" i="1"/>
  <c r="A41" i="1"/>
  <c r="A719" i="1"/>
  <c r="A13" i="1"/>
  <c r="A720" i="1"/>
  <c r="A540" i="1"/>
  <c r="A913" i="1"/>
  <c r="A678" i="1"/>
  <c r="A549" i="1"/>
  <c r="A679" i="1"/>
  <c r="A600" i="1"/>
  <c r="A721" i="1"/>
  <c r="A681" i="1"/>
  <c r="A914" i="1"/>
  <c r="A722" i="1"/>
  <c r="A727" i="1"/>
  <c r="A915" i="1"/>
  <c r="A684" i="1"/>
  <c r="A61" i="1"/>
  <c r="A897" i="1"/>
  <c r="A685" i="1"/>
  <c r="A686" i="1"/>
  <c r="A249" i="1"/>
  <c r="A563" i="1"/>
  <c r="A687" i="1"/>
  <c r="A30" i="1"/>
  <c r="A688" i="1"/>
  <c r="A904" i="1"/>
  <c r="A358" i="1"/>
  <c r="A251" i="1"/>
  <c r="A689" i="1"/>
  <c r="A197" i="1"/>
  <c r="A690" i="1"/>
  <c r="A213" i="1"/>
  <c r="A691" i="1"/>
  <c r="A692" i="1"/>
  <c r="A693" i="1"/>
  <c r="A270" i="1"/>
  <c r="A222" i="1"/>
  <c r="A694" i="1"/>
  <c r="A137" i="1"/>
  <c r="A695" i="1"/>
  <c r="A696" i="1"/>
  <c r="A839" i="1"/>
  <c r="A697" i="1"/>
  <c r="A579" i="1"/>
  <c r="A580" i="1"/>
  <c r="A840" i="1"/>
  <c r="A698" i="1"/>
  <c r="A699" i="1"/>
  <c r="A728" i="1"/>
  <c r="A629" i="1"/>
  <c r="A417" i="1"/>
  <c r="A582" i="1"/>
  <c r="A701" i="1"/>
  <c r="A395" i="1"/>
  <c r="A916" i="1"/>
  <c r="A702" i="1"/>
  <c r="A729" i="1"/>
  <c r="A341" i="1"/>
  <c r="A704" i="1"/>
  <c r="A705" i="1"/>
  <c r="A865" i="1"/>
  <c r="A413" i="1"/>
  <c r="A706" i="1"/>
  <c r="A707" i="1"/>
  <c r="A917" i="1"/>
  <c r="A401" i="1"/>
  <c r="A583" i="1"/>
  <c r="A730" i="1"/>
  <c r="A336" i="1"/>
  <c r="A732" i="1"/>
  <c r="A408" i="1"/>
  <c r="A584" i="1"/>
  <c r="A918" i="1"/>
  <c r="A546" i="1"/>
  <c r="A710" i="1"/>
  <c r="A573" i="1"/>
  <c r="A711" i="1"/>
  <c r="A133" i="1"/>
  <c r="A237" i="1"/>
  <c r="A919" i="1"/>
  <c r="A201" i="1"/>
  <c r="A650" i="1"/>
  <c r="A733" i="1"/>
  <c r="A826" i="1"/>
  <c r="A713" i="1"/>
  <c r="A714" i="1"/>
  <c r="A253" i="1"/>
  <c r="A18" i="1"/>
  <c r="A214" i="1"/>
  <c r="A715" i="1"/>
  <c r="A396" i="1"/>
  <c r="A585" i="1"/>
  <c r="A586" i="1"/>
  <c r="A223" i="1"/>
  <c r="A587" i="1"/>
  <c r="A224" i="1"/>
  <c r="A198" i="1"/>
  <c r="A588" i="1"/>
  <c r="A38" i="1"/>
  <c r="A589" i="1"/>
  <c r="A403" i="1"/>
  <c r="A737" i="1"/>
  <c r="A739" i="1"/>
  <c r="A743" i="1"/>
  <c r="A547" i="1"/>
  <c r="A630" i="1"/>
  <c r="A12" i="1"/>
  <c r="A334" i="1"/>
  <c r="A744" i="1"/>
  <c r="A402" i="1"/>
  <c r="A920" i="1"/>
  <c r="A634" i="1"/>
  <c r="A745" i="1"/>
  <c r="A635" i="1"/>
  <c r="A746" i="1"/>
  <c r="A747" i="1"/>
  <c r="A723" i="1"/>
  <c r="A724" i="1"/>
  <c r="A593" i="1"/>
  <c r="A921" i="1"/>
  <c r="A594" i="1"/>
  <c r="A595" i="1"/>
  <c r="A596" i="1"/>
  <c r="A597" i="1"/>
  <c r="A725" i="1"/>
  <c r="A598" i="1"/>
  <c r="A726" i="1"/>
  <c r="A748" i="1"/>
  <c r="A749" i="1"/>
  <c r="A168" i="1"/>
  <c r="A871" i="1"/>
  <c r="A755" i="1"/>
  <c r="A895" i="1"/>
  <c r="A71" i="1"/>
  <c r="A177" i="1"/>
  <c r="A827" i="1"/>
  <c r="A922" i="1"/>
  <c r="A67" i="1"/>
  <c r="A756" i="1"/>
  <c r="A225" i="1"/>
  <c r="A731" i="1"/>
  <c r="A766" i="1"/>
  <c r="A599" i="1"/>
  <c r="A26" i="1"/>
  <c r="A767" i="1"/>
  <c r="A703" i="1"/>
  <c r="A872" i="1"/>
  <c r="A638" i="1"/>
  <c r="A734" i="1"/>
  <c r="A735" i="1"/>
  <c r="A239" i="1"/>
  <c r="A601" i="1"/>
  <c r="A736" i="1"/>
  <c r="A397" i="1"/>
  <c r="A72" i="1"/>
  <c r="A768" i="1"/>
  <c r="A180" i="1"/>
  <c r="A738" i="1"/>
  <c r="A769" i="1"/>
  <c r="A844" i="1"/>
  <c r="A171" i="1"/>
  <c r="A178" i="1"/>
  <c r="A740" i="1"/>
  <c r="A828" i="1"/>
  <c r="A89" i="1"/>
  <c r="A240" i="1"/>
  <c r="A741" i="1"/>
  <c r="A742" i="1"/>
  <c r="A544" i="1"/>
  <c r="A845" i="1"/>
  <c r="A770" i="1"/>
  <c r="A771" i="1"/>
  <c r="A400" i="1"/>
  <c r="A898" i="1"/>
  <c r="A772" i="1"/>
  <c r="A899" i="1"/>
  <c r="A316" i="1"/>
  <c r="A776" i="1"/>
  <c r="A780" i="1"/>
  <c r="A331" i="1"/>
  <c r="A541" i="1"/>
  <c r="A848" i="1"/>
  <c r="A788" i="1"/>
  <c r="A789" i="1"/>
  <c r="A576" i="1"/>
  <c r="A602" i="1"/>
  <c r="A750" i="1"/>
  <c r="A751" i="1"/>
  <c r="A752" i="1"/>
  <c r="A753" i="1"/>
  <c r="A754" i="1"/>
  <c r="A640" i="1"/>
  <c r="A148" i="1"/>
  <c r="A241" i="1"/>
  <c r="A39" i="1"/>
  <c r="A577" i="1"/>
  <c r="A790" i="1"/>
  <c r="A792" i="1"/>
  <c r="A757" i="1"/>
  <c r="A758" i="1"/>
  <c r="A849" i="1"/>
  <c r="A759" i="1"/>
  <c r="A760" i="1"/>
  <c r="A761" i="1"/>
  <c r="A762" i="1"/>
  <c r="A763" i="1"/>
  <c r="A764" i="1"/>
  <c r="A765" i="1"/>
  <c r="A256" i="1"/>
  <c r="A850" i="1"/>
  <c r="A851" i="1"/>
  <c r="A834" i="1"/>
  <c r="A793" i="1"/>
  <c r="A581" i="1"/>
  <c r="A794" i="1"/>
  <c r="A81" i="1"/>
  <c r="A795" i="1"/>
  <c r="A796" i="1"/>
  <c r="A797" i="1"/>
  <c r="A799" i="1"/>
  <c r="A801" i="1"/>
  <c r="A773" i="1"/>
  <c r="A548" i="1"/>
  <c r="A339" i="1"/>
  <c r="A829" i="1"/>
  <c r="A774" i="1"/>
  <c r="A642" i="1"/>
  <c r="A605" i="1"/>
  <c r="A332" i="1"/>
  <c r="A775" i="1"/>
  <c r="A643" i="1"/>
  <c r="A802" i="1"/>
  <c r="A777" i="1"/>
  <c r="A778" i="1"/>
  <c r="A412" i="1"/>
  <c r="A779" i="1"/>
  <c r="A804" i="1"/>
  <c r="A781" i="1"/>
  <c r="A607" i="1"/>
  <c r="A782" i="1"/>
  <c r="A60" i="1"/>
  <c r="A783" i="1"/>
  <c r="A784" i="1"/>
  <c r="A785" i="1"/>
  <c r="A786" i="1"/>
  <c r="A257" i="1"/>
  <c r="A787" i="1"/>
  <c r="A806" i="1"/>
  <c r="A807" i="1"/>
  <c r="A812" i="1"/>
  <c r="A446" i="1"/>
  <c r="A791" i="1"/>
  <c r="A645" i="1"/>
  <c r="A185" i="1"/>
  <c r="A492" i="1"/>
  <c r="A217" i="1"/>
  <c r="A535" i="1"/>
  <c r="A409" i="1"/>
  <c r="A335" i="1"/>
  <c r="A340" i="1"/>
  <c r="A609" i="1"/>
  <c r="A258" i="1"/>
  <c r="A49" i="1"/>
  <c r="A350" i="1"/>
  <c r="A923" i="1"/>
  <c r="A202" i="1"/>
  <c r="A93" i="1"/>
  <c r="A259" i="1"/>
  <c r="A813" i="1"/>
  <c r="A532" i="1"/>
  <c r="A815" i="1"/>
  <c r="A537" i="1"/>
  <c r="A418" i="1"/>
  <c r="A816" i="1"/>
  <c r="A260" i="1"/>
  <c r="A610" i="1"/>
  <c r="A818" i="1"/>
  <c r="A353" i="1"/>
  <c r="A819" i="1"/>
  <c r="A80" i="1"/>
  <c r="A822" i="1"/>
  <c r="A798" i="1"/>
  <c r="A835" i="1"/>
  <c r="A317" i="1"/>
  <c r="A823" i="1"/>
  <c r="A800" i="1"/>
  <c r="A824" i="1"/>
  <c r="A831" i="1"/>
  <c r="A924" i="1"/>
  <c r="A172" i="1"/>
  <c r="A925" i="1"/>
  <c r="A611" i="1"/>
  <c r="A612" i="1"/>
  <c r="A613" i="1"/>
  <c r="A614" i="1"/>
  <c r="A803" i="1"/>
  <c r="A651" i="1"/>
  <c r="A832" i="1"/>
  <c r="A805" i="1"/>
  <c r="A407" i="1"/>
  <c r="A419" i="1"/>
  <c r="A841" i="1"/>
  <c r="A533" i="1"/>
  <c r="A534" i="1"/>
  <c r="A652" i="1"/>
  <c r="A617" i="1"/>
  <c r="A842" i="1"/>
  <c r="A265" i="1"/>
  <c r="A243" i="1"/>
  <c r="A25" i="1"/>
  <c r="A228" i="1"/>
  <c r="A205" i="1"/>
  <c r="A653" i="1"/>
  <c r="A619" i="1"/>
  <c r="A620" i="1"/>
  <c r="A37" i="1"/>
  <c r="A621" i="1"/>
  <c r="A622" i="1"/>
  <c r="A623" i="1"/>
  <c r="A662" i="1"/>
  <c r="A808" i="1"/>
  <c r="A398" i="1"/>
  <c r="A900" i="1"/>
  <c r="A414" i="1"/>
  <c r="A164" i="1"/>
  <c r="A83" i="1"/>
  <c r="A218" i="1"/>
  <c r="A14" i="1"/>
  <c r="A50" i="1"/>
  <c r="A242" i="1"/>
  <c r="A578" i="1"/>
  <c r="A663" i="1"/>
  <c r="A219" i="1"/>
  <c r="A664" i="1"/>
  <c r="A830" i="1"/>
  <c r="A627" i="1"/>
  <c r="A809" i="1"/>
  <c r="A628" i="1"/>
  <c r="A668" i="1"/>
  <c r="A671" i="1"/>
  <c r="A810" i="1"/>
  <c r="A68" i="1"/>
  <c r="A811" i="1"/>
  <c r="A631" i="1"/>
  <c r="A82" i="1"/>
  <c r="A229" i="1"/>
  <c r="A11" i="1"/>
  <c r="A632" i="1"/>
  <c r="A633" i="1"/>
  <c r="A106" i="1"/>
  <c r="A221" i="1"/>
  <c r="A62" i="1"/>
  <c r="A262" i="1"/>
  <c r="A319" i="1"/>
  <c r="A545" i="1"/>
  <c r="A843" i="1"/>
  <c r="A846" i="1"/>
  <c r="A672" i="1"/>
  <c r="A676" i="1"/>
  <c r="A70" i="1"/>
  <c r="A199" i="1"/>
  <c r="A636" i="1"/>
  <c r="A5" i="1"/>
  <c r="A637" i="1"/>
  <c r="A135" i="1"/>
  <c r="A206" i="1"/>
  <c r="A207" i="1"/>
  <c r="A333" i="1"/>
  <c r="A445" i="1"/>
  <c r="A677" i="1"/>
  <c r="A590" i="1"/>
  <c r="A410" i="1"/>
  <c r="A231" i="1"/>
  <c r="A814" i="1"/>
  <c r="A847" i="1"/>
  <c r="A639" i="1"/>
  <c r="A74" i="1"/>
  <c r="A29" i="1"/>
  <c r="A131" i="1"/>
  <c r="A856" i="1"/>
  <c r="A680" i="1"/>
  <c r="A314" i="1"/>
  <c r="A852" i="1"/>
  <c r="A641" i="1"/>
  <c r="A682" i="1"/>
  <c r="A263" i="1"/>
  <c r="A683" i="1"/>
  <c r="A817" i="1"/>
  <c r="A209" i="1"/>
  <c r="A174" i="1"/>
  <c r="A330" i="1"/>
  <c r="A644" i="1"/>
  <c r="A210" i="1"/>
  <c r="A700" i="1"/>
  <c r="A857" i="1"/>
  <c r="A853" i="1"/>
  <c r="A854" i="1"/>
  <c r="A820" i="1"/>
  <c r="A252" i="1"/>
  <c r="A144" i="1"/>
  <c r="A175" i="1"/>
  <c r="A646" i="1"/>
  <c r="A821" i="1"/>
  <c r="A647" i="1"/>
  <c r="A211" i="1"/>
  <c r="A648" i="1"/>
  <c r="A43" i="1"/>
  <c r="A649" i="1"/>
  <c r="A17" i="1"/>
  <c r="A267" i="1"/>
  <c r="A342" i="1"/>
  <c r="A416" i="1"/>
  <c r="A69" i="1"/>
  <c r="A420" i="1"/>
  <c r="A107" i="1"/>
  <c r="A421" i="1"/>
  <c r="A119" i="1"/>
  <c r="A926" i="1"/>
  <c r="A422" i="1"/>
  <c r="A248" i="1"/>
  <c r="A423" i="1"/>
  <c r="A343" i="1"/>
  <c r="A424" i="1"/>
  <c r="A425" i="1"/>
  <c r="A550" i="1"/>
  <c r="A426" i="1"/>
  <c r="A411" i="1"/>
  <c r="A427" i="1"/>
  <c r="A428" i="1"/>
  <c r="A95" i="1"/>
  <c r="A429" i="1"/>
  <c r="A430" i="1"/>
  <c r="A126" i="1"/>
  <c r="A45" i="1"/>
  <c r="A108" i="1"/>
  <c r="A86" i="1"/>
  <c r="A123" i="1"/>
  <c r="A404" i="1"/>
  <c r="A136" i="1"/>
  <c r="A431" i="1"/>
  <c r="A432" i="1"/>
  <c r="A433" i="1"/>
  <c r="A53" i="1"/>
  <c r="A344" i="1"/>
  <c r="A434" i="1"/>
  <c r="A435" i="1"/>
  <c r="A436" i="1"/>
  <c r="A437" i="1"/>
  <c r="A345" i="1"/>
  <c r="A551" i="1"/>
  <c r="A138" i="1"/>
  <c r="A552" i="1"/>
  <c r="A438" i="1"/>
  <c r="A439" i="1"/>
  <c r="A64" i="1"/>
  <c r="A318" i="1"/>
  <c r="A440" i="1"/>
  <c r="A193" i="1"/>
  <c r="A553" i="1"/>
  <c r="A441" i="1"/>
  <c r="A46" i="1"/>
  <c r="A346" i="1"/>
  <c r="A554" i="1"/>
  <c r="A442" i="1"/>
  <c r="A555" i="1"/>
  <c r="A443" i="1"/>
  <c r="A858" i="1"/>
  <c r="A20" i="1"/>
  <c r="A444" i="1"/>
  <c r="A347" i="1"/>
  <c r="A348" i="1"/>
  <c r="A150" i="1"/>
  <c r="A166" i="1"/>
  <c r="A615" i="1"/>
  <c r="A349" i="1"/>
  <c r="A616" i="1"/>
  <c r="A859" i="1"/>
  <c r="A167" i="1"/>
  <c r="A65" i="1"/>
  <c r="A603" i="1"/>
  <c r="A447" i="1"/>
  <c r="A21" i="1"/>
  <c r="A604" i="1"/>
  <c r="A8" i="1"/>
  <c r="A179" i="1"/>
  <c r="A320" i="1"/>
  <c r="A278" i="1"/>
  <c r="A556" i="1"/>
  <c r="A557" i="1"/>
  <c r="A188" i="1"/>
  <c r="A151" i="1"/>
  <c r="A57" i="1"/>
  <c r="A351" i="1"/>
  <c r="A448" i="1"/>
  <c r="A536" i="1"/>
  <c r="A860" i="1"/>
  <c r="A449" i="1"/>
  <c r="A55" i="1"/>
  <c r="A159" i="1"/>
  <c r="A261" i="1"/>
  <c r="A337" i="1"/>
  <c r="A152" i="1"/>
  <c r="A139" i="1"/>
  <c r="A51" i="1"/>
  <c r="A189" i="1"/>
  <c r="A450" i="1"/>
  <c r="A117" i="1"/>
  <c r="A194" i="1"/>
  <c r="A927" i="1"/>
  <c r="A195" i="1"/>
  <c r="A624" i="1"/>
  <c r="A861" i="1"/>
  <c r="A451" i="1"/>
  <c r="A109" i="1"/>
  <c r="A352" i="1"/>
  <c r="A606" i="1"/>
  <c r="A9" i="1"/>
  <c r="A183" i="1"/>
  <c r="A558" i="1"/>
  <c r="A452" i="1"/>
  <c r="A862" i="1"/>
  <c r="A354" i="1"/>
  <c r="A118" i="1"/>
  <c r="A355" i="1"/>
  <c r="A453" i="1"/>
  <c r="A153" i="1"/>
  <c r="A145" i="1"/>
  <c r="A142" i="1"/>
  <c r="A24" i="1"/>
  <c r="A863" i="1"/>
  <c r="A127" i="1"/>
  <c r="A356" i="1"/>
  <c r="A559" i="1"/>
  <c r="A44" i="1"/>
  <c r="A454" i="1"/>
  <c r="A455" i="1"/>
  <c r="A456" i="1"/>
  <c r="A928" i="1"/>
  <c r="A357" i="1"/>
  <c r="A929" i="1"/>
  <c r="A608" i="1"/>
  <c r="A399" i="1"/>
  <c r="A321" i="1"/>
  <c r="A457" i="1"/>
  <c r="A560" i="1"/>
  <c r="A458" i="1"/>
  <c r="A538" i="1"/>
  <c r="A274" i="1"/>
  <c r="A459" i="1"/>
  <c r="A255" i="1"/>
  <c r="A79" i="1"/>
  <c r="A121" i="1"/>
  <c r="A561" i="1"/>
  <c r="A406" i="1"/>
  <c r="A460" i="1"/>
  <c r="A461" i="1"/>
  <c r="A359" i="1"/>
  <c r="A864" i="1"/>
  <c r="A360" i="1"/>
  <c r="A361" i="1"/>
  <c r="A362" i="1"/>
  <c r="A363" i="1"/>
  <c r="A104" i="1"/>
  <c r="A415" i="1"/>
  <c r="A32" i="1"/>
  <c r="A23" i="1"/>
  <c r="A462" i="1"/>
  <c r="A42" i="1"/>
  <c r="A901" i="1"/>
  <c r="A140" i="1"/>
  <c r="A73" i="1"/>
  <c r="A463" i="1"/>
  <c r="A866" i="1"/>
  <c r="A312" i="1"/>
  <c r="A170" i="1"/>
  <c r="A200" i="1"/>
  <c r="A173" i="1"/>
  <c r="A364" i="1"/>
  <c r="A464" i="1"/>
  <c r="A102" i="1"/>
  <c r="A59" i="1"/>
  <c r="A465" i="1"/>
  <c r="A91" i="1"/>
  <c r="A365" i="1"/>
  <c r="A366" i="1"/>
  <c r="A466" i="1"/>
  <c r="A154" i="1"/>
  <c r="A122" i="1"/>
  <c r="A367" i="1"/>
  <c r="A368" i="1"/>
  <c r="A369" i="1"/>
  <c r="A370" i="1"/>
  <c r="A467" i="1"/>
  <c r="A110" i="1"/>
  <c r="A371" i="1"/>
  <c r="A7" i="1"/>
  <c r="A372" i="1"/>
  <c r="A867" i="1"/>
  <c r="A930" i="1"/>
  <c r="A33" i="1"/>
  <c r="A868" i="1"/>
  <c r="A562" i="1"/>
  <c r="A869" i="1"/>
  <c r="A373" i="1"/>
  <c r="A111" i="1"/>
  <c r="A931" i="1"/>
  <c r="A147" i="1"/>
  <c r="A155" i="1"/>
  <c r="A468" i="1"/>
  <c r="A203" i="1"/>
  <c r="A374" i="1"/>
  <c r="A539" i="1"/>
  <c r="A469" i="1"/>
  <c r="A470" i="1"/>
  <c r="A625" i="1"/>
  <c r="A266" i="1"/>
  <c r="A471" i="1"/>
  <c r="A375" i="1"/>
  <c r="A220" i="1"/>
  <c r="A472" i="1"/>
  <c r="A473" i="1"/>
  <c r="A870" i="1"/>
  <c r="A204" i="1"/>
  <c r="A230" i="1"/>
  <c r="A273" i="1"/>
  <c r="A129" i="1"/>
  <c r="A474" i="1"/>
  <c r="A376" i="1"/>
  <c r="A475" i="1"/>
  <c r="A31" i="1"/>
  <c r="A377" i="1"/>
  <c r="A378" i="1"/>
  <c r="A379" i="1"/>
  <c r="A476" i="1"/>
  <c r="A477" i="1"/>
  <c r="A902" i="1"/>
  <c r="A478" i="1"/>
  <c r="A903" i="1"/>
  <c r="A479" i="1"/>
  <c r="A380" i="1"/>
  <c r="A873" i="1"/>
  <c r="A15" i="1"/>
  <c r="A874" i="1"/>
  <c r="A932" i="1"/>
  <c r="A238" i="1"/>
  <c r="A381" i="1"/>
  <c r="A196" i="1"/>
  <c r="A480" i="1"/>
  <c r="A208" i="1"/>
  <c r="A481" i="1"/>
  <c r="A99" i="1"/>
  <c r="A382" i="1"/>
  <c r="A482" i="1"/>
  <c r="A564" i="1"/>
</calcChain>
</file>

<file path=xl/sharedStrings.xml><?xml version="1.0" encoding="utf-8"?>
<sst xmlns="http://schemas.openxmlformats.org/spreadsheetml/2006/main" count="4094" uniqueCount="2567">
  <si>
    <t>Rut Cliente</t>
  </si>
  <si>
    <t>Nombre del Cliente</t>
  </si>
  <si>
    <t>Apellido del Cliente</t>
  </si>
  <si>
    <t>Correo Electrónico del Cliente</t>
  </si>
  <si>
    <t>Dirección del Cliente</t>
  </si>
  <si>
    <t>Fecha de creacion</t>
  </si>
  <si>
    <t>Fecha de Actualizacion</t>
  </si>
  <si>
    <t>Nota asociada al Cliente</t>
  </si>
  <si>
    <t>No</t>
  </si>
  <si>
    <t>Inicial</t>
  </si>
  <si>
    <t>Demo</t>
  </si>
  <si>
    <t>Si</t>
  </si>
  <si>
    <t>Cecilia</t>
  </si>
  <si>
    <t>Cuevas</t>
  </si>
  <si>
    <t>cecilia.cuevas@exposun.cl</t>
  </si>
  <si>
    <t>Ignacio Verdugo</t>
  </si>
  <si>
    <t xml:space="preserve">Rodrigo </t>
  </si>
  <si>
    <t xml:space="preserve">Castañeda </t>
  </si>
  <si>
    <t>rodrigocastanedac@gmail.com</t>
  </si>
  <si>
    <t>Marco</t>
  </si>
  <si>
    <t>CATALAN</t>
  </si>
  <si>
    <t>marcocatalan.info@gmail.com</t>
  </si>
  <si>
    <t>Jose</t>
  </si>
  <si>
    <t>Hirmas</t>
  </si>
  <si>
    <t>jihirmas@miuandes.cl</t>
  </si>
  <si>
    <t>Condominio Polo de Manquehue II 1800</t>
  </si>
  <si>
    <t xml:space="preserve">Jorge </t>
  </si>
  <si>
    <t>Sanchez</t>
  </si>
  <si>
    <t>jorgelsb12@gmail.com</t>
  </si>
  <si>
    <t>Cliente varia en sabores</t>
  </si>
  <si>
    <t>Gabriel</t>
  </si>
  <si>
    <t>Calisto</t>
  </si>
  <si>
    <t>gabriel.calisto@uniacc.edu</t>
  </si>
  <si>
    <t>Ulises</t>
  </si>
  <si>
    <t>Valenzuela</t>
  </si>
  <si>
    <t>ulises.valenzuela@outlook.cl</t>
  </si>
  <si>
    <t xml:space="preserve">Luciano </t>
  </si>
  <si>
    <t>Ridolfi</t>
  </si>
  <si>
    <t>luciano.ridolfi.7@gmail.com</t>
  </si>
  <si>
    <t>Agustin Altet Balzarini</t>
  </si>
  <si>
    <t>Altet Balzarini</t>
  </si>
  <si>
    <t>aaltet@hotmail.com</t>
  </si>
  <si>
    <t xml:space="preserve">Luis </t>
  </si>
  <si>
    <t>Reyes</t>
  </si>
  <si>
    <t>lreyesc@live.com</t>
  </si>
  <si>
    <t>Monica</t>
  </si>
  <si>
    <t>Pontarelli</t>
  </si>
  <si>
    <t>monicadelpilarpontarelli@gmail.com</t>
  </si>
  <si>
    <t>Natalia</t>
  </si>
  <si>
    <t>Quiroga</t>
  </si>
  <si>
    <t>quirogatoledo@gmail.com</t>
  </si>
  <si>
    <t xml:space="preserve">Gonzalo </t>
  </si>
  <si>
    <t>Zaldivar</t>
  </si>
  <si>
    <t>gzaldivar@gmail.com</t>
  </si>
  <si>
    <t>Benjamin</t>
  </si>
  <si>
    <t>Galaz</t>
  </si>
  <si>
    <t>benjamin.galaz44@gmail.com</t>
  </si>
  <si>
    <t xml:space="preserve">Ricardo </t>
  </si>
  <si>
    <t>Vergara</t>
  </si>
  <si>
    <t>postcent123@gmail.com</t>
  </si>
  <si>
    <t>Rafael</t>
  </si>
  <si>
    <t>Leon</t>
  </si>
  <si>
    <t>rleon@asocanalesmaipo.cl</t>
  </si>
  <si>
    <t>Fuma Lucky Azul 58 años</t>
  </si>
  <si>
    <t xml:space="preserve">Pablo </t>
  </si>
  <si>
    <t>Orellana</t>
  </si>
  <si>
    <t>orellana.pablo2013@gmail.com</t>
  </si>
  <si>
    <t xml:space="preserve">José </t>
  </si>
  <si>
    <t>Rodríguez</t>
  </si>
  <si>
    <t>jl.rodriguez.enerlim@gmail.com</t>
  </si>
  <si>
    <t>Complementar el uso de Vapo</t>
  </si>
  <si>
    <t>Carolina</t>
  </si>
  <si>
    <t>Ortiz</t>
  </si>
  <si>
    <t>cortiz.garcia80@gmail.com</t>
  </si>
  <si>
    <t>Fumador social, quiere dejar de fumar.</t>
  </si>
  <si>
    <t>Nelson</t>
  </si>
  <si>
    <t>Araneda</t>
  </si>
  <si>
    <t>nelsondac@gmail.com</t>
  </si>
  <si>
    <t xml:space="preserve">Fumador quiere dejar de fumar </t>
  </si>
  <si>
    <t>Job</t>
  </si>
  <si>
    <t>Montecinos</t>
  </si>
  <si>
    <t>jobmontecinos@812gmail.com</t>
  </si>
  <si>
    <t>Ingresa por busca y consulta de repuestos</t>
  </si>
  <si>
    <t xml:space="preserve">Paula </t>
  </si>
  <si>
    <t>Araya</t>
  </si>
  <si>
    <t>paula.araya.y@gmail.com</t>
  </si>
  <si>
    <t>Fumadora desea dejar de fumar</t>
  </si>
  <si>
    <t>Thomas</t>
  </si>
  <si>
    <t>Puskas</t>
  </si>
  <si>
    <t>t.puskas2005@gmail.com</t>
  </si>
  <si>
    <t>Compra para no fumar</t>
  </si>
  <si>
    <t>Del Rio</t>
  </si>
  <si>
    <t>delriopaula@gmail.com</t>
  </si>
  <si>
    <t>Compra para regalo hermana</t>
  </si>
  <si>
    <t>Carla</t>
  </si>
  <si>
    <t>carlacuevasp@gmail.com</t>
  </si>
  <si>
    <t>Cliente habitual de Vapa me no quiere fumar mas</t>
  </si>
  <si>
    <t xml:space="preserve">Karina </t>
  </si>
  <si>
    <t>Herrera</t>
  </si>
  <si>
    <t>k.herrerato@gmail.com</t>
  </si>
  <si>
    <t>Fumadora quiere dejar de fumar</t>
  </si>
  <si>
    <t>Eduardo</t>
  </si>
  <si>
    <t>Lagos</t>
  </si>
  <si>
    <t>elagosbertrand@gmail.com</t>
  </si>
  <si>
    <t>No Fuma</t>
  </si>
  <si>
    <t>Dorka</t>
  </si>
  <si>
    <t>Soto</t>
  </si>
  <si>
    <t>dorka.soto@gmail.com</t>
  </si>
  <si>
    <t xml:space="preserve">Deisy </t>
  </si>
  <si>
    <t>Barria</t>
  </si>
  <si>
    <t>deisybarriaruiz@gmail.com</t>
  </si>
  <si>
    <t>Daniela</t>
  </si>
  <si>
    <t>Valdivieso Salinas</t>
  </si>
  <si>
    <t>danivaldiviesosalinas@gmail.com</t>
  </si>
  <si>
    <t>Hernan</t>
  </si>
  <si>
    <t>Matamala</t>
  </si>
  <si>
    <t>hernan.matamala@gmail.com</t>
  </si>
  <si>
    <t>san francisco de asis 1800</t>
  </si>
  <si>
    <t>Katherine</t>
  </si>
  <si>
    <t>Mardones</t>
  </si>
  <si>
    <t>kgomezmardones@gmail.com</t>
  </si>
  <si>
    <t>Lorena</t>
  </si>
  <si>
    <t xml:space="preserve">Vergara </t>
  </si>
  <si>
    <t>lvergara.prado@gmail.com</t>
  </si>
  <si>
    <t>Fresh Mint</t>
  </si>
  <si>
    <t>Giovinezza</t>
  </si>
  <si>
    <t>Pérez Massone</t>
  </si>
  <si>
    <t>pgiovinezza@gmail.com</t>
  </si>
  <si>
    <t>Cliente habitual</t>
  </si>
  <si>
    <t>Vásquez</t>
  </si>
  <si>
    <t>rockovasquez@gmail.com</t>
  </si>
  <si>
    <t>Consumidor habitual</t>
  </si>
  <si>
    <t>Ariel</t>
  </si>
  <si>
    <t>Pacheco</t>
  </si>
  <si>
    <t>aryel.pacheco@gmail.com</t>
  </si>
  <si>
    <t>Empieza a dejar de fumar inicia con Vape me</t>
  </si>
  <si>
    <t xml:space="preserve">Flavia </t>
  </si>
  <si>
    <t>Otarola</t>
  </si>
  <si>
    <t>flavia.otrola@uc.cl</t>
  </si>
  <si>
    <t xml:space="preserve">Cliente nuevo </t>
  </si>
  <si>
    <t>Marcelo</t>
  </si>
  <si>
    <t>Seguel</t>
  </si>
  <si>
    <t>marceloseguel@gmail.com</t>
  </si>
  <si>
    <t>Prescripción medica de THC le interesan los Vape</t>
  </si>
  <si>
    <t>Bernardita</t>
  </si>
  <si>
    <t>Alvarez</t>
  </si>
  <si>
    <t>benny_lorena@hotmail.cl</t>
  </si>
  <si>
    <t>No fuma</t>
  </si>
  <si>
    <t xml:space="preserve">Priscilla </t>
  </si>
  <si>
    <t>Contreras</t>
  </si>
  <si>
    <t>pdpcontrerasf@gmail.com</t>
  </si>
  <si>
    <t>Quiere dejar de fumar</t>
  </si>
  <si>
    <t xml:space="preserve">Andrea </t>
  </si>
  <si>
    <t>Torres</t>
  </si>
  <si>
    <t>andreatorres01@gmail.com</t>
  </si>
  <si>
    <t>Fumadora social de Vape.</t>
  </si>
  <si>
    <t>Maite</t>
  </si>
  <si>
    <t>Fernández</t>
  </si>
  <si>
    <t>maitefdzjj@gmail.com</t>
  </si>
  <si>
    <t>Fumadora social</t>
  </si>
  <si>
    <t xml:space="preserve">Marcela </t>
  </si>
  <si>
    <t>Molina</t>
  </si>
  <si>
    <t>mmolibe@gmail.com</t>
  </si>
  <si>
    <t>Regalo para esposo, para dejar de fumar.</t>
  </si>
  <si>
    <t>Andres</t>
  </si>
  <si>
    <t>Fuenzalida</t>
  </si>
  <si>
    <t>anicolasfuenzalidasaez@gmail.com</t>
  </si>
  <si>
    <t xml:space="preserve">Carlos </t>
  </si>
  <si>
    <t>Dellepiiane</t>
  </si>
  <si>
    <t>cdellepiianebravo@gmail.com</t>
  </si>
  <si>
    <t xml:space="preserve">Quiere dejar de fumar </t>
  </si>
  <si>
    <t>Yasna</t>
  </si>
  <si>
    <t>Ascencio</t>
  </si>
  <si>
    <t>yasna.ascencio@gmail.com</t>
  </si>
  <si>
    <t>Fumadora de vapos busca nicotina</t>
  </si>
  <si>
    <t>Carlos</t>
  </si>
  <si>
    <t>Basualto</t>
  </si>
  <si>
    <t>carlitos.basualto@gmail.com</t>
  </si>
  <si>
    <t>Fermin</t>
  </si>
  <si>
    <t>Granado</t>
  </si>
  <si>
    <t>fermin.bueno1@icloud.com</t>
  </si>
  <si>
    <t xml:space="preserve">Gabriel </t>
  </si>
  <si>
    <t>Becerra</t>
  </si>
  <si>
    <t>gabriel.becerra2912@gmail.com</t>
  </si>
  <si>
    <t xml:space="preserve">Fernando </t>
  </si>
  <si>
    <t>Ortiz Amigo</t>
  </si>
  <si>
    <t>fernando@animabtl.cl</t>
  </si>
  <si>
    <t xml:space="preserve">Ismael </t>
  </si>
  <si>
    <t>Osses</t>
  </si>
  <si>
    <t>ih.osses@gmail.com</t>
  </si>
  <si>
    <t>Nicolas</t>
  </si>
  <si>
    <t>Paz</t>
  </si>
  <si>
    <t>bbzkai13@gmail.com</t>
  </si>
  <si>
    <t>Esteban</t>
  </si>
  <si>
    <t>Vasquez</t>
  </si>
  <si>
    <t>es_tean@hotmail.com</t>
  </si>
  <si>
    <t>Pran</t>
  </si>
  <si>
    <t>Escobar</t>
  </si>
  <si>
    <t>pran.escobar@gmail.com</t>
  </si>
  <si>
    <t>Consumidor de Vapos buena aceptación con equipos desechables</t>
  </si>
  <si>
    <t>Mirkos</t>
  </si>
  <si>
    <t>Rojas</t>
  </si>
  <si>
    <t>mrojas.personal@gmail.com</t>
  </si>
  <si>
    <t>Rodrigo</t>
  </si>
  <si>
    <t>Sepulveda</t>
  </si>
  <si>
    <t>rasotomon@gmail.com</t>
  </si>
  <si>
    <t>Vapeador</t>
  </si>
  <si>
    <t>Francisca</t>
  </si>
  <si>
    <t>Barrios</t>
  </si>
  <si>
    <t>fvberriosz@gmail.com</t>
  </si>
  <si>
    <t>Nunoa</t>
  </si>
  <si>
    <t>Clienta Habitual</t>
  </si>
  <si>
    <t>Almendra</t>
  </si>
  <si>
    <t>Seaz</t>
  </si>
  <si>
    <t>almendrasaezcontacto@gmail.com</t>
  </si>
  <si>
    <t>Clienta nueva quiere dejar de fumar</t>
  </si>
  <si>
    <t xml:space="preserve">KAREN </t>
  </si>
  <si>
    <t>THURNER</t>
  </si>
  <si>
    <t>karen.thurner.a@gmail.com</t>
  </si>
  <si>
    <t>Cliente habitual de Vapame</t>
  </si>
  <si>
    <t>Dominique</t>
  </si>
  <si>
    <t>Morardes</t>
  </si>
  <si>
    <t>dominiquederamonardes21@gmail.com</t>
  </si>
  <si>
    <t>Fumadora social, no quiere fumar mas cigarrillos</t>
  </si>
  <si>
    <t>Beatriz</t>
  </si>
  <si>
    <t>Ulloa</t>
  </si>
  <si>
    <t>descuentos.bea@gmail.com</t>
  </si>
  <si>
    <t xml:space="preserve">Alexander </t>
  </si>
  <si>
    <t>M</t>
  </si>
  <si>
    <t>alek.desinger.m@gmail.com</t>
  </si>
  <si>
    <t>Sebastian</t>
  </si>
  <si>
    <t>Campos</t>
  </si>
  <si>
    <t>sebastian.c.r777@gmail.com</t>
  </si>
  <si>
    <t>Eric</t>
  </si>
  <si>
    <t>Arancibia</t>
  </si>
  <si>
    <t>ericarcis72@gmail.com</t>
  </si>
  <si>
    <t>Amparo</t>
  </si>
  <si>
    <t>Pardo Fernandez</t>
  </si>
  <si>
    <t>amparopardo@gmail.com</t>
  </si>
  <si>
    <t>Jorge</t>
  </si>
  <si>
    <t>Astorga</t>
  </si>
  <si>
    <t>kokeastorga@gmail.com</t>
  </si>
  <si>
    <t>Henríquez Muñoz</t>
  </si>
  <si>
    <t>chenriquezmunoz@gmail.com</t>
  </si>
  <si>
    <t>Adison</t>
  </si>
  <si>
    <t>Catalan</t>
  </si>
  <si>
    <t>adison@serviciolex.com</t>
  </si>
  <si>
    <t>Regalo para la esposa, dejara de fumar</t>
  </si>
  <si>
    <t>pazfdezp@gmail.com</t>
  </si>
  <si>
    <t>Estefania</t>
  </si>
  <si>
    <t>Muñoz</t>
  </si>
  <si>
    <t>fanhymunoz@gmail.com</t>
  </si>
  <si>
    <t>No quiere fumar mas</t>
  </si>
  <si>
    <t>Jaime</t>
  </si>
  <si>
    <t>Alfaro</t>
  </si>
  <si>
    <t>jaime.alfaro.j@gmail.com</t>
  </si>
  <si>
    <t>Dejo de fumar, continua con Vapame</t>
  </si>
  <si>
    <t>Patricio</t>
  </si>
  <si>
    <t>Miranda</t>
  </si>
  <si>
    <t>fabian.miranda99@gmail.com</t>
  </si>
  <si>
    <t xml:space="preserve">No quiere fumar </t>
  </si>
  <si>
    <t>Martin</t>
  </si>
  <si>
    <t>m.ignacioss98@gmail.com</t>
  </si>
  <si>
    <t>Trevor</t>
  </si>
  <si>
    <t>Merton</t>
  </si>
  <si>
    <t>trevormerton@yahoo.com</t>
  </si>
  <si>
    <t>Diaz Contreras</t>
  </si>
  <si>
    <t>diazcontrerasgabriel@gmail.com</t>
  </si>
  <si>
    <t>Cliente se inicia en el mundo del vapo</t>
  </si>
  <si>
    <t>Cristian</t>
  </si>
  <si>
    <t>Bustamante</t>
  </si>
  <si>
    <t>petonoma@gmail.com</t>
  </si>
  <si>
    <t>José Domingo Cañas 2551</t>
  </si>
  <si>
    <t>Los compra para su madre, primera incursión en el mundo de dejar de fumar</t>
  </si>
  <si>
    <t>Carmen</t>
  </si>
  <si>
    <t>Sarda Garcia</t>
  </si>
  <si>
    <t>carmensardagarcia@gmail.com</t>
  </si>
  <si>
    <t>Fumadora habitual de vapos</t>
  </si>
  <si>
    <t>Gattas</t>
  </si>
  <si>
    <t>rodrigogattas@gmail.com</t>
  </si>
  <si>
    <t xml:space="preserve">Cliente habitual de vapos </t>
  </si>
  <si>
    <t>Claudia</t>
  </si>
  <si>
    <t>Espinoza</t>
  </si>
  <si>
    <t>clauespinoza@gmail.com</t>
  </si>
  <si>
    <t>Regalo para hermana y prueba un equipo ella, para iniciar el proceso de dejar de fumar</t>
  </si>
  <si>
    <t>Pamela Andrea</t>
  </si>
  <si>
    <t>Parra</t>
  </si>
  <si>
    <t>parra.pamelaandrea@gmail.com</t>
  </si>
  <si>
    <t>Inicia en el mundo del vapo</t>
  </si>
  <si>
    <t>Sandra</t>
  </si>
  <si>
    <t>Guerrero</t>
  </si>
  <si>
    <t>sandraguerra@umag.cl</t>
  </si>
  <si>
    <t>Soledad</t>
  </si>
  <si>
    <t>Bell</t>
  </si>
  <si>
    <t>s.bellruz@hotmail.com</t>
  </si>
  <si>
    <t xml:space="preserve">Cristina </t>
  </si>
  <si>
    <t>Calderon</t>
  </si>
  <si>
    <t>joyasvi@gmail.com</t>
  </si>
  <si>
    <t>Evitando fumar cada vez menos</t>
  </si>
  <si>
    <t xml:space="preserve">Maciel </t>
  </si>
  <si>
    <t>Salinas</t>
  </si>
  <si>
    <t>maciel.salinas@gmail.com</t>
  </si>
  <si>
    <t>Inicia en mundo del vapo para dejar de fumar</t>
  </si>
  <si>
    <t>rgattasb@gmail.com</t>
  </si>
  <si>
    <t>Nikolas</t>
  </si>
  <si>
    <t>Escobar Toro</t>
  </si>
  <si>
    <t>nikolas.escobar.toro@gmail.com</t>
  </si>
  <si>
    <t xml:space="preserve">Matias </t>
  </si>
  <si>
    <t>Cornejo</t>
  </si>
  <si>
    <t>matias.cornejo1988@gmail.com</t>
  </si>
  <si>
    <t>Ana Laura</t>
  </si>
  <si>
    <t>searle</t>
  </si>
  <si>
    <t>analaurasearle.max@gmail.com</t>
  </si>
  <si>
    <t>Navarro</t>
  </si>
  <si>
    <t>c.navarrop18@gmail.com</t>
  </si>
  <si>
    <t>Ernesto</t>
  </si>
  <si>
    <t>Aularh</t>
  </si>
  <si>
    <t>ernesto.aularh@gmail.com</t>
  </si>
  <si>
    <t>Javiera</t>
  </si>
  <si>
    <t>Marti Valencia</t>
  </si>
  <si>
    <t>jmarti.valencia@gmail.com</t>
  </si>
  <si>
    <t>Jasmin</t>
  </si>
  <si>
    <t>Morales</t>
  </si>
  <si>
    <t>jasmin.morales@ugm.cl</t>
  </si>
  <si>
    <t>Mariano</t>
  </si>
  <si>
    <t>De la Cerda</t>
  </si>
  <si>
    <t>marianodelacerda@gmail.com</t>
  </si>
  <si>
    <t>Nicole</t>
  </si>
  <si>
    <t>Santis</t>
  </si>
  <si>
    <t>nicolesantiseloisa@gmail.com</t>
  </si>
  <si>
    <t>m.sepulve99@gmail.com</t>
  </si>
  <si>
    <t>Peréz</t>
  </si>
  <si>
    <t>carlos.perez.c@live.cl</t>
  </si>
  <si>
    <t>Gabriela</t>
  </si>
  <si>
    <t>Tapia</t>
  </si>
  <si>
    <t>gabrielaisabeltapia.17@gmail.com</t>
  </si>
  <si>
    <t>Stivaly</t>
  </si>
  <si>
    <t>Watkins</t>
  </si>
  <si>
    <t>psicologawatkins@gmail.com</t>
  </si>
  <si>
    <t>Pamela</t>
  </si>
  <si>
    <t>Gonzalez</t>
  </si>
  <si>
    <t>pame.agc@gmail.com</t>
  </si>
  <si>
    <t>Lopez</t>
  </si>
  <si>
    <t>franilop98@gmail.com</t>
  </si>
  <si>
    <t>Karina</t>
  </si>
  <si>
    <t>kmoralespena@gmail.com</t>
  </si>
  <si>
    <t>José Miguel</t>
  </si>
  <si>
    <t>Silva</t>
  </si>
  <si>
    <t>josemiguelsilva0@gmail.com</t>
  </si>
  <si>
    <t>Juan</t>
  </si>
  <si>
    <t>Rivera</t>
  </si>
  <si>
    <t>jdariasrivera@gmail.com</t>
  </si>
  <si>
    <t>Probando equipos</t>
  </si>
  <si>
    <t>Dureaux</t>
  </si>
  <si>
    <t>jorgedureaux@gmail.com</t>
  </si>
  <si>
    <t>Retamal</t>
  </si>
  <si>
    <t xml:space="preserve">Elisabeth </t>
  </si>
  <si>
    <t>Atenas</t>
  </si>
  <si>
    <t>elisabethatenas@gmail.com</t>
  </si>
  <si>
    <t>Isidora</t>
  </si>
  <si>
    <t>Saffie</t>
  </si>
  <si>
    <t>motasaffie@gmail.com</t>
  </si>
  <si>
    <t>Juan Manuel</t>
  </si>
  <si>
    <t>juan.lopezromo@gmail.com</t>
  </si>
  <si>
    <t>Quieren dejar de fumar con su señora</t>
  </si>
  <si>
    <t>Javier</t>
  </si>
  <si>
    <t>Gibert</t>
  </si>
  <si>
    <t>jagibert@gmail.com</t>
  </si>
  <si>
    <t>Antonia</t>
  </si>
  <si>
    <t>Vivallo</t>
  </si>
  <si>
    <t>antoniavivallo@gmail.com</t>
  </si>
  <si>
    <t>Para Regalo</t>
  </si>
  <si>
    <t>Florencia</t>
  </si>
  <si>
    <t>florenciaalejandralin@gmail.com</t>
  </si>
  <si>
    <t>Abraham</t>
  </si>
  <si>
    <t>abrahamsoto639@gmail.com</t>
  </si>
  <si>
    <t>Se inicia en mundo de Vapa me</t>
  </si>
  <si>
    <t>Carreño</t>
  </si>
  <si>
    <t>krloscp.adv@gmail.com</t>
  </si>
  <si>
    <t>Daniel</t>
  </si>
  <si>
    <t>Arias</t>
  </si>
  <si>
    <t>dariasga@gmail.com</t>
  </si>
  <si>
    <t>Cliente de Vape me quiere de dejar el cigarro</t>
  </si>
  <si>
    <t>Paulina</t>
  </si>
  <si>
    <t>Bouniot</t>
  </si>
  <si>
    <t>pbouniot@gmail.com</t>
  </si>
  <si>
    <t>Sergio</t>
  </si>
  <si>
    <t>Riquelme</t>
  </si>
  <si>
    <t>sergionachi@gmail.com</t>
  </si>
  <si>
    <t>Madariaga Bravo</t>
  </si>
  <si>
    <t>caritomadariaga@gmail.com</t>
  </si>
  <si>
    <t>Para la hermana para que deje de fumar</t>
  </si>
  <si>
    <t>Felipe</t>
  </si>
  <si>
    <t>Oyanadel</t>
  </si>
  <si>
    <t>felipeoyanadev@gmail.com</t>
  </si>
  <si>
    <t>No quiere fumar</t>
  </si>
  <si>
    <t>Gloria</t>
  </si>
  <si>
    <t>Hidalgo</t>
  </si>
  <si>
    <t>gloriahidalgo.m@gmail.com</t>
  </si>
  <si>
    <t xml:space="preserve">Javiera </t>
  </si>
  <si>
    <t>Rivas</t>
  </si>
  <si>
    <t>javiera19rivas@gmail.com</t>
  </si>
  <si>
    <t>Valentina</t>
  </si>
  <si>
    <t>Guzman</t>
  </si>
  <si>
    <t>valeguzman212013@gmail.com</t>
  </si>
  <si>
    <t>Javiera Fernanda</t>
  </si>
  <si>
    <t>Brierly</t>
  </si>
  <si>
    <t>javiera.fernanda@gmail.com</t>
  </si>
  <si>
    <t>Constanza</t>
  </si>
  <si>
    <t>Barrera</t>
  </si>
  <si>
    <t>coni.barrera.cabrera@gmail.com</t>
  </si>
  <si>
    <t>Dejando el cigarro</t>
  </si>
  <si>
    <t xml:space="preserve">Margarita </t>
  </si>
  <si>
    <t>Leal Leiva</t>
  </si>
  <si>
    <t>margarata21@hotmail.com</t>
  </si>
  <si>
    <t>Para la mama que deje de fumar</t>
  </si>
  <si>
    <t>Hodge</t>
  </si>
  <si>
    <t>gabrielhodge1@gmail.com</t>
  </si>
  <si>
    <t>Fumador social de tabaco</t>
  </si>
  <si>
    <t>Marchant</t>
  </si>
  <si>
    <t>patricio.marchant@gmail.com</t>
  </si>
  <si>
    <t>Francisco</t>
  </si>
  <si>
    <t>green.of.benet@gmail.com</t>
  </si>
  <si>
    <t>Mena</t>
  </si>
  <si>
    <t>adolfomena1311@gmail.com</t>
  </si>
  <si>
    <t>Hans</t>
  </si>
  <si>
    <t>Kind Kligge</t>
  </si>
  <si>
    <t>hanskinol@gmail.com</t>
  </si>
  <si>
    <t>Compra para la esposa</t>
  </si>
  <si>
    <t xml:space="preserve">Andy </t>
  </si>
  <si>
    <t>Norambuena</t>
  </si>
  <si>
    <t>norambuena.andy@gmail.com</t>
  </si>
  <si>
    <t>En proceso de dejar de fumar</t>
  </si>
  <si>
    <t>Víctor</t>
  </si>
  <si>
    <t>victor.guerrero.ignacio@gmail.com</t>
  </si>
  <si>
    <t>Belen</t>
  </si>
  <si>
    <t>Santana Queirolo</t>
  </si>
  <si>
    <t>belensantanaqueirolo@gmail.com</t>
  </si>
  <si>
    <t>Regalo para la hermana</t>
  </si>
  <si>
    <t>Diego</t>
  </si>
  <si>
    <t>damunozd@gmail.com</t>
  </si>
  <si>
    <t>Mariela</t>
  </si>
  <si>
    <t>mariela.paguerrero@gmail.com</t>
  </si>
  <si>
    <t>Yesenia</t>
  </si>
  <si>
    <t>Vallejos</t>
  </si>
  <si>
    <t>yeseniavallejos@hotmail.com</t>
  </si>
  <si>
    <t>Miriam</t>
  </si>
  <si>
    <t>Martinez</t>
  </si>
  <si>
    <t>miriam_martinez.p@hotmail.com</t>
  </si>
  <si>
    <t>Mujica</t>
  </si>
  <si>
    <t>v.mujicabecerro@gmail.com</t>
  </si>
  <si>
    <t>burgos</t>
  </si>
  <si>
    <t>rburgoso@hotmail.com</t>
  </si>
  <si>
    <t>Camila</t>
  </si>
  <si>
    <t>Santana</t>
  </si>
  <si>
    <t>csantana.ar@gmail.com</t>
  </si>
  <si>
    <t>Paula</t>
  </si>
  <si>
    <t>dlizanaalvarez@gmail.com</t>
  </si>
  <si>
    <t>correo es de Dario la pareja de Paula, que es fumadora solo social.</t>
  </si>
  <si>
    <t>Pilar del Carmen</t>
  </si>
  <si>
    <t>Inostroza</t>
  </si>
  <si>
    <t>pilardelcarmen@traducciones.cl</t>
  </si>
  <si>
    <t>Gissele</t>
  </si>
  <si>
    <t>giss.arancibia@hotmail.com</t>
  </si>
  <si>
    <t>cbmorales.c@gmail.com</t>
  </si>
  <si>
    <t>Fariña</t>
  </si>
  <si>
    <t>paupolina@gmail.com</t>
  </si>
  <si>
    <t>Gennira</t>
  </si>
  <si>
    <t>Raimondi</t>
  </si>
  <si>
    <t>gennira@hotmail.com</t>
  </si>
  <si>
    <t>alex</t>
  </si>
  <si>
    <t>tonme</t>
  </si>
  <si>
    <t>alex.tonme@gmail.com</t>
  </si>
  <si>
    <t>Bartholin</t>
  </si>
  <si>
    <t>cbartholin@gmail.com</t>
  </si>
  <si>
    <t>Damaso</t>
  </si>
  <si>
    <t>Jara</t>
  </si>
  <si>
    <t>d23ajad@gmail.com</t>
  </si>
  <si>
    <t>Victor</t>
  </si>
  <si>
    <t>victormunozveloso@gmail.com</t>
  </si>
  <si>
    <t>cguzman_12@hotmail.com</t>
  </si>
  <si>
    <t>Fernando</t>
  </si>
  <si>
    <t>mafeg120@gmail.com</t>
  </si>
  <si>
    <t>maipu</t>
  </si>
  <si>
    <t>mamaval1228@gmail.com</t>
  </si>
  <si>
    <t>yasna</t>
  </si>
  <si>
    <t>valdebenito</t>
  </si>
  <si>
    <t>yasna.valdevenito@gmail.com</t>
  </si>
  <si>
    <t>Cajas</t>
  </si>
  <si>
    <t>comercial.importadora.cyc@gmail.com</t>
  </si>
  <si>
    <t>Ruth</t>
  </si>
  <si>
    <t>rmvergaraperez@gmail.com</t>
  </si>
  <si>
    <t>Se inicia en mundo del Vapame</t>
  </si>
  <si>
    <t>Alejandra</t>
  </si>
  <si>
    <t>Diaz</t>
  </si>
  <si>
    <t>alejandra.diazval@gmail.com</t>
  </si>
  <si>
    <t>Gatica Mena</t>
  </si>
  <si>
    <t>fernandogaticamena@gmail.com</t>
  </si>
  <si>
    <t>Para regalo</t>
  </si>
  <si>
    <t>Ines</t>
  </si>
  <si>
    <t>Villanueva</t>
  </si>
  <si>
    <t>inesvillanueva@gmail.com</t>
  </si>
  <si>
    <t>Esta dejando de fumar</t>
  </si>
  <si>
    <t>Alvaro</t>
  </si>
  <si>
    <t>Meneses</t>
  </si>
  <si>
    <t>amenesesr@gmail.com</t>
  </si>
  <si>
    <t>Volvió a fumar después de 7 años con la pandemia y ahora busca un equipo sin nicotina.</t>
  </si>
  <si>
    <t>Gustavo</t>
  </si>
  <si>
    <t>Aguilera</t>
  </si>
  <si>
    <t>gusthof@gmail.com</t>
  </si>
  <si>
    <t>Silvia</t>
  </si>
  <si>
    <t>sylvia_vasquezs@hotmail.com</t>
  </si>
  <si>
    <t>Regalo para la madre para que deje de fumar</t>
  </si>
  <si>
    <t>Ricardo</t>
  </si>
  <si>
    <t>Ferrada</t>
  </si>
  <si>
    <t>rdo_jfl@hotmail.com</t>
  </si>
  <si>
    <t xml:space="preserve">Para familiar que fuma </t>
  </si>
  <si>
    <t>Manuel</t>
  </si>
  <si>
    <t>Lafferte</t>
  </si>
  <si>
    <t>mlaffertem@yahoo.com</t>
  </si>
  <si>
    <t>Deniss</t>
  </si>
  <si>
    <t>denissbiograd@hotmail.com</t>
  </si>
  <si>
    <t>Tendencia</t>
  </si>
  <si>
    <t>Maryory</t>
  </si>
  <si>
    <t>Kendall</t>
  </si>
  <si>
    <t>mkendalles@gmail.com</t>
  </si>
  <si>
    <t>Para el esposo Luis Morales fuma dos cajas al día</t>
  </si>
  <si>
    <t>Tomas</t>
  </si>
  <si>
    <t>Hermosilla</t>
  </si>
  <si>
    <t>tomas.hermosilla@hotmail.com</t>
  </si>
  <si>
    <t>Marisol</t>
  </si>
  <si>
    <t>Llanos</t>
  </si>
  <si>
    <t>marisol.llanosrozas@gmail.com</t>
  </si>
  <si>
    <t>Empieza a dejar de fumar</t>
  </si>
  <si>
    <t>Trinidad</t>
  </si>
  <si>
    <t>trinidadsanchez2414@gmail.com</t>
  </si>
  <si>
    <t>Tamara</t>
  </si>
  <si>
    <t>Abufhele</t>
  </si>
  <si>
    <t>tamara.abufhele@gmail.com</t>
  </si>
  <si>
    <t>No quiere volver a fumar</t>
  </si>
  <si>
    <t>Elizabeth</t>
  </si>
  <si>
    <t>De Juan K</t>
  </si>
  <si>
    <t>ely.dejuan36@gmail.com</t>
  </si>
  <si>
    <t>Boris</t>
  </si>
  <si>
    <t>Hernández</t>
  </si>
  <si>
    <t>borishernandez1@gmail.com</t>
  </si>
  <si>
    <t>Macarena</t>
  </si>
  <si>
    <t>Piñeda</t>
  </si>
  <si>
    <t>macapinedas@gmail.com</t>
  </si>
  <si>
    <t>Shunashi</t>
  </si>
  <si>
    <t>Ramirez</t>
  </si>
  <si>
    <t>ramirezsunn@gmail.com</t>
  </si>
  <si>
    <t>Ximena</t>
  </si>
  <si>
    <t>Oggero</t>
  </si>
  <si>
    <t>ximenaoggero@gmail.com</t>
  </si>
  <si>
    <t>Daria</t>
  </si>
  <si>
    <t>Czerwenka</t>
  </si>
  <si>
    <t>dzerwenkae@gmail.com</t>
  </si>
  <si>
    <t>shirly</t>
  </si>
  <si>
    <t>Freidzon</t>
  </si>
  <si>
    <t>sfreidzonm@gmail.com</t>
  </si>
  <si>
    <t>Ian</t>
  </si>
  <si>
    <t>Palma</t>
  </si>
  <si>
    <t>ianpalma469@gmail.com</t>
  </si>
  <si>
    <t>Miguel</t>
  </si>
  <si>
    <t>Caris</t>
  </si>
  <si>
    <t>miguel.v.caris@gmail.com</t>
  </si>
  <si>
    <t>Paola</t>
  </si>
  <si>
    <t>Solari</t>
  </si>
  <si>
    <t>psolari17@gmail.com</t>
  </si>
  <si>
    <t>Loreto</t>
  </si>
  <si>
    <t>Cepeda</t>
  </si>
  <si>
    <t>loreto.cepeda@gmail.com</t>
  </si>
  <si>
    <t>Sole</t>
  </si>
  <si>
    <t>sole.barrera.d@gmail.com</t>
  </si>
  <si>
    <t>Cris</t>
  </si>
  <si>
    <t>Almona</t>
  </si>
  <si>
    <t>cris.almona1979@gmail.com</t>
  </si>
  <si>
    <t>Cardenas</t>
  </si>
  <si>
    <t>felipecardenas301@gmail.com</t>
  </si>
  <si>
    <t>Penzo</t>
  </si>
  <si>
    <t>carlospenzo.12@gmail.com</t>
  </si>
  <si>
    <t>Suarez</t>
  </si>
  <si>
    <t>hgsuarez@uc.cl</t>
  </si>
  <si>
    <t>Giorgio</t>
  </si>
  <si>
    <t>Castelli</t>
  </si>
  <si>
    <t>gcastellio@gmail.com</t>
  </si>
  <si>
    <t>empieza a dejar de fumar/ primer equipo en vape me 02/01/24</t>
  </si>
  <si>
    <t xml:space="preserve">Juan Pablo </t>
  </si>
  <si>
    <t xml:space="preserve">Sepulveda </t>
  </si>
  <si>
    <t>jpsepulveda00@gmail.com</t>
  </si>
  <si>
    <t>mariana</t>
  </si>
  <si>
    <t>garcía</t>
  </si>
  <si>
    <t>marianapazgarcia@gmail.com</t>
  </si>
  <si>
    <t>quiere dejar de fumar</t>
  </si>
  <si>
    <t>sebastian</t>
  </si>
  <si>
    <t>cortes</t>
  </si>
  <si>
    <t>sebastian.cortesm@gmail.com</t>
  </si>
  <si>
    <t>Fumador, comenzando con los vaporizadores en vapeme</t>
  </si>
  <si>
    <t>Videla</t>
  </si>
  <si>
    <t>videlajorge57@gmail.com</t>
  </si>
  <si>
    <t>Compra para una amiga</t>
  </si>
  <si>
    <t xml:space="preserve">Emilia </t>
  </si>
  <si>
    <t>Quintanilla</t>
  </si>
  <si>
    <t>emi.quintanilla@gmail.com</t>
  </si>
  <si>
    <t>caamirivasc@gmail.com</t>
  </si>
  <si>
    <t>Rojas Venegas</t>
  </si>
  <si>
    <t>rojasvenegasclaudia@gmail.com</t>
  </si>
  <si>
    <t>Carlo</t>
  </si>
  <si>
    <t>fabriciolla3@gmail.com</t>
  </si>
  <si>
    <t>Roco</t>
  </si>
  <si>
    <t>caami.pm@gmail.com</t>
  </si>
  <si>
    <t>Se inicia en el mundo de Vape me.</t>
  </si>
  <si>
    <t xml:space="preserve">Romina </t>
  </si>
  <si>
    <t>romina.palma@gmail.com</t>
  </si>
  <si>
    <t>pasa de cigarros a vape</t>
  </si>
  <si>
    <t>Micaella</t>
  </si>
  <si>
    <t>Guajardo</t>
  </si>
  <si>
    <t>mica.guajardo.p@gmail.com</t>
  </si>
  <si>
    <t>Moreno Serrano</t>
  </si>
  <si>
    <t>dmorenoserrano@gmail.com</t>
  </si>
  <si>
    <t>Mayor</t>
  </si>
  <si>
    <t>cmayorm@gmail.com</t>
  </si>
  <si>
    <t>Alejandro</t>
  </si>
  <si>
    <t>Hayashi</t>
  </si>
  <si>
    <t>alejandro.hayashi@gmail.com</t>
  </si>
  <si>
    <t>habia comprado previamente, no estaba registrado</t>
  </si>
  <si>
    <t xml:space="preserve">González </t>
  </si>
  <si>
    <t>lorenagonzalez1973@outlook.cl</t>
  </si>
  <si>
    <t>Para el hijo quiere dejar de fumar</t>
  </si>
  <si>
    <t>Lynch</t>
  </si>
  <si>
    <t>isipazlych@gmail.com</t>
  </si>
  <si>
    <t>Consumidora de equipos fume, dejando de fumar</t>
  </si>
  <si>
    <t>Castillo</t>
  </si>
  <si>
    <t>jorgehisagi@gmail.com</t>
  </si>
  <si>
    <t>No quiere fumar mas cigarros</t>
  </si>
  <si>
    <t xml:space="preserve">Ramírez </t>
  </si>
  <si>
    <t>danipaz22@yahoo.es</t>
  </si>
  <si>
    <t>Rosas</t>
  </si>
  <si>
    <t>crosasc@uc.cl</t>
  </si>
  <si>
    <t>dejo de fumar, interesada en vape para manera ocasional</t>
  </si>
  <si>
    <t xml:space="preserve">montserrat </t>
  </si>
  <si>
    <t>alvarez</t>
  </si>
  <si>
    <t>montseyeso@gmail.com</t>
  </si>
  <si>
    <t>compra vapos recargables, se lleva uno desechable</t>
  </si>
  <si>
    <t>Gabryela</t>
  </si>
  <si>
    <t>gabyandreat@gmail.com</t>
  </si>
  <si>
    <t>consumidora de vapes, primera vez en vapeme</t>
  </si>
  <si>
    <t>francisco</t>
  </si>
  <si>
    <t>fernandez</t>
  </si>
  <si>
    <t>francisco.fer.albarracin@gmail.com</t>
  </si>
  <si>
    <t>Consume vapes, consulta por algun simil al que tenía</t>
  </si>
  <si>
    <t>Joaquin</t>
  </si>
  <si>
    <t>joaquinv.walter@gmail.com</t>
  </si>
  <si>
    <t>marcela.riquelmec@gmail.com</t>
  </si>
  <si>
    <t>Virginia</t>
  </si>
  <si>
    <t>Montoya</t>
  </si>
  <si>
    <t>montoya.virginia@gmail.com</t>
  </si>
  <si>
    <t>vapeadora ocasional</t>
  </si>
  <si>
    <t>Max</t>
  </si>
  <si>
    <t>Manzo</t>
  </si>
  <si>
    <t>miarsinho@gmail.com</t>
  </si>
  <si>
    <t>de region, pasa a comprar y se recomienda la pagina para envios a domicilio</t>
  </si>
  <si>
    <t>Patricia</t>
  </si>
  <si>
    <t>Lillo</t>
  </si>
  <si>
    <t>patricia.lilloleon@gmail.com</t>
  </si>
  <si>
    <t>quiere vapear para no fumar tanto pucho en las situaciones sociales, interesada en vapos fume</t>
  </si>
  <si>
    <t xml:space="preserve">Manuela </t>
  </si>
  <si>
    <t>sepulveda</t>
  </si>
  <si>
    <t>cmsepulvedas@gmail.com</t>
  </si>
  <si>
    <t>vapeaba antes, vuelva a vapear</t>
  </si>
  <si>
    <t xml:space="preserve">valeria </t>
  </si>
  <si>
    <t>acevedo</t>
  </si>
  <si>
    <t>valeria.acevedofuentes@gmail.com</t>
  </si>
  <si>
    <t>vapeadora</t>
  </si>
  <si>
    <t xml:space="preserve">Sebastian </t>
  </si>
  <si>
    <t>sebastiancontreras82@hotmail.com</t>
  </si>
  <si>
    <t>quieren compensar el cigarrillo</t>
  </si>
  <si>
    <t>montserrat</t>
  </si>
  <si>
    <t>fuenzalida</t>
  </si>
  <si>
    <t>m604fufe@gmail.com</t>
  </si>
  <si>
    <t>benjamin</t>
  </si>
  <si>
    <t>olivares</t>
  </si>
  <si>
    <t>benjamin-o-1996@hotmail.com</t>
  </si>
  <si>
    <t>rocio</t>
  </si>
  <si>
    <t>montiel</t>
  </si>
  <si>
    <t>rmontiellobos@gmail.com</t>
  </si>
  <si>
    <t xml:space="preserve">alexander </t>
  </si>
  <si>
    <t>olave</t>
  </si>
  <si>
    <t>alexander.olaved@gmail.com</t>
  </si>
  <si>
    <t>Catalina</t>
  </si>
  <si>
    <t>clagosm81@gmail.com</t>
  </si>
  <si>
    <t>Mario</t>
  </si>
  <si>
    <t>marioalvarezb@gmail.com</t>
  </si>
  <si>
    <t>Vicente</t>
  </si>
  <si>
    <t>Massa</t>
  </si>
  <si>
    <t>vicho.massag@gmail.com</t>
  </si>
  <si>
    <t>amaya</t>
  </si>
  <si>
    <t>sidgman</t>
  </si>
  <si>
    <t>amayasidgman@gmail.com</t>
  </si>
  <si>
    <t>pablo</t>
  </si>
  <si>
    <t>leon</t>
  </si>
  <si>
    <t>pablo.leon.96@hotmail.com</t>
  </si>
  <si>
    <t>pia</t>
  </si>
  <si>
    <t>fricke</t>
  </si>
  <si>
    <t>pia.freakm@gmail.com</t>
  </si>
  <si>
    <t>karla</t>
  </si>
  <si>
    <t>ruz</t>
  </si>
  <si>
    <t>karlaa.ruz@gmail.com</t>
  </si>
  <si>
    <t>Romina</t>
  </si>
  <si>
    <t>Saldias</t>
  </si>
  <si>
    <t>romina.saldiass@gmail.com</t>
  </si>
  <si>
    <t>Perez</t>
  </si>
  <si>
    <t>sergiodperez95@gmail.com</t>
  </si>
  <si>
    <t>Castro</t>
  </si>
  <si>
    <t>pcasgo@gmail.com</t>
  </si>
  <si>
    <t>María Victoria</t>
  </si>
  <si>
    <t>vitopmb@gmail.com</t>
  </si>
  <si>
    <t xml:space="preserve">Julio </t>
  </si>
  <si>
    <t>juliorivera@spotcloul.io</t>
  </si>
  <si>
    <t xml:space="preserve">Marines </t>
  </si>
  <si>
    <t>Savarino</t>
  </si>
  <si>
    <t>marinessavarino@hotmail.com</t>
  </si>
  <si>
    <t>Ana Maria</t>
  </si>
  <si>
    <t>anidiaz.21@gmail.com</t>
  </si>
  <si>
    <t>Quiere dejar de fumar con Vape me</t>
  </si>
  <si>
    <t xml:space="preserve">Roxana </t>
  </si>
  <si>
    <t>Bolados</t>
  </si>
  <si>
    <t>boladosrb1@gmail.com</t>
  </si>
  <si>
    <t xml:space="preserve">Felipe </t>
  </si>
  <si>
    <t>Machuca</t>
  </si>
  <si>
    <t>f.machuca.trmpt@gmail.com</t>
  </si>
  <si>
    <t>Dejando de fumar</t>
  </si>
  <si>
    <t>patricio.barria.celis@gmail.com</t>
  </si>
  <si>
    <t>Probando equipos Dinner</t>
  </si>
  <si>
    <t>Valdes</t>
  </si>
  <si>
    <t>felipe.valdes.olguin@gmail.com</t>
  </si>
  <si>
    <t>lorena.jara@hotmail.com</t>
  </si>
  <si>
    <t>Quiere dejar de fumar socialmente</t>
  </si>
  <si>
    <t>Eduardo Pablo</t>
  </si>
  <si>
    <t>Aragonese Grunert</t>
  </si>
  <si>
    <t>pabloa66@hotmail.com</t>
  </si>
  <si>
    <t>fumnador, busca productos con nicotina</t>
  </si>
  <si>
    <t>Caro</t>
  </si>
  <si>
    <t>sebacaro.1313@gmail.com</t>
  </si>
  <si>
    <t>Quiere dejar de fumar el y la pareja</t>
  </si>
  <si>
    <t>Valeria</t>
  </si>
  <si>
    <t>valeria.gn2001@gmail.com</t>
  </si>
  <si>
    <t>vicente</t>
  </si>
  <si>
    <t>chacon</t>
  </si>
  <si>
    <t>chaconvicente43@gmail.com</t>
  </si>
  <si>
    <t>ignacia</t>
  </si>
  <si>
    <t>rios</t>
  </si>
  <si>
    <t>ignacia.rios.ossandon@gmail.com</t>
  </si>
  <si>
    <t>nicole</t>
  </si>
  <si>
    <t>aguilar</t>
  </si>
  <si>
    <t>ni.aguilar09@gmail.com</t>
  </si>
  <si>
    <t>juan francisco</t>
  </si>
  <si>
    <t>padilla poblete</t>
  </si>
  <si>
    <t>fcomode@gmail.com</t>
  </si>
  <si>
    <t>buscan vapers para anti stress, no consumen cigarrillos</t>
  </si>
  <si>
    <t>camila</t>
  </si>
  <si>
    <t>faundez</t>
  </si>
  <si>
    <t>camilafch21@gmail.com</t>
  </si>
  <si>
    <t>compra para la pareja</t>
  </si>
  <si>
    <t>Tudela</t>
  </si>
  <si>
    <t>connitudela@gmail.com</t>
  </si>
  <si>
    <t>Dejo de fumar usando vapos</t>
  </si>
  <si>
    <t>Bardin</t>
  </si>
  <si>
    <t>jorge.bardin@gmail.com</t>
  </si>
  <si>
    <t>compran vapos en pareja, el lleva con nicotina ella sin</t>
  </si>
  <si>
    <t>Mauricio Alberto</t>
  </si>
  <si>
    <t>Harire Ceballos</t>
  </si>
  <si>
    <t>mauricioharireceballos@gmail.com</t>
  </si>
  <si>
    <t>Juan Carlos</t>
  </si>
  <si>
    <t>Gajardo Perrier</t>
  </si>
  <si>
    <t>jcarlosgajardo@gmail.com</t>
  </si>
  <si>
    <t>Patricio Enrique</t>
  </si>
  <si>
    <t>Lizana Catalan</t>
  </si>
  <si>
    <t>ventas@todoradio.cl</t>
  </si>
  <si>
    <t>felipealvarez.mer@gmail.com</t>
  </si>
  <si>
    <t>No quiere fumar mas cigarrillos</t>
  </si>
  <si>
    <t>William</t>
  </si>
  <si>
    <t>will.rodriguez.m@gmail.com</t>
  </si>
  <si>
    <t>Sergio Jalid</t>
  </si>
  <si>
    <t>yap nara</t>
  </si>
  <si>
    <t>jalidyn@icloud.com</t>
  </si>
  <si>
    <t>La Dehesa</t>
  </si>
  <si>
    <t>Clara</t>
  </si>
  <si>
    <t>Gonzalo</t>
  </si>
  <si>
    <t>gonzalo.m87@gmail.com</t>
  </si>
  <si>
    <t>felipe</t>
  </si>
  <si>
    <t>mendoza</t>
  </si>
  <si>
    <t>felipea.mendozaa@gmail.com</t>
  </si>
  <si>
    <t>Maria Jesus</t>
  </si>
  <si>
    <t>jesusrjmejias@gmail.com</t>
  </si>
  <si>
    <t>Edgardo</t>
  </si>
  <si>
    <t>edgardo.retamal@gmail.com</t>
  </si>
  <si>
    <t>disalinas@outlook.com</t>
  </si>
  <si>
    <t>Alfredo</t>
  </si>
  <si>
    <t>Romero</t>
  </si>
  <si>
    <t>carlosalfredoromerozuniga@gmail.com</t>
  </si>
  <si>
    <t>Rodrigo Alejandro</t>
  </si>
  <si>
    <t>Diaz Bustos</t>
  </si>
  <si>
    <t>rodrigoa.diazbustos@gmail.com</t>
  </si>
  <si>
    <t>Veronica Ivonne</t>
  </si>
  <si>
    <t>Salazar Muñoz</t>
  </si>
  <si>
    <t>verosalazar2031@gmail.com</t>
  </si>
  <si>
    <t>Alida Isadora Shivas</t>
  </si>
  <si>
    <t>Malguell Postigo</t>
  </si>
  <si>
    <t>alidamalguell@hotmail.com</t>
  </si>
  <si>
    <t>le gustan los vapes y boris brejcha</t>
  </si>
  <si>
    <t>Venegas</t>
  </si>
  <si>
    <t>patricio2018venegas@gmail.com</t>
  </si>
  <si>
    <t>Pablo Ignacio</t>
  </si>
  <si>
    <t>Cabeza Araneda</t>
  </si>
  <si>
    <t>pcabeza93@gmail.com</t>
  </si>
  <si>
    <t>Budini Lopez</t>
  </si>
  <si>
    <t>juan_budini@hotmail.com</t>
  </si>
  <si>
    <t>Gran avenida Jose Miguel carrera 4310</t>
  </si>
  <si>
    <t>Dennett</t>
  </si>
  <si>
    <t>jorge.dennett@gmail.com</t>
  </si>
  <si>
    <t>Ivan</t>
  </si>
  <si>
    <t>ivan.contreras2016@gmail.com</t>
  </si>
  <si>
    <t>Quiere dejar de fumar con su esposa</t>
  </si>
  <si>
    <t>Altamirano</t>
  </si>
  <si>
    <t>daltamir@gmail.com</t>
  </si>
  <si>
    <t>Adriazola</t>
  </si>
  <si>
    <t>patricia.adriazola@gmail.com</t>
  </si>
  <si>
    <t>Guadalupe</t>
  </si>
  <si>
    <t>Duran</t>
  </si>
  <si>
    <t>guadalupe_duran@hotmail.com</t>
  </si>
  <si>
    <t>Fumadora inicia en Vapeme</t>
  </si>
  <si>
    <t>Johana</t>
  </si>
  <si>
    <t>jmujica576@gmail.com</t>
  </si>
  <si>
    <t>Correa</t>
  </si>
  <si>
    <t>nicolecorreatore@gmail.com</t>
  </si>
  <si>
    <t>López</t>
  </si>
  <si>
    <t>catalc66@gmail.com</t>
  </si>
  <si>
    <t>pherrera.siburo@gmail.com</t>
  </si>
  <si>
    <t xml:space="preserve">Leonardo </t>
  </si>
  <si>
    <t xml:space="preserve">Godoy </t>
  </si>
  <si>
    <t>lgodoyrmz@gmail.com</t>
  </si>
  <si>
    <t>Regalo para la madre, quiere dejar de fumar</t>
  </si>
  <si>
    <t>Marianela</t>
  </si>
  <si>
    <t>Peña</t>
  </si>
  <si>
    <t>marianela.alejandra24@gmail.com</t>
  </si>
  <si>
    <t>Noelia</t>
  </si>
  <si>
    <t>Henríquez Sanhueza</t>
  </si>
  <si>
    <t>noelia.henriquez.sanhueza@gmail.com</t>
  </si>
  <si>
    <t>albanie</t>
  </si>
  <si>
    <t>toranzos</t>
  </si>
  <si>
    <t>albanietoranzos@gmail.com</t>
  </si>
  <si>
    <t>Ahumada</t>
  </si>
  <si>
    <t>ines.ahumadab@gmail.com</t>
  </si>
  <si>
    <t>Alarcon</t>
  </si>
  <si>
    <t>realarcon@miuandes.cl</t>
  </si>
  <si>
    <t>Christian</t>
  </si>
  <si>
    <t>Díaz López</t>
  </si>
  <si>
    <t>christian.diaz.lopez@live.com</t>
  </si>
  <si>
    <t>La pareja quiere dejar de fumar</t>
  </si>
  <si>
    <t>Provoste</t>
  </si>
  <si>
    <t>krolinaprovoste@gmail.com</t>
  </si>
  <si>
    <t>maureira</t>
  </si>
  <si>
    <t>camilamaureira.perez@gmail.com</t>
  </si>
  <si>
    <t>valentina.vasquezt@mail.udp.cl</t>
  </si>
  <si>
    <t xml:space="preserve">Mauro </t>
  </si>
  <si>
    <t>Marín</t>
  </si>
  <si>
    <t>marinmauro505@gmail.com</t>
  </si>
  <si>
    <t xml:space="preserve">No quiere fumar mas </t>
  </si>
  <si>
    <t>daniella</t>
  </si>
  <si>
    <t>moyano</t>
  </si>
  <si>
    <t>moyanodaniella@gmail.com</t>
  </si>
  <si>
    <t>Leslie</t>
  </si>
  <si>
    <t>leslie.h.tapia13@gmail.com</t>
  </si>
  <si>
    <t>Donoso</t>
  </si>
  <si>
    <t>franciscodonosos@gmail.com</t>
  </si>
  <si>
    <t>NO quiere fumar</t>
  </si>
  <si>
    <t>Faundes Valenzuela</t>
  </si>
  <si>
    <t>jorgefaundezvalenzuela@gmail.com</t>
  </si>
  <si>
    <t>Para que el hijo deje de fumar tabaco</t>
  </si>
  <si>
    <t>Christian Eduardo</t>
  </si>
  <si>
    <t>Leon Delgado</t>
  </si>
  <si>
    <t>khrisautonoma@gmail.com</t>
  </si>
  <si>
    <t>quiere vapear porque a su circulo le molesta el olor de cigarrillo</t>
  </si>
  <si>
    <t>Velásquez Molina</t>
  </si>
  <si>
    <t>carlosvelasquezmolina@gmail.com</t>
  </si>
  <si>
    <t xml:space="preserve">Para regalo </t>
  </si>
  <si>
    <t xml:space="preserve">elias </t>
  </si>
  <si>
    <t>pinto</t>
  </si>
  <si>
    <t>eliaspdpinto@gmail.com</t>
  </si>
  <si>
    <t>Navarro Lagos</t>
  </si>
  <si>
    <t>alejandro.nlagos@gmail.com</t>
  </si>
  <si>
    <t>jorgemiranda323@gmail.com</t>
  </si>
  <si>
    <t>Carrillo</t>
  </si>
  <si>
    <t>carrillo.marcelo@gmail.com</t>
  </si>
  <si>
    <t>Maruza</t>
  </si>
  <si>
    <t>Larrondo</t>
  </si>
  <si>
    <t>maruzal@hotmail.com</t>
  </si>
  <si>
    <t>valentinam.roa@gmail.com</t>
  </si>
  <si>
    <t>Camilo</t>
  </si>
  <si>
    <t>S</t>
  </si>
  <si>
    <t>scamilo042@gmail.com</t>
  </si>
  <si>
    <t>Allison</t>
  </si>
  <si>
    <t>Blanco</t>
  </si>
  <si>
    <t>allisonblanco@gmail.com</t>
  </si>
  <si>
    <t>Troncoso</t>
  </si>
  <si>
    <t>rodrigo.troncoso589@gmail.com</t>
  </si>
  <si>
    <t>Carozzi</t>
  </si>
  <si>
    <t>alvdaniela@gmail.com</t>
  </si>
  <si>
    <t>Pávez</t>
  </si>
  <si>
    <t>dpavezbenitez@gmail.com</t>
  </si>
  <si>
    <t>Cristobal</t>
  </si>
  <si>
    <t>Plaza</t>
  </si>
  <si>
    <t>cristobal.plaza14@gmail.com</t>
  </si>
  <si>
    <t>Quiere dejar de fumar hizo prueba de vapos.</t>
  </si>
  <si>
    <t>de la maza</t>
  </si>
  <si>
    <t>m.delamaza96@gmail.com</t>
  </si>
  <si>
    <t>fuma mucho cigarro, quiere dejar de fumar, opta por vapers con nico</t>
  </si>
  <si>
    <t>Antonio</t>
  </si>
  <si>
    <t>antonioreyes.86r@gmail.com</t>
  </si>
  <si>
    <t>Vapeador sociable, no fuma.</t>
  </si>
  <si>
    <t xml:space="preserve">Michelle </t>
  </si>
  <si>
    <t>Juger</t>
  </si>
  <si>
    <t>juger.michelle@gmail.com</t>
  </si>
  <si>
    <t>Olivares</t>
  </si>
  <si>
    <t>nicole.olivares.l@gmail.com</t>
  </si>
  <si>
    <t>No fuma cigarrillos, quiere vapear</t>
  </si>
  <si>
    <t>a.calderon.benavidez@gmail.com</t>
  </si>
  <si>
    <t>Quiere fumar menos y dejar de fumar</t>
  </si>
  <si>
    <t>Elisa</t>
  </si>
  <si>
    <t>elisacorr@gmail.com</t>
  </si>
  <si>
    <t>Domínguez</t>
  </si>
  <si>
    <t>fdominguez562@gmail.com</t>
  </si>
  <si>
    <t>González</t>
  </si>
  <si>
    <t>gabot1gg@gmail.com</t>
  </si>
  <si>
    <t>Benavides</t>
  </si>
  <si>
    <t>pbenavides@desimat.cl</t>
  </si>
  <si>
    <t>Quiere dejar de fumar ella y su hijo</t>
  </si>
  <si>
    <t>Zuñiga</t>
  </si>
  <si>
    <t>fco.zuni@gmail.com</t>
  </si>
  <si>
    <t>fumador, quiere volver a vapear pero no con vapos recargables</t>
  </si>
  <si>
    <t>Solis</t>
  </si>
  <si>
    <t>j.ignaciave25@gmail.com</t>
  </si>
  <si>
    <t>Burgos</t>
  </si>
  <si>
    <t>cselene@lider.cl</t>
  </si>
  <si>
    <t>sebastian.cepeda@clarovtr.cl</t>
  </si>
  <si>
    <t xml:space="preserve">paulina </t>
  </si>
  <si>
    <t>paulina.alison@gmail.com</t>
  </si>
  <si>
    <t>fumadores intentando dejar de fumar, llevan con nic y sin nic</t>
  </si>
  <si>
    <t xml:space="preserve">Daniel </t>
  </si>
  <si>
    <t>David</t>
  </si>
  <si>
    <t>danieldavid1032@gmail.com</t>
  </si>
  <si>
    <t>andre</t>
  </si>
  <si>
    <t>sebastian.andre31@gmail.com</t>
  </si>
  <si>
    <t>Pablo</t>
  </si>
  <si>
    <t>Donders</t>
  </si>
  <si>
    <t>pablo.donders@gmail.com</t>
  </si>
  <si>
    <t xml:space="preserve">Veronica </t>
  </si>
  <si>
    <t>veronicapaz.sepulveda@gmail.com</t>
  </si>
  <si>
    <t>no fuma</t>
  </si>
  <si>
    <t xml:space="preserve">Victor </t>
  </si>
  <si>
    <t>Solar</t>
  </si>
  <si>
    <t>solarvictor309@gmail.com</t>
  </si>
  <si>
    <t>Quiere dejar de fumar, primera experiencia con vapos en Vape me.</t>
  </si>
  <si>
    <t>Ortiz Martinez</t>
  </si>
  <si>
    <t>carolina.ortiz586@gmail.com</t>
  </si>
  <si>
    <t xml:space="preserve">Antonia </t>
  </si>
  <si>
    <t>Padilla</t>
  </si>
  <si>
    <t>anto.padilla15@gmail.com</t>
  </si>
  <si>
    <t>De torres</t>
  </si>
  <si>
    <t>fdetorres@gmail.com</t>
  </si>
  <si>
    <t xml:space="preserve">Manuel </t>
  </si>
  <si>
    <t>Roa Soto</t>
  </si>
  <si>
    <t>manuelroa.soto@gmail.com</t>
  </si>
  <si>
    <t xml:space="preserve">Andres </t>
  </si>
  <si>
    <t>andgonzalez@me.com</t>
  </si>
  <si>
    <t>Bascur</t>
  </si>
  <si>
    <t>gabriela.bascur1@gmail.com</t>
  </si>
  <si>
    <t>Susana</t>
  </si>
  <si>
    <t>Riquelme Ovidedo</t>
  </si>
  <si>
    <t>susan_balu@hotmail.com</t>
  </si>
  <si>
    <t>Arturo</t>
  </si>
  <si>
    <t xml:space="preserve">Kurasz </t>
  </si>
  <si>
    <t>arturokurasz@hotmail.com</t>
  </si>
  <si>
    <t>Matias</t>
  </si>
  <si>
    <t>Burger</t>
  </si>
  <si>
    <t>burgermatias@gmail.com</t>
  </si>
  <si>
    <t>Achelias</t>
  </si>
  <si>
    <t>antonioachelias@gmail.com</t>
  </si>
  <si>
    <t>Quieren dejar de fumar</t>
  </si>
  <si>
    <t xml:space="preserve">Tamara </t>
  </si>
  <si>
    <t>Solar Moreno</t>
  </si>
  <si>
    <t>victorsolardos@hotmail.com</t>
  </si>
  <si>
    <t xml:space="preserve">Rosario </t>
  </si>
  <si>
    <t>Feliu Salas</t>
  </si>
  <si>
    <t>rosariofeliusalas@gmail.com</t>
  </si>
  <si>
    <t>natalia</t>
  </si>
  <si>
    <t>cuartas condemarin</t>
  </si>
  <si>
    <t>natyba.psicologia@gmail.com</t>
  </si>
  <si>
    <t>Briones luco 0675</t>
  </si>
  <si>
    <t>Aurora</t>
  </si>
  <si>
    <t>aurora.alfaro@globalseguros.cl</t>
  </si>
  <si>
    <t>avisar vapes mentolados, quiere dejar de fumar</t>
  </si>
  <si>
    <t>Allyson</t>
  </si>
  <si>
    <t>Huencho</t>
  </si>
  <si>
    <t>allyson.huencho@gmail.com</t>
  </si>
  <si>
    <t xml:space="preserve">Maxi </t>
  </si>
  <si>
    <t>Garcés</t>
  </si>
  <si>
    <t>maxi.garces12@gmail.com</t>
  </si>
  <si>
    <t>Lillian</t>
  </si>
  <si>
    <t>Bustos</t>
  </si>
  <si>
    <t>lillianbustos182@gmail.com</t>
  </si>
  <si>
    <t>contactovaleriacastillo@gmail.com</t>
  </si>
  <si>
    <t>fcontrerasrios25@gmail.com</t>
  </si>
  <si>
    <t>Cliente reclama por equipo tapado después de dos semanas</t>
  </si>
  <si>
    <t>viviana</t>
  </si>
  <si>
    <t>gonzalez</t>
  </si>
  <si>
    <t>viviana.eliz.gonzalez@gmail.com</t>
  </si>
  <si>
    <t>Jerez</t>
  </si>
  <si>
    <t>alejandro.jerez@gmail.com</t>
  </si>
  <si>
    <t>marcolillo@gmail.com</t>
  </si>
  <si>
    <t>paulina</t>
  </si>
  <si>
    <t>nakouzih</t>
  </si>
  <si>
    <t>nakouzih@gmail.com</t>
  </si>
  <si>
    <t>elias</t>
  </si>
  <si>
    <t>lopez</t>
  </si>
  <si>
    <t>lopez.avila.elias@gmail.com</t>
  </si>
  <si>
    <t>josefa</t>
  </si>
  <si>
    <t>s</t>
  </si>
  <si>
    <t>scorsese.josefa@gmail.com</t>
  </si>
  <si>
    <t>Jeraldine</t>
  </si>
  <si>
    <t>Sepúlveda</t>
  </si>
  <si>
    <t>jsepul20@gmail.com</t>
  </si>
  <si>
    <t>Ramos Rui</t>
  </si>
  <si>
    <t>ramosruiz.camila@gmail.com</t>
  </si>
  <si>
    <t xml:space="preserve">Yasna </t>
  </si>
  <si>
    <t>yasepulor@gmail.com</t>
  </si>
  <si>
    <t>Veronica</t>
  </si>
  <si>
    <t xml:space="preserve">Cáceres </t>
  </si>
  <si>
    <t>v.caceresleal17@gmail.com</t>
  </si>
  <si>
    <t>alvaro.becerrac@gmail.com</t>
  </si>
  <si>
    <t>Luis</t>
  </si>
  <si>
    <t>farmaclub200@gmail.com</t>
  </si>
  <si>
    <t>Basaure</t>
  </si>
  <si>
    <t>danielabasure@gmail.com</t>
  </si>
  <si>
    <t>Fernanda</t>
  </si>
  <si>
    <t xml:space="preserve">León </t>
  </si>
  <si>
    <t>fdaleontorres@gmail.com</t>
  </si>
  <si>
    <t>andres.palma1@gmail.com</t>
  </si>
  <si>
    <t>Duhalde</t>
  </si>
  <si>
    <t>nduhaldea@gmail.com</t>
  </si>
  <si>
    <t>Villanelo</t>
  </si>
  <si>
    <t>f.cabrera.villanelo@gmail.com</t>
  </si>
  <si>
    <t>Maria Isabel</t>
  </si>
  <si>
    <t>Peña Rojas</t>
  </si>
  <si>
    <t>maxysabel@hotmail.com</t>
  </si>
  <si>
    <t>jorge</t>
  </si>
  <si>
    <t>villari</t>
  </si>
  <si>
    <t>jorgevillari.vargas@gmail.com</t>
  </si>
  <si>
    <t>Maria Ignacia</t>
  </si>
  <si>
    <t>Pizarro</t>
  </si>
  <si>
    <t>mariaignacia614@gmail.com</t>
  </si>
  <si>
    <t>Slater Diaz</t>
  </si>
  <si>
    <t>valentinaslater4@gmail.com</t>
  </si>
  <si>
    <t>fco.silvaramirez@gmail.com</t>
  </si>
  <si>
    <t>busca resistencias, se lleva vapos</t>
  </si>
  <si>
    <t>Novoa</t>
  </si>
  <si>
    <t>fernandanovoacriado@gmail.com</t>
  </si>
  <si>
    <t xml:space="preserve">Camila </t>
  </si>
  <si>
    <t>camila.castro.arce@gmail.com</t>
  </si>
  <si>
    <t>eargonzalez@gmail.com</t>
  </si>
  <si>
    <t>Priscilla</t>
  </si>
  <si>
    <t>Poblete</t>
  </si>
  <si>
    <t>priscilla_tal20@hotmail.com</t>
  </si>
  <si>
    <t>Rios Araya</t>
  </si>
  <si>
    <t>priosaraya1975@gmail.com</t>
  </si>
  <si>
    <t>Garrido</t>
  </si>
  <si>
    <t>jgarridoc@uft.edu</t>
  </si>
  <si>
    <t>Paredes</t>
  </si>
  <si>
    <t>sebastianparedespavez@gmail.com</t>
  </si>
  <si>
    <t>Franco</t>
  </si>
  <si>
    <t>feb7diaz@gmail.com</t>
  </si>
  <si>
    <t>claudiadiazorellana@hotmail.com</t>
  </si>
  <si>
    <t>fumadora de cajetillas</t>
  </si>
  <si>
    <t>Briones</t>
  </si>
  <si>
    <t>brionesbnoelia@gmail.com</t>
  </si>
  <si>
    <t>Stefanie</t>
  </si>
  <si>
    <t>Obermoller</t>
  </si>
  <si>
    <t>ste.obermoller@gmail.com</t>
  </si>
  <si>
    <t>cristiangq2@gmail.com</t>
  </si>
  <si>
    <t>rodrigoafl@gmail.com</t>
  </si>
  <si>
    <t>María Alejandra</t>
  </si>
  <si>
    <t xml:space="preserve"> Álvarez Viveros</t>
  </si>
  <si>
    <t>alealvarezviveros@gmail.com</t>
  </si>
  <si>
    <t xml:space="preserve">Quiere dejar de fumar fuma 8 cigarros </t>
  </si>
  <si>
    <t>Aravena</t>
  </si>
  <si>
    <t>carlos.caryali@gmail.com</t>
  </si>
  <si>
    <t>Quiere dejar de fumar fuma 1 cajetilla al dia</t>
  </si>
  <si>
    <t>Robert</t>
  </si>
  <si>
    <t>Tampe</t>
  </si>
  <si>
    <t>roberttampe@gmail.com</t>
  </si>
  <si>
    <t>Quiere dejar de fumar fumador social de 3 a 5 cigarros diarios</t>
  </si>
  <si>
    <t>Joaquin Antonio</t>
  </si>
  <si>
    <t>Selman Kunstmann</t>
  </si>
  <si>
    <t>jselman.k@hotmail.es</t>
  </si>
  <si>
    <t>Duble Almeyda 2650 Dpto 201</t>
  </si>
  <si>
    <t>electricojorge@hotmail.com</t>
  </si>
  <si>
    <t>dnvasque@uc.cl</t>
  </si>
  <si>
    <t>Quiere dejar de fumar fuma 4 cigarrillos</t>
  </si>
  <si>
    <t>castortroys1983@gmail.com</t>
  </si>
  <si>
    <t>Liliana</t>
  </si>
  <si>
    <t>liliana.saldias@gmail.com</t>
  </si>
  <si>
    <t>Valenzuela Ramírez</t>
  </si>
  <si>
    <t>sergio.valenzuelaramirez77@gmail.com</t>
  </si>
  <si>
    <t>Quiere dejar de fumar fuma 5 cigarros diarios</t>
  </si>
  <si>
    <t>Luciano</t>
  </si>
  <si>
    <t>Urrutia</t>
  </si>
  <si>
    <t>luciano.urrutia181@gmail.com</t>
  </si>
  <si>
    <t>Zamorano</t>
  </si>
  <si>
    <t>uzamoranoh@gmail.com</t>
  </si>
  <si>
    <t>Lukas Maximiliano</t>
  </si>
  <si>
    <t>Quinteros</t>
  </si>
  <si>
    <t>lukas.maximiliano.zion@gmail.com</t>
  </si>
  <si>
    <t>Alarcón</t>
  </si>
  <si>
    <t>alarcon.j@hotmail.cl</t>
  </si>
  <si>
    <t>Blas</t>
  </si>
  <si>
    <t>dblas@fen.uchile.cl</t>
  </si>
  <si>
    <t>hulloa@gmail.com</t>
  </si>
  <si>
    <t>Fumadores sociales, probando el Vape me</t>
  </si>
  <si>
    <t>Pérez Mott</t>
  </si>
  <si>
    <t>carolaperezc@yahoo.cl</t>
  </si>
  <si>
    <t>No quiere consumir mas cigarrillos, iniciada en el mundo del Vape me</t>
  </si>
  <si>
    <t>Alonso</t>
  </si>
  <si>
    <t>Cavieres</t>
  </si>
  <si>
    <t>aloncavier@gmail.com</t>
  </si>
  <si>
    <t>Villarroel</t>
  </si>
  <si>
    <t>cvillarroel@dgac.gob.cl</t>
  </si>
  <si>
    <t>Capstick</t>
  </si>
  <si>
    <t>pcapstickf@fen.uchile.cl</t>
  </si>
  <si>
    <t>pamela</t>
  </si>
  <si>
    <t>overton</t>
  </si>
  <si>
    <t>overton_pamela@yahoo.com</t>
  </si>
  <si>
    <t>cata.diaz0801@gmail.com</t>
  </si>
  <si>
    <t xml:space="preserve">Francisca </t>
  </si>
  <si>
    <t>franciscamartin.c@gmail.com</t>
  </si>
  <si>
    <t>Alexis</t>
  </si>
  <si>
    <t>Rebolledo</t>
  </si>
  <si>
    <t>alexisrebolledo27@gmail.com</t>
  </si>
  <si>
    <t>Nicolás</t>
  </si>
  <si>
    <t>nirevi92@gmail.com</t>
  </si>
  <si>
    <t>Reveco</t>
  </si>
  <si>
    <t>reveking01@gmail.com</t>
  </si>
  <si>
    <t>Azocar</t>
  </si>
  <si>
    <t>sergio.azocar@mayor.cl</t>
  </si>
  <si>
    <t>Oliveras</t>
  </si>
  <si>
    <t>dr.oliverleguel@gmail.com</t>
  </si>
  <si>
    <t>Amaru</t>
  </si>
  <si>
    <t>Ugaz</t>
  </si>
  <si>
    <t>andoapata@gmail.com</t>
  </si>
  <si>
    <t>marcela</t>
  </si>
  <si>
    <t>bobadilla</t>
  </si>
  <si>
    <t>marce.bobadillac@gmail.com</t>
  </si>
  <si>
    <t>Yiscela</t>
  </si>
  <si>
    <t>pizarroyiscela@gmail.com</t>
  </si>
  <si>
    <t xml:space="preserve">	Pje 11 Soldado Ortega 13730 Pob. El Castillo</t>
  </si>
  <si>
    <t>No quiere fumar nunca mas cigarro</t>
  </si>
  <si>
    <t>pamelit4@gmail.com</t>
  </si>
  <si>
    <t>Empieza a dejar de fumar con Vape Me</t>
  </si>
  <si>
    <t xml:space="preserve">Ignacio </t>
  </si>
  <si>
    <t>Fernández González</t>
  </si>
  <si>
    <t>fergo.ignacio@gmail.com</t>
  </si>
  <si>
    <t>Quiere consumir menos cigarros</t>
  </si>
  <si>
    <t>Carrasco Pinto</t>
  </si>
  <si>
    <t>vcarrascopinto@gmail.com</t>
  </si>
  <si>
    <t>Quiere fumar menos cigarrillo</t>
  </si>
  <si>
    <t>María Jesús</t>
  </si>
  <si>
    <t>De La Barra</t>
  </si>
  <si>
    <t>mjdelabarrar@gmail.com</t>
  </si>
  <si>
    <t>No quiere fumar cigarrillos</t>
  </si>
  <si>
    <t>Saavedra Morales</t>
  </si>
  <si>
    <t>gabriela.suvdr.mrls@gmail.com</t>
  </si>
  <si>
    <t>Quiere dejar de fumar y tiene prescripción medica</t>
  </si>
  <si>
    <t>valemunopa@gmail.com</t>
  </si>
  <si>
    <t>jose</t>
  </si>
  <si>
    <t>silva</t>
  </si>
  <si>
    <t>josesilvaria@gmail.com</t>
  </si>
  <si>
    <t>Santa Maria</t>
  </si>
  <si>
    <t>seba_sm-a@hotmail.com</t>
  </si>
  <si>
    <t>Maria Jose</t>
  </si>
  <si>
    <t>Villablanca</t>
  </si>
  <si>
    <t>majoviva1984@gmail.com</t>
  </si>
  <si>
    <t xml:space="preserve">Fernanda </t>
  </si>
  <si>
    <t>Massu</t>
  </si>
  <si>
    <t>fdamassu@gmail.com</t>
  </si>
  <si>
    <t>pfuenzalida.moore@gmail.com</t>
  </si>
  <si>
    <t>joselinne</t>
  </si>
  <si>
    <t>rivera</t>
  </si>
  <si>
    <t>joselinnerivera3@gmail.com</t>
  </si>
  <si>
    <t>Cabezas</t>
  </si>
  <si>
    <t>d.cabezas.besares@gmail.com</t>
  </si>
  <si>
    <t xml:space="preserve">Eugenia </t>
  </si>
  <si>
    <t>Mondaca</t>
  </si>
  <si>
    <t>eugemondaca@gmail.com</t>
  </si>
  <si>
    <t>Beckdorf</t>
  </si>
  <si>
    <t>fernanda.beckdorf@gmail.com</t>
  </si>
  <si>
    <t>Pareja fuma y ella se lleva un sin nicotina</t>
  </si>
  <si>
    <t>Icsy</t>
  </si>
  <si>
    <t>Santander</t>
  </si>
  <si>
    <t>icsang@hotmail.com</t>
  </si>
  <si>
    <t>jorge.olivares@kdeser.com</t>
  </si>
  <si>
    <t>Empieza a dejar de fumar con VapeMe</t>
  </si>
  <si>
    <t>Yañez</t>
  </si>
  <si>
    <t>thomas.yanez.quintanilla@gmail.com</t>
  </si>
  <si>
    <t>ocupan vapers con nico para reemplazar cigarro</t>
  </si>
  <si>
    <t>Valeska</t>
  </si>
  <si>
    <t>valeska.artesgraficas@gmail.com</t>
  </si>
  <si>
    <t>sandramunozortiz@gmail.com</t>
  </si>
  <si>
    <t>Juan Pablo</t>
  </si>
  <si>
    <t xml:space="preserve">Vazquez </t>
  </si>
  <si>
    <t>jpablovazquezgrogg@gmail.com</t>
  </si>
  <si>
    <t>fuma tabaco  y a veces vape</t>
  </si>
  <si>
    <t>Ugarte</t>
  </si>
  <si>
    <t>constanzaalvarau@gmail.com</t>
  </si>
  <si>
    <t>Leticia</t>
  </si>
  <si>
    <t>Caceres</t>
  </si>
  <si>
    <t>leticiacaceresnarvaez@gmail.com</t>
  </si>
  <si>
    <t>Le recomndaron la tienda y quiere usar vape con nic</t>
  </si>
  <si>
    <t>Traslaviña</t>
  </si>
  <si>
    <t>dtraslavinav@gmail.com</t>
  </si>
  <si>
    <t>Pareja vapeadora, buscan nuevos equipos</t>
  </si>
  <si>
    <t>Alvarado</t>
  </si>
  <si>
    <t>mpazalvaradom42@gmail.com</t>
  </si>
  <si>
    <t>Ivone</t>
  </si>
  <si>
    <t>t.ivonepena@gmail.com</t>
  </si>
  <si>
    <t>Quiere dejar de fumar se inicia con Vape Me</t>
  </si>
  <si>
    <t xml:space="preserve">López </t>
  </si>
  <si>
    <t>flopez3921@gmail.com</t>
  </si>
  <si>
    <t>Quiere dejar de fumar gradualmente</t>
  </si>
  <si>
    <t xml:space="preserve"> Geraldine Solange</t>
  </si>
  <si>
    <t>Carrere Vilches</t>
  </si>
  <si>
    <t>karrere@hotmail.com</t>
  </si>
  <si>
    <t>Fabiola</t>
  </si>
  <si>
    <t>Zúñiga</t>
  </si>
  <si>
    <t>fabiola.zuniga@outlook.com</t>
  </si>
  <si>
    <t>Fierro Risco</t>
  </si>
  <si>
    <t>rodrigoaf20@gmail.com</t>
  </si>
  <si>
    <t>No fuma quiere vapear.</t>
  </si>
  <si>
    <t xml:space="preserve">Pedro </t>
  </si>
  <si>
    <t>Carrasco Jerez</t>
  </si>
  <si>
    <t>pedrocarrascojerez@gmail.com</t>
  </si>
  <si>
    <t>Quiere dejar de fumar con VapeMe</t>
  </si>
  <si>
    <t>Danilo</t>
  </si>
  <si>
    <t>danilo.rafaelpp@gmail.com</t>
  </si>
  <si>
    <t xml:space="preserve">Adolfo </t>
  </si>
  <si>
    <t xml:space="preserve">Pérez Arévalo </t>
  </si>
  <si>
    <t>adoignacio@gmail.com</t>
  </si>
  <si>
    <t>tapiaalejandro3@gmail.com</t>
  </si>
  <si>
    <t>Adrian</t>
  </si>
  <si>
    <t>Vargas</t>
  </si>
  <si>
    <t>vargasgarciaadrian02@gmail.com</t>
  </si>
  <si>
    <t>cliente mexicano busca vapes calidad</t>
  </si>
  <si>
    <t>Eloisa</t>
  </si>
  <si>
    <t>haruchan.niel@gmail.com</t>
  </si>
  <si>
    <t>oscar</t>
  </si>
  <si>
    <t>jimenez</t>
  </si>
  <si>
    <t>oscar.jimenez.m@gmail.com</t>
  </si>
  <si>
    <t>cristopher</t>
  </si>
  <si>
    <t>nicolas</t>
  </si>
  <si>
    <t>cristophernicolaszc@gmail.com</t>
  </si>
  <si>
    <t>paulina_374@hotmail.com</t>
  </si>
  <si>
    <t>Delia</t>
  </si>
  <si>
    <t>delmariasil37@gmail.com</t>
  </si>
  <si>
    <t>Celia</t>
  </si>
  <si>
    <t>Aguirre</t>
  </si>
  <si>
    <t>ceguirrer@gmail.com</t>
  </si>
  <si>
    <t>Quiere dejar de fumar fumadora social</t>
  </si>
  <si>
    <t>Isa</t>
  </si>
  <si>
    <t>isadiazurso10@gmail.com</t>
  </si>
  <si>
    <t>Flores</t>
  </si>
  <si>
    <t>floresximena34@gmail.com</t>
  </si>
  <si>
    <t>Marcela</t>
  </si>
  <si>
    <t>Opazo</t>
  </si>
  <si>
    <t>marcela.opazo.a@gmail.com</t>
  </si>
  <si>
    <t>Fuma 1 cajetilla a la semana</t>
  </si>
  <si>
    <t>Kristian</t>
  </si>
  <si>
    <t>kristian.esinoza@live.com</t>
  </si>
  <si>
    <t>Fuma 3 cajetillas semanales</t>
  </si>
  <si>
    <t>victoria</t>
  </si>
  <si>
    <t>Cifuentes</t>
  </si>
  <si>
    <t>victoria.cifuentes1986@gmail.com</t>
  </si>
  <si>
    <t>Nico</t>
  </si>
  <si>
    <t>Rivano</t>
  </si>
  <si>
    <t>nicorivano87@gmail.com</t>
  </si>
  <si>
    <t>Adolfo</t>
  </si>
  <si>
    <t>Cisternas</t>
  </si>
  <si>
    <t>a.cisternas.baltolu@gmail.com</t>
  </si>
  <si>
    <t>caroca</t>
  </si>
  <si>
    <t>victor</t>
  </si>
  <si>
    <t>perez</t>
  </si>
  <si>
    <t>victorperezb@gmail.com</t>
  </si>
  <si>
    <t>Natacha</t>
  </si>
  <si>
    <t>nat.anambp888@gmail.com</t>
  </si>
  <si>
    <t>Salazar</t>
  </si>
  <si>
    <t>vice.salazar.2005@gmail.com</t>
  </si>
  <si>
    <t>Corregir RUT, es de Valdivia, Estudiante de Computación UC</t>
  </si>
  <si>
    <t>Abdala</t>
  </si>
  <si>
    <t>Abujida</t>
  </si>
  <si>
    <t>abdala.abujida71@gmail.com</t>
  </si>
  <si>
    <t>Dueño de HABIBI RESTORANT Santa Filomena 387</t>
  </si>
  <si>
    <t>Soraya</t>
  </si>
  <si>
    <t>sori.csaid@gmail.com</t>
  </si>
  <si>
    <t>clienta frecuente del airis mango peach</t>
  </si>
  <si>
    <t>Tania</t>
  </si>
  <si>
    <t>Link</t>
  </si>
  <si>
    <t>tania.link@gmail.com</t>
  </si>
  <si>
    <t>Lizana</t>
  </si>
  <si>
    <t>natalializana21@gmail.com</t>
  </si>
  <si>
    <t>scarlette</t>
  </si>
  <si>
    <t>scarlette.sofia.1924@gmail.com</t>
  </si>
  <si>
    <t>dejar de fumar</t>
  </si>
  <si>
    <t>Andrea</t>
  </si>
  <si>
    <t>Carol</t>
  </si>
  <si>
    <t>andreacarol911@gmail.com</t>
  </si>
  <si>
    <t>Madre fuma 1 cajetilla al dia</t>
  </si>
  <si>
    <t>felipe.pena.henriquez@gmail.com</t>
  </si>
  <si>
    <t>venia por liquidos para su vaporizador MOD</t>
  </si>
  <si>
    <t>benja.sepulveda.sandoval@gmail.com</t>
  </si>
  <si>
    <t>evercrips</t>
  </si>
  <si>
    <t>Medel</t>
  </si>
  <si>
    <t>mmedel992@gmail.com</t>
  </si>
  <si>
    <t>Priscila</t>
  </si>
  <si>
    <t>Astudillo</t>
  </si>
  <si>
    <t>lamagiadelalma777@gmail.com</t>
  </si>
  <si>
    <t>busca vapes recargables</t>
  </si>
  <si>
    <t>sofia</t>
  </si>
  <si>
    <t>carvallo</t>
  </si>
  <si>
    <t>soficarvalloc@gmail.com</t>
  </si>
  <si>
    <t>m</t>
  </si>
  <si>
    <t>cristianmb93@oulook.com</t>
  </si>
  <si>
    <t>Irian Liliana</t>
  </si>
  <si>
    <t>Aguilera Recabarren</t>
  </si>
  <si>
    <t>irianliliana@gmail.com</t>
  </si>
  <si>
    <t>fumadora 5 cajetillas a la semana, bajo a 1 gracias al vape</t>
  </si>
  <si>
    <t>Fernandez</t>
  </si>
  <si>
    <t>naty.fernandez.silva@gmail.com</t>
  </si>
  <si>
    <t>quiere ingresar al vapeo</t>
  </si>
  <si>
    <t>andres</t>
  </si>
  <si>
    <t>moreira</t>
  </si>
  <si>
    <t>moreirabarros.andres@gmail.com</t>
  </si>
  <si>
    <t>usa vapes recargables</t>
  </si>
  <si>
    <t>clauxim.cuevas.g@gmail.com</t>
  </si>
  <si>
    <t>Vigue</t>
  </si>
  <si>
    <t>de Lucca</t>
  </si>
  <si>
    <t>viguedelucca@yahoo.es</t>
  </si>
  <si>
    <t>betsabeth</t>
  </si>
  <si>
    <t>obando</t>
  </si>
  <si>
    <t>betsabethobando@hotmail.com</t>
  </si>
  <si>
    <t>Freddy</t>
  </si>
  <si>
    <t>fdagonzalez@yahoo.es</t>
  </si>
  <si>
    <t>Besa</t>
  </si>
  <si>
    <t>felipebesat@gmail.com</t>
  </si>
  <si>
    <t>fumadores pareja</t>
  </si>
  <si>
    <t>Doly</t>
  </si>
  <si>
    <t>Garcia</t>
  </si>
  <si>
    <t>dolygarcia@hotmail.com</t>
  </si>
  <si>
    <t>mariajosesoto_13@hotmail.com</t>
  </si>
  <si>
    <t>vapeadora incial</t>
  </si>
  <si>
    <t>Mauricio</t>
  </si>
  <si>
    <t>mastorga22@gmail.com</t>
  </si>
  <si>
    <t>Pau</t>
  </si>
  <si>
    <t>paumunozm@gmail.com</t>
  </si>
  <si>
    <t>vapeadora Cherry Cotton y dulce</t>
  </si>
  <si>
    <t>Guzman Madrid</t>
  </si>
  <si>
    <t>venjaconuve@gmail.com</t>
  </si>
  <si>
    <t>VAR</t>
  </si>
  <si>
    <t>irina</t>
  </si>
  <si>
    <t>cardio</t>
  </si>
  <si>
    <t>irinacarpio1901@gmail.com</t>
  </si>
  <si>
    <t>José Patricio</t>
  </si>
  <si>
    <t>Alvarado Alcocer</t>
  </si>
  <si>
    <t>jalvaradoalcocer@hotmail.com</t>
  </si>
  <si>
    <t>HIGH, Piña Colada Máximo Placer</t>
  </si>
  <si>
    <t>Gutierrez</t>
  </si>
  <si>
    <t>antoguti@gmail.com</t>
  </si>
  <si>
    <t>3 unidades llevaba sin ser ingresado a la BD</t>
  </si>
  <si>
    <t>Vegas</t>
  </si>
  <si>
    <t>ipvegas14@gmail.com</t>
  </si>
  <si>
    <t>Fuma 1 Cajetilla al día de $3500 pesos</t>
  </si>
  <si>
    <t>Ademar</t>
  </si>
  <si>
    <t>Alvear</t>
  </si>
  <si>
    <t>ademasalvear@gmail.com</t>
  </si>
  <si>
    <t>Fuma 10 cigarros al dia y 300 al mes, con un costo de 75000 pesos, le gusta el sabor chocolate, por lo que calzo con WMI de NOVO y Vanilla Tabacco de DL</t>
  </si>
  <si>
    <t>sarojas@miuandes.cl</t>
  </si>
  <si>
    <t>Vapea para Salir de los cigarros al Carretear</t>
  </si>
  <si>
    <t>joaquin.p.a01@gmail.com</t>
  </si>
  <si>
    <t>romina.romero.ruz@gmail.com</t>
  </si>
  <si>
    <t>vapeadora de frutilla</t>
  </si>
  <si>
    <t>thomasrojas1@gmail.com</t>
  </si>
  <si>
    <t>Hidalgo Benavente</t>
  </si>
  <si>
    <t>javierahidalgobenavente@gmail.com</t>
  </si>
  <si>
    <t>Vapea</t>
  </si>
  <si>
    <t>Argandoña</t>
  </si>
  <si>
    <t>marceloeiq@yahoo.com</t>
  </si>
  <si>
    <t>Fumador de 30 cajetillas al Mes y desea entrar a Vapeme para dejar el cigarro</t>
  </si>
  <si>
    <t>CATALINA ANDREA</t>
  </si>
  <si>
    <t>FAUNDEZ MAIRA</t>
  </si>
  <si>
    <t>catalinafm1d@gmail.com</t>
  </si>
  <si>
    <t>CARLA</t>
  </si>
  <si>
    <t>BAZAN STEFFENS</t>
  </si>
  <si>
    <t>carla.bazan.s@gmail.com</t>
  </si>
  <si>
    <t>Rivera Verdugo</t>
  </si>
  <si>
    <t>david.rivera.verdugo@gmail.com</t>
  </si>
  <si>
    <t>menthol</t>
  </si>
  <si>
    <t xml:space="preserve"> Felipe Javier</t>
  </si>
  <si>
    <t>Villarroel Villarreal</t>
  </si>
  <si>
    <t>fjvvillaa@gmail.com</t>
  </si>
  <si>
    <t>carolina</t>
  </si>
  <si>
    <t>mora</t>
  </si>
  <si>
    <t>carocmr1@gmail.com</t>
  </si>
  <si>
    <t>Vanesa</t>
  </si>
  <si>
    <t>vanesaramirezc@gmail.com</t>
  </si>
  <si>
    <t>Millaray</t>
  </si>
  <si>
    <t>millarayvergara99@gmail.com</t>
  </si>
  <si>
    <t>Maria Nelly</t>
  </si>
  <si>
    <t>González Hernández</t>
  </si>
  <si>
    <t>marianely@gmail.com</t>
  </si>
  <si>
    <t>Jose Domingo Cañas 2550 102</t>
  </si>
  <si>
    <t>15 Cajetillas al Mes</t>
  </si>
  <si>
    <t>Gisselle</t>
  </si>
  <si>
    <t>Heise</t>
  </si>
  <si>
    <t>gisseleheisef@gmail.com</t>
  </si>
  <si>
    <t>felipemorales.a@gmail.com</t>
  </si>
  <si>
    <t>Meza Hatte</t>
  </si>
  <si>
    <t>jmezahatte@gmail.com</t>
  </si>
  <si>
    <t>Vapea Blueberry pero Poco solo social</t>
  </si>
  <si>
    <t>Domenica</t>
  </si>
  <si>
    <t>Ambiado</t>
  </si>
  <si>
    <t>domenicaambiado@gmail.com</t>
  </si>
  <si>
    <t>Hoffmann</t>
  </si>
  <si>
    <t>rhoffmann.g@gmail.com</t>
  </si>
  <si>
    <t>Gerente Legal Santander</t>
  </si>
  <si>
    <t>Teresa</t>
  </si>
  <si>
    <t>Lucero</t>
  </si>
  <si>
    <t>tlucero@ecrgroup.cl</t>
  </si>
  <si>
    <t>Pje Eolo 9440 V Los Peumos</t>
  </si>
  <si>
    <t>Echavarria</t>
  </si>
  <si>
    <t>echavarriac.marisol@gmail.com</t>
  </si>
  <si>
    <t>fumadora 5 cigarros al dia, Kent 4</t>
  </si>
  <si>
    <t>Raúl</t>
  </si>
  <si>
    <t>raul@blac.cl</t>
  </si>
  <si>
    <t>vapea con 3% vaporesso</t>
  </si>
  <si>
    <t>Pinto</t>
  </si>
  <si>
    <t>rodrigo.pinto.rios@gmail.com</t>
  </si>
  <si>
    <t>Vapea mod con saltnic</t>
  </si>
  <si>
    <t>Claudia Rebeca Jesus</t>
  </si>
  <si>
    <t>Vargas Ruiz</t>
  </si>
  <si>
    <t>claudia.vargas.ruiz@hotmail.com</t>
  </si>
  <si>
    <t>Alonzo De Cordova 5316 Depto.14</t>
  </si>
  <si>
    <t>Concha</t>
  </si>
  <si>
    <t>fcd@diproc.cl</t>
  </si>
  <si>
    <t>Leyla</t>
  </si>
  <si>
    <t>Urrea</t>
  </si>
  <si>
    <t>leyla.urrea.lu@gmail.com</t>
  </si>
  <si>
    <t>vapeadora inicial</t>
  </si>
  <si>
    <t>Ale</t>
  </si>
  <si>
    <t>alecastroguzman@gmail.com</t>
  </si>
  <si>
    <t>Echeverria</t>
  </si>
  <si>
    <t>programasmei@gmail.com</t>
  </si>
  <si>
    <t>Navarrete</t>
  </si>
  <si>
    <t>camilo.navarretemella@gmail.com</t>
  </si>
  <si>
    <t>vapeador saltnic recargables</t>
  </si>
  <si>
    <t>Montiel</t>
  </si>
  <si>
    <t>montiel.garces@gmail.com</t>
  </si>
  <si>
    <t>vapea</t>
  </si>
  <si>
    <t>Kurasz</t>
  </si>
  <si>
    <t>condi@condi.cl</t>
  </si>
  <si>
    <t>Diana</t>
  </si>
  <si>
    <t>Suazo</t>
  </si>
  <si>
    <t>c.diana.suazo@gmail.com</t>
  </si>
  <si>
    <t xml:space="preserve">Aranda Jara </t>
  </si>
  <si>
    <t>sebastianeduardoaj@gmail.com</t>
  </si>
  <si>
    <t>Pasaje Naranjal 538 Paradero 6 Villa Dulce Norte</t>
  </si>
  <si>
    <t>Vapeador Pro y se le ofrecio la propuesta y la acepto</t>
  </si>
  <si>
    <t>Corian</t>
  </si>
  <si>
    <t>carolinacorian@gmail.com</t>
  </si>
  <si>
    <t>Compro para amiga</t>
  </si>
  <si>
    <t>María José</t>
  </si>
  <si>
    <t>Palma Tello</t>
  </si>
  <si>
    <t>josecita1982@live.cl</t>
  </si>
  <si>
    <t>Los Gingos 2326</t>
  </si>
  <si>
    <t>Vapeadora y comenzara el proceso de dejara el Vapo!</t>
  </si>
  <si>
    <t>rodrigoignacio.castillobarrera@gmail.com</t>
  </si>
  <si>
    <t>fumado de 10 cajetillas al mes</t>
  </si>
  <si>
    <t>Nancy</t>
  </si>
  <si>
    <t>Chepino</t>
  </si>
  <si>
    <t>nchepino@gmail.com</t>
  </si>
  <si>
    <t>Fumadora de Tabaco Enrolado</t>
  </si>
  <si>
    <t>miflores3@uc.cl</t>
  </si>
  <si>
    <t>Katyna Belen</t>
  </si>
  <si>
    <t>Cardenas Virot</t>
  </si>
  <si>
    <t>katyna.a@hotmail.com</t>
  </si>
  <si>
    <t>Av. Ricardo Lyon 3530 Depto. 54</t>
  </si>
  <si>
    <t>Fumadora</t>
  </si>
  <si>
    <t>Joaquina</t>
  </si>
  <si>
    <t>valeria.joaquina777@gmail.com</t>
  </si>
  <si>
    <t>Nicolas Luciano</t>
  </si>
  <si>
    <t>Infante Rodríguez</t>
  </si>
  <si>
    <t>nicolas.infante@outlook.com</t>
  </si>
  <si>
    <t>Premio Nobel 3185 Depto403 A</t>
  </si>
  <si>
    <t>Tommy Nelson</t>
  </si>
  <si>
    <t>Vera Gutierrez</t>
  </si>
  <si>
    <t>tvera_@hotmail.com</t>
  </si>
  <si>
    <t>8 De Octubre 5201</t>
  </si>
  <si>
    <t>Vapeador Pro</t>
  </si>
  <si>
    <t>Miriam Del Carmen</t>
  </si>
  <si>
    <t>Cartes Chamblas</t>
  </si>
  <si>
    <t>miram161003@gmail.com</t>
  </si>
  <si>
    <t>Cerro Largo 01535 Vi Cerrito Arriba</t>
  </si>
  <si>
    <t>Fumadora Antigua, recae pero quiere vapor Dinner Lady LOW</t>
  </si>
  <si>
    <t>Naly Millaray</t>
  </si>
  <si>
    <t>Cortez Villanueva</t>
  </si>
  <si>
    <t>nalyc35@gmail.com</t>
  </si>
  <si>
    <t>Geronimo De Alderete 3181</t>
  </si>
  <si>
    <t>Christian Alexander</t>
  </si>
  <si>
    <t>Hahn Lewinsohn</t>
  </si>
  <si>
    <t>chahnlewinsohn@gmail.com</t>
  </si>
  <si>
    <t>El Contrabajo 7312</t>
  </si>
  <si>
    <t>Fuma 1 cajetilla y media, espera dejar de Fumar con Vapeme</t>
  </si>
  <si>
    <t>Yubrán</t>
  </si>
  <si>
    <t>alejandro.yubran@gmail.com</t>
  </si>
  <si>
    <t>Vapeador Técnico y exfumador de tabacco hace 3 años, quiere solución simple y rápida.</t>
  </si>
  <si>
    <t>María Angelica</t>
  </si>
  <si>
    <t>Griott Dueñas</t>
  </si>
  <si>
    <t>angelica@griott.com</t>
  </si>
  <si>
    <t>Pj Peumo 1730 El Polo</t>
  </si>
  <si>
    <t>Fumadora 60 cajetilla al mes.</t>
  </si>
  <si>
    <t>Gajardo</t>
  </si>
  <si>
    <t>alxisgajardo23@gmail.com</t>
  </si>
  <si>
    <t>Fumador 6 cigarros día</t>
  </si>
  <si>
    <t>fernandosotom.os9@gmail.com</t>
  </si>
  <si>
    <t>Quiere Vapear, Es Carabinero OS9</t>
  </si>
  <si>
    <t>Fernando Octavio</t>
  </si>
  <si>
    <t>Gonzalez Bercigli</t>
  </si>
  <si>
    <t>gonzalez.bercigli@gmail.com</t>
  </si>
  <si>
    <t>Orlando Varas 1254</t>
  </si>
  <si>
    <t>Fumador de 2 cigarros al día, Carabinero.</t>
  </si>
  <si>
    <t>Martin Andres</t>
  </si>
  <si>
    <t>Ortiz Correa</t>
  </si>
  <si>
    <t>m.ortiz.correa02@gmail.com</t>
  </si>
  <si>
    <t>Hernan Cortes 2675 Depto 705</t>
  </si>
  <si>
    <t xml:space="preserve">WILLIAM EDUARDO </t>
  </si>
  <si>
    <t xml:space="preserve"> VIVAS ARRIETA</t>
  </si>
  <si>
    <t>williamvivas.udla@gmail.com</t>
  </si>
  <si>
    <t>Sanhueza</t>
  </si>
  <si>
    <t>claudisanhueza@gmail.com</t>
  </si>
  <si>
    <t>Iñaki Nicolas</t>
  </si>
  <si>
    <t>Ipinza Ortega</t>
  </si>
  <si>
    <t>inaipinzaortega13@gmail.com</t>
  </si>
  <si>
    <t>Dufloff 2083 Sector Regional</t>
  </si>
  <si>
    <t>Carolina Andrea</t>
  </si>
  <si>
    <t>Reyes Martinez</t>
  </si>
  <si>
    <t>caroandreamart@gmail.com</t>
  </si>
  <si>
    <t>Av Vicuña Mackenna 1751 Depto. 1204-b</t>
  </si>
  <si>
    <t>30 cajetillas al mes Hija</t>
  </si>
  <si>
    <t>Paula Andrea</t>
  </si>
  <si>
    <t>Pino Zarate</t>
  </si>
  <si>
    <t>pautiny.1997@gmail.com</t>
  </si>
  <si>
    <t>Rene Schneider 1669 Recreo Bajo</t>
  </si>
  <si>
    <t>Patricio Alejandro</t>
  </si>
  <si>
    <t>Reyes Veliz</t>
  </si>
  <si>
    <t>preyesveliz@gmail.com</t>
  </si>
  <si>
    <t>Trinidad Ramirez 0130</t>
  </si>
  <si>
    <t>vapeador técnico</t>
  </si>
  <si>
    <t>Andres Xavier</t>
  </si>
  <si>
    <t xml:space="preserve">Azocar Pinna </t>
  </si>
  <si>
    <t>azocar.md@gmail.com</t>
  </si>
  <si>
    <t>Eduardo Donoso 632</t>
  </si>
  <si>
    <t>salinasroccoelisa@gmail.com</t>
  </si>
  <si>
    <t>600 puff al mes</t>
  </si>
  <si>
    <t>Diego Emanuel</t>
  </si>
  <si>
    <t>Correa Araneda</t>
  </si>
  <si>
    <t>diegocorreaaraneda@gmail.com</t>
  </si>
  <si>
    <t>Castet Monsalves</t>
  </si>
  <si>
    <t>mcastet@gmail.com</t>
  </si>
  <si>
    <t>30 Cajetillas al Mes</t>
  </si>
  <si>
    <t>Leonor</t>
  </si>
  <si>
    <t>leonoralfarogallardo@gmail.com</t>
  </si>
  <si>
    <t>fumadora 8 cigarros al dia</t>
  </si>
  <si>
    <t>Cantarero</t>
  </si>
  <si>
    <t>francisco.cantarero7@hotmail.com</t>
  </si>
  <si>
    <t>fumador 1 cajetilla x semana</t>
  </si>
  <si>
    <t>David Graffunder</t>
  </si>
  <si>
    <t>Graffunder</t>
  </si>
  <si>
    <t>david.graffunder@gmail.com</t>
  </si>
  <si>
    <t>Gringo Carpintero, Busca Trabajo!</t>
  </si>
  <si>
    <t>Bravo</t>
  </si>
  <si>
    <t>rodrigobravobustos@gmail.com</t>
  </si>
  <si>
    <t>iniciar vapeo y no fuma</t>
  </si>
  <si>
    <t>Karen</t>
  </si>
  <si>
    <t>karen.alvear.ccaf@gmail.com</t>
  </si>
  <si>
    <t>300 cigarros al mes</t>
  </si>
  <si>
    <t>Valentina Mariana</t>
  </si>
  <si>
    <t>Peña Moya</t>
  </si>
  <si>
    <t>vpenam@udd.cl</t>
  </si>
  <si>
    <t>Antupiren 7849</t>
  </si>
  <si>
    <t>Clara Maria</t>
  </si>
  <si>
    <t>Salazar Barra</t>
  </si>
  <si>
    <t>csalazar1@gmail.com</t>
  </si>
  <si>
    <t>Duble Almeyda 2924 402</t>
  </si>
  <si>
    <t>Camila Francisca</t>
  </si>
  <si>
    <t>Albornoz Macklins</t>
  </si>
  <si>
    <t>cami.macklins@gmail.com</t>
  </si>
  <si>
    <t>Vapeadora</t>
  </si>
  <si>
    <t>Javiera Constanza</t>
  </si>
  <si>
    <t>Salgado Saavedra</t>
  </si>
  <si>
    <t>javasalgados@gmail.com</t>
  </si>
  <si>
    <t>Papá Fumador 300 cigarros al mes</t>
  </si>
  <si>
    <t>Martin Tomas</t>
  </si>
  <si>
    <t>Otello Reyes</t>
  </si>
  <si>
    <t>martinotellor@gmail.com</t>
  </si>
  <si>
    <t>vapeado técnico</t>
  </si>
  <si>
    <t>Stania</t>
  </si>
  <si>
    <t>carolinastania11@outlook.com</t>
  </si>
  <si>
    <t>Blue Razz de NOVO, Ururguay, Visita</t>
  </si>
  <si>
    <t>Sebastián Patricio</t>
  </si>
  <si>
    <t>Valdés Muñoz</t>
  </si>
  <si>
    <t>sebastian.valdesm@usm.cl</t>
  </si>
  <si>
    <t>Exequiel Fernandez 444 Depto, 81</t>
  </si>
  <si>
    <t>Jean Luis Alexander</t>
  </si>
  <si>
    <t>Vargas Torres</t>
  </si>
  <si>
    <t>jvargat@gmail.com</t>
  </si>
  <si>
    <t>Tabaco Armado a Vape para dejarlo</t>
  </si>
  <si>
    <t>Marin</t>
  </si>
  <si>
    <t>paulaa.marinl@gmail.com</t>
  </si>
  <si>
    <t>vapeadora pods</t>
  </si>
  <si>
    <t>juanpachecosilva@gmail.com</t>
  </si>
  <si>
    <t>Macklins</t>
  </si>
  <si>
    <t>pmacklins@hotmail.com</t>
  </si>
  <si>
    <t>Piñeiro</t>
  </si>
  <si>
    <t>pineiro_92@hotmail.com</t>
  </si>
  <si>
    <t>Lago</t>
  </si>
  <si>
    <t>lago1101@gmail.com</t>
  </si>
  <si>
    <t>fumador quiere vapear 0 nic</t>
  </si>
  <si>
    <t>lgonzal.lied@gmail.com</t>
  </si>
  <si>
    <t>Psje Morro De Arica 1626</t>
  </si>
  <si>
    <t>Fuma 2 cajetillas al dia</t>
  </si>
  <si>
    <t>Miguel Angel</t>
  </si>
  <si>
    <t>Vega</t>
  </si>
  <si>
    <t>miguelangel@pbusiness.cl</t>
  </si>
  <si>
    <t>Colon 5444 Dpto 308</t>
  </si>
  <si>
    <t>Fuma 5 cigarrillos al día</t>
  </si>
  <si>
    <t>Lamas</t>
  </si>
  <si>
    <t>a.lamas.g@gmail.com</t>
  </si>
  <si>
    <t>Villaseca 2344</t>
  </si>
  <si>
    <t>Elizabeth Andrea</t>
  </si>
  <si>
    <t>Ramirez Caceres</t>
  </si>
  <si>
    <t>ely_ramca@hotmail.com</t>
  </si>
  <si>
    <t>Nicolas Esteban</t>
  </si>
  <si>
    <t>Meneses González</t>
  </si>
  <si>
    <t>nico.menesesg@gmail.com</t>
  </si>
  <si>
    <t>Vapeador PRO de 5 años y ciclista.</t>
  </si>
  <si>
    <t>Sebastián Andrés</t>
  </si>
  <si>
    <t>Aramburú Jara</t>
  </si>
  <si>
    <t>sebastian.aramburu@gmail.com</t>
  </si>
  <si>
    <t>Vapeador Pasivo 900 puff/mes, sabor Dulce Berry Ice</t>
  </si>
  <si>
    <t>America</t>
  </si>
  <si>
    <t>america.vergara.o@gmail.com</t>
  </si>
  <si>
    <t>Detective Vicente Bourguett Chaverini 156 Cumbres De Buin</t>
  </si>
  <si>
    <t>10 cigarrillos al día</t>
  </si>
  <si>
    <t>Mendoza</t>
  </si>
  <si>
    <t>mauriciom8agencia@gmail.com</t>
  </si>
  <si>
    <t>Yarae</t>
  </si>
  <si>
    <t>yaraegarrido@gmail.com</t>
  </si>
  <si>
    <t>Jose Miguel Carrera 2084-a 32 Poblacion Vicuña Mackena</t>
  </si>
  <si>
    <t>Yamile</t>
  </si>
  <si>
    <t>Nazal</t>
  </si>
  <si>
    <t>yamilenazal@gmail.com</t>
  </si>
  <si>
    <t>Urbano Vergara 226</t>
  </si>
  <si>
    <t>Avisar stock de Novo Menthol</t>
  </si>
  <si>
    <t>jromero3@gmail.com</t>
  </si>
  <si>
    <t>Avenida Macul 3198</t>
  </si>
  <si>
    <t>Fuma 8 cigarros al día</t>
  </si>
  <si>
    <t>Sonia</t>
  </si>
  <si>
    <t>salaz66@gmail.com</t>
  </si>
  <si>
    <t>Avenida Macul 3198 Departamento 401</t>
  </si>
  <si>
    <t>Fuma 10 cigarros por día</t>
  </si>
  <si>
    <t>Panteleon</t>
  </si>
  <si>
    <t>acronos2008@gmail.com</t>
  </si>
  <si>
    <t>Fumador de cajetilla y media al día y desea dejar el cigarro</t>
  </si>
  <si>
    <t>ariel.malla@hotmail.com</t>
  </si>
  <si>
    <t>fumador vapes mod</t>
  </si>
  <si>
    <t>Acuña</t>
  </si>
  <si>
    <t>nicoleacunac@gmail.com</t>
  </si>
  <si>
    <t>Ramirez 1559 Ed Señorial Depto 82</t>
  </si>
  <si>
    <t>dvalenzuelav90@gmail.com</t>
  </si>
  <si>
    <t>Jorge Giles 1534</t>
  </si>
  <si>
    <t>Medina</t>
  </si>
  <si>
    <t>fernandomedi98@gmail.com</t>
  </si>
  <si>
    <t>Parcelacion Playa Chamiza Alonso De Ercilla Parcela 119</t>
  </si>
  <si>
    <t>Pierre</t>
  </si>
  <si>
    <t>Morales Rosas</t>
  </si>
  <si>
    <t>piromo1@yahoo.com</t>
  </si>
  <si>
    <t>Bahia Catalina Fach</t>
  </si>
  <si>
    <t>Fuma 1 cajetilla diaria y su señora 5 cigarros diarios, quiere dejar de fumar.</t>
  </si>
  <si>
    <t>Nathalia</t>
  </si>
  <si>
    <t>nathaliavidela@gmail.com</t>
  </si>
  <si>
    <t>Exequiel Fernandez 1555 D 104</t>
  </si>
  <si>
    <t>Guillermo</t>
  </si>
  <si>
    <t>Sivira</t>
  </si>
  <si>
    <t>siviraguillermo75@gmail.com</t>
  </si>
  <si>
    <t>Vessna Andrea</t>
  </si>
  <si>
    <t>Aros Johnstone</t>
  </si>
  <si>
    <t>vessna.aros.johnstone@gmail.com</t>
  </si>
  <si>
    <t>Roman</t>
  </si>
  <si>
    <t>roman.ingecom@gmail.com</t>
  </si>
  <si>
    <t>fumador de tabaco</t>
  </si>
  <si>
    <t>Laura</t>
  </si>
  <si>
    <t>Oliva</t>
  </si>
  <si>
    <t>loliva@protasa.cl</t>
  </si>
  <si>
    <t>Damián Andrés</t>
  </si>
  <si>
    <t>Diaz Urrutia</t>
  </si>
  <si>
    <t>damiandiaz195@gmail.com</t>
  </si>
  <si>
    <t>Pje Salesianos 1716 Pb Carlos Camus</t>
  </si>
  <si>
    <t>Vapedor 3 años PROBO y GUSTO: NEO BI,WST, y NOVO CLEAR</t>
  </si>
  <si>
    <t>Javier Antonio</t>
  </si>
  <si>
    <t>Pizarro Gaete</t>
  </si>
  <si>
    <t>jpizarro2612@gmail.com</t>
  </si>
  <si>
    <t>Vape y Fuma, no pretende salir.</t>
  </si>
  <si>
    <t>Andrés</t>
  </si>
  <si>
    <t>Cipriano</t>
  </si>
  <si>
    <t>ciprianoandres@gmail.com</t>
  </si>
  <si>
    <t>Fumador de Tabaco gasta 30000 al mes, y le gusto la idea de llevar NEO y DL para dejar el tabaco.</t>
  </si>
  <si>
    <t>Germana Alejandra Paola</t>
  </si>
  <si>
    <t>González Navas</t>
  </si>
  <si>
    <t>ggonzalez.navas@gmail.com</t>
  </si>
  <si>
    <t>Vapeadora y compradora en mercado libre</t>
  </si>
  <si>
    <t>Michelle Pascalle</t>
  </si>
  <si>
    <t>Brown Baeza</t>
  </si>
  <si>
    <t>michellebrownb@gmail.com</t>
  </si>
  <si>
    <t>Vapeadores años ylos cautivo DL menta</t>
  </si>
  <si>
    <t>Carolina Paula</t>
  </si>
  <si>
    <t>Cavieres Meza</t>
  </si>
  <si>
    <t>imoresionarte@gmail.com</t>
  </si>
  <si>
    <t>Vape hijo, recordo con DL vainilla a su papá y la pipa</t>
  </si>
  <si>
    <t>Johan</t>
  </si>
  <si>
    <t>Sandoval</t>
  </si>
  <si>
    <t>johansandovalria@gmail.com</t>
  </si>
  <si>
    <t>vapea de Fiesta</t>
  </si>
  <si>
    <t>Anita</t>
  </si>
  <si>
    <t>Álvarez</t>
  </si>
  <si>
    <t>vestuario.anita@gmail.com</t>
  </si>
  <si>
    <t>Recomendada por Broncopulmonar 3000 puff x mes</t>
  </si>
  <si>
    <t>Jennifer</t>
  </si>
  <si>
    <t>joliva@chemtread.com</t>
  </si>
  <si>
    <t>Fuma 2 cigarros pero no quiere volver</t>
  </si>
  <si>
    <t xml:space="preserve">Sierralta Navarro </t>
  </si>
  <si>
    <t>anto.snavarro@gmail.com</t>
  </si>
  <si>
    <t>Arenas</t>
  </si>
  <si>
    <t>rarenas@automarco.cl</t>
  </si>
  <si>
    <t>Glaucoma y debe dejar urgente el cigarro solo fuma 4 cajetilas al mes</t>
  </si>
  <si>
    <t>Maria</t>
  </si>
  <si>
    <t>Guacolda Muñoz</t>
  </si>
  <si>
    <t>mariaguacoldamunoz@gmail.com</t>
  </si>
  <si>
    <t>Pasaje Rio Cisne 9456 D Valle Verde</t>
  </si>
  <si>
    <t>30 cajetillas al mes</t>
  </si>
  <si>
    <t>José Matías</t>
  </si>
  <si>
    <t>Palomer Benitez</t>
  </si>
  <si>
    <t>lord.matt.314@gmail.com</t>
  </si>
  <si>
    <t>Fuma 15 Cajtillas Mes</t>
  </si>
  <si>
    <t>paola.aravena.p@gmail.com</t>
  </si>
  <si>
    <t>Tania Andrea</t>
  </si>
  <si>
    <t>tania.andrearamirez@gmail.com</t>
  </si>
  <si>
    <t>fumadora, quiere dejar completamente el humo/vapor</t>
  </si>
  <si>
    <t>Hidmara</t>
  </si>
  <si>
    <t>hidmara@gmail.com</t>
  </si>
  <si>
    <t>fumadores de canabis, uso de vape para olor y transicion de humo canabico</t>
  </si>
  <si>
    <t>Huaiquilaf</t>
  </si>
  <si>
    <t>mhuaiquilafsi@gmail.com</t>
  </si>
  <si>
    <t>Jenniffer</t>
  </si>
  <si>
    <t>Angulo Troncoso</t>
  </si>
  <si>
    <t>jenniffer.at@gmail.com</t>
  </si>
  <si>
    <t>Vicuna Mackenna Poniente 7735 torre B, depto 1506 7735</t>
  </si>
  <si>
    <t>Pia</t>
  </si>
  <si>
    <t>piasotom3@gmail.com</t>
  </si>
  <si>
    <t>Ismael</t>
  </si>
  <si>
    <t>Subercaseaux</t>
  </si>
  <si>
    <t>pima6823@gmail.com</t>
  </si>
  <si>
    <t>franciscomirandavargas@gmail.com</t>
  </si>
  <si>
    <t>Ignacio</t>
  </si>
  <si>
    <t>Sasso</t>
  </si>
  <si>
    <t>ignaciosasso@gmail.com</t>
  </si>
  <si>
    <t>Ibañez</t>
  </si>
  <si>
    <t>antoniaibanez027@gmail.com</t>
  </si>
  <si>
    <t>Alarcón Zuñiga</t>
  </si>
  <si>
    <t>nalarcon@ecrgroup.cl</t>
  </si>
  <si>
    <t>Marido 15 Cajetillas al mes</t>
  </si>
  <si>
    <t>Duarte</t>
  </si>
  <si>
    <t>mau.duarte@icloud.com</t>
  </si>
  <si>
    <t>2 Cajetillas al día/ hace un año atrás. Hoy Vapea, Busca un mejor equipo con Vapeme.</t>
  </si>
  <si>
    <t>Ferretti</t>
  </si>
  <si>
    <t>luisferreti@gmail.com</t>
  </si>
  <si>
    <t>30 cajetillas al mes se llevo la combi DL y NEO</t>
  </si>
  <si>
    <t>Reyes Caro</t>
  </si>
  <si>
    <t>david.reyescaro@gmail.com</t>
  </si>
  <si>
    <t>1 1/2 al dia o sea 45 cajetillas al mes, se llevo la combi Neo y DL</t>
  </si>
  <si>
    <t>danielpizarro@gmail.com</t>
  </si>
  <si>
    <t>Fumador de THC y le compro a su novia para vapeo</t>
  </si>
  <si>
    <t>Nelson Alejandro</t>
  </si>
  <si>
    <t>Hernández Pérez</t>
  </si>
  <si>
    <t>nelsonhp2005@gmail.com</t>
  </si>
  <si>
    <t>Puerto Montt fumador de una Cajetilla, para regalo</t>
  </si>
  <si>
    <t>Laroche</t>
  </si>
  <si>
    <t>glaroche151@gmail.com</t>
  </si>
  <si>
    <t>Ex Vapeador/ dueño de tiendas de equipos electronicos</t>
  </si>
  <si>
    <t>Aceituno</t>
  </si>
  <si>
    <t>alonsogabriel.lm@gmail.com</t>
  </si>
  <si>
    <t>15 cigarros al dia y finde semana 1 cajetillas x dia</t>
  </si>
  <si>
    <t>Poulette Fernanda</t>
  </si>
  <si>
    <t>Carcasson Echeverria</t>
  </si>
  <si>
    <t>fda@gmail.com</t>
  </si>
  <si>
    <t>fuma 1 cajetilla dia, quiere dejar de fumar, ECR</t>
  </si>
  <si>
    <t>María</t>
  </si>
  <si>
    <t>criverosf@hotmail.com</t>
  </si>
  <si>
    <t>Blumell 0251 Pb Playa Blanca</t>
  </si>
  <si>
    <t>rguerrero@tars.cl</t>
  </si>
  <si>
    <t>El Golf 125 Piso 5</t>
  </si>
  <si>
    <t>Sebastián</t>
  </si>
  <si>
    <t>Rubilar</t>
  </si>
  <si>
    <t>rubilar.sebastian@gmail.com</t>
  </si>
  <si>
    <t>Eca De Queiroz 7968</t>
  </si>
  <si>
    <t>Fuma 1 cigarro al día</t>
  </si>
  <si>
    <t>diepalpin@gmail.com</t>
  </si>
  <si>
    <t>Pje.maria Jose 1377 V.padre Hurtado</t>
  </si>
  <si>
    <t>Fuma 6 cigarros al día. Quiere dejar de fumar.</t>
  </si>
  <si>
    <t>an.solarg@gmail.com</t>
  </si>
  <si>
    <t>Crisantemos 764 Dpto 505</t>
  </si>
  <si>
    <t>Fuma 5 cigarros al día. Quiere dejar de fumar.</t>
  </si>
  <si>
    <t>Krish</t>
  </si>
  <si>
    <t>krish.garcia@gmail.com</t>
  </si>
  <si>
    <t>Vicuña Mackenna 2585 1501b</t>
  </si>
  <si>
    <t>Claudio</t>
  </si>
  <si>
    <t>Horzella</t>
  </si>
  <si>
    <t>chorzella@gmail.com</t>
  </si>
  <si>
    <t>Villaseca 70 Dp 54-a</t>
  </si>
  <si>
    <t>Genady</t>
  </si>
  <si>
    <t>galvarez@gimlogistic.cl</t>
  </si>
  <si>
    <t>Vapeo Normal, Agente de Aduanas Zulueta</t>
  </si>
  <si>
    <t>Mackarena Paz</t>
  </si>
  <si>
    <t>mckaaymartinez@gmail.com</t>
  </si>
  <si>
    <t xml:space="preserve">	Callejon Pedro De Valdivia Psje. Monaco 3348 Manuel Antonio</t>
  </si>
  <si>
    <t>15 cajetillas al mes 2 Vapos SIn y uno de Rescate</t>
  </si>
  <si>
    <t>bybeanto79@gmail.com</t>
  </si>
  <si>
    <t>30 años fumando 1 cajetilla y Vpea  hace 10 años. Usara la combinación para salir.</t>
  </si>
  <si>
    <t>Holvoet</t>
  </si>
  <si>
    <t>eholvoet@gmail.com</t>
  </si>
  <si>
    <t>Panamericana Sur S N</t>
  </si>
  <si>
    <t>Maria Soledad</t>
  </si>
  <si>
    <t>Isla</t>
  </si>
  <si>
    <t>mariasoledadisla@gmail.com</t>
  </si>
  <si>
    <t>Zurich Sur 0789 789</t>
  </si>
  <si>
    <t>Dejó de fumar hace 1 mes, fumaba 15 cigarros al día.</t>
  </si>
  <si>
    <t>fassdelc@gmail.com</t>
  </si>
  <si>
    <t>Jose Domingo Cañas 2277 Dpto 706</t>
  </si>
  <si>
    <t>Chantal</t>
  </si>
  <si>
    <t>Oldenampsen</t>
  </si>
  <si>
    <t>ch.oldenampsen@gmail.com</t>
  </si>
  <si>
    <t>Los Alerces 3330 Depto 1107 Torre B ñuñoa Stgo</t>
  </si>
  <si>
    <t>Hector</t>
  </si>
  <si>
    <t>deemito.mcsoto@gmail.com</t>
  </si>
  <si>
    <t>BRENDA</t>
  </si>
  <si>
    <t>WERNER</t>
  </si>
  <si>
    <t>brendawerner@gmail.com</t>
  </si>
  <si>
    <t>JUAN SOLER MANFREDINI 11</t>
  </si>
  <si>
    <t>Leguer</t>
  </si>
  <si>
    <t>clntecnologiadental@msn.com</t>
  </si>
  <si>
    <t>Esposa fuma 10 cigarros al día, quiere dejar de fumar.</t>
  </si>
  <si>
    <t>fabylillo@gmail.com</t>
  </si>
  <si>
    <t>Los Andes 4645</t>
  </si>
  <si>
    <t>saguirre@ieee.org</t>
  </si>
  <si>
    <t>Miraflores 1228</t>
  </si>
  <si>
    <t>Canales</t>
  </si>
  <si>
    <t>fcanalesy@gmail.com</t>
  </si>
  <si>
    <t>Francisco Valdes Subercaseaux 4705</t>
  </si>
  <si>
    <t>Monroy</t>
  </si>
  <si>
    <t>francisca.monroy@uc.cl</t>
  </si>
  <si>
    <t>Perello</t>
  </si>
  <si>
    <t>mperello@imagina.cl</t>
  </si>
  <si>
    <t>García</t>
  </si>
  <si>
    <t>coteselena@gmail.com</t>
  </si>
  <si>
    <t>Camaran</t>
  </si>
  <si>
    <t>camarangabriela3@gmail.com</t>
  </si>
  <si>
    <t>Vapea Carrete</t>
  </si>
  <si>
    <t>Roberto</t>
  </si>
  <si>
    <t>Pino</t>
  </si>
  <si>
    <t>roberto.pino@being.cl</t>
  </si>
  <si>
    <t>Juan de Dios Vial Correa 4220</t>
  </si>
  <si>
    <t>Ignacia</t>
  </si>
  <si>
    <t>VC</t>
  </si>
  <si>
    <t>nachavc5@gmail.com</t>
  </si>
  <si>
    <t>Dides</t>
  </si>
  <si>
    <t>natalia.dides@gmail.com</t>
  </si>
  <si>
    <t>ignacioasc@live.cl</t>
  </si>
  <si>
    <t>Colodro</t>
  </si>
  <si>
    <t>dcolodro@yahoo.com</t>
  </si>
  <si>
    <t>Los gladiolos 10262</t>
  </si>
  <si>
    <t>Quijada</t>
  </si>
  <si>
    <t>bquijadaf@gmail.com</t>
  </si>
  <si>
    <t>fgonzalezfigueroa@hotmail.com</t>
  </si>
  <si>
    <t>Beghelli</t>
  </si>
  <si>
    <t>gabeghelli@gmail.com</t>
  </si>
  <si>
    <t>Ivette</t>
  </si>
  <si>
    <t>ivettezunigasoto96@gmail.com</t>
  </si>
  <si>
    <t>Yorio</t>
  </si>
  <si>
    <t>ceciliayorio@gmail.com</t>
  </si>
  <si>
    <t>ignacio262816@gmail.com</t>
  </si>
  <si>
    <t>Cerda</t>
  </si>
  <si>
    <t>jcerda@gmail.com</t>
  </si>
  <si>
    <t>Fuma 8 cigarrillos diarios. Quiere dejar de fumar, empezo su transicion.</t>
  </si>
  <si>
    <t>Owen</t>
  </si>
  <si>
    <t>Conley</t>
  </si>
  <si>
    <t>owenconley17@gmail.com</t>
  </si>
  <si>
    <t>Fuchs</t>
  </si>
  <si>
    <t>rofuchs@gmail.com</t>
  </si>
  <si>
    <t>Vivas</t>
  </si>
  <si>
    <t>joseandresvivas@gmail.com</t>
  </si>
  <si>
    <t>Fuma 5 cigarros al día, quiere dejar de fumar.</t>
  </si>
  <si>
    <t>Mallea</t>
  </si>
  <si>
    <t>fmalleasalazar@gmail.com</t>
  </si>
  <si>
    <t>Yelpi</t>
  </si>
  <si>
    <t>marceloyelpi@hotmail.com</t>
  </si>
  <si>
    <t>jechuvt@gmail.com</t>
  </si>
  <si>
    <t>Ponce</t>
  </si>
  <si>
    <t>catalinaponce55@gmail.com</t>
  </si>
  <si>
    <t>Gianfranco</t>
  </si>
  <si>
    <t>Sbarra</t>
  </si>
  <si>
    <t>domenicosb@gmail.com</t>
  </si>
  <si>
    <t>Chile Tabaco</t>
  </si>
  <si>
    <t xml:space="preserve">Nicole </t>
  </si>
  <si>
    <t>Liendo</t>
  </si>
  <si>
    <t>nicoleliendo202@gmail.com</t>
  </si>
  <si>
    <t>fumadora social, 4 cajetillas al mes</t>
  </si>
  <si>
    <t>yasnasfeir@gmail.com</t>
  </si>
  <si>
    <t>Annais</t>
  </si>
  <si>
    <t>annaisvegaa01@gmail.com</t>
  </si>
  <si>
    <t>Leonardo</t>
  </si>
  <si>
    <t>Duque</t>
  </si>
  <si>
    <t>duquescalante@gmail.com</t>
  </si>
  <si>
    <t>Fuma 150 cigarrillos al mes, quiere dejar de fumar.</t>
  </si>
  <si>
    <t>Erick</t>
  </si>
  <si>
    <t>Rifo</t>
  </si>
  <si>
    <t>rifoerick@gmail.com</t>
  </si>
  <si>
    <t>vtorresc@uc.cl</t>
  </si>
  <si>
    <t>alvaroabraham1707@gmail.com</t>
  </si>
  <si>
    <t>nmunozv13@gmail.com</t>
  </si>
  <si>
    <t>Fuma 5 cigarros diarios, quiere dejar de fumar.</t>
  </si>
  <si>
    <t>Tatiana</t>
  </si>
  <si>
    <t>tzamoranoh@gmail.com</t>
  </si>
  <si>
    <t>Fuma 4 cigarros diarios, quiere dejar de fumar.</t>
  </si>
  <si>
    <t>Gerardo</t>
  </si>
  <si>
    <t>gbarreracardonne@gmail.com</t>
  </si>
  <si>
    <t>Fuma 2 cigarros diarios, quiere dejar de fumar.</t>
  </si>
  <si>
    <t>Maldonado</t>
  </si>
  <si>
    <t>cotemaldonado@gmail.com</t>
  </si>
  <si>
    <t>Parodi</t>
  </si>
  <si>
    <t>d.parodi.sosa@gmail.com</t>
  </si>
  <si>
    <t>Lenny</t>
  </si>
  <si>
    <t>DMF</t>
  </si>
  <si>
    <t>lennydmf@gmail.com</t>
  </si>
  <si>
    <t>Rossmery</t>
  </si>
  <si>
    <t>rossmerytorres@gmail.com</t>
  </si>
  <si>
    <t>Agregar Apellido</t>
  </si>
  <si>
    <t>mariano@imagenempresarial.cl</t>
  </si>
  <si>
    <t>Fuma 1 cajetilla y media diaria, quiere dejar de fumar en intervalos.</t>
  </si>
  <si>
    <t>sebaortizsm@gmail.com</t>
  </si>
  <si>
    <t>Estefany</t>
  </si>
  <si>
    <t>esalazarcorrea@gmail.com</t>
  </si>
  <si>
    <t>Quiere empezar a vapear, no fuma cigarros.</t>
  </si>
  <si>
    <t>andmirandaa@hotmail.com</t>
  </si>
  <si>
    <t>nmartinez@grupogcr.cl</t>
  </si>
  <si>
    <t>Camino de cintura 8030</t>
  </si>
  <si>
    <t>MARIA ALICIA</t>
  </si>
  <si>
    <t>SANDOVAL</t>
  </si>
  <si>
    <t>ichasandoval@gmail.com</t>
  </si>
  <si>
    <t>Freire 379</t>
  </si>
  <si>
    <t>Patiño</t>
  </si>
  <si>
    <t>alexis.patino@gmail.com</t>
  </si>
  <si>
    <t>pareja fumadora, quieren dejar de fumar</t>
  </si>
  <si>
    <t>tomas.diazferrada@gmail.com</t>
  </si>
  <si>
    <t>Cueto</t>
  </si>
  <si>
    <t>cuetobenavides@gmail.com</t>
  </si>
  <si>
    <t>fumador</t>
  </si>
  <si>
    <t>Chavez</t>
  </si>
  <si>
    <t>amparo.chavez@uc.cl</t>
  </si>
  <si>
    <t>Castagnoli</t>
  </si>
  <si>
    <t>valeriacastagnoli@gmail.com</t>
  </si>
  <si>
    <t>Cooper</t>
  </si>
  <si>
    <t>cooper.2araya@gmail.com</t>
  </si>
  <si>
    <t>Quiere dejar de vapear, empezará su transición con zero nicotina.</t>
  </si>
  <si>
    <t>Mancilla</t>
  </si>
  <si>
    <t>catalinabelen.me2000@gmail.com</t>
  </si>
  <si>
    <t>Fuma 2 cajetillas al mes, fumadora social.</t>
  </si>
  <si>
    <t>Gormaz</t>
  </si>
  <si>
    <t>gormazpaula@gmail.com</t>
  </si>
  <si>
    <t>fumadora canabis, lleva spearmint menthol</t>
  </si>
  <si>
    <t>Sazo</t>
  </si>
  <si>
    <t>mauri_krs1@outlook.es</t>
  </si>
  <si>
    <t>quiere ejar de fumar, lleva SN y comprará a futuro CN para tener el combo fumador</t>
  </si>
  <si>
    <t>Pasten</t>
  </si>
  <si>
    <t>robertopasten@gmail.com</t>
  </si>
  <si>
    <t>Fuma 4 tabacos al día.</t>
  </si>
  <si>
    <t>Lisette</t>
  </si>
  <si>
    <t>Vera</t>
  </si>
  <si>
    <t>lisettevera321@gmail.com</t>
  </si>
  <si>
    <t>Zepeda</t>
  </si>
  <si>
    <t>nicolas.zepeda2@gmail.com</t>
  </si>
  <si>
    <t>fpoblete.9103@gmail.com</t>
  </si>
  <si>
    <t>mvaracena@gmail.com</t>
  </si>
  <si>
    <t>Antes fumaba 1 cajetilla diaria, ahora fuma 5 cigarros al día.</t>
  </si>
  <si>
    <t>Barria flores</t>
  </si>
  <si>
    <t>joselyn.inyaco@gmail.com</t>
  </si>
  <si>
    <t>del arriero 05600</t>
  </si>
  <si>
    <t>Corral</t>
  </si>
  <si>
    <t>pcorral@gmail.com</t>
  </si>
  <si>
    <t>Fuma 12 cigarros por día, quiere dejar de fumar.</t>
  </si>
  <si>
    <t>sergiobustosv@gmail.com</t>
  </si>
  <si>
    <t>Balboa</t>
  </si>
  <si>
    <t>alejandrabalboac@gmail.com</t>
  </si>
  <si>
    <t>Elias</t>
  </si>
  <si>
    <t>eliasm987@gmail.com</t>
  </si>
  <si>
    <t>Etiquetas de fila</t>
  </si>
  <si>
    <t>Total general</t>
  </si>
  <si>
    <t>(Todas)</t>
  </si>
  <si>
    <t>Cajetillas</t>
  </si>
  <si>
    <t>Fuma</t>
  </si>
  <si>
    <t>cristian</t>
  </si>
  <si>
    <t>valdés</t>
  </si>
  <si>
    <t>crisstianvaldes@gmail.com</t>
  </si>
  <si>
    <t>30 cigarros al mes</t>
  </si>
  <si>
    <t>Karin</t>
  </si>
  <si>
    <t>Rodriguez</t>
  </si>
  <si>
    <t>kri.rodriguez.g61@gmail.com</t>
  </si>
  <si>
    <t>Fatima</t>
  </si>
  <si>
    <t>fm220881@gmail.com</t>
  </si>
  <si>
    <t>Victoria</t>
  </si>
  <si>
    <t>victoriarivera1853@gmail.com</t>
  </si>
  <si>
    <t>Castro Pedrero</t>
  </si>
  <si>
    <t>soleecp@gmail.com</t>
  </si>
  <si>
    <t>Avenida los conquistadores 1640</t>
  </si>
  <si>
    <t>Matus</t>
  </si>
  <si>
    <t>rodrigojme@gmail.com</t>
  </si>
  <si>
    <t>cristobal1008perez@gmail.com</t>
  </si>
  <si>
    <t>Saavedra</t>
  </si>
  <si>
    <t>francisco.saavedratransport@gmail.com</t>
  </si>
  <si>
    <t>dannycr94@gmail.com</t>
  </si>
  <si>
    <t>Oddo</t>
  </si>
  <si>
    <t>gabriel.oddo@mayor.cl</t>
  </si>
  <si>
    <t>208 Cigarros al Mes</t>
  </si>
  <si>
    <t>amontoya@receptaculo.com</t>
  </si>
  <si>
    <t>60 cigarros al Mes</t>
  </si>
  <si>
    <t>mariajose170510@gmail.com</t>
  </si>
  <si>
    <t>Montana</t>
  </si>
  <si>
    <t>Av Grecia 3047 D/42</t>
  </si>
  <si>
    <t>Bosch</t>
  </si>
  <si>
    <t>vbosch90@gmail.com</t>
  </si>
  <si>
    <t>Keib</t>
  </si>
  <si>
    <t>Gallardo</t>
  </si>
  <si>
    <t>keibgallardo@gmail.com</t>
  </si>
  <si>
    <t>Leonel</t>
  </si>
  <si>
    <t>Conte Toledo</t>
  </si>
  <si>
    <t>leonel@conteconsultores.cl</t>
  </si>
  <si>
    <t>lorena.sanchezg@hotmail.com</t>
  </si>
  <si>
    <t>Agustin</t>
  </si>
  <si>
    <t>agustiinfelipe@gmail.com</t>
  </si>
  <si>
    <t>Solo vapea, dejo el pucho hace tiempo involuntariamente</t>
  </si>
  <si>
    <t>Azriek</t>
  </si>
  <si>
    <t>azriek@msn.com</t>
  </si>
  <si>
    <t>Fumador de Cannabis</t>
  </si>
  <si>
    <t>Pablo Fabian</t>
  </si>
  <si>
    <t>p.rivasguzman@gmail.com</t>
  </si>
  <si>
    <t>18 Cajetillas al Mes</t>
  </si>
  <si>
    <t>javierherreral@gmail.com</t>
  </si>
  <si>
    <t>No fuma y quiere vapear SN</t>
  </si>
  <si>
    <t>Paulina Alejandra</t>
  </si>
  <si>
    <t>Aravena Granadino</t>
  </si>
  <si>
    <t>pauli_agr@hotmail.com</t>
  </si>
  <si>
    <t>El Huingan 2183 V Precordillera</t>
  </si>
  <si>
    <t>Fuma Socialpoco y quiere vapear, vino con su Marido Javier Herrera, el cual llevo dos equipos 600 y un POD 1200</t>
  </si>
  <si>
    <t>Lupe</t>
  </si>
  <si>
    <t>Abaca</t>
  </si>
  <si>
    <t>lupeabaca@gmail.com</t>
  </si>
  <si>
    <t>ex Fumadora y quiere saltarse el cigarro y se lleva DN600 SN y POD ST</t>
  </si>
  <si>
    <t>Egon</t>
  </si>
  <si>
    <t>Nicolás González 9725</t>
  </si>
  <si>
    <t>Juan Ignacio</t>
  </si>
  <si>
    <t>gv.juanignacio@gmail.com</t>
  </si>
  <si>
    <t>Fuma 1 cajetilla diaria, quiere dejar de fumar.</t>
  </si>
  <si>
    <t>Ozaki</t>
  </si>
  <si>
    <t>ozakidaste@hotmail.com</t>
  </si>
  <si>
    <t>Fuma 3 cigarros diarios.</t>
  </si>
  <si>
    <t>csaldiasrojas@gmail.com</t>
  </si>
  <si>
    <t>Fuma 2 cigarros por dia, fumadora social.</t>
  </si>
  <si>
    <t>Vincenzo</t>
  </si>
  <si>
    <t>Guarino</t>
  </si>
  <si>
    <t>info@vapeme.cl</t>
  </si>
  <si>
    <t>Cea</t>
  </si>
  <si>
    <t>jorgecea01@gmail.com</t>
  </si>
  <si>
    <t>Schenone</t>
  </si>
  <si>
    <t>luciano.schenone1994@gmail.com</t>
  </si>
  <si>
    <t>Quintana</t>
  </si>
  <si>
    <t>marco.quintana.o@gmail.com</t>
  </si>
  <si>
    <t>Carrasco</t>
  </si>
  <si>
    <t>clodks@gmail.com</t>
  </si>
  <si>
    <t>Fumador de 300 Cigarros</t>
  </si>
  <si>
    <t>fernandotapia1986@icloud.com</t>
  </si>
  <si>
    <t>aguanteowens@gmail.com</t>
  </si>
  <si>
    <t>f.saavedralazo@gmail.com</t>
  </si>
  <si>
    <t>Fuma 5 tabacos diarios, quiere dejar de fumar.</t>
  </si>
  <si>
    <t>Nathaly</t>
  </si>
  <si>
    <t>nathalypinto3009@gmail.com</t>
  </si>
  <si>
    <t>fz.cornejo@gmail.com</t>
  </si>
  <si>
    <t>Williams</t>
  </si>
  <si>
    <t>Almarza</t>
  </si>
  <si>
    <t>w.almarza.f@gmail.com</t>
  </si>
  <si>
    <t>Luttecke</t>
  </si>
  <si>
    <t>salimlb.info@gmail.com</t>
  </si>
  <si>
    <t>caro.azuniga@gmail.com</t>
  </si>
  <si>
    <t>Fumadora social, quiere dejar de fumar.</t>
  </si>
  <si>
    <t>Cynthia</t>
  </si>
  <si>
    <t>cynthiaalfaro@gmail.com</t>
  </si>
  <si>
    <t>Fuma 8 cajetillas al mes, quiere dejar de fumar. Se lleva kit CN/SN (Sabor mentol y ice)</t>
  </si>
  <si>
    <t>German</t>
  </si>
  <si>
    <t>Fuhr</t>
  </si>
  <si>
    <t>gerfuhr@gmail.com</t>
  </si>
  <si>
    <t>Fritz</t>
  </si>
  <si>
    <t>nico.fritzdominguez@gmail.com</t>
  </si>
  <si>
    <t>Simon</t>
  </si>
  <si>
    <t>Tirone</t>
  </si>
  <si>
    <t>simon.tirone15@gmail.com</t>
  </si>
  <si>
    <t>Bezma</t>
  </si>
  <si>
    <t>c.bezma98@gmail.com</t>
  </si>
  <si>
    <t>Michael</t>
  </si>
  <si>
    <t>Caballero</t>
  </si>
  <si>
    <t>miccalex00@gmail.com</t>
  </si>
  <si>
    <t>300 cigarros al mes, 15 cjt. y desea salir del Cigarro.</t>
  </si>
  <si>
    <t>Jessica</t>
  </si>
  <si>
    <t>jortiz4@bancoestado.cl</t>
  </si>
  <si>
    <t>Hijo fuma 15 cigarros diarios (tabaco y cigarro), quiere empezar su transición.</t>
  </si>
  <si>
    <t>San Martin</t>
  </si>
  <si>
    <t>estsanmartin@gmail.com</t>
  </si>
  <si>
    <t>migue.quijada@gmail.com</t>
  </si>
  <si>
    <t>Barbara</t>
  </si>
  <si>
    <t>Del Carpio</t>
  </si>
  <si>
    <t>barbaradelcarpio@gmail.com</t>
  </si>
  <si>
    <t>diegonzalezlabarca@gmail.com</t>
  </si>
  <si>
    <t>rominavillarroel33@gmail.com</t>
  </si>
  <si>
    <t>vega.trinidad03@gmail.com</t>
  </si>
  <si>
    <t>Villalobos</t>
  </si>
  <si>
    <t>rodrigo-v@hotmail.es</t>
  </si>
  <si>
    <t>Rosario</t>
  </si>
  <si>
    <t>Aranda</t>
  </si>
  <si>
    <t>rosarioaranda@gmail.com</t>
  </si>
  <si>
    <t>Vasco de Gama 4820</t>
  </si>
  <si>
    <t>mjoserojasn@gmail.com</t>
  </si>
  <si>
    <t>Vania</t>
  </si>
  <si>
    <t>vaania.gallardo@gmail.com</t>
  </si>
  <si>
    <t>Fuma 10 cigarros en eventos, quiere dejar de fumar.</t>
  </si>
  <si>
    <t>Enderson</t>
  </si>
  <si>
    <t>Bolivar</t>
  </si>
  <si>
    <t>enderson_5@hotmail.com</t>
  </si>
  <si>
    <t>Fuma 8 cigarros diarios, quiere dejar de fumar, empezó hoy con terapia SN/CN.</t>
  </si>
  <si>
    <t>Jabes</t>
  </si>
  <si>
    <t>valeria.jabes@gmail.com</t>
  </si>
  <si>
    <t>Yocelyn</t>
  </si>
  <si>
    <t>Nanco</t>
  </si>
  <si>
    <t>yocelyn.nanco1807@gmail.com</t>
  </si>
  <si>
    <t>Francesca</t>
  </si>
  <si>
    <t>Casiccia</t>
  </si>
  <si>
    <t>francecasiccia@gmail.com</t>
  </si>
  <si>
    <t>Katherinne</t>
  </si>
  <si>
    <t>Schiaffo</t>
  </si>
  <si>
    <t>katherinne.schiaffo@gmail.com</t>
  </si>
  <si>
    <t>Fuma 1 cajetilla de cigarros diaria (600 cigarros al mes), quiere dejar de fumar.</t>
  </si>
  <si>
    <t>Lady</t>
  </si>
  <si>
    <t>Cuesta</t>
  </si>
  <si>
    <t>lady1984cuesta@gmail.com</t>
  </si>
  <si>
    <t>Marido 2 cajetillas diarias.</t>
  </si>
  <si>
    <t>cfrr24@gmail.com</t>
  </si>
  <si>
    <t>k4z3hltv@gmail.com</t>
  </si>
  <si>
    <t>Fuma 20 cigarros diarios en periodo de estres, quiere dejar de fumar.</t>
  </si>
  <si>
    <t>Fuicam</t>
  </si>
  <si>
    <t>rodrigo.fuicam@gmail.com</t>
  </si>
  <si>
    <t>vapea social y es de Osorno</t>
  </si>
  <si>
    <t>da12012000@gmail.com</t>
  </si>
  <si>
    <t>Gallegos</t>
  </si>
  <si>
    <t>leogallegos@gmail.com</t>
  </si>
  <si>
    <t>Martina</t>
  </si>
  <si>
    <t>martiaiuhod22@gmail.com</t>
  </si>
  <si>
    <t>Teneo</t>
  </si>
  <si>
    <t>teneoagustin@gmail.com</t>
  </si>
  <si>
    <t>vapea solo entre turnos SN sin adicción alguna</t>
  </si>
  <si>
    <t>rojascastrovicenteandres@gmail.com</t>
  </si>
  <si>
    <t>Fuma 3 cigarros al día, Rasperry Sour Apple</t>
  </si>
  <si>
    <t>Javi</t>
  </si>
  <si>
    <t>javi.b.vilaso@gmail.com</t>
  </si>
  <si>
    <t>Padre Hurtado 78</t>
  </si>
  <si>
    <t>Nueva Vapeadora</t>
  </si>
  <si>
    <t>Eilyn</t>
  </si>
  <si>
    <t>Lavin</t>
  </si>
  <si>
    <t>eilyn.lavin@gmail.com</t>
  </si>
  <si>
    <t>Leila</t>
  </si>
  <si>
    <t>Jorquera</t>
  </si>
  <si>
    <t>leila.jorquera.lj@gmail.com</t>
  </si>
  <si>
    <t>Elgueta</t>
  </si>
  <si>
    <t>jessi.cri.e.m@gmail.com</t>
  </si>
  <si>
    <t>Pasaje El Fiordo 2075</t>
  </si>
  <si>
    <t>marcelo@hoteldeplasis.cl</t>
  </si>
  <si>
    <t>Fuma 2 cajetillas diarias, quiere dejar de fumar.</t>
  </si>
  <si>
    <t>Joel</t>
  </si>
  <si>
    <t>sinergia.joel@gmail.com</t>
  </si>
  <si>
    <t>Yossianne</t>
  </si>
  <si>
    <t>Capdeville</t>
  </si>
  <si>
    <t>y.capdeville@hotmail.com</t>
  </si>
  <si>
    <t>Cordero</t>
  </si>
  <si>
    <t>vpcordero@gmail.com</t>
  </si>
  <si>
    <t>Gerdinga</t>
  </si>
  <si>
    <t>monicapgerdinga@gmail.com</t>
  </si>
  <si>
    <t>Munoz gil</t>
  </si>
  <si>
    <t>sublivinylquilpue@gmail.com</t>
  </si>
  <si>
    <t>Cinabrio 432 432</t>
  </si>
  <si>
    <t>valsk7@gmail.com</t>
  </si>
  <si>
    <t>Santorcuato</t>
  </si>
  <si>
    <t>santorcuato76@gmail.com</t>
  </si>
  <si>
    <t>Rebeca</t>
  </si>
  <si>
    <t>Farias</t>
  </si>
  <si>
    <t>rebeca.ifv@gmail.com</t>
  </si>
  <si>
    <t>Jose Miguel</t>
  </si>
  <si>
    <t>jmvegaaliste@gmail.com</t>
  </si>
  <si>
    <t>Fuma 10 tabacos al día, quiere dejar de fumar. Empezó su transición con pack SNCN.</t>
  </si>
  <si>
    <t>v.barria.f@gmail.com</t>
  </si>
  <si>
    <t>Jazmín</t>
  </si>
  <si>
    <t>jazmindiaz.notaria@gmail.com</t>
  </si>
  <si>
    <t>Fuma 3 cigarros día y desea hacer la trasicion al vapeo CN y EN</t>
  </si>
  <si>
    <t>enavarrod@udd.cl</t>
  </si>
  <si>
    <t>Isabel</t>
  </si>
  <si>
    <t xml:space="preserve">Riveros Sanhueza </t>
  </si>
  <si>
    <t>contacto.edb@gmail.com</t>
  </si>
  <si>
    <t>Efrain Barquero 2173 Villa Conavicoop</t>
  </si>
  <si>
    <t>40 cigarros al mes</t>
  </si>
  <si>
    <t>Cabrera</t>
  </si>
  <si>
    <t>camilawilsoncabrera@gmail.com</t>
  </si>
  <si>
    <t>lucianosototrujillo@gmail.com</t>
  </si>
  <si>
    <t>vapeador, exfumador</t>
  </si>
  <si>
    <t>b.floresprez1@gmail.com</t>
  </si>
  <si>
    <t>Rubio</t>
  </si>
  <si>
    <t>feliperubioro@gmail.com</t>
  </si>
  <si>
    <t>2,4 cajetillas al mes, Cocinero del Intercontinental</t>
  </si>
  <si>
    <t>Juan Esteban</t>
  </si>
  <si>
    <t>Garzon</t>
  </si>
  <si>
    <t>11juanes07@gmail.com</t>
  </si>
  <si>
    <t>Cuadra</t>
  </si>
  <si>
    <t>diana.cuadra@gmail.com</t>
  </si>
  <si>
    <t>Social</t>
  </si>
  <si>
    <t>Gebauer</t>
  </si>
  <si>
    <t>ggebauer@group24.cl</t>
  </si>
  <si>
    <t>EX fumador, Vapea Social</t>
  </si>
  <si>
    <t>cotecocabrera@gmail.com</t>
  </si>
  <si>
    <t>vapeador pro</t>
  </si>
  <si>
    <t>Pricila</t>
  </si>
  <si>
    <t>Badilla</t>
  </si>
  <si>
    <t>pricilabadilla@gmail.com</t>
  </si>
  <si>
    <t xml:space="preserve">Balmaceda 338 </t>
  </si>
  <si>
    <t>Vapea Vaporesso</t>
  </si>
  <si>
    <t>Godoy</t>
  </si>
  <si>
    <t>fgodoy_24@hotmail.com</t>
  </si>
  <si>
    <t>Ana</t>
  </si>
  <si>
    <t>margarita1956.am@gmail.com</t>
  </si>
  <si>
    <t>pmunozs1982@gmail.com</t>
  </si>
  <si>
    <t>prgonzalezi@gmail.com</t>
  </si>
  <si>
    <t>Gladys</t>
  </si>
  <si>
    <t>Maureira</t>
  </si>
  <si>
    <t>gladysmaureira@gmail.com</t>
  </si>
  <si>
    <t>Mariel</t>
  </si>
  <si>
    <t>Bolvaran</t>
  </si>
  <si>
    <t>marielbolvaran@gmail.com</t>
  </si>
  <si>
    <t>Isaac</t>
  </si>
  <si>
    <t>maxisaac05@gmail.com</t>
  </si>
  <si>
    <t>Olave</t>
  </si>
  <si>
    <t>daniel.olave1994@gmail.com</t>
  </si>
  <si>
    <t>Mariana</t>
  </si>
  <si>
    <t>Talinay</t>
  </si>
  <si>
    <t>marianatalinaygonzalezh@gmail.com</t>
  </si>
  <si>
    <t>jrgonza198@gmail.com</t>
  </si>
  <si>
    <t>Fumador social, fuma 20 cigarros por encuentro, quiere dejar de fumar. Empezó su transición con Kit CNSN.</t>
  </si>
  <si>
    <t>si</t>
  </si>
  <si>
    <t>Giovanna</t>
  </si>
  <si>
    <t>giovi.guarino@outlook.com</t>
  </si>
  <si>
    <t>pmoralesgpropiedades@gmail.com</t>
  </si>
  <si>
    <t>indicada por la doctora a un plan vape, llega a nuestra tienda</t>
  </si>
  <si>
    <t>Di Micco</t>
  </si>
  <si>
    <t>frankie_1970@hotmail.com</t>
  </si>
  <si>
    <t>Jocelyn</t>
  </si>
  <si>
    <t>Adasme</t>
  </si>
  <si>
    <t>jocelyn.adasme@gmail.com</t>
  </si>
  <si>
    <t>fuma 15 cigarros al dia</t>
  </si>
  <si>
    <t>silvia.priscila@gmail.com</t>
  </si>
  <si>
    <t>hermana fumadora</t>
  </si>
  <si>
    <t>Sanguesa</t>
  </si>
  <si>
    <t>javi.sanguesa@gmail.com</t>
  </si>
  <si>
    <t>Alberto</t>
  </si>
  <si>
    <t>aherrera1@uc.cl</t>
  </si>
  <si>
    <t>cristobal.sanchez@usach.cl</t>
  </si>
  <si>
    <t>mariajesuslopez@hotmail.com</t>
  </si>
  <si>
    <t>Anny</t>
  </si>
  <si>
    <t>Pavez</t>
  </si>
  <si>
    <t>annypavezvi34@gmail.com</t>
  </si>
  <si>
    <t>ivette.silva@umayor.cl</t>
  </si>
  <si>
    <t>adasme.pia@gmail.com</t>
  </si>
  <si>
    <t>javiera.vargas.cc@gmail.com</t>
  </si>
  <si>
    <t>Kevin</t>
  </si>
  <si>
    <t>Allar</t>
  </si>
  <si>
    <t>kevinallar.n@gmail.com</t>
  </si>
  <si>
    <t>jdreyes@uc.cl</t>
  </si>
  <si>
    <t>Fuma 1 cajetilla diaria. Quiere dejar de fumar.</t>
  </si>
  <si>
    <t>Estay</t>
  </si>
  <si>
    <t>hestay2305@gmail.com</t>
  </si>
  <si>
    <t>Acuna</t>
  </si>
  <si>
    <t>pablo.gf1728@gmail.com</t>
  </si>
  <si>
    <t>Joaquin Rodriguez 7372</t>
  </si>
  <si>
    <t>Fredes</t>
  </si>
  <si>
    <t>romina.fredesb@gmail.com</t>
  </si>
  <si>
    <t>Fuma 10 cigarrios diarios por 20 años, quiere dejar de fumar.</t>
  </si>
  <si>
    <t>donwathy@gmail.com</t>
  </si>
  <si>
    <t>Ruiz</t>
  </si>
  <si>
    <t>fruizl@outlook.com</t>
  </si>
  <si>
    <t>Hilda</t>
  </si>
  <si>
    <t>Barriga</t>
  </si>
  <si>
    <t>hilditacyj@gmail.com</t>
  </si>
  <si>
    <t>Fumadora social, 10 cigarros por junta.</t>
  </si>
  <si>
    <t>Fuentes</t>
  </si>
  <si>
    <t>sedufo@gmail.com</t>
  </si>
  <si>
    <t>trasla.nico14@gmail.com</t>
  </si>
  <si>
    <t>fuma tabaco armado, 280 al mes</t>
  </si>
  <si>
    <t>Cuellar Krebs</t>
  </si>
  <si>
    <t>cuellarkrebs@gmail.com</t>
  </si>
  <si>
    <t>no fuma, quiere dejar de fumar Cannabis</t>
  </si>
  <si>
    <t>Macaya rivera</t>
  </si>
  <si>
    <t>macayajaviera@gmail.com</t>
  </si>
  <si>
    <t>Esmeralda 5684</t>
  </si>
  <si>
    <t>Argueso</t>
  </si>
  <si>
    <t>fernandaargueso@gmail.com</t>
  </si>
  <si>
    <t>bconstanza448@gmail.com</t>
  </si>
  <si>
    <t>Esmirna</t>
  </si>
  <si>
    <t>Arriagada</t>
  </si>
  <si>
    <t>esmirnashibolet.ac@gmail.com</t>
  </si>
  <si>
    <t>Fuma 12 cigarros diarios, quiere dejar de fumar.</t>
  </si>
  <si>
    <t>Anibal</t>
  </si>
  <si>
    <t>Molina Rivera</t>
  </si>
  <si>
    <t>anibalmr2002@gmail.com</t>
  </si>
  <si>
    <t>fuma 6 cigarros al día</t>
  </si>
  <si>
    <t>Farfan</t>
  </si>
  <si>
    <t>damasog.fh@gmail.com</t>
  </si>
  <si>
    <t>m.ignacia.troncoso@gmail.com</t>
  </si>
  <si>
    <t>Vapea hace 4 años</t>
  </si>
  <si>
    <t>Camila del Pilar</t>
  </si>
  <si>
    <t>Codorniú Manríquez</t>
  </si>
  <si>
    <t>camilacodornium@gmail.com</t>
  </si>
  <si>
    <t>6 Cigarros al Dia antes de Vapeme, hoy Cero.</t>
  </si>
  <si>
    <t>Lanas</t>
  </si>
  <si>
    <t>franciscalanasg@gmail.com</t>
  </si>
  <si>
    <t>Rios</t>
  </si>
  <si>
    <t>felipe@domoticapro.cl</t>
  </si>
  <si>
    <t>Bastidas</t>
  </si>
  <si>
    <t>veronica.bastidas.g@gmail.com</t>
  </si>
  <si>
    <t>Fuma de 5 a 10 cigarros diarios.</t>
  </si>
  <si>
    <t>Elba</t>
  </si>
  <si>
    <t>Gomez</t>
  </si>
  <si>
    <t>negrago@gmail.com</t>
  </si>
  <si>
    <t>Fuma 5 a 10 cigarros diarios, quiere dejar de fumar.</t>
  </si>
  <si>
    <t>Candia</t>
  </si>
  <si>
    <t>vero.candia.farias@gmail.com</t>
  </si>
  <si>
    <t>Aragon</t>
  </si>
  <si>
    <t>maragon1978@gmail.com</t>
  </si>
  <si>
    <t>Tito</t>
  </si>
  <si>
    <t>tito.saavedra@gmail.com</t>
  </si>
  <si>
    <t>Vesna</t>
  </si>
  <si>
    <t>Vukic</t>
  </si>
  <si>
    <t>vesnavukic@gmail.com</t>
  </si>
  <si>
    <t>ariel.ignaio.16@hotmail.com</t>
  </si>
  <si>
    <t>ex fumador, vapeador actual</t>
  </si>
  <si>
    <t>artigas</t>
  </si>
  <si>
    <t>mari.oresoza91@gmail.com</t>
  </si>
  <si>
    <t>Fuma 5 tabacos diarios, quiere dejar de fumar. Empezó su transición con un vaporizador SN.</t>
  </si>
  <si>
    <t>Emi</t>
  </si>
  <si>
    <t>Parra Rodriguez</t>
  </si>
  <si>
    <t>emi.parra.rodriguez@gmail.com</t>
  </si>
  <si>
    <t>Fuma 1 bolsa de tabaco al mes, no quiere dejar de fumar aún.</t>
  </si>
  <si>
    <t>Yordano</t>
  </si>
  <si>
    <t>roco.yordano@gmail.com</t>
  </si>
  <si>
    <t>titisandoval2003@gmail.com</t>
  </si>
  <si>
    <t>3 cigarros al mes, quiere dejar de fumar.</t>
  </si>
  <si>
    <t>Abalos</t>
  </si>
  <si>
    <t>priscilla.abalos@gmail.com</t>
  </si>
  <si>
    <t>Witt</t>
  </si>
  <si>
    <t>pwitt@uc.alumni.cl</t>
  </si>
  <si>
    <t>Aguila</t>
  </si>
  <si>
    <t>naguila88@gmail.com</t>
  </si>
  <si>
    <t>Cristina</t>
  </si>
  <si>
    <t>Alarcon lizana</t>
  </si>
  <si>
    <t>candrea64_9@hotmail.com</t>
  </si>
  <si>
    <t>Los Olmos 3033</t>
  </si>
  <si>
    <t>Pino Barrios</t>
  </si>
  <si>
    <t>ppinobarrios@gmail.com</t>
  </si>
  <si>
    <t>fpaz0788@gmail.com</t>
  </si>
  <si>
    <t>Maicol</t>
  </si>
  <si>
    <t>Enrique</t>
  </si>
  <si>
    <t>maicol18enrique@hotmail.com</t>
  </si>
  <si>
    <t>Duval</t>
  </si>
  <si>
    <t>sduval1951@outlook.com</t>
  </si>
  <si>
    <t>Coloma Castillo</t>
  </si>
  <si>
    <t>colomacastilloc@gmail.com</t>
  </si>
  <si>
    <t>hcerda8@gmail.com</t>
  </si>
  <si>
    <t>Enson</t>
  </si>
  <si>
    <t>enson.cartes@gmail.com</t>
  </si>
  <si>
    <t>Fuma 12 cigarros diarios, quiere reducir la cantidad.</t>
  </si>
  <si>
    <t>bzunigapueller@gmail.com</t>
  </si>
  <si>
    <t>Mondes</t>
  </si>
  <si>
    <t>gabomondes@gmail.com</t>
  </si>
  <si>
    <t>Sanchez Labarca</t>
  </si>
  <si>
    <t>antoniosanchezlabarca@gmail.com</t>
  </si>
  <si>
    <t>diegoore@gmail.com</t>
  </si>
  <si>
    <t>Fuma 4 cigarros al día, quiere dejar de fumar.</t>
  </si>
  <si>
    <t>clfcucao@gmail.com</t>
  </si>
  <si>
    <t>Fuma 15 cigarros por día, quiere dejar de fumar.</t>
  </si>
  <si>
    <t>Giuliana</t>
  </si>
  <si>
    <t>Repetto</t>
  </si>
  <si>
    <t>giulianarepetto@gmail.com</t>
  </si>
  <si>
    <t>felipe.fpn2005@gmail.com</t>
  </si>
  <si>
    <t>rfranciscog@gmail.com</t>
  </si>
  <si>
    <t>cj.contrerasrios@gmail.com</t>
  </si>
  <si>
    <t>Giancarlo</t>
  </si>
  <si>
    <t>Cantos</t>
  </si>
  <si>
    <t>gcantos82@gmail.com</t>
  </si>
  <si>
    <t>Bagnasco</t>
  </si>
  <si>
    <t>putse.bagnasco@gmail.com</t>
  </si>
  <si>
    <t>fumaba, ahora vapea</t>
  </si>
  <si>
    <t>Valverde</t>
  </si>
  <si>
    <t>mcvalverdeb@gmail.com</t>
  </si>
  <si>
    <t>Hellen</t>
  </si>
  <si>
    <t>hellensantander99@gmail.com</t>
  </si>
  <si>
    <t>Hauenstein</t>
  </si>
  <si>
    <t>hauenstein2@gmail.com</t>
  </si>
  <si>
    <t>Alfonso</t>
  </si>
  <si>
    <t>Chiossone</t>
  </si>
  <si>
    <t>alfonsochiosonne@gmail.com</t>
  </si>
  <si>
    <t>Pirela</t>
  </si>
  <si>
    <t>pirelaacacio@gmail.com</t>
  </si>
  <si>
    <t>Silvana</t>
  </si>
  <si>
    <t>Penroz</t>
  </si>
  <si>
    <t>sil.pbarrientos@gmail.com</t>
  </si>
  <si>
    <t>Vitar</t>
  </si>
  <si>
    <t>mariajesusvitar@gmail.com</t>
  </si>
  <si>
    <t>Producciones Recine Limitada</t>
  </si>
  <si>
    <t>facturacionrecine@gmail.com</t>
  </si>
  <si>
    <t>Alicahue #8310</t>
  </si>
  <si>
    <t>Looff</t>
  </si>
  <si>
    <t>christian.looff@gmail.com</t>
  </si>
  <si>
    <t>vcarrasco262005@gmail.com</t>
  </si>
  <si>
    <t>Palomino Encina</t>
  </si>
  <si>
    <t>karenpalominoencina@live.cl</t>
  </si>
  <si>
    <t>Fuma 10 cigarros diarios, quiere dejar de fumar.</t>
  </si>
  <si>
    <t>Lindsay</t>
  </si>
  <si>
    <t>Santelices</t>
  </si>
  <si>
    <t>lindsaysantelices@gmail.com</t>
  </si>
  <si>
    <t>Carvajal</t>
  </si>
  <si>
    <t>danielaalejandracarvajalvega@gmail.com</t>
  </si>
  <si>
    <t>Maria Alejandra</t>
  </si>
  <si>
    <t>Marin Naranjo</t>
  </si>
  <si>
    <t>mariaalejandramarinnaranjo@gmail.com</t>
  </si>
  <si>
    <t>Fuma 3 cajetillas a la semana, quiere dejar de fumar.</t>
  </si>
  <si>
    <t>Gessler</t>
  </si>
  <si>
    <t>juancarlosgessler@gmail.com</t>
  </si>
  <si>
    <t>pdiazgo@gmail.com</t>
  </si>
  <si>
    <t>pino.monsalva@gmail.com</t>
  </si>
  <si>
    <t>Giselle</t>
  </si>
  <si>
    <t>Aspee</t>
  </si>
  <si>
    <t>giselle.aspee@gmail.com</t>
  </si>
  <si>
    <t>Vanessa</t>
  </si>
  <si>
    <t>vanegonzaalezu@gmail.com</t>
  </si>
  <si>
    <t>cata.garrido.cabezas@gmail.com</t>
  </si>
  <si>
    <t>en enero deja de fumar cigarros, fumaba 8 al día</t>
  </si>
  <si>
    <t>parraretamalcatalina@gmail.com</t>
  </si>
  <si>
    <t>Sofia</t>
  </si>
  <si>
    <t>sofia.molina.arriagada@gmail.com</t>
  </si>
  <si>
    <t>Cata</t>
  </si>
  <si>
    <t>cata.paz.lourdes@gmail.com</t>
  </si>
  <si>
    <t>2 cajetillas al mes</t>
  </si>
  <si>
    <t>danielernesto92@gmail.com</t>
  </si>
  <si>
    <t>Vapeador Panama</t>
  </si>
  <si>
    <t>Leiva</t>
  </si>
  <si>
    <t>jleiva.es@gmail.com</t>
  </si>
  <si>
    <t>Fuma 2 cigarros al día, quiere dejar de fumar.</t>
  </si>
  <si>
    <t>Amigo</t>
  </si>
  <si>
    <t>aamigo090678@gmail.com</t>
  </si>
  <si>
    <t>Fuma 8 cajetillas al mes, quieren dejar de fumar.</t>
  </si>
  <si>
    <t>c.miranda220788@gmail.com</t>
  </si>
  <si>
    <t>Fuma 8 cajetillas al mes, quiere dejar de fumar.</t>
  </si>
  <si>
    <t>inflablesfa@yahoo.es</t>
  </si>
  <si>
    <t>Fuma 10 cigarros diarios, quiere dejar de fumar. Inicio su transicion con CN.</t>
  </si>
  <si>
    <t>Emilie</t>
  </si>
  <si>
    <t>Ducaud</t>
  </si>
  <si>
    <t>emiducaud@gmail.com</t>
  </si>
  <si>
    <t>valdespaola72@gmail.com</t>
  </si>
  <si>
    <t>Fuma 4 cigarros al dia, quiere dejar de fumar. Inicia su transicion con SN.</t>
  </si>
  <si>
    <t>Hurtado Gutierrez</t>
  </si>
  <si>
    <t>manuel.hurtadogutierrez@gmail.com</t>
  </si>
  <si>
    <t>Fuma 5 cigarros diarios, quiere dejar de fumar. Inicio su transicion con CN.</t>
  </si>
  <si>
    <t>Waldo</t>
  </si>
  <si>
    <t>Urbina</t>
  </si>
  <si>
    <t>waljenama@gmail.com</t>
  </si>
  <si>
    <t>Fuma 5 cigarros diarios, quiere dejar de fumar. Inicio su transicion con SN.</t>
  </si>
  <si>
    <t>dra.kriquelme@gmail.com</t>
  </si>
  <si>
    <t>Miguel Ángel</t>
  </si>
  <si>
    <t>Celis</t>
  </si>
  <si>
    <t>macelis@gmail.com</t>
  </si>
  <si>
    <t>lgarrid15@gmail.com</t>
  </si>
  <si>
    <t>Torreblanca</t>
  </si>
  <si>
    <t>rtorrescastaner@gmail.com</t>
  </si>
  <si>
    <t>Fuma 3 cigarros diarios, quiere dejar de fumar.</t>
  </si>
  <si>
    <t>Tabita</t>
  </si>
  <si>
    <t>taby.nicol@gmail.com</t>
  </si>
  <si>
    <t>Deborah</t>
  </si>
  <si>
    <t>Kovacevic</t>
  </si>
  <si>
    <t>debita10@gmail.com</t>
  </si>
  <si>
    <t>Fuma 20 cigarros diarios, quiere dejar de fumar.</t>
  </si>
  <si>
    <t>Zapata</t>
  </si>
  <si>
    <t>fcozagu@gmail.com</t>
  </si>
  <si>
    <t>Lucas</t>
  </si>
  <si>
    <t>lucaszepedasoy@gmail.com</t>
  </si>
  <si>
    <t>rallymotos4408@gmail.com</t>
  </si>
  <si>
    <t>Fuma 6 cajetillas al mes, quiere dejar de fumar.</t>
  </si>
  <si>
    <t>carlos.reyesxt@gmail.com</t>
  </si>
  <si>
    <t>Fuma 20 cigarros diarios, quiere dejar de fumar. Inicia su transicion con SN y CN.</t>
  </si>
  <si>
    <t>Canouet</t>
  </si>
  <si>
    <t>pacanouet@gmail.com</t>
  </si>
  <si>
    <t>Fuma 10 cigarros al dia, quiere dejar de fumar. Inicio su transicion con CN.</t>
  </si>
  <si>
    <t>Serin Fernandino</t>
  </si>
  <si>
    <t>amapolafernandino@gmail.com</t>
  </si>
  <si>
    <t>Fuma 10 cigarros diarios, quiere dejar de fumar. Empezo su transicion con SN.</t>
  </si>
  <si>
    <t>marcelo.reyesd@gmail.com</t>
  </si>
  <si>
    <t>sanmartin.andresdario@gmail.com</t>
  </si>
  <si>
    <t>Tello</t>
  </si>
  <si>
    <t>f.tello@uc.cl</t>
  </si>
  <si>
    <t>Lacourt</t>
  </si>
  <si>
    <t>b.lacourtpsp@gmail.com</t>
  </si>
  <si>
    <t>Observacion 1</t>
  </si>
  <si>
    <t>La mamá fumaba 1 cajetilla diaria de cigarros y desde que empezó su transición con VapeMe el 20 de marzo dejo de fumar cigarros hasta la fecha.</t>
  </si>
  <si>
    <t>Fecha Obs 1</t>
  </si>
  <si>
    <t>Fecha Inicio</t>
  </si>
  <si>
    <t>Días</t>
  </si>
  <si>
    <t>Disminucion</t>
  </si>
  <si>
    <t>Nombre</t>
  </si>
  <si>
    <t>Apellido</t>
  </si>
  <si>
    <t xml:space="preserve"> Fecha</t>
  </si>
  <si>
    <t>¿Fumabas inicialmente antes de Vapeme?</t>
  </si>
  <si>
    <t>En caso de ser si, ¿Cuántos fumabas inicialmente?</t>
  </si>
  <si>
    <t>A la fecha, ¿Cuántos cigarros estás fumando?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</si>
</sst>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peme Spa" refreshedDate="45399.866842476855" createdVersion="8" refreshedVersion="8" minRefreshableVersion="3" recordCount="712" xr:uid="{00000000-000A-0000-FFFF-FFFF04000000}">
  <cacheSource type="worksheet">
    <worksheetSource ref="A1:J713" sheet="ClientExport_0207d89c5ea8d76f57"/>
  </cacheSource>
  <cacheFields count="30">
    <cacheField name="Tipo de Cliente" numFmtId="0">
      <sharedItems/>
    </cacheField>
    <cacheField name="Cliente Extranjero" numFmtId="0">
      <sharedItems/>
    </cacheField>
    <cacheField name="Rut Cliente" numFmtId="0">
      <sharedItems/>
    </cacheField>
    <cacheField name="Nombre del Cliente" numFmtId="0">
      <sharedItems count="414">
        <s v="Inicial"/>
        <s v="Cecilia"/>
        <s v="Rodrigo "/>
        <s v="Marco"/>
        <s v="Jose"/>
        <s v="Jorge "/>
        <s v="Gabriel"/>
        <s v="Ulises"/>
        <s v="Luciano "/>
        <s v="Agustin Altet Balzarini"/>
        <s v="Luis "/>
        <s v="Monica"/>
        <s v="Natalia"/>
        <s v="Gonzalo "/>
        <s v="Benjamin"/>
        <s v="Ricardo "/>
        <s v="Rafael"/>
        <s v="Pablo "/>
        <s v="José "/>
        <s v="Carolina"/>
        <s v="Nelson"/>
        <s v="Job"/>
        <s v="Paula "/>
        <s v="Thomas"/>
        <s v="Carla"/>
        <s v="Karina "/>
        <s v="Eduardo"/>
        <s v="Dorka"/>
        <s v="Deisy "/>
        <s v="Daniela"/>
        <s v="Hernan"/>
        <s v="Katherine"/>
        <s v="Lorena"/>
        <s v="Giovinezza"/>
        <s v="Ariel"/>
        <s v="Flavia "/>
        <s v="Marcelo"/>
        <s v="Bernardita"/>
        <s v="Priscilla "/>
        <s v="Andrea "/>
        <s v="Maite"/>
        <s v="Marcela "/>
        <s v="Andres"/>
        <s v="Carlos "/>
        <s v="Yasna"/>
        <s v="Carlos"/>
        <s v="Fermin"/>
        <s v="Gabriel "/>
        <s v="Fernando "/>
        <s v="Ismael "/>
        <s v="Nicolas"/>
        <s v="Esteban"/>
        <s v="Pran"/>
        <s v="Mirkos"/>
        <s v="Rodrigo"/>
        <s v="Francisca"/>
        <s v="Almendra"/>
        <s v="KAREN "/>
        <s v="Dominique"/>
        <s v="Beatriz"/>
        <s v="Alexander "/>
        <s v="Sebastian"/>
        <s v="Eric"/>
        <s v="Amparo"/>
        <s v="Jorge"/>
        <s v="Adison"/>
        <s v="Paz"/>
        <s v="Estefania"/>
        <s v="Jaime"/>
        <s v="Patricio"/>
        <s v="Martin"/>
        <s v="Trevor"/>
        <s v="Cristian"/>
        <s v="Carmen"/>
        <s v="Claudia"/>
        <s v="Pamela Andrea"/>
        <s v="Sandra"/>
        <s v="Soledad"/>
        <s v="Cristina "/>
        <s v="Maciel "/>
        <s v="Nikolas"/>
        <s v="Matias "/>
        <s v="Ana Laura"/>
        <s v="Ernesto"/>
        <s v="Javiera"/>
        <s v="Jasmin"/>
        <s v="Mariano"/>
        <s v="Nicole"/>
        <s v="Gabriela"/>
        <s v="Stivaly"/>
        <s v="Pamela"/>
        <s v="Karina"/>
        <s v="José Miguel"/>
        <s v="Juan"/>
        <s v="Elisabeth "/>
        <s v="Isidora"/>
        <s v="Juan Manuel"/>
        <s v="Javier"/>
        <s v="Antonia"/>
        <s v="Florencia"/>
        <s v="Abraham"/>
        <s v="Daniel"/>
        <s v="Paulina"/>
        <s v="Sergio"/>
        <s v="Felipe"/>
        <s v="Gloria"/>
        <s v="Javiera "/>
        <s v="Valentina"/>
        <s v="Javiera Fernanda"/>
        <s v="Constanza"/>
        <s v="Margarita "/>
        <s v="Francisco"/>
        <s v="Hans"/>
        <s v="Andy "/>
        <s v="Víctor"/>
        <s v="Belen"/>
        <s v="Diego"/>
        <s v="Mariela"/>
        <s v="Yesenia"/>
        <s v="Miriam"/>
        <s v="Camila"/>
        <s v="Paula"/>
        <s v="Pilar del Carmen"/>
        <s v="Gissele"/>
        <s v="Gennira"/>
        <s v="alex"/>
        <s v="Damaso"/>
        <s v="Victor"/>
        <s v="Fernando"/>
        <s v="Ruth"/>
        <s v="Alejandra"/>
        <s v="Ines"/>
        <s v="Alvaro"/>
        <s v="Gustavo"/>
        <s v="Silvia"/>
        <s v="Ricardo"/>
        <s v="Manuel"/>
        <s v="Deniss"/>
        <s v="Maryory"/>
        <s v="Tomas"/>
        <s v="Marisol"/>
        <s v="Trinidad"/>
        <s v="Tamara"/>
        <s v="Elizabeth"/>
        <s v="Boris"/>
        <s v="Macarena"/>
        <s v="Shunashi"/>
        <s v="Ximena"/>
        <s v="Daria"/>
        <s v="shirly"/>
        <s v="Ian"/>
        <s v="Miguel"/>
        <s v="Paola"/>
        <s v="Loreto"/>
        <s v="Sole"/>
        <s v="Cris"/>
        <s v="Giorgio"/>
        <s v="Juan Pablo "/>
        <s v="mariana"/>
        <s v="Emilia "/>
        <s v="Carlo"/>
        <s v="Romina "/>
        <s v="Micaella"/>
        <s v="Alejandro"/>
        <s v="montserrat "/>
        <s v="Gabryela"/>
        <s v="Joaquin"/>
        <s v="Virginia"/>
        <s v="Max"/>
        <s v="Patricia"/>
        <s v="Manuela "/>
        <s v="valeria "/>
        <s v="Sebastian "/>
        <s v="montserrat"/>
        <s v="rocio"/>
        <s v="Catalina"/>
        <s v="Mario"/>
        <s v="Vicente"/>
        <s v="amaya"/>
        <s v="pablo"/>
        <s v="pia"/>
        <s v="karla"/>
        <s v="Romina"/>
        <s v="María Victoria"/>
        <s v="Julio "/>
        <s v="Marines "/>
        <s v="Ana Maria"/>
        <s v="Roxana "/>
        <s v="Felipe "/>
        <s v="Eduardo Pablo"/>
        <s v="Valeria"/>
        <s v="ignacia"/>
        <s v="juan francisco"/>
        <s v="Mauricio Alberto"/>
        <s v="Juan Carlos"/>
        <s v="Patricio Enrique"/>
        <s v="William"/>
        <s v="Sergio Jalid"/>
        <s v="Clara"/>
        <s v="Gonzalo"/>
        <s v="Maria Jesus"/>
        <s v="Edgardo"/>
        <s v="Alfredo"/>
        <s v="Rodrigo Alejandro"/>
        <s v="Veronica Ivonne"/>
        <s v="Alida Isadora Shivas"/>
        <s v="Pablo Ignacio"/>
        <s v="Ivan"/>
        <s v="Guadalupe"/>
        <s v="Johana"/>
        <s v="Leonardo "/>
        <s v="Marianela"/>
        <s v="Noelia"/>
        <s v="albanie"/>
        <s v="Christian"/>
        <s v="Mauro "/>
        <s v="daniella"/>
        <s v="Leslie"/>
        <s v="Christian Eduardo"/>
        <s v="elias "/>
        <s v="Maruza"/>
        <s v="Camilo"/>
        <s v="Allison"/>
        <s v="Cristobal"/>
        <s v="Antonio"/>
        <s v="Michelle "/>
        <s v="Elisa"/>
        <s v="paulina "/>
        <s v="Daniel "/>
        <s v="Veronica "/>
        <s v="Victor "/>
        <s v="Antonia "/>
        <s v="Manuel "/>
        <s v="Andres "/>
        <s v="Susana"/>
        <s v="Arturo"/>
        <s v="Matias"/>
        <s v="Tamara "/>
        <s v="Rosario "/>
        <s v="Aurora"/>
        <s v="Allyson"/>
        <s v="Maxi "/>
        <s v="Lillian"/>
        <s v="viviana"/>
        <s v="elias"/>
        <s v="josefa"/>
        <s v="Jeraldine"/>
        <s v="Yasna "/>
        <s v="Veronica"/>
        <s v="Luis"/>
        <s v="Fernanda"/>
        <s v="Maria Isabel"/>
        <s v="Maria Ignacia"/>
        <s v="Camila "/>
        <s v="Priscilla"/>
        <s v="Franco"/>
        <s v="Stefanie"/>
        <s v="María Alejandra"/>
        <s v="Robert"/>
        <s v="Joaquin Antonio"/>
        <s v="David"/>
        <s v="Liliana"/>
        <s v="Luciano"/>
        <s v="Lukas Maximiliano"/>
        <s v="Alonso"/>
        <s v="Francisca "/>
        <s v="Alexis"/>
        <s v="Nicolás"/>
        <s v="Amaru"/>
        <s v="marcela"/>
        <s v="Yiscela"/>
        <s v="Ignacio "/>
        <s v="María Jesús"/>
        <s v="Maria Jose"/>
        <s v="Fernanda "/>
        <s v="joselinne"/>
        <s v="Eugenia "/>
        <s v="Icsy"/>
        <s v="Valeska"/>
        <s v="Juan Pablo"/>
        <s v="Leticia"/>
        <s v="Ivone"/>
        <s v=" Geraldine Solange"/>
        <s v="Fabiola"/>
        <s v="Pedro "/>
        <s v="Danilo"/>
        <s v="Adolfo "/>
        <s v="Adrian"/>
        <s v="Eloisa"/>
        <s v="oscar"/>
        <s v="cristopher"/>
        <s v="Delia"/>
        <s v="Celia"/>
        <s v="Isa"/>
        <s v="Kristian"/>
        <s v="victoria"/>
        <s v="Nico"/>
        <s v="Adolfo"/>
        <s v="Natacha"/>
        <s v="Abdala"/>
        <s v="Soraya"/>
        <s v="Tania"/>
        <s v="scarlette"/>
        <s v="Andrea"/>
        <s v="Priscila"/>
        <s v="sofia"/>
        <s v="Irian Liliana"/>
        <s v="Vigue"/>
        <s v="betsabeth"/>
        <s v="Freddy"/>
        <s v="Doly"/>
        <s v="Mauricio"/>
        <s v="Pau"/>
        <s v="irina"/>
        <s v="José Patricio"/>
        <s v="Ademar"/>
        <s v="CATALINA ANDREA"/>
        <s v=" Felipe Javier"/>
        <s v="Vanesa"/>
        <s v="Millaray"/>
        <s v="Maria Nelly"/>
        <s v="Gisselle"/>
        <s v="Domenica"/>
        <s v="Teresa"/>
        <s v="Raúl"/>
        <s v="Claudia Rebeca Jesus"/>
        <s v="Leyla"/>
        <s v="Ale"/>
        <s v="Diana"/>
        <s v="María José"/>
        <s v="Nancy"/>
        <s v="Katyna Belen"/>
        <s v="Nicolas Luciano"/>
        <s v="Tommy Nelson"/>
        <s v="Miriam Del Carmen"/>
        <s v="Naly Millaray"/>
        <s v="Christian Alexander"/>
        <s v="María Angelica"/>
        <s v="Fernando Octavio"/>
        <s v="Martin Andres"/>
        <s v="WILLIAM EDUARDO "/>
        <s v="Iñaki Nicolas"/>
        <s v="Carolina Andrea"/>
        <s v="Paula Andrea"/>
        <s v="Patricio Alejandro"/>
        <s v="Andres Xavier"/>
        <s v="Diego Emanuel"/>
        <s v="Leonor"/>
        <s v="David Graffunder"/>
        <s v="Karen"/>
        <s v="Valentina Mariana"/>
        <s v="Clara Maria"/>
        <s v="Camila Francisca"/>
        <s v="Javiera Constanza"/>
        <s v="Martin Tomas"/>
        <s v="Sebastián Patricio"/>
        <s v="Jean Luis Alexander"/>
        <s v="Miguel Angel"/>
        <s v="Elizabeth Andrea"/>
        <s v="Nicolas Esteban"/>
        <s v="Sebastián Andrés"/>
        <s v="America"/>
        <s v="Yarae"/>
        <s v="Yamile"/>
        <s v="Sonia"/>
        <s v="Pierre"/>
        <s v="Nathalia"/>
        <s v="Guillermo"/>
        <s v="Vessna Andrea"/>
        <s v="Laura"/>
        <s v="Damián Andrés"/>
        <s v="Javier Antonio"/>
        <s v="Andrés"/>
        <s v="Germana Alejandra Paola"/>
        <s v="Michelle Pascalle"/>
        <s v="Carolina Paula"/>
        <s v="Johan"/>
        <s v="Anita"/>
        <s v="Jennifer"/>
        <s v="Maria"/>
        <s v="José Matías"/>
        <s v="Tania Andrea"/>
        <s v="Hidmara"/>
        <s v="Jenniffer"/>
        <s v="Ismael"/>
        <s v="Ignacio"/>
        <s v="Nelson Alejandro"/>
        <s v="Poulette Fernanda"/>
        <s v="María"/>
        <s v="Sebastián"/>
        <s v="Krish"/>
        <s v="Claudio"/>
        <s v="Genady"/>
        <s v="Mackarena Paz"/>
        <s v="Maria Soledad"/>
        <s v="Chantal"/>
        <s v="Hector"/>
        <s v="BRENDA"/>
        <s v="Roberto"/>
        <s v="Ivette"/>
        <s v="Owen"/>
        <s v="Gianfranco"/>
        <s v="Nicole "/>
        <s v="Annais"/>
        <s v="Leonardo"/>
        <s v="Erick"/>
        <s v="Tatiana"/>
        <s v="Gerardo"/>
        <s v="Lenny"/>
        <s v="Rossmery"/>
        <s v="Estefany"/>
        <s v="MARIA ALICIA"/>
        <s v="Cooper"/>
        <s v="Lisette"/>
      </sharedItems>
    </cacheField>
    <cacheField name="Apellido del Cliente" numFmtId="0">
      <sharedItems/>
    </cacheField>
    <cacheField name="Razón Social" numFmtId="0">
      <sharedItems/>
    </cacheField>
    <cacheField name="Giro del Cliente" numFmtId="0">
      <sharedItems/>
    </cacheField>
    <cacheField name="Correo Electrónico del Cliente" numFmtId="0">
      <sharedItems containsBlank="1"/>
    </cacheField>
    <cacheField name="Dirección del Cliente" numFmtId="0">
      <sharedItems containsBlank="1"/>
    </cacheField>
    <cacheField name="Ciudad del Cliente" numFmtId="0">
      <sharedItems containsBlank="1"/>
    </cacheField>
    <cacheField name="Comuna del Cliente" numFmtId="0">
      <sharedItems containsBlank="1"/>
    </cacheField>
    <cacheField name="Teléfono del Cliente" numFmtId="0">
      <sharedItems containsBlank="1" containsMixedTypes="1" containsNumber="1" containsInteger="1" minValue="85124640" maxValue="56991099759"/>
    </cacheField>
    <cacheField name="Código Postal" numFmtId="0">
      <sharedItems containsNonDate="0" containsString="0" containsBlank="1"/>
    </cacheField>
    <cacheField name="¿Cliente posee Crédito?" numFmtId="0">
      <sharedItems/>
    </cacheField>
    <cacheField name="Cupo Máximo de Crédito" numFmtId="0">
      <sharedItems containsSemiMixedTypes="0" containsString="0" containsNumber="1" containsInteger="1" minValue="0" maxValue="0"/>
    </cacheField>
    <cacheField name="¿Cliente con bloqueo comercial?" numFmtId="0">
      <sharedItems/>
    </cacheField>
    <cacheField name="Lista de Precio" numFmtId="0">
      <sharedItems/>
    </cacheField>
    <cacheField name="¿Acumula Puntos?" numFmtId="0">
      <sharedItems/>
    </cacheField>
    <cacheField name="Saldo" numFmtId="0">
      <sharedItems containsSemiMixedTypes="0" containsString="0" containsNumber="1" containsInteger="1" minValue="0" maxValue="1971"/>
    </cacheField>
    <cacheField name="Saldo puntos al" numFmtId="22">
      <sharedItems containsSemiMixedTypes="0" containsNonDate="0" containsDate="1" containsString="0" minDate="2023-12-16T20:14:00" maxDate="2024-04-17T20:44:00"/>
    </cacheField>
    <cacheField name="Status" numFmtId="0">
      <sharedItems/>
    </cacheField>
    <cacheField name="Fecha de creacion" numFmtId="0">
      <sharedItems containsNonDate="0" containsDate="1" containsString="0" containsBlank="1" minDate="2023-11-06T21:08:00" maxDate="2024-04-17T20:35:00"/>
    </cacheField>
    <cacheField name="Fecha de Actualizacion" numFmtId="0">
      <sharedItems containsNonDate="0" containsDate="1" containsString="0" containsBlank="1" minDate="2023-11-07T20:02:00" maxDate="2024-04-17T20:36:00"/>
    </cacheField>
    <cacheField name="Nota asociada al Cliente" numFmtId="0">
      <sharedItems containsBlank="1" containsMixedTypes="1" containsNumber="1" containsInteger="1" minValue="999195973" maxValue="999195973" count="270">
        <m/>
        <s v="Cliente varia en sabores"/>
        <s v="Fuma Lucky Azul 58 años"/>
        <s v="Complementar el uso de Vapo"/>
        <s v="Fumador social, quiere dejar de fumar."/>
        <s v="Fumador quiere dejar de fumar "/>
        <s v="Ingresa por busca y consulta de repuestos"/>
        <s v="Fumadora desea dejar de fumar"/>
        <s v="Compra para no fumar"/>
        <s v="Compra para regalo hermana"/>
        <s v="Cliente habitual de Vapa me no quiere fumar mas"/>
        <s v="Fumadora quiere dejar de fumar"/>
        <s v="No Fuma"/>
        <s v="Fresh Mint"/>
        <s v="Cliente habitual"/>
        <s v="Consumidor habitual"/>
        <s v="Empieza a dejar de fumar inicia con Vape me"/>
        <s v="Cliente nuevo "/>
        <s v="Prescripción medica de THC le interesan los Vape"/>
        <s v="Quiere dejar de fumar"/>
        <s v="Fumadora social de Vape."/>
        <s v="Fumadora social"/>
        <s v="Regalo para esposo, para dejar de fumar."/>
        <s v="Quiere dejar de fumar "/>
        <s v="Fumadora de vapos busca nicotina"/>
        <s v="Consumidor de Vapos buena aceptación con equipos desechables"/>
        <s v="Vapeador"/>
        <s v="Clienta Habitual"/>
        <s v="Clienta nueva quiere dejar de fumar"/>
        <s v="Cliente habitual de Vapame"/>
        <s v="Fumadora social, no quiere fumar mas cigarrillos"/>
        <s v="Regalo para la esposa, dejara de fumar"/>
        <s v="No quiere fumar mas"/>
        <s v="Dejo de fumar, continua con Vapame"/>
        <s v="No quiere fumar "/>
        <s v="Cliente se inicia en el mundo del vapo"/>
        <s v="Los compra para su madre, primera incursión en el mundo de dejar de fumar"/>
        <s v="Fumadora habitual de vapos"/>
        <s v="Cliente habitual de vapos "/>
        <s v="Regalo para hermana y prueba un equipo ella, para iniciar el proceso de dejar de fumar"/>
        <s v="Inicia en el mundo del vapo"/>
        <s v="Evitando fumar cada vez menos"/>
        <s v="Inicia en mundo del vapo para dejar de fumar"/>
        <s v="Probando equipos"/>
        <s v="Quieren dejar de fumar con su señora"/>
        <s v="Para Regalo"/>
        <s v="Se inicia en mundo de Vapa me"/>
        <s v="Cliente de Vape me quiere de dejar el cigarro"/>
        <s v="Para la hermana para que deje de fumar"/>
        <s v="No quiere fumar"/>
        <s v="Dejando el cigarro"/>
        <s v="Para la mama que deje de fumar"/>
        <s v="Fumador social de tabaco"/>
        <s v="Compra para la esposa"/>
        <s v="En proceso de dejar de fumar"/>
        <s v="Regalo para la hermana"/>
        <s v="correo es de Dario la pareja de Paula, que es fumadora solo social."/>
        <s v="Se inicia en mundo del Vapame"/>
        <s v="Esta dejando de fumar"/>
        <s v="Volvió a fumar después de 7 años con la pandemia y ahora busca un equipo sin nicotina."/>
        <s v="Regalo para la madre para que deje de fumar"/>
        <s v="Para familiar que fuma "/>
        <s v="Tendencia"/>
        <s v="Para el esposo Luis Morales fuma dos cajas al día"/>
        <s v="Empieza a dejar de fumar"/>
        <s v="No quiere volver a fumar"/>
        <s v="empieza a dejar de fumar/ primer equipo en vape me 02/01/24"/>
        <s v="Fumador, comenzando con los vaporizadores en vapeme"/>
        <s v="Compra para una amiga"/>
        <s v="Se inicia en el mundo de Vape me."/>
        <s v="pasa de cigarros a vape"/>
        <s v="habia comprado previamente, no estaba registrado"/>
        <s v="Para el hijo quiere dejar de fumar"/>
        <s v="Consumidora de equipos fume, dejando de fumar"/>
        <s v="No quiere fumar mas cigarros"/>
        <s v="dejo de fumar, interesada en vape para manera ocasional"/>
        <s v="compra vapos recargables, se lleva uno desechable"/>
        <s v="consumidora de vapes, primera vez en vapeme"/>
        <s v="Consume vapes, consulta por algun simil al que tenía"/>
        <s v="vapeadora ocasional"/>
        <s v="de region, pasa a comprar y se recomienda la pagina para envios a domicilio"/>
        <s v="quiere vapear para no fumar tanto pucho en las situaciones sociales, interesada en vapos fume"/>
        <s v="vapeaba antes, vuelva a vapear"/>
        <s v="vapeadora"/>
        <s v="quieren compensar el cigarrillo"/>
        <s v="Quiere dejar de fumar con Vape me"/>
        <s v="Dejando de fumar"/>
        <s v="Probando equipos Dinner"/>
        <s v="Quiere dejar de fumar socialmente"/>
        <s v="fumnador, busca productos con nicotina"/>
        <s v="Quiere dejar de fumar el y la pareja"/>
        <s v="buscan vapers para anti stress, no consumen cigarrillos"/>
        <s v="compra para la pareja"/>
        <s v="Dejo de fumar usando vapos"/>
        <s v="compran vapos en pareja, el lleva con nicotina ella sin"/>
        <s v="No quiere fumar mas cigarrillos"/>
        <s v="le gustan los vapes y boris brejcha"/>
        <s v="Quiere dejar de fumar con su esposa"/>
        <s v="Fumadora inicia en Vapeme"/>
        <s v="Regalo para la madre, quiere dejar de fumar"/>
        <s v="La pareja quiere dejar de fumar"/>
        <s v="No quiere fumar mas "/>
        <s v="Para que el hijo deje de fumar tabaco"/>
        <s v="quiere vapear porque a su circulo le molesta el olor de cigarrillo"/>
        <s v="Para regalo "/>
        <s v="Quiere dejar de fumar hizo prueba de vapos."/>
        <s v="fuma mucho cigarro, quiere dejar de fumar, opta por vapers con nico"/>
        <s v="Vapeador sociable, no fuma."/>
        <s v="No fuma cigarrillos, quiere vapear"/>
        <s v="Quiere fumar menos y dejar de fumar"/>
        <s v="Quiere dejar de fumar ella y su hijo"/>
        <s v="fumador, quiere volver a vapear pero no con vapos recargables"/>
        <s v="fumadores intentando dejar de fumar, llevan con nic y sin nic"/>
        <s v="Quiere dejar de fumar, primera experiencia con vapos en Vape me."/>
        <s v="Quieren dejar de fumar"/>
        <n v="999195973"/>
        <s v="avisar vapes mentolados, quiere dejar de fumar"/>
        <s v="Cliente reclama por equipo tapado después de dos semanas"/>
        <s v="busca resistencias, se lleva vapos"/>
        <s v="fumadora de cajetillas"/>
        <s v="Quiere dejar de fumar fuma 8 cigarros "/>
        <s v="Quiere dejar de fumar fuma 1 cajetilla al dia"/>
        <s v="Quiere dejar de fumar fumador social de 3 a 5 cigarros diarios"/>
        <s v="Quiere dejar de fumar fuma 4 cigarrillos"/>
        <s v="Quiere dejar de fumar fuma 5 cigarros diarios"/>
        <s v="Fumadores sociales, probando el Vape me"/>
        <s v="No quiere consumir mas cigarrillos, iniciada en el mundo del Vape me"/>
        <s v="No quiere fumar nunca mas cigarro"/>
        <s v="Empieza a dejar de fumar con Vape Me"/>
        <s v="Quiere consumir menos cigarros"/>
        <s v="Quiere fumar menos cigarrillo"/>
        <s v="No quiere fumar cigarrillos"/>
        <s v="Quiere dejar de fumar y tiene prescripción medica"/>
        <s v="Pareja fuma y ella se lleva un sin nicotina"/>
        <s v="Empieza a dejar de fumar con VapeMe"/>
        <s v="ocupan vapers con nico para reemplazar cigarro"/>
        <s v="fuma tabaco  y a veces vape"/>
        <s v="Le recomndaron la tienda y quiere usar vape con nic"/>
        <s v="Pareja vapeadora, buscan nuevos equipos"/>
        <s v="Quiere dejar de fumar se inicia con Vape Me"/>
        <s v="Quiere dejar de fumar gradualmente"/>
        <s v="No fuma quiere vapear."/>
        <s v="Quiere dejar de fumar con VapeMe"/>
        <s v="cliente mexicano busca vapes calidad"/>
        <s v="Quiere dejar de fumar fumadora social"/>
        <s v="Fuma 1 cajetilla a la semana"/>
        <s v="Fuma 3 cajetillas semanales"/>
        <s v="Corregir RUT, es de Valdivia, Estudiante de Computación UC"/>
        <s v="Dueño de HABIBI RESTORANT Santa Filomena 387"/>
        <s v="clienta frecuente del airis mango peach"/>
        <s v="dejar de fumar"/>
        <s v="Madre fuma 1 cajetilla al dia"/>
        <s v="venia por liquidos para su vaporizador MOD"/>
        <s v="evercrips"/>
        <s v="busca vapes recargables"/>
        <s v="fumadora 5 cajetillas a la semana, bajo a 1 gracias al vape"/>
        <s v="quiere ingresar al vapeo"/>
        <s v="usa vapes recargables"/>
        <s v="fumadores pareja"/>
        <s v="vapeadora incial"/>
        <s v="vapeadora Cherry Cotton y dulce"/>
        <s v="VAR"/>
        <s v="HIGH, Piña Colada Máximo Placer"/>
        <s v="3 unidades llevaba sin ser ingresado a la BD"/>
        <s v="Fuma 1 Cajetilla al día de $3500 pesos"/>
        <s v="Fuma 10 cigarros al dia y 300 al mes, con un costo de 75000 pesos, le gusta el sabor chocolate, por lo que calzo con WMI de NOVO y Vanilla Tabacco de DL"/>
        <s v="Vapea para Salir de los cigarros al Carretear"/>
        <s v="vapeadora de frutilla"/>
        <s v="Vapea"/>
        <s v="Fumador de 30 cajetillas al Mes y desea entrar a Vapeme para dejar el cigarro"/>
        <s v="menthol"/>
        <s v="15 Cajetillas al Mes"/>
        <s v="Vapea Blueberry pero Poco solo social"/>
        <s v="Gerente Legal Santander"/>
        <s v="fumadora 5 cigarros al dia, Kent 4"/>
        <s v="vapea con 3% vaporesso"/>
        <s v="Vapea mod con saltnic"/>
        <s v="vapeadora inicial"/>
        <s v="vapeador saltnic recargables"/>
        <s v="Vapeador Pro y se le ofrecio la propuesta y la acepto"/>
        <s v="Compro para amiga"/>
        <s v="Vapeadora y comenzara el proceso de dejara el Vapo!"/>
        <s v="fumado de 10 cajetillas al mes"/>
        <s v="Fumadora de Tabaco Enrolado"/>
        <s v="Fumadora"/>
        <s v="Vapeador Pro"/>
        <s v="Fumadora Antigua, recae pero quiere vapor Dinner Lady LOW"/>
        <s v="Fuma 1 cajetilla y media, espera dejar de Fumar con Vapeme"/>
        <s v="Vapeador Técnico y exfumador de tabacco hace 3 años, quiere solución simple y rápida."/>
        <s v="Fumadora 60 cajetilla al mes."/>
        <s v="Fumador 6 cigarros día"/>
        <s v="Quiere Vapear, Es Carabinero OS9"/>
        <s v="Fumador de 2 cigarros al día, Carabinero."/>
        <s v="30 cajetillas al mes Hija"/>
        <s v="vapeador técnico"/>
        <s v="600 puff al mes"/>
        <s v="30 Cajetillas al Mes"/>
        <s v="fumadora 8 cigarros al dia"/>
        <s v="fumador 1 cajetilla x semana"/>
        <s v="Gringo Carpintero, Busca Trabajo!"/>
        <s v="iniciar vapeo y no fuma"/>
        <s v="300 cigarros al mes"/>
        <s v="Papá Fumador 300 cigarros al mes"/>
        <s v="vapeado técnico"/>
        <s v="Blue Razz de NOVO, Ururguay, Visita"/>
        <s v="Tabaco Armado a Vape para dejarlo"/>
        <s v="vapeadora pods"/>
        <s v="fumador quiere vapear 0 nic"/>
        <s v="Fuma 2 cajetillas al dia"/>
        <s v="Fuma 5 cigarrillos al día"/>
        <s v="Vapeador PRO de 5 años y ciclista."/>
        <s v="Vapeador Pasivo 900 puff/mes, sabor Dulce Berry Ice"/>
        <s v="10 cigarrillos al día"/>
        <s v="Avisar stock de Novo Menthol"/>
        <s v="Fuma 8 cigarros al día"/>
        <s v="Fuma 10 cigarros por día"/>
        <s v="Fumador de cajetilla y media al día y desea dejar el cigarro"/>
        <s v="fumador vapes mod"/>
        <s v="Fuma 1 cajetilla diaria y su señora 5 cigarros diarios, quiere dejar de fumar."/>
        <s v="fumador de tabaco"/>
        <s v="Vapedor 3 años PROBO y GUSTO: NEO BI,WST, y NOVO CLEAR"/>
        <s v="Vape y Fuma, no pretende salir."/>
        <s v="Fumador de Tabaco gasta 30000 al mes, y le gusto la idea de llevar NEO y DL para dejar el tabaco."/>
        <s v="Vapeadora y compradora en mercado libre"/>
        <s v="Vapeadores años ylos cautivo DL menta"/>
        <s v="Vape hijo, recordo con DL vainilla a su papá y la pipa"/>
        <s v="vapea de Fiesta"/>
        <s v="Recomendada por Broncopulmonar 3000 puff x mes"/>
        <s v="Fuma 2 cigarros pero no quiere volver"/>
        <s v="Glaucoma y debe dejar urgente el cigarro solo fuma 4 cajetilas al mes"/>
        <s v="Fuma 15 Cajtillas Mes"/>
        <s v="fumadora, quiere dejar completamente el humo/vapor"/>
        <s v="fumadores de canabis, uso de vape para olor y transicion de humo canabico"/>
        <s v="Marido 15 Cajetillas al mes"/>
        <s v="2 Cajetillas al día/ hace un año atrás. Hoy Vapea, Busca un mejor equipo con Vapeme."/>
        <s v="30 cajetillas al mes se llevo la combi DL y NEO"/>
        <s v="1 1/2 al dia o sea 45 cajetillas al mes, se llevo la combi Neo y DL"/>
        <s v="Fumador de THC y le compro a su novia para vapeo"/>
        <s v="Puerto Montt fumador de una Cajetilla, para regalo"/>
        <s v="Ex Vapeador/ dueño de tiendas de equipos electronicos"/>
        <s v="15 cigarros al dia y finde semana 1 cajetillas x dia"/>
        <s v="fuma 1 cajetilla dia, quiere dejar de fumar, ECR"/>
        <s v="Fuma 1 cigarro al día"/>
        <s v="Fuma 6 cigarros al día. Quiere dejar de fumar."/>
        <s v="Fuma 5 cigarros al día. Quiere dejar de fumar."/>
        <s v="Vapeo Normal, Agente de Aduanas Zulueta"/>
        <s v="15 cajetillas al mes 2 Vapos SIn y uno de Rescate"/>
        <s v="30 años fumando 1 cajetilla y Vpea  hace 10 años. Usara la combinación para salir."/>
        <s v="Dejó de fumar hace 1 mes, fumaba 15 cigarros al día."/>
        <s v="Esposa fuma 10 cigarros al día, quiere dejar de fumar."/>
        <s v="Vapea Carrete"/>
        <s v="Fuma 8 cigarrillos diarios. Quiere dejar de fumar, empezo su transicion."/>
        <s v="Fuma 5 cigarros al día, quiere dejar de fumar."/>
        <s v="Chile Tabaco"/>
        <s v="fumadora social, 4 cajetillas al mes"/>
        <s v="Fuma 150 cigarrillos al mes, quiere dejar de fumar."/>
        <s v="Fuma 5 cigarros diarios, quiere dejar de fumar."/>
        <s v="Fuma 4 cigarros diarios, quiere dejar de fumar."/>
        <s v="Fuma 2 cigarros diarios, quiere dejar de fumar."/>
        <s v="Fuma 1 cajetilla y media diaria, quiere dejar de fumar en intervalos."/>
        <s v="Quiere empezar a vapear, no fuma cigarros."/>
        <s v="pareja fumadora, quieren dejar de fumar"/>
        <s v="fumador"/>
        <s v="Quiere dejar de vapear, empezará su transición con zero nicotina."/>
        <s v="Fuma 2 cajetillas al mes, fumadora social."/>
        <s v="fumadora canabis, lleva spearmint menthol"/>
        <s v="quiere ejar de fumar, lleva SN y comprará a futuro CN para tener el combo fumador"/>
        <s v="Fuma 4 tabacos al día."/>
        <s v="Antes fumaba 1 cajetilla diaria, ahora fuma 5 cigarros al día."/>
        <s v="Fuma 12 cigarros por día, quiere dejar de fumar."/>
      </sharedItems>
    </cacheField>
    <cacheField name="Contactos Adicionales " numFmtId="0">
      <sharedItems containsNonDate="0" containsString="0" containsBlank="1"/>
    </cacheField>
    <cacheField name="Direcciones Adicionales " numFmtId="0">
      <sharedItems containsNonDate="0" containsString="0" containsBlank="1"/>
    </cacheField>
    <cacheField name="Forma de Pago" numFmtId="0">
      <sharedItems containsNonDate="0" containsString="0" containsBlank="1"/>
    </cacheField>
    <cacheField name="Condición de venta" numFmtId="0">
      <sharedItems containsNonDate="0" containsString="0" containsBlank="1"/>
    </cacheField>
    <cacheField name="Facebook del Cliente" numFmtId="0">
      <sharedItems containsNonDate="0" containsString="0" containsBlank="1"/>
    </cacheField>
    <cacheField name="Twitter del Clien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s v="Persona"/>
    <s v="No"/>
    <s v=""/>
    <x v="0"/>
    <s v="Demo"/>
    <s v="Inicial Demo"/>
    <s v="Sin Giro"/>
    <m/>
    <m/>
    <m/>
    <m/>
    <m/>
    <m/>
    <s v="No"/>
    <n v="0"/>
    <s v="No"/>
    <s v="No definido"/>
    <s v="Si"/>
    <n v="0"/>
    <d v="2024-04-17T20:44:00"/>
    <s v="Activo"/>
    <m/>
    <m/>
    <x v="0"/>
    <m/>
    <m/>
    <m/>
    <m/>
    <m/>
    <m/>
  </r>
  <r>
    <s v="Persona"/>
    <s v="No"/>
    <s v="10814972-8"/>
    <x v="1"/>
    <s v="Cuevas"/>
    <s v="Cecilia Cuevas"/>
    <s v="Sin Giro"/>
    <s v="cecilia.cuevas@exposun.cl"/>
    <s v="Ignacio Verdugo"/>
    <s v="Santiago"/>
    <s v="Macul"/>
    <m/>
    <m/>
    <s v="No"/>
    <n v="0"/>
    <s v="No"/>
    <s v="No definido"/>
    <s v="Si"/>
    <n v="50"/>
    <d v="2023-12-16T20:18:00"/>
    <s v="Activo"/>
    <d v="2023-11-06T21:08:00"/>
    <d v="2023-12-16T20:18:00"/>
    <x v="0"/>
    <m/>
    <m/>
    <m/>
    <m/>
    <m/>
    <m/>
  </r>
  <r>
    <s v="Persona"/>
    <s v="No"/>
    <s v=""/>
    <x v="2"/>
    <s v="Castañeda "/>
    <s v="Rodrigo  Castañeda "/>
    <s v="Sin Giro"/>
    <s v="rodrigocastanedac@gmail.com"/>
    <m/>
    <m/>
    <m/>
    <m/>
    <m/>
    <s v="No"/>
    <n v="0"/>
    <s v="No"/>
    <s v="No definido"/>
    <s v="Si"/>
    <n v="0"/>
    <d v="2024-04-17T20:44:00"/>
    <s v="Activo"/>
    <d v="2023-11-07T20:02:00"/>
    <d v="2023-11-07T20:02:00"/>
    <x v="0"/>
    <m/>
    <m/>
    <m/>
    <m/>
    <m/>
    <m/>
  </r>
  <r>
    <s v="Persona"/>
    <s v="No"/>
    <s v="10840019-6"/>
    <x v="3"/>
    <s v="CATALAN"/>
    <s v="Marco CATALAN"/>
    <s v="Sin Giro"/>
    <s v="marcocatalan.info@gmail.com"/>
    <m/>
    <m/>
    <m/>
    <m/>
    <m/>
    <s v="No"/>
    <n v="0"/>
    <s v="No"/>
    <s v="No definido"/>
    <s v="Si"/>
    <n v="77"/>
    <d v="2023-12-16T20:18:00"/>
    <s v="Activo"/>
    <d v="2023-11-08T13:11:00"/>
    <d v="2023-12-16T20:18:00"/>
    <x v="0"/>
    <m/>
    <m/>
    <m/>
    <m/>
    <m/>
    <m/>
  </r>
  <r>
    <s v="Persona"/>
    <s v="No"/>
    <s v="21930294-0"/>
    <x v="4"/>
    <s v="Hirmas"/>
    <s v="Jose Hirmas"/>
    <s v="Sin Giro"/>
    <s v="jihirmas@miuandes.cl"/>
    <s v="Condominio Polo de Manquehue II 1800"/>
    <s v="COLI"/>
    <s v="METROPOLITANA DE SANTIAGO"/>
    <n v="972393582"/>
    <m/>
    <s v="No"/>
    <n v="0"/>
    <s v="No"/>
    <s v="No definido"/>
    <s v="Si"/>
    <n v="0"/>
    <d v="2024-04-17T20:44:00"/>
    <s v="Activo"/>
    <d v="2023-11-08T20:05:00"/>
    <d v="2023-11-20T20:37:00"/>
    <x v="0"/>
    <m/>
    <m/>
    <m/>
    <m/>
    <m/>
    <m/>
  </r>
  <r>
    <s v="Persona"/>
    <s v="No"/>
    <s v="26030064-4"/>
    <x v="5"/>
    <s v="Sanchez"/>
    <s v="Jorge  Sanchez"/>
    <s v="Sin Giro"/>
    <s v="jorgelsb12@gmail.com"/>
    <m/>
    <m/>
    <m/>
    <m/>
    <m/>
    <s v="No"/>
    <n v="0"/>
    <s v="No"/>
    <s v="No definido"/>
    <s v="Si"/>
    <n v="383"/>
    <d v="2023-12-16T20:18:00"/>
    <s v="Activo"/>
    <d v="2023-11-09T14:53:00"/>
    <d v="2023-12-16T20:18:00"/>
    <x v="1"/>
    <m/>
    <m/>
    <m/>
    <m/>
    <m/>
    <m/>
  </r>
  <r>
    <s v="Persona"/>
    <s v="No"/>
    <s v="20236816-6"/>
    <x v="6"/>
    <s v="Calisto"/>
    <s v="Gabriel Calisto"/>
    <s v="Sin Giro"/>
    <s v="gabriel.calisto@uniacc.edu"/>
    <m/>
    <m/>
    <m/>
    <m/>
    <m/>
    <s v="No"/>
    <n v="0"/>
    <s v="No"/>
    <s v="No definido"/>
    <s v="Si"/>
    <n v="77"/>
    <d v="2023-12-16T20:18:00"/>
    <s v="Activo"/>
    <d v="2023-11-09T17:08:00"/>
    <d v="2023-12-16T20:18:00"/>
    <x v="0"/>
    <m/>
    <m/>
    <m/>
    <m/>
    <m/>
    <m/>
  </r>
  <r>
    <s v="Persona"/>
    <s v="No"/>
    <s v="19208691-4"/>
    <x v="7"/>
    <s v="Valenzuela"/>
    <s v="Ulises Valenzuela"/>
    <s v="Sin Giro"/>
    <s v="ulises.valenzuela@outlook.cl"/>
    <m/>
    <m/>
    <m/>
    <m/>
    <m/>
    <s v="No"/>
    <n v="0"/>
    <s v="No"/>
    <s v="No definido"/>
    <s v="Si"/>
    <n v="77"/>
    <d v="2023-12-16T20:18:00"/>
    <s v="Activo"/>
    <d v="2023-11-09T18:22:00"/>
    <d v="2023-12-16T20:18:00"/>
    <x v="0"/>
    <m/>
    <m/>
    <m/>
    <m/>
    <m/>
    <m/>
  </r>
  <r>
    <s v="Persona"/>
    <s v="No"/>
    <s v="19133781-6"/>
    <x v="8"/>
    <s v="Ridolfi"/>
    <s v="Luciano  Ridolfi"/>
    <s v="Sin Giro"/>
    <s v="luciano.ridolfi.7@gmail.com"/>
    <m/>
    <m/>
    <m/>
    <m/>
    <m/>
    <s v="No"/>
    <n v="0"/>
    <s v="No"/>
    <s v="No definido"/>
    <s v="Si"/>
    <n v="167"/>
    <d v="2024-03-28T20:38:00"/>
    <s v="Activo"/>
    <d v="2023-11-09T19:19:00"/>
    <d v="2024-03-28T20:38:00"/>
    <x v="0"/>
    <m/>
    <m/>
    <m/>
    <m/>
    <m/>
    <m/>
  </r>
  <r>
    <s v="Persona"/>
    <s v="No"/>
    <s v="7664984-7"/>
    <x v="9"/>
    <s v="Altet Balzarini"/>
    <s v="Agustin Altet Balzarini Altet Balzarini"/>
    <s v="Sin Giro"/>
    <s v="aaltet@hotmail.com"/>
    <m/>
    <m/>
    <m/>
    <m/>
    <m/>
    <s v="No"/>
    <n v="0"/>
    <s v="No"/>
    <s v="No definido"/>
    <s v="Si"/>
    <n v="153"/>
    <d v="2023-12-16T20:18:00"/>
    <s v="Activo"/>
    <d v="2023-11-12T13:04:00"/>
    <d v="2023-12-16T20:18:00"/>
    <x v="0"/>
    <m/>
    <m/>
    <m/>
    <m/>
    <m/>
    <m/>
  </r>
  <r>
    <s v="Persona"/>
    <s v="No"/>
    <s v="15342568-K"/>
    <x v="10"/>
    <s v="Reyes"/>
    <s v="Luis  Reyes"/>
    <s v="Sin Giro"/>
    <s v="lreyesc@live.com"/>
    <m/>
    <m/>
    <m/>
    <m/>
    <m/>
    <s v="No"/>
    <n v="0"/>
    <s v="No"/>
    <s v="No definido"/>
    <s v="Si"/>
    <n v="77"/>
    <d v="2023-12-16T20:18:00"/>
    <s v="Activo"/>
    <d v="2023-11-13T12:08:00"/>
    <d v="2023-12-16T20:18:00"/>
    <x v="0"/>
    <m/>
    <m/>
    <m/>
    <m/>
    <m/>
    <m/>
  </r>
  <r>
    <s v="Persona"/>
    <s v="No"/>
    <s v=""/>
    <x v="11"/>
    <s v="Pontarelli"/>
    <s v="Monica Pontarelli"/>
    <s v="Sin Giro"/>
    <s v="monicadelpilarpontarelli@gmail.com"/>
    <m/>
    <m/>
    <m/>
    <m/>
    <m/>
    <s v="No"/>
    <n v="0"/>
    <s v="No"/>
    <s v="No definido"/>
    <s v="Si"/>
    <n v="0"/>
    <d v="2024-04-17T20:44:00"/>
    <s v="Activo"/>
    <d v="2023-11-13T17:11:00"/>
    <d v="2023-11-13T17:11:00"/>
    <x v="0"/>
    <m/>
    <m/>
    <m/>
    <m/>
    <m/>
    <m/>
  </r>
  <r>
    <s v="Persona"/>
    <s v="No"/>
    <s v="13665466-7"/>
    <x v="12"/>
    <s v="Quiroga"/>
    <s v="Natalia Quiroga"/>
    <s v="Sin Giro"/>
    <s v="quirogatoledo@gmail.com"/>
    <m/>
    <m/>
    <m/>
    <m/>
    <m/>
    <s v="No"/>
    <n v="0"/>
    <s v="No"/>
    <s v="No definido"/>
    <s v="Si"/>
    <n v="589"/>
    <d v="2024-03-27T16:46:00"/>
    <s v="Activo"/>
    <d v="2023-11-14T11:59:00"/>
    <d v="2024-03-27T16:46:00"/>
    <x v="0"/>
    <m/>
    <m/>
    <m/>
    <m/>
    <m/>
    <m/>
  </r>
  <r>
    <s v="Persona"/>
    <s v="No"/>
    <s v="12608490-0"/>
    <x v="13"/>
    <s v="Zaldivar"/>
    <s v="Gonzalo  Zaldivar"/>
    <s v="Sin Giro"/>
    <s v="gzaldivar@gmail.com"/>
    <m/>
    <m/>
    <m/>
    <m/>
    <m/>
    <s v="No"/>
    <n v="0"/>
    <s v="No"/>
    <s v="No definido"/>
    <s v="Si"/>
    <n v="318"/>
    <d v="2024-02-10T15:28:00"/>
    <s v="Activo"/>
    <d v="2023-11-14T14:01:00"/>
    <d v="2024-02-10T15:28:00"/>
    <x v="0"/>
    <m/>
    <m/>
    <m/>
    <m/>
    <m/>
    <m/>
  </r>
  <r>
    <s v="Persona"/>
    <s v="No"/>
    <s v="19875472-2"/>
    <x v="14"/>
    <s v="Galaz"/>
    <s v="Benjamin Galaz"/>
    <s v="Sin Giro"/>
    <s v="benjamin.galaz44@gmail.com"/>
    <m/>
    <m/>
    <m/>
    <m/>
    <m/>
    <s v="No"/>
    <n v="0"/>
    <s v="No"/>
    <s v="No definido"/>
    <s v="Si"/>
    <n v="77"/>
    <d v="2023-12-16T20:18:00"/>
    <s v="Activo"/>
    <d v="2023-11-14T19:42:00"/>
    <d v="2023-12-16T20:18:00"/>
    <x v="0"/>
    <m/>
    <m/>
    <m/>
    <m/>
    <m/>
    <m/>
  </r>
  <r>
    <s v="Persona"/>
    <s v="No"/>
    <s v="8525995-4"/>
    <x v="15"/>
    <s v="Vergara"/>
    <s v="Ricardo  Vergara"/>
    <s v="Sin Giro"/>
    <s v="postcent123@gmail.com"/>
    <m/>
    <m/>
    <m/>
    <m/>
    <m/>
    <s v="No"/>
    <n v="0"/>
    <s v="No"/>
    <s v="No definido"/>
    <s v="Si"/>
    <n v="77"/>
    <d v="2023-12-16T20:18:00"/>
    <s v="Activo"/>
    <d v="2023-11-14T20:02:00"/>
    <d v="2023-12-16T20:18:00"/>
    <x v="0"/>
    <m/>
    <m/>
    <m/>
    <m/>
    <m/>
    <m/>
  </r>
  <r>
    <s v="Persona"/>
    <s v="No"/>
    <s v="9523591-3"/>
    <x v="16"/>
    <s v="Leon"/>
    <s v="Rafael Leon"/>
    <s v="Sin Giro"/>
    <s v="rleon@asocanalesmaipo.cl"/>
    <m/>
    <m/>
    <m/>
    <m/>
    <m/>
    <s v="No"/>
    <n v="0"/>
    <s v="No"/>
    <s v="No definido"/>
    <s v="Si"/>
    <n v="1971"/>
    <d v="2024-04-17T19:58:00"/>
    <s v="Activo"/>
    <d v="2023-11-14T20:22:00"/>
    <d v="2024-04-17T19:58:00"/>
    <x v="2"/>
    <m/>
    <m/>
    <m/>
    <m/>
    <m/>
    <m/>
  </r>
  <r>
    <s v="Persona"/>
    <s v="No"/>
    <s v="13880525-5"/>
    <x v="17"/>
    <s v="Orellana"/>
    <s v="Pablo  Orellana"/>
    <s v="Sin Giro"/>
    <s v="orellana.pablo2013@gmail.com"/>
    <m/>
    <m/>
    <m/>
    <m/>
    <m/>
    <s v="No"/>
    <n v="0"/>
    <s v="No"/>
    <s v="No definido"/>
    <s v="Si"/>
    <n v="77"/>
    <d v="2023-12-16T20:18:00"/>
    <s v="Activo"/>
    <d v="2023-11-14T20:46:00"/>
    <d v="2023-12-16T20:18:00"/>
    <x v="0"/>
    <m/>
    <m/>
    <m/>
    <m/>
    <m/>
    <m/>
  </r>
  <r>
    <s v="Persona"/>
    <s v="No"/>
    <s v="14175687-7"/>
    <x v="18"/>
    <s v="Rodríguez"/>
    <s v="José  Rodríguez"/>
    <s v="Sin Giro"/>
    <s v="jl.rodriguez.enerlim@gmail.com"/>
    <m/>
    <m/>
    <m/>
    <m/>
    <m/>
    <s v="No"/>
    <n v="0"/>
    <s v="No"/>
    <s v="No definido"/>
    <s v="Si"/>
    <n v="50"/>
    <d v="2023-12-16T20:18:00"/>
    <s v="Activo"/>
    <d v="2023-11-15T11:37:00"/>
    <d v="2023-12-16T20:18:00"/>
    <x v="3"/>
    <m/>
    <m/>
    <m/>
    <m/>
    <m/>
    <m/>
  </r>
  <r>
    <s v="Persona"/>
    <s v="No"/>
    <s v="13900828-6"/>
    <x v="19"/>
    <s v="Ortiz"/>
    <s v="Carolina Ortiz"/>
    <s v="Sin Giro"/>
    <s v="cortiz.garcia80@gmail.com"/>
    <m/>
    <m/>
    <m/>
    <m/>
    <m/>
    <s v="No"/>
    <n v="0"/>
    <s v="No"/>
    <s v="No definido"/>
    <s v="Si"/>
    <n v="137"/>
    <d v="2024-02-12T17:38:00"/>
    <s v="Activo"/>
    <d v="2023-11-15T15:31:00"/>
    <d v="2024-02-12T17:38:00"/>
    <x v="4"/>
    <m/>
    <m/>
    <m/>
    <m/>
    <m/>
    <m/>
  </r>
  <r>
    <s v="Persona"/>
    <s v="No"/>
    <s v="15334036-6"/>
    <x v="20"/>
    <s v="Araneda"/>
    <s v="Nelson Araneda"/>
    <s v="Sin Giro"/>
    <s v="nelsondac@gmail.com"/>
    <m/>
    <m/>
    <m/>
    <m/>
    <m/>
    <s v="No"/>
    <n v="0"/>
    <s v="No"/>
    <s v="No definido"/>
    <s v="Si"/>
    <n v="73"/>
    <d v="2023-12-16T20:18:00"/>
    <s v="Activo"/>
    <d v="2023-11-15T17:42:00"/>
    <d v="2023-12-16T20:18:00"/>
    <x v="5"/>
    <m/>
    <m/>
    <m/>
    <m/>
    <m/>
    <m/>
  </r>
  <r>
    <s v="Persona"/>
    <s v="No"/>
    <s v="18954881-8"/>
    <x v="21"/>
    <s v="Montecinos"/>
    <s v="Job Montecinos"/>
    <s v="Sin Giro"/>
    <s v="jobmontecinos@812gmail.com"/>
    <m/>
    <m/>
    <m/>
    <m/>
    <m/>
    <s v="No"/>
    <n v="0"/>
    <s v="No"/>
    <s v="No definido"/>
    <s v="Si"/>
    <n v="77"/>
    <d v="2023-12-16T20:18:00"/>
    <s v="Activo"/>
    <d v="2023-11-15T18:24:00"/>
    <d v="2023-12-16T20:18:00"/>
    <x v="6"/>
    <m/>
    <m/>
    <m/>
    <m/>
    <m/>
    <m/>
  </r>
  <r>
    <s v="Persona"/>
    <s v="No"/>
    <s v="17556220-6"/>
    <x v="22"/>
    <s v="Araya"/>
    <s v="Paula  Araya"/>
    <s v="Sin Giro"/>
    <s v="paula.araya.y@gmail.com"/>
    <m/>
    <m/>
    <m/>
    <m/>
    <m/>
    <s v="No"/>
    <n v="0"/>
    <s v="No"/>
    <s v="No definido"/>
    <s v="Si"/>
    <n v="77"/>
    <d v="2023-12-16T20:18:00"/>
    <s v="Activo"/>
    <d v="2023-11-15T18:56:00"/>
    <d v="2023-12-16T20:18:00"/>
    <x v="7"/>
    <m/>
    <m/>
    <m/>
    <m/>
    <m/>
    <m/>
  </r>
  <r>
    <s v="Persona"/>
    <s v="No"/>
    <s v="21677891-K"/>
    <x v="23"/>
    <s v="Puskas"/>
    <s v="Thomas Puskas"/>
    <s v="Sin Giro"/>
    <s v="t.puskas2005@gmail.com"/>
    <m/>
    <m/>
    <m/>
    <m/>
    <m/>
    <s v="No"/>
    <n v="0"/>
    <s v="No"/>
    <s v="No definido"/>
    <s v="Si"/>
    <n v="77"/>
    <d v="2023-12-16T20:18:00"/>
    <s v="Activo"/>
    <d v="2023-11-16T13:18:00"/>
    <d v="2023-12-16T20:18:00"/>
    <x v="8"/>
    <m/>
    <m/>
    <m/>
    <m/>
    <m/>
    <m/>
  </r>
  <r>
    <s v="Persona"/>
    <s v="No"/>
    <s v="11185694-K"/>
    <x v="22"/>
    <s v="Del Rio"/>
    <s v="Paula  Del Rio"/>
    <s v="Sin Giro"/>
    <s v="delriopaula@gmail.com"/>
    <m/>
    <m/>
    <m/>
    <m/>
    <m/>
    <s v="No"/>
    <n v="0"/>
    <s v="No"/>
    <s v="No definido"/>
    <s v="Si"/>
    <n v="153"/>
    <d v="2023-12-16T20:18:00"/>
    <s v="Activo"/>
    <d v="2023-11-16T14:24:00"/>
    <d v="2023-12-16T20:18:00"/>
    <x v="9"/>
    <m/>
    <m/>
    <m/>
    <m/>
    <m/>
    <m/>
  </r>
  <r>
    <s v="Persona"/>
    <s v="No"/>
    <s v="15725703-K"/>
    <x v="24"/>
    <s v="Cuevas"/>
    <s v="Carla Cuevas"/>
    <s v="Sin Giro"/>
    <s v="carlacuevasp@gmail.com"/>
    <m/>
    <m/>
    <m/>
    <m/>
    <m/>
    <s v="No"/>
    <n v="0"/>
    <s v="No"/>
    <s v="No definido"/>
    <s v="Si"/>
    <n v="807"/>
    <d v="2024-04-08T13:18:00"/>
    <s v="Activo"/>
    <d v="2023-11-16T17:13:00"/>
    <d v="2024-04-08T13:18:00"/>
    <x v="10"/>
    <m/>
    <m/>
    <m/>
    <m/>
    <m/>
    <m/>
  </r>
  <r>
    <s v="Persona"/>
    <s v="No"/>
    <s v="18171765-3"/>
    <x v="25"/>
    <s v="Herrera"/>
    <s v="Karina  Herrera"/>
    <s v="Sin Giro"/>
    <s v="k.herrerato@gmail.com"/>
    <m/>
    <m/>
    <m/>
    <m/>
    <m/>
    <s v="No"/>
    <n v="0"/>
    <s v="No"/>
    <s v="No definido"/>
    <s v="Si"/>
    <n v="77"/>
    <d v="2023-12-16T20:18:00"/>
    <s v="Activo"/>
    <d v="2023-11-16T18:27:00"/>
    <d v="2023-12-16T20:18:00"/>
    <x v="11"/>
    <m/>
    <m/>
    <m/>
    <m/>
    <m/>
    <m/>
  </r>
  <r>
    <s v="Persona"/>
    <s v="No"/>
    <s v="9949446-8"/>
    <x v="26"/>
    <s v="Lagos"/>
    <s v="Eduardo Lagos"/>
    <s v="Sin Giro"/>
    <s v="elagosbertrand@gmail.com"/>
    <m/>
    <m/>
    <m/>
    <m/>
    <m/>
    <s v="No"/>
    <n v="0"/>
    <s v="No"/>
    <s v="No definido"/>
    <s v="Si"/>
    <n v="127"/>
    <d v="2024-01-10T18:41:00"/>
    <s v="Activo"/>
    <d v="2023-11-16T19:34:00"/>
    <d v="2024-01-10T18:41:00"/>
    <x v="12"/>
    <m/>
    <m/>
    <m/>
    <m/>
    <m/>
    <m/>
  </r>
  <r>
    <s v="Persona"/>
    <s v="No"/>
    <s v="12019658-8"/>
    <x v="27"/>
    <s v="Soto"/>
    <s v="Dorka Soto"/>
    <s v="Sin Giro"/>
    <s v="dorka.soto@gmail.com"/>
    <m/>
    <m/>
    <m/>
    <m/>
    <m/>
    <s v="No"/>
    <n v="0"/>
    <s v="No"/>
    <s v="No definido"/>
    <s v="Si"/>
    <n v="77"/>
    <d v="2023-12-16T20:18:00"/>
    <s v="Activo"/>
    <d v="2023-11-16T20:03:00"/>
    <d v="2023-12-16T20:18:00"/>
    <x v="0"/>
    <m/>
    <m/>
    <m/>
    <m/>
    <m/>
    <m/>
  </r>
  <r>
    <s v="Persona"/>
    <s v="No"/>
    <s v="15581424-1"/>
    <x v="28"/>
    <s v="Barria"/>
    <s v="Deisy  Barria"/>
    <s v="Sin Giro"/>
    <s v="deisybarriaruiz@gmail.com"/>
    <m/>
    <m/>
    <m/>
    <m/>
    <m/>
    <s v="No"/>
    <n v="0"/>
    <s v="No"/>
    <s v="No definido"/>
    <s v="Si"/>
    <n v="77"/>
    <d v="2023-12-16T20:18:00"/>
    <s v="Activo"/>
    <d v="2023-11-20T12:19:00"/>
    <d v="2023-12-16T20:18:00"/>
    <x v="0"/>
    <m/>
    <m/>
    <m/>
    <m/>
    <m/>
    <m/>
  </r>
  <r>
    <s v="Persona"/>
    <s v="No"/>
    <s v="16098481-3"/>
    <x v="29"/>
    <s v="Valdivieso Salinas"/>
    <s v="Daniela Valdivieso Salinas"/>
    <s v="Sin Giro"/>
    <s v="danivaldiviesosalinas@gmail.com"/>
    <m/>
    <m/>
    <m/>
    <m/>
    <m/>
    <s v="No"/>
    <n v="0"/>
    <s v="No"/>
    <s v="No definido"/>
    <s v="Si"/>
    <n v="154"/>
    <d v="2024-01-22T13:35:00"/>
    <s v="Activo"/>
    <d v="2023-11-20T18:27:00"/>
    <d v="2024-01-22T13:35:00"/>
    <x v="0"/>
    <m/>
    <m/>
    <m/>
    <m/>
    <m/>
    <m/>
  </r>
  <r>
    <s v="Persona"/>
    <s v="No"/>
    <s v="13686771-7"/>
    <x v="30"/>
    <s v="Matamala"/>
    <s v="Hernan Matamala"/>
    <s v="Sin Giro"/>
    <s v="hernan.matamala@gmail.com"/>
    <s v="san francisco de asis 1800"/>
    <s v="LCON"/>
    <s v="METROPOLITANA DE SANTIAGO"/>
    <n v="951953301"/>
    <m/>
    <s v="No"/>
    <n v="0"/>
    <s v="No"/>
    <s v="No definido"/>
    <s v="Si"/>
    <n v="0"/>
    <d v="2024-04-17T20:44:00"/>
    <s v="Activo"/>
    <d v="2023-11-20T19:21:00"/>
    <d v="2023-11-22T22:41:00"/>
    <x v="0"/>
    <m/>
    <m/>
    <m/>
    <m/>
    <m/>
    <m/>
  </r>
  <r>
    <s v="Persona"/>
    <s v="No"/>
    <s v="14353954-7"/>
    <x v="31"/>
    <s v="Mardones"/>
    <s v="Katherine Mardones"/>
    <s v="Sin Giro"/>
    <s v="kgomezmardones@gmail.com"/>
    <m/>
    <m/>
    <m/>
    <m/>
    <m/>
    <s v="No"/>
    <n v="0"/>
    <s v="No"/>
    <s v="No definido"/>
    <s v="Si"/>
    <n v="153"/>
    <d v="2023-12-16T20:18:00"/>
    <s v="Activo"/>
    <d v="2023-11-20T19:59:00"/>
    <d v="2023-12-16T20:18:00"/>
    <x v="0"/>
    <m/>
    <m/>
    <m/>
    <m/>
    <m/>
    <m/>
  </r>
  <r>
    <s v="Persona"/>
    <s v="No"/>
    <s v="12165962-K"/>
    <x v="32"/>
    <s v="Vergara "/>
    <s v="Lorena Vergara "/>
    <s v="Sin Giro"/>
    <s v="lvergara.prado@gmail.com"/>
    <m/>
    <m/>
    <m/>
    <m/>
    <m/>
    <s v="No"/>
    <n v="0"/>
    <s v="No"/>
    <s v="No definido"/>
    <s v="Si"/>
    <n v="498"/>
    <d v="2024-03-27T14:21:00"/>
    <s v="Activo"/>
    <d v="2023-11-21T14:34:00"/>
    <d v="2024-03-27T14:21:00"/>
    <x v="13"/>
    <m/>
    <m/>
    <m/>
    <m/>
    <m/>
    <m/>
  </r>
  <r>
    <s v="Persona"/>
    <s v="No"/>
    <s v="15366425-0"/>
    <x v="33"/>
    <s v="Pérez Massone"/>
    <s v="Giovinezza Pérez Massone"/>
    <s v="Sin Giro"/>
    <s v="pgiovinezza@gmail.com"/>
    <m/>
    <m/>
    <m/>
    <m/>
    <m/>
    <s v="No"/>
    <n v="0"/>
    <s v="No"/>
    <s v="No definido"/>
    <s v="Si"/>
    <n v="317"/>
    <d v="2024-01-02T10:40:00"/>
    <s v="Activo"/>
    <d v="2023-11-22T11:32:00"/>
    <d v="2024-01-02T10:40:00"/>
    <x v="14"/>
    <m/>
    <m/>
    <m/>
    <m/>
    <m/>
    <m/>
  </r>
  <r>
    <s v="Persona"/>
    <s v="No"/>
    <s v="15434639-2"/>
    <x v="2"/>
    <s v="Vásquez"/>
    <s v="Rodrigo  Vásquez"/>
    <s v="Sin Giro"/>
    <s v="rockovasquez@gmail.com"/>
    <m/>
    <m/>
    <m/>
    <m/>
    <m/>
    <s v="No"/>
    <n v="0"/>
    <s v="No"/>
    <s v="No definido"/>
    <s v="Si"/>
    <n v="77"/>
    <d v="2023-12-16T20:18:00"/>
    <s v="Activo"/>
    <d v="2023-11-22T13:30:00"/>
    <d v="2023-12-16T20:18:00"/>
    <x v="15"/>
    <m/>
    <m/>
    <m/>
    <m/>
    <m/>
    <m/>
  </r>
  <r>
    <s v="Persona"/>
    <s v="No"/>
    <s v="13460950-8"/>
    <x v="34"/>
    <s v="Pacheco"/>
    <s v="Ariel Pacheco"/>
    <s v="Sin Giro"/>
    <s v="aryel.pacheco@gmail.com"/>
    <m/>
    <m/>
    <m/>
    <m/>
    <m/>
    <s v="No"/>
    <n v="0"/>
    <s v="No"/>
    <s v="No definido"/>
    <s v="Si"/>
    <n v="77"/>
    <d v="2023-12-16T20:18:00"/>
    <s v="Activo"/>
    <d v="2023-11-22T14:30:00"/>
    <d v="2024-02-24T00:35:00"/>
    <x v="16"/>
    <m/>
    <m/>
    <m/>
    <m/>
    <m/>
    <m/>
  </r>
  <r>
    <s v="Persona"/>
    <s v="No"/>
    <s v="20109901-3"/>
    <x v="35"/>
    <s v="Otarola"/>
    <s v="Flavia  Otarola"/>
    <s v="Sin Giro"/>
    <s v="flavia.otrola@uc.cl"/>
    <m/>
    <m/>
    <m/>
    <m/>
    <m/>
    <s v="No"/>
    <n v="0"/>
    <s v="No"/>
    <s v="No definido"/>
    <s v="Si"/>
    <n v="283"/>
    <d v="2024-03-16T19:27:00"/>
    <s v="Activo"/>
    <d v="2023-11-22T18:15:00"/>
    <d v="2024-03-16T19:27:00"/>
    <x v="17"/>
    <m/>
    <m/>
    <m/>
    <m/>
    <m/>
    <m/>
  </r>
  <r>
    <s v="Persona"/>
    <s v="No"/>
    <s v="13508407-7"/>
    <x v="36"/>
    <s v="Seguel"/>
    <s v="Marcelo Seguel"/>
    <s v="Sin Giro"/>
    <s v="marceloseguel@gmail.com"/>
    <m/>
    <m/>
    <m/>
    <m/>
    <m/>
    <s v="No"/>
    <n v="0"/>
    <s v="No"/>
    <s v="No definido"/>
    <s v="Si"/>
    <n v="77"/>
    <d v="2023-12-16T20:18:00"/>
    <s v="Activo"/>
    <d v="2023-11-22T18:58:00"/>
    <d v="2023-12-16T20:18:00"/>
    <x v="18"/>
    <m/>
    <m/>
    <m/>
    <m/>
    <m/>
    <m/>
  </r>
  <r>
    <s v="Persona"/>
    <s v="No"/>
    <s v="15053610-3"/>
    <x v="37"/>
    <s v="Alvarez"/>
    <s v="Bernardita Alvarez"/>
    <s v="Sin Giro"/>
    <s v="benny_lorena@hotmail.cl"/>
    <m/>
    <m/>
    <m/>
    <m/>
    <m/>
    <s v="No"/>
    <n v="0"/>
    <s v="No"/>
    <s v="No definido"/>
    <s v="Si"/>
    <n v="77"/>
    <d v="2023-12-16T20:18:00"/>
    <s v="Activo"/>
    <d v="2023-11-23T14:52:00"/>
    <d v="2023-12-16T20:18:00"/>
    <x v="12"/>
    <m/>
    <m/>
    <m/>
    <m/>
    <m/>
    <m/>
  </r>
  <r>
    <s v="Persona"/>
    <s v="No"/>
    <s v="13534026-K"/>
    <x v="38"/>
    <s v="Contreras"/>
    <s v="Priscilla  Contreras"/>
    <s v="Sin Giro"/>
    <s v="pdpcontrerasf@gmail.com"/>
    <m/>
    <m/>
    <m/>
    <m/>
    <m/>
    <s v="No"/>
    <n v="0"/>
    <s v="No"/>
    <s v="No definido"/>
    <s v="Si"/>
    <n v="77"/>
    <d v="2023-12-16T20:18:00"/>
    <s v="Activo"/>
    <d v="2023-11-23T14:57:00"/>
    <d v="2023-12-16T20:18:00"/>
    <x v="19"/>
    <m/>
    <m/>
    <m/>
    <m/>
    <m/>
    <m/>
  </r>
  <r>
    <s v="Persona"/>
    <s v="No"/>
    <s v="16202031-5"/>
    <x v="39"/>
    <s v="Torres"/>
    <s v="Andrea  Torres"/>
    <s v="Sin Giro"/>
    <s v="andreatorres01@gmail.com"/>
    <m/>
    <m/>
    <m/>
    <m/>
    <m/>
    <s v="No"/>
    <n v="0"/>
    <s v="No"/>
    <s v="No definido"/>
    <s v="Si"/>
    <n v="1181"/>
    <d v="2024-04-12T13:25:00"/>
    <s v="Activo"/>
    <d v="2023-11-23T15:00:00"/>
    <d v="2024-04-12T13:25:00"/>
    <x v="20"/>
    <m/>
    <m/>
    <m/>
    <m/>
    <m/>
    <m/>
  </r>
  <r>
    <s v="Persona"/>
    <s v="No"/>
    <s v="22005710-0"/>
    <x v="40"/>
    <s v="Fernández"/>
    <s v="Maite Fernández"/>
    <s v="Sin Giro"/>
    <s v="maitefdzjj@gmail.com"/>
    <m/>
    <m/>
    <m/>
    <m/>
    <m/>
    <s v="No"/>
    <n v="0"/>
    <s v="No"/>
    <s v="No definido"/>
    <s v="Si"/>
    <n v="77"/>
    <d v="2023-12-16T20:18:00"/>
    <s v="Activo"/>
    <d v="2023-11-23T15:02:00"/>
    <d v="2023-12-16T20:18:00"/>
    <x v="21"/>
    <m/>
    <m/>
    <m/>
    <m/>
    <m/>
    <m/>
  </r>
  <r>
    <s v="Persona"/>
    <s v="No"/>
    <s v="10033201-9"/>
    <x v="41"/>
    <s v="Molina"/>
    <s v="Marcela  Molina"/>
    <s v="Sin Giro"/>
    <s v="mmolibe@gmail.com"/>
    <m/>
    <m/>
    <m/>
    <m/>
    <m/>
    <s v="No"/>
    <n v="0"/>
    <s v="No"/>
    <s v="No definido"/>
    <s v="Si"/>
    <n v="73"/>
    <d v="2023-12-16T20:18:00"/>
    <s v="Activo"/>
    <d v="2023-11-23T16:44:00"/>
    <d v="2023-12-16T20:18:00"/>
    <x v="22"/>
    <m/>
    <m/>
    <m/>
    <m/>
    <m/>
    <m/>
  </r>
  <r>
    <s v="Persona"/>
    <s v="No"/>
    <s v="10741001-5"/>
    <x v="42"/>
    <s v="Fuenzalida"/>
    <s v="Andres Fuenzalida"/>
    <s v="Sin Giro"/>
    <s v="anicolasfuenzalidasaez@gmail.com"/>
    <m/>
    <m/>
    <m/>
    <m/>
    <m/>
    <s v="No"/>
    <n v="0"/>
    <s v="No"/>
    <s v="No definido"/>
    <s v="Si"/>
    <n v="154"/>
    <d v="2024-01-27T13:11:00"/>
    <s v="Activo"/>
    <d v="2023-11-23T18:37:00"/>
    <d v="2024-01-27T13:11:00"/>
    <x v="14"/>
    <m/>
    <m/>
    <m/>
    <m/>
    <m/>
    <m/>
  </r>
  <r>
    <s v="Persona"/>
    <s v="No"/>
    <s v="7814686-9"/>
    <x v="43"/>
    <s v="Dellepiiane"/>
    <s v="Carlos  Dellepiiane"/>
    <s v="Sin Giro"/>
    <s v="cdellepiianebravo@gmail.com"/>
    <m/>
    <m/>
    <m/>
    <m/>
    <m/>
    <s v="No"/>
    <n v="0"/>
    <s v="No"/>
    <s v="No definido"/>
    <s v="Si"/>
    <n v="789"/>
    <d v="2024-03-20T19:25:00"/>
    <s v="Activo"/>
    <d v="2023-11-23T19:46:00"/>
    <d v="2024-03-20T19:25:00"/>
    <x v="23"/>
    <m/>
    <m/>
    <m/>
    <m/>
    <m/>
    <m/>
  </r>
  <r>
    <s v="Persona"/>
    <s v="No"/>
    <s v="10387659-1"/>
    <x v="44"/>
    <s v="Ascencio"/>
    <s v="Yasna Ascencio"/>
    <s v="Sin Giro"/>
    <s v="yasna.ascencio@gmail.com"/>
    <m/>
    <m/>
    <m/>
    <m/>
    <m/>
    <s v="No"/>
    <n v="0"/>
    <s v="No"/>
    <s v="No definido"/>
    <s v="Si"/>
    <n v="77"/>
    <d v="2023-12-16T20:18:00"/>
    <s v="Activo"/>
    <d v="2023-11-27T15:10:00"/>
    <d v="2023-12-16T20:18:00"/>
    <x v="24"/>
    <m/>
    <m/>
    <m/>
    <m/>
    <m/>
    <m/>
  </r>
  <r>
    <s v="Persona"/>
    <s v="No"/>
    <s v="12471314-5"/>
    <x v="45"/>
    <s v="Basualto"/>
    <s v="Carlos Basualto"/>
    <s v="Sin Giro"/>
    <s v="carlitos.basualto@gmail.com"/>
    <m/>
    <m/>
    <m/>
    <m/>
    <m/>
    <s v="No"/>
    <n v="0"/>
    <s v="No"/>
    <s v="No definido"/>
    <s v="Si"/>
    <n v="77"/>
    <d v="2023-12-16T20:18:00"/>
    <s v="Activo"/>
    <d v="2023-11-27T20:16:00"/>
    <d v="2023-12-16T20:18:00"/>
    <x v="0"/>
    <m/>
    <m/>
    <m/>
    <m/>
    <m/>
    <m/>
  </r>
  <r>
    <s v="Persona"/>
    <s v="Si"/>
    <s v="55555555-5"/>
    <x v="46"/>
    <s v="Granado"/>
    <s v="Fermin Granado"/>
    <s v="Sin Giro"/>
    <s v="fermin.bueno1@icloud.com"/>
    <m/>
    <m/>
    <m/>
    <m/>
    <m/>
    <s v="No"/>
    <n v="0"/>
    <s v="No"/>
    <s v="No definido"/>
    <s v="Si"/>
    <n v="0"/>
    <d v="2024-04-17T20:44:00"/>
    <s v="Activo"/>
    <d v="2023-11-28T11:48:00"/>
    <d v="2023-11-28T11:48:00"/>
    <x v="0"/>
    <m/>
    <m/>
    <m/>
    <m/>
    <m/>
    <m/>
  </r>
  <r>
    <s v="Persona"/>
    <s v="No"/>
    <s v="22009553-3"/>
    <x v="47"/>
    <s v="Becerra"/>
    <s v="Gabriel  Becerra"/>
    <s v="Sin Giro"/>
    <s v="gabriel.becerra2912@gmail.com"/>
    <m/>
    <m/>
    <m/>
    <m/>
    <m/>
    <s v="No"/>
    <n v="0"/>
    <s v="No"/>
    <s v="No definido"/>
    <s v="Si"/>
    <n v="437"/>
    <d v="2024-04-08T13:41:00"/>
    <s v="Activo"/>
    <d v="2023-11-28T13:52:00"/>
    <d v="2024-04-08T13:41:00"/>
    <x v="0"/>
    <m/>
    <m/>
    <m/>
    <m/>
    <m/>
    <m/>
  </r>
  <r>
    <s v="Persona"/>
    <s v="No"/>
    <s v=""/>
    <x v="48"/>
    <s v="Ortiz Amigo"/>
    <s v="Fernando  Ortiz Amigo"/>
    <s v="Sin Giro"/>
    <s v="fernando@animabtl.cl"/>
    <m/>
    <m/>
    <m/>
    <n v="56963427215"/>
    <m/>
    <s v="No"/>
    <n v="0"/>
    <s v="No"/>
    <s v="No definido"/>
    <s v="Si"/>
    <n v="0"/>
    <d v="2024-04-17T20:44:00"/>
    <s v="Activo"/>
    <d v="2023-11-28T14:56:00"/>
    <d v="2023-11-28T14:56:00"/>
    <x v="0"/>
    <m/>
    <m/>
    <m/>
    <m/>
    <m/>
    <m/>
  </r>
  <r>
    <s v="Persona"/>
    <s v="No"/>
    <s v="17960359-4"/>
    <x v="49"/>
    <s v="Osses"/>
    <s v="Ismael  Osses"/>
    <s v="Sin Giro"/>
    <s v="ih.osses@gmail.com"/>
    <m/>
    <m/>
    <m/>
    <m/>
    <m/>
    <s v="No"/>
    <n v="0"/>
    <s v="No"/>
    <s v="No definido"/>
    <s v="Si"/>
    <n v="1472"/>
    <d v="2024-04-16T17:11:00"/>
    <s v="Activo"/>
    <d v="2023-11-28T16:54:00"/>
    <d v="2024-04-16T17:11:00"/>
    <x v="0"/>
    <m/>
    <m/>
    <m/>
    <m/>
    <m/>
    <m/>
  </r>
  <r>
    <s v="Persona"/>
    <s v="No"/>
    <s v="20289993-5"/>
    <x v="50"/>
    <s v="Paz"/>
    <s v="Nicolas Paz"/>
    <s v="Sin Giro"/>
    <s v="bbzkai13@gmail.com"/>
    <m/>
    <m/>
    <m/>
    <m/>
    <m/>
    <s v="No"/>
    <n v="0"/>
    <s v="No"/>
    <s v="No definido"/>
    <s v="Si"/>
    <n v="30"/>
    <d v="2023-12-16T20:18:00"/>
    <s v="Activo"/>
    <d v="2023-11-28T17:53:00"/>
    <d v="2023-12-16T20:18:00"/>
    <x v="0"/>
    <m/>
    <m/>
    <m/>
    <m/>
    <m/>
    <m/>
  </r>
  <r>
    <s v="Persona"/>
    <s v="No"/>
    <s v="17405217-4"/>
    <x v="51"/>
    <s v="Vasquez"/>
    <s v="Esteban Vasquez"/>
    <s v="Sin Giro"/>
    <s v="es_tean@hotmail.com"/>
    <m/>
    <m/>
    <m/>
    <m/>
    <m/>
    <s v="No"/>
    <n v="0"/>
    <s v="No"/>
    <s v="No definido"/>
    <s v="Si"/>
    <n v="77"/>
    <d v="2023-12-16T20:18:00"/>
    <s v="Activo"/>
    <d v="2023-11-28T18:17:00"/>
    <d v="2023-12-16T20:18:00"/>
    <x v="0"/>
    <m/>
    <m/>
    <m/>
    <m/>
    <m/>
    <m/>
  </r>
  <r>
    <s v="Persona"/>
    <s v="No"/>
    <s v="17517964-K"/>
    <x v="52"/>
    <s v="Escobar"/>
    <s v="Pran Escobar"/>
    <s v="Sin Giro"/>
    <s v="pran.escobar@gmail.com"/>
    <m/>
    <m/>
    <m/>
    <m/>
    <m/>
    <s v="No"/>
    <n v="0"/>
    <s v="No"/>
    <s v="No definido"/>
    <s v="Si"/>
    <n v="153"/>
    <d v="2023-12-16T20:18:00"/>
    <s v="Activo"/>
    <d v="2023-11-29T12:18:00"/>
    <d v="2023-12-16T20:18:00"/>
    <x v="25"/>
    <m/>
    <m/>
    <m/>
    <m/>
    <m/>
    <m/>
  </r>
  <r>
    <s v="Persona"/>
    <s v="No"/>
    <s v=""/>
    <x v="53"/>
    <s v="Rojas"/>
    <s v="Mirkos Rojas"/>
    <s v="Sin Giro"/>
    <s v="mrojas.personal@gmail.com"/>
    <m/>
    <m/>
    <m/>
    <m/>
    <m/>
    <s v="No"/>
    <n v="0"/>
    <s v="No"/>
    <s v="No definido"/>
    <s v="Si"/>
    <n v="0"/>
    <d v="2024-04-17T20:44:00"/>
    <s v="Activo"/>
    <d v="2023-11-29T14:43:00"/>
    <d v="2023-11-29T14:43:00"/>
    <x v="0"/>
    <m/>
    <m/>
    <m/>
    <m/>
    <m/>
    <m/>
  </r>
  <r>
    <s v="Persona"/>
    <s v="No"/>
    <s v="18802130-1"/>
    <x v="54"/>
    <s v="Sepulveda"/>
    <s v="Rodrigo Sepulveda"/>
    <s v="Sin Giro"/>
    <s v="rasotomon@gmail.com"/>
    <m/>
    <m/>
    <m/>
    <m/>
    <m/>
    <s v="No"/>
    <n v="0"/>
    <s v="No"/>
    <s v="No definido"/>
    <s v="Si"/>
    <n v="50"/>
    <d v="2023-12-16T20:18:00"/>
    <s v="Activo"/>
    <d v="2023-11-29T20:08:00"/>
    <d v="2023-12-16T20:18:00"/>
    <x v="26"/>
    <m/>
    <m/>
    <m/>
    <m/>
    <m/>
    <m/>
  </r>
  <r>
    <s v="Persona"/>
    <s v="No"/>
    <s v="19124841-4"/>
    <x v="55"/>
    <s v="Barrios"/>
    <s v="Francisca Barrios"/>
    <s v="Sin Giro"/>
    <s v="fvberriosz@gmail.com"/>
    <s v="Nunoa"/>
    <s v="Santiago"/>
    <s v="Nunoa"/>
    <m/>
    <m/>
    <s v="No"/>
    <n v="0"/>
    <s v="No"/>
    <s v="No definido"/>
    <s v="Si"/>
    <n v="393"/>
    <d v="2023-12-29T21:31:00"/>
    <s v="Activo"/>
    <d v="2023-11-29T20:22:00"/>
    <d v="2023-12-29T21:31:00"/>
    <x v="27"/>
    <m/>
    <m/>
    <m/>
    <m/>
    <m/>
    <m/>
  </r>
  <r>
    <s v="Persona"/>
    <s v="No"/>
    <s v="20825283-6"/>
    <x v="56"/>
    <s v="Seaz"/>
    <s v="Almendra Seaz"/>
    <s v="Sin Giro"/>
    <s v="almendrasaezcontacto@gmail.com"/>
    <m/>
    <m/>
    <m/>
    <m/>
    <m/>
    <s v="No"/>
    <n v="0"/>
    <s v="No"/>
    <s v="No definido"/>
    <s v="Si"/>
    <n v="77"/>
    <d v="2023-12-16T20:18:00"/>
    <s v="Activo"/>
    <d v="2023-11-29T20:25:00"/>
    <d v="2023-12-16T20:18:00"/>
    <x v="28"/>
    <m/>
    <m/>
    <m/>
    <m/>
    <m/>
    <m/>
  </r>
  <r>
    <s v="Persona"/>
    <s v="No"/>
    <s v="17519604-8"/>
    <x v="57"/>
    <s v="THURNER"/>
    <s v="KAREN  THURNER"/>
    <s v="Sin Giro"/>
    <s v="karen.thurner.a@gmail.com"/>
    <m/>
    <m/>
    <m/>
    <m/>
    <m/>
    <s v="No"/>
    <n v="0"/>
    <s v="No"/>
    <s v="No definido"/>
    <s v="Si"/>
    <n v="678"/>
    <d v="2024-03-05T19:40:00"/>
    <s v="Activo"/>
    <d v="2023-12-04T18:19:00"/>
    <d v="2024-03-05T19:40:00"/>
    <x v="29"/>
    <m/>
    <m/>
    <m/>
    <m/>
    <m/>
    <m/>
  </r>
  <r>
    <s v="Persona"/>
    <s v="No"/>
    <s v="21188427-4"/>
    <x v="58"/>
    <s v="Morardes"/>
    <s v="Dominique Morardes"/>
    <s v="Sin Giro"/>
    <s v="dominiquederamonardes21@gmail.com"/>
    <m/>
    <m/>
    <m/>
    <m/>
    <m/>
    <s v="No"/>
    <n v="0"/>
    <s v="No"/>
    <s v="No definido"/>
    <s v="Si"/>
    <n v="77"/>
    <d v="2023-12-16T20:18:00"/>
    <s v="Activo"/>
    <d v="2023-12-04T19:33:00"/>
    <d v="2023-12-16T20:18:00"/>
    <x v="30"/>
    <m/>
    <m/>
    <m/>
    <m/>
    <m/>
    <m/>
  </r>
  <r>
    <s v="Persona"/>
    <s v="No"/>
    <s v="21850253-9"/>
    <x v="59"/>
    <s v="Ulloa"/>
    <s v="Beatriz Ulloa"/>
    <s v="Sin Giro"/>
    <s v="descuentos.bea@gmail.com"/>
    <m/>
    <m/>
    <m/>
    <m/>
    <m/>
    <s v="No"/>
    <n v="0"/>
    <s v="No"/>
    <s v="No definido"/>
    <s v="Si"/>
    <n v="107"/>
    <d v="2023-12-16T20:18:00"/>
    <s v="Activo"/>
    <d v="2023-12-05T14:02:00"/>
    <d v="2023-12-16T20:18:00"/>
    <x v="0"/>
    <m/>
    <m/>
    <m/>
    <m/>
    <m/>
    <m/>
  </r>
  <r>
    <s v="Persona"/>
    <s v="No"/>
    <s v=""/>
    <x v="60"/>
    <s v="M"/>
    <s v="Alexander  M"/>
    <s v="Sin Giro"/>
    <s v="alek.desinger.m@gmail.com"/>
    <m/>
    <m/>
    <m/>
    <m/>
    <m/>
    <s v="No"/>
    <n v="0"/>
    <s v="No"/>
    <s v="No definido"/>
    <s v="Si"/>
    <n v="0"/>
    <d v="2024-04-17T20:44:00"/>
    <s v="Activo"/>
    <d v="2023-12-05T14:15:00"/>
    <d v="2023-12-05T14:15:00"/>
    <x v="0"/>
    <m/>
    <m/>
    <m/>
    <m/>
    <m/>
    <m/>
  </r>
  <r>
    <s v="Persona"/>
    <s v="No"/>
    <s v="18115281-8"/>
    <x v="61"/>
    <s v="Campos"/>
    <s v="Sebastian Campos"/>
    <s v="Sin Giro"/>
    <s v="sebastian.c.r777@gmail.com"/>
    <m/>
    <m/>
    <m/>
    <m/>
    <m/>
    <s v="No"/>
    <n v="0"/>
    <s v="No"/>
    <s v="No definido"/>
    <s v="Si"/>
    <n v="77"/>
    <d v="2023-12-16T20:18:00"/>
    <s v="Activo"/>
    <d v="2023-12-05T15:27:00"/>
    <d v="2023-12-16T20:18:00"/>
    <x v="0"/>
    <m/>
    <m/>
    <m/>
    <m/>
    <m/>
    <m/>
  </r>
  <r>
    <s v="Persona"/>
    <s v="No"/>
    <s v="20184651-K"/>
    <x v="62"/>
    <s v="Arancibia"/>
    <s v="Eric Arancibia"/>
    <s v="Sin Giro"/>
    <s v="ericarcis72@gmail.com"/>
    <m/>
    <m/>
    <m/>
    <m/>
    <m/>
    <s v="No"/>
    <n v="0"/>
    <s v="No"/>
    <s v="No definido"/>
    <s v="Si"/>
    <n v="153"/>
    <d v="2023-12-16T20:18:00"/>
    <s v="Activo"/>
    <d v="2023-12-05T19:05:00"/>
    <d v="2023-12-16T20:18:00"/>
    <x v="23"/>
    <m/>
    <m/>
    <m/>
    <m/>
    <m/>
    <m/>
  </r>
  <r>
    <s v="Persona"/>
    <s v="No"/>
    <s v="15946822-4"/>
    <x v="63"/>
    <s v="Pardo Fernandez"/>
    <s v="Amparo Pardo Fernandez"/>
    <s v="Sin Giro"/>
    <s v="amparopardo@gmail.com"/>
    <m/>
    <m/>
    <m/>
    <m/>
    <m/>
    <s v="No"/>
    <n v="0"/>
    <s v="No"/>
    <s v="No definido"/>
    <s v="Si"/>
    <n v="77"/>
    <d v="2023-12-16T20:18:00"/>
    <s v="Activo"/>
    <d v="2023-12-06T12:27:00"/>
    <d v="2023-12-16T20:18:00"/>
    <x v="0"/>
    <m/>
    <m/>
    <m/>
    <m/>
    <m/>
    <m/>
  </r>
  <r>
    <s v="Persona"/>
    <s v="No"/>
    <s v="16619446-6"/>
    <x v="64"/>
    <s v="Astorga"/>
    <s v="Jorge Astorga"/>
    <s v="Sin Giro"/>
    <s v="kokeastorga@gmail.com"/>
    <m/>
    <m/>
    <m/>
    <m/>
    <m/>
    <s v="No"/>
    <n v="0"/>
    <s v="No"/>
    <s v="No definido"/>
    <s v="Si"/>
    <n v="137"/>
    <d v="2023-12-16T20:18:00"/>
    <s v="Activo"/>
    <d v="2023-12-06T13:52:00"/>
    <d v="2023-12-16T20:18:00"/>
    <x v="19"/>
    <m/>
    <m/>
    <m/>
    <m/>
    <m/>
    <m/>
  </r>
  <r>
    <s v="Persona"/>
    <s v="No"/>
    <s v="13642116-6"/>
    <x v="24"/>
    <s v="Henríquez Muñoz"/>
    <s v="Carla Henríquez Muñoz"/>
    <s v="Sin Giro"/>
    <s v="chenriquezmunoz@gmail.com"/>
    <m/>
    <m/>
    <m/>
    <m/>
    <m/>
    <s v="No"/>
    <n v="0"/>
    <s v="No"/>
    <s v="No definido"/>
    <s v="Si"/>
    <n v="77"/>
    <d v="2023-12-16T20:18:00"/>
    <s v="Activo"/>
    <d v="2023-12-06T14:55:00"/>
    <d v="2023-12-16T20:18:00"/>
    <x v="19"/>
    <m/>
    <m/>
    <m/>
    <m/>
    <m/>
    <m/>
  </r>
  <r>
    <s v="Persona"/>
    <s v="No"/>
    <s v="10767226-5"/>
    <x v="65"/>
    <s v="Catalan"/>
    <s v="Adison Catalan"/>
    <s v="Sin Giro"/>
    <s v="adison@serviciolex.com"/>
    <m/>
    <m/>
    <m/>
    <m/>
    <m/>
    <s v="No"/>
    <n v="0"/>
    <s v="No"/>
    <s v="No definido"/>
    <s v="Si"/>
    <n v="77"/>
    <d v="2023-12-16T20:18:00"/>
    <s v="Activo"/>
    <d v="2023-12-06T15:47:00"/>
    <d v="2023-12-16T20:18:00"/>
    <x v="31"/>
    <m/>
    <m/>
    <m/>
    <m/>
    <m/>
    <m/>
  </r>
  <r>
    <s v="Persona"/>
    <s v="No"/>
    <s v=""/>
    <x v="66"/>
    <s v="Fernández"/>
    <s v="Paz Fernández"/>
    <s v="Sin Giro"/>
    <s v="pazfdezp@gmail.com"/>
    <m/>
    <m/>
    <m/>
    <m/>
    <m/>
    <s v="No"/>
    <n v="0"/>
    <s v="No"/>
    <s v="No definido"/>
    <s v="Si"/>
    <n v="0"/>
    <d v="2024-04-17T20:44:00"/>
    <s v="Activo"/>
    <d v="2023-12-06T18:49:00"/>
    <d v="2023-12-06T18:49:00"/>
    <x v="19"/>
    <m/>
    <m/>
    <m/>
    <m/>
    <m/>
    <m/>
  </r>
  <r>
    <s v="Persona"/>
    <s v="No"/>
    <s v="19784279-2"/>
    <x v="67"/>
    <s v="Muñoz"/>
    <s v="Estefania Muñoz"/>
    <s v="Sin Giro"/>
    <s v="fanhymunoz@gmail.com"/>
    <m/>
    <m/>
    <m/>
    <m/>
    <m/>
    <s v="No"/>
    <n v="0"/>
    <s v="No"/>
    <s v="No definido"/>
    <s v="Si"/>
    <n v="77"/>
    <d v="2023-12-16T20:18:00"/>
    <s v="Activo"/>
    <d v="2023-12-06T19:48:00"/>
    <d v="2023-12-16T20:18:00"/>
    <x v="32"/>
    <m/>
    <m/>
    <m/>
    <m/>
    <m/>
    <m/>
  </r>
  <r>
    <s v="Persona"/>
    <s v="No"/>
    <s v="17490637-8"/>
    <x v="68"/>
    <s v="Alfaro"/>
    <s v="Jaime Alfaro"/>
    <s v="Sin Giro"/>
    <s v="jaime.alfaro.j@gmail.com"/>
    <m/>
    <m/>
    <m/>
    <m/>
    <m/>
    <s v="No"/>
    <n v="0"/>
    <s v="No"/>
    <s v="No definido"/>
    <s v="Si"/>
    <n v="77"/>
    <d v="2023-12-16T20:18:00"/>
    <s v="Activo"/>
    <d v="2023-12-07T11:56:00"/>
    <d v="2023-12-16T20:18:00"/>
    <x v="33"/>
    <m/>
    <m/>
    <m/>
    <m/>
    <m/>
    <m/>
  </r>
  <r>
    <s v="Persona"/>
    <s v="No"/>
    <s v=""/>
    <x v="69"/>
    <s v="Miranda"/>
    <s v="Patricio Miranda"/>
    <s v="Sin Giro"/>
    <s v="fabian.miranda99@gmail.com"/>
    <m/>
    <m/>
    <m/>
    <m/>
    <m/>
    <s v="No"/>
    <n v="0"/>
    <s v="No"/>
    <s v="No definido"/>
    <s v="Si"/>
    <n v="0"/>
    <d v="2024-04-17T20:44:00"/>
    <s v="Activo"/>
    <d v="2023-12-07T18:32:00"/>
    <d v="2023-12-07T18:32:00"/>
    <x v="34"/>
    <m/>
    <m/>
    <m/>
    <m/>
    <m/>
    <m/>
  </r>
  <r>
    <s v="Persona"/>
    <s v="No"/>
    <s v="19960985-8"/>
    <x v="70"/>
    <s v="Sepulveda"/>
    <s v="Martin Sepulveda"/>
    <s v="Sin Giro"/>
    <s v="m.ignacioss98@gmail.com"/>
    <m/>
    <m/>
    <m/>
    <m/>
    <m/>
    <s v="No"/>
    <n v="0"/>
    <s v="No"/>
    <s v="No definido"/>
    <s v="Si"/>
    <n v="77"/>
    <d v="2023-12-16T20:18:00"/>
    <s v="Activo"/>
    <d v="2023-12-07T19:34:00"/>
    <d v="2023-12-16T20:18:00"/>
    <x v="14"/>
    <m/>
    <m/>
    <m/>
    <m/>
    <m/>
    <m/>
  </r>
  <r>
    <s v="Persona"/>
    <s v="Si"/>
    <s v="55555555-5"/>
    <x v="71"/>
    <s v="Merton"/>
    <s v="Trevor Merton"/>
    <s v="Sin Giro"/>
    <s v="trevormerton@yahoo.com"/>
    <m/>
    <m/>
    <m/>
    <m/>
    <m/>
    <s v="No"/>
    <n v="0"/>
    <s v="No"/>
    <s v="No definido"/>
    <s v="Si"/>
    <n v="346"/>
    <d v="2024-03-28T13:38:00"/>
    <s v="Activo"/>
    <d v="2023-12-11T12:28:00"/>
    <d v="2024-03-28T13:38:00"/>
    <x v="0"/>
    <m/>
    <m/>
    <m/>
    <m/>
    <m/>
    <m/>
  </r>
  <r>
    <s v="Persona"/>
    <s v="No"/>
    <s v="18621425-0"/>
    <x v="6"/>
    <s v="Diaz Contreras"/>
    <s v="Gabriel Diaz Contreras"/>
    <s v="Sin Giro"/>
    <s v="diazcontrerasgabriel@gmail.com"/>
    <m/>
    <m/>
    <m/>
    <m/>
    <m/>
    <s v="No"/>
    <n v="0"/>
    <s v="No"/>
    <s v="No definido"/>
    <s v="Si"/>
    <n v="30"/>
    <d v="2023-12-16T20:18:00"/>
    <s v="Activo"/>
    <d v="2023-12-11T14:45:00"/>
    <d v="2023-12-16T20:18:00"/>
    <x v="35"/>
    <m/>
    <m/>
    <m/>
    <m/>
    <m/>
    <m/>
  </r>
  <r>
    <s v="Persona"/>
    <s v="No"/>
    <s v="15987654-3"/>
    <x v="72"/>
    <s v="Bustamante"/>
    <s v="Cristian Bustamante"/>
    <s v="Sin Giro"/>
    <s v="petonoma@gmail.com"/>
    <s v="José Domingo Cañas 2551"/>
    <s v="Santiago"/>
    <s v="Ñuñoa"/>
    <m/>
    <m/>
    <s v="No"/>
    <n v="0"/>
    <s v="No"/>
    <s v="No definido"/>
    <s v="Si"/>
    <n v="77"/>
    <d v="2023-12-16T20:18:00"/>
    <s v="Activo"/>
    <d v="2023-12-11T15:08:00"/>
    <d v="2023-12-16T20:18:00"/>
    <x v="36"/>
    <m/>
    <m/>
    <m/>
    <m/>
    <m/>
    <m/>
  </r>
  <r>
    <s v="Persona"/>
    <s v="No"/>
    <s v="7063168-7"/>
    <x v="73"/>
    <s v="Sarda Garcia"/>
    <s v="Carmen Sarda Garcia"/>
    <s v="Sin Giro"/>
    <s v="carmensardagarcia@gmail.com"/>
    <m/>
    <m/>
    <m/>
    <m/>
    <m/>
    <s v="No"/>
    <n v="0"/>
    <s v="No"/>
    <s v="No definido"/>
    <s v="Si"/>
    <n v="77"/>
    <d v="2023-12-16T20:18:00"/>
    <s v="Activo"/>
    <d v="2023-12-11T18:56:00"/>
    <d v="2023-12-16T20:18:00"/>
    <x v="37"/>
    <m/>
    <m/>
    <m/>
    <m/>
    <m/>
    <m/>
  </r>
  <r>
    <s v="Persona"/>
    <s v="No"/>
    <s v="18019346-4"/>
    <x v="2"/>
    <s v="Gattas"/>
    <s v="Rodrigo  Gattas"/>
    <s v="Sin Giro"/>
    <s v="rodrigogattas@gmail.com"/>
    <m/>
    <m/>
    <m/>
    <m/>
    <m/>
    <s v="No"/>
    <n v="0"/>
    <s v="No"/>
    <s v="No definido"/>
    <s v="Si"/>
    <n v="153"/>
    <d v="2023-12-16T20:18:00"/>
    <s v="Activo"/>
    <d v="2023-12-11T19:07:00"/>
    <d v="2023-12-16T20:18:00"/>
    <x v="38"/>
    <m/>
    <m/>
    <m/>
    <m/>
    <m/>
    <m/>
  </r>
  <r>
    <s v="Persona"/>
    <s v="No"/>
    <s v="12854105-5"/>
    <x v="74"/>
    <s v="Espinoza"/>
    <s v="Claudia Espinoza"/>
    <s v="Sin Giro"/>
    <s v="clauespinoza@gmail.com"/>
    <m/>
    <m/>
    <m/>
    <m/>
    <m/>
    <s v="No"/>
    <n v="0"/>
    <s v="No"/>
    <s v="No definido"/>
    <s v="Si"/>
    <n v="153"/>
    <d v="2023-12-16T20:18:00"/>
    <s v="Activo"/>
    <d v="2023-12-11T19:27:00"/>
    <d v="2023-12-16T20:18:00"/>
    <x v="39"/>
    <m/>
    <m/>
    <m/>
    <m/>
    <m/>
    <m/>
  </r>
  <r>
    <s v="Persona"/>
    <s v="No"/>
    <s v="14219518-6"/>
    <x v="75"/>
    <s v="Parra"/>
    <s v="Pamela Andrea Parra"/>
    <s v="Sin Giro"/>
    <s v="parra.pamelaandrea@gmail.com"/>
    <m/>
    <s v="Temuco"/>
    <m/>
    <m/>
    <m/>
    <s v="No"/>
    <n v="0"/>
    <s v="No"/>
    <s v="No definido"/>
    <s v="Si"/>
    <n v="77"/>
    <d v="2023-12-16T20:18:00"/>
    <s v="Activo"/>
    <d v="2023-12-12T11:32:00"/>
    <d v="2023-12-16T20:18:00"/>
    <x v="40"/>
    <m/>
    <m/>
    <m/>
    <m/>
    <m/>
    <m/>
  </r>
  <r>
    <s v="Persona"/>
    <s v="No"/>
    <s v="8220642-6"/>
    <x v="76"/>
    <s v="Guerrero"/>
    <s v="Sandra Guerrero"/>
    <s v="Sin Giro"/>
    <s v="sandraguerra@umag.cl"/>
    <m/>
    <m/>
    <m/>
    <m/>
    <m/>
    <s v="No"/>
    <n v="0"/>
    <s v="No"/>
    <s v="No definido"/>
    <s v="Si"/>
    <n v="480"/>
    <d v="2024-03-05T12:45:00"/>
    <s v="Activo"/>
    <d v="2023-12-12T16:55:00"/>
    <d v="2024-03-05T12:45:00"/>
    <x v="0"/>
    <m/>
    <m/>
    <m/>
    <m/>
    <m/>
    <m/>
  </r>
  <r>
    <s v="Persona"/>
    <s v="No"/>
    <s v="10805746-7"/>
    <x v="77"/>
    <s v="Bell"/>
    <s v="Soledad Bell"/>
    <s v="Sin Giro"/>
    <s v="s.bellruz@hotmail.com"/>
    <m/>
    <m/>
    <m/>
    <m/>
    <m/>
    <s v="No"/>
    <n v="0"/>
    <s v="No"/>
    <s v="No definido"/>
    <s v="Si"/>
    <n v="77"/>
    <d v="2023-12-16T20:18:00"/>
    <s v="Activo"/>
    <d v="2023-12-12T19:58:00"/>
    <d v="2023-12-16T20:18:00"/>
    <x v="0"/>
    <m/>
    <m/>
    <m/>
    <m/>
    <m/>
    <m/>
  </r>
  <r>
    <s v="Persona"/>
    <s v="No"/>
    <s v="15475801-1"/>
    <x v="78"/>
    <s v="Calderon"/>
    <s v="Cristina  Calderon"/>
    <s v="Sin Giro"/>
    <s v="joyasvi@gmail.com"/>
    <m/>
    <m/>
    <m/>
    <m/>
    <m/>
    <s v="No"/>
    <n v="0"/>
    <s v="No"/>
    <s v="No definido"/>
    <s v="Si"/>
    <n v="30"/>
    <d v="2023-12-16T20:18:00"/>
    <s v="Activo"/>
    <d v="2023-12-13T11:58:00"/>
    <d v="2023-12-16T20:18:00"/>
    <x v="41"/>
    <m/>
    <m/>
    <m/>
    <m/>
    <m/>
    <m/>
  </r>
  <r>
    <s v="Persona"/>
    <s v="No"/>
    <s v="17699859-8"/>
    <x v="79"/>
    <s v="Salinas"/>
    <s v="Maciel  Salinas"/>
    <s v="Sin Giro"/>
    <s v="maciel.salinas@gmail.com"/>
    <m/>
    <m/>
    <m/>
    <m/>
    <m/>
    <s v="No"/>
    <n v="0"/>
    <s v="No"/>
    <s v="No definido"/>
    <s v="Si"/>
    <n v="251"/>
    <d v="2024-02-07T18:07:00"/>
    <s v="Activo"/>
    <d v="2023-12-13T18:16:00"/>
    <d v="2024-02-07T18:07:00"/>
    <x v="42"/>
    <m/>
    <m/>
    <m/>
    <m/>
    <m/>
    <m/>
  </r>
  <r>
    <s v="Persona"/>
    <s v="No"/>
    <s v="6377715-3"/>
    <x v="54"/>
    <s v="Gattas"/>
    <s v="Rodrigo Gattas"/>
    <s v="Sin Giro"/>
    <s v="rgattasb@gmail.com"/>
    <m/>
    <m/>
    <m/>
    <m/>
    <m/>
    <s v="No"/>
    <n v="0"/>
    <s v="No"/>
    <s v="No definido"/>
    <s v="Si"/>
    <n v="153"/>
    <d v="2023-12-16T20:18:00"/>
    <s v="Activo"/>
    <d v="2023-12-13T18:57:00"/>
    <d v="2023-12-16T20:18:00"/>
    <x v="0"/>
    <m/>
    <m/>
    <m/>
    <m/>
    <m/>
    <m/>
  </r>
  <r>
    <s v="Persona"/>
    <s v="No"/>
    <s v="17400367-K"/>
    <x v="80"/>
    <s v="Escobar Toro"/>
    <s v="Nikolas Escobar Toro"/>
    <s v="Sin Giro"/>
    <s v="nikolas.escobar.toro@gmail.com"/>
    <m/>
    <m/>
    <m/>
    <m/>
    <m/>
    <s v="No"/>
    <n v="0"/>
    <s v="No"/>
    <s v="No definido"/>
    <s v="Si"/>
    <n v="77"/>
    <d v="2023-12-16T20:18:00"/>
    <s v="Activo"/>
    <d v="2023-12-15T14:08:00"/>
    <d v="2023-12-16T20:18:00"/>
    <x v="0"/>
    <m/>
    <m/>
    <m/>
    <m/>
    <m/>
    <m/>
  </r>
  <r>
    <s v="Persona"/>
    <s v="No"/>
    <s v="17050758-4"/>
    <x v="81"/>
    <s v="Cornejo"/>
    <s v="Matias  Cornejo"/>
    <s v="Sin Giro"/>
    <s v="matias.cornejo1988@gmail.com"/>
    <m/>
    <m/>
    <m/>
    <m/>
    <m/>
    <s v="No"/>
    <n v="0"/>
    <s v="No"/>
    <s v="No definido"/>
    <s v="Si"/>
    <n v="174"/>
    <d v="2024-01-19T16:18:00"/>
    <s v="Activo"/>
    <d v="2023-12-15T16:47:00"/>
    <d v="2024-01-19T16:18:00"/>
    <x v="0"/>
    <m/>
    <m/>
    <m/>
    <m/>
    <m/>
    <m/>
  </r>
  <r>
    <s v="Persona"/>
    <s v="No"/>
    <s v="21851838-9"/>
    <x v="82"/>
    <s v="searle"/>
    <s v="Ana Laura searle"/>
    <s v="Sin Giro"/>
    <s v="analaurasearle.max@gmail.com"/>
    <m/>
    <m/>
    <m/>
    <m/>
    <m/>
    <s v="No"/>
    <n v="0"/>
    <s v="No"/>
    <s v="No definido"/>
    <s v="Si"/>
    <n v="77"/>
    <d v="2023-12-16T20:18:00"/>
    <s v="Activo"/>
    <d v="2023-12-15T17:18:00"/>
    <d v="2023-12-16T20:18:00"/>
    <x v="0"/>
    <m/>
    <m/>
    <m/>
    <m/>
    <m/>
    <m/>
  </r>
  <r>
    <s v="Persona"/>
    <s v="No"/>
    <s v="22802568-2"/>
    <x v="19"/>
    <s v="Navarro"/>
    <s v="Carolina Navarro"/>
    <s v="Sin Giro"/>
    <s v="c.navarrop18@gmail.com"/>
    <m/>
    <m/>
    <m/>
    <m/>
    <m/>
    <s v="No"/>
    <n v="0"/>
    <s v="No"/>
    <s v="No definido"/>
    <s v="Si"/>
    <n v="164"/>
    <d v="2024-01-09T18:25:00"/>
    <s v="Activo"/>
    <d v="2023-12-15T17:20:00"/>
    <d v="2024-01-09T18:25:00"/>
    <x v="0"/>
    <m/>
    <m/>
    <m/>
    <m/>
    <m/>
    <m/>
  </r>
  <r>
    <s v="Persona"/>
    <s v="No"/>
    <s v="25601290-1"/>
    <x v="83"/>
    <s v="Aularh"/>
    <s v="Ernesto Aularh"/>
    <s v="Sin Giro"/>
    <s v="ernesto.aularh@gmail.com"/>
    <m/>
    <m/>
    <m/>
    <m/>
    <m/>
    <s v="No"/>
    <n v="0"/>
    <s v="No"/>
    <s v="No definido"/>
    <s v="Si"/>
    <n v="77"/>
    <d v="2023-12-16T20:18:00"/>
    <s v="Activo"/>
    <d v="2023-12-15T17:22:00"/>
    <d v="2023-12-16T20:18:00"/>
    <x v="0"/>
    <m/>
    <m/>
    <m/>
    <m/>
    <m/>
    <m/>
  </r>
  <r>
    <s v="Persona"/>
    <s v="No"/>
    <s v="20003843-6"/>
    <x v="84"/>
    <s v="Marti Valencia"/>
    <s v="Javiera Marti Valencia"/>
    <s v="Sin Giro"/>
    <s v="jmarti.valencia@gmail.com"/>
    <m/>
    <m/>
    <m/>
    <m/>
    <m/>
    <s v="No"/>
    <n v="0"/>
    <s v="No"/>
    <s v="No definido"/>
    <s v="Si"/>
    <n v="77"/>
    <d v="2023-12-16T20:18:00"/>
    <s v="Activo"/>
    <d v="2023-12-15T18:28:00"/>
    <d v="2023-12-16T20:18:00"/>
    <x v="0"/>
    <m/>
    <m/>
    <m/>
    <m/>
    <m/>
    <m/>
  </r>
  <r>
    <s v="Persona"/>
    <s v="No"/>
    <s v="19022901-7"/>
    <x v="85"/>
    <s v="Morales"/>
    <s v="Jasmin Morales"/>
    <s v="Sin Giro"/>
    <s v="jasmin.morales@ugm.cl"/>
    <m/>
    <m/>
    <m/>
    <m/>
    <m/>
    <s v="No"/>
    <n v="0"/>
    <s v="No"/>
    <s v="No definido"/>
    <s v="Si"/>
    <n v="77"/>
    <d v="2023-12-16T20:18:00"/>
    <s v="Activo"/>
    <d v="2023-12-15T18:54:00"/>
    <d v="2023-12-16T20:18:00"/>
    <x v="0"/>
    <m/>
    <m/>
    <m/>
    <m/>
    <m/>
    <m/>
  </r>
  <r>
    <s v="Persona"/>
    <s v="No"/>
    <s v="12403211-3"/>
    <x v="86"/>
    <s v="De la Cerda"/>
    <s v="Mariano De la Cerda"/>
    <s v="Sin Giro"/>
    <s v="marianodelacerda@gmail.com"/>
    <m/>
    <m/>
    <m/>
    <m/>
    <m/>
    <s v="No"/>
    <n v="0"/>
    <s v="No"/>
    <s v="No definido"/>
    <s v="Si"/>
    <n v="146"/>
    <d v="2023-12-19T13:48:00"/>
    <s v="Activo"/>
    <d v="2023-12-15T18:59:00"/>
    <d v="2023-12-19T13:48:00"/>
    <x v="0"/>
    <m/>
    <m/>
    <m/>
    <m/>
    <m/>
    <m/>
  </r>
  <r>
    <s v="Persona"/>
    <s v="No"/>
    <s v="16627928-3"/>
    <x v="87"/>
    <s v="Santis"/>
    <s v="Nicole Santis"/>
    <s v="Sin Giro"/>
    <s v="nicolesantiseloisa@gmail.com"/>
    <m/>
    <m/>
    <m/>
    <m/>
    <m/>
    <s v="No"/>
    <n v="0"/>
    <s v="No"/>
    <s v="No definido"/>
    <s v="Si"/>
    <n v="163"/>
    <d v="2023-12-16T20:18:00"/>
    <s v="Activo"/>
    <d v="2023-12-15T19:51:00"/>
    <d v="2023-12-16T20:18:00"/>
    <x v="0"/>
    <m/>
    <m/>
    <m/>
    <m/>
    <m/>
    <m/>
  </r>
  <r>
    <s v="Persona"/>
    <s v="No"/>
    <s v="20109656-1"/>
    <x v="3"/>
    <s v="Sepulveda"/>
    <s v="Marco Sepulveda"/>
    <s v="Sin Giro"/>
    <s v="m.sepulve99@gmail.com"/>
    <m/>
    <m/>
    <m/>
    <m/>
    <m/>
    <s v="No"/>
    <n v="0"/>
    <s v="No"/>
    <s v="No definido"/>
    <s v="Si"/>
    <n v="77"/>
    <d v="2023-12-16T20:18:00"/>
    <s v="Activo"/>
    <d v="2023-12-15T20:27:00"/>
    <d v="2023-12-16T20:18:00"/>
    <x v="0"/>
    <m/>
    <m/>
    <m/>
    <m/>
    <m/>
    <m/>
  </r>
  <r>
    <s v="Persona"/>
    <s v="No"/>
    <s v="17506896-1"/>
    <x v="45"/>
    <s v="Peréz"/>
    <s v="Carlos Peréz"/>
    <s v="Sin Giro"/>
    <s v="carlos.perez.c@live.cl"/>
    <m/>
    <m/>
    <m/>
    <m/>
    <m/>
    <s v="No"/>
    <n v="0"/>
    <s v="No"/>
    <s v="No definido"/>
    <s v="Si"/>
    <n v="231"/>
    <d v="2024-01-13T15:23:00"/>
    <s v="Activo"/>
    <d v="2023-12-16T13:11:00"/>
    <d v="2024-01-13T15:23:00"/>
    <x v="0"/>
    <m/>
    <m/>
    <m/>
    <m/>
    <m/>
    <m/>
  </r>
  <r>
    <s v="Persona"/>
    <s v="No"/>
    <s v="19649381-6"/>
    <x v="88"/>
    <s v="Tapia"/>
    <s v="Gabriela Tapia"/>
    <s v="Sin Giro"/>
    <s v="gabrielaisabeltapia.17@gmail.com"/>
    <m/>
    <m/>
    <m/>
    <m/>
    <m/>
    <s v="No"/>
    <n v="0"/>
    <s v="No"/>
    <s v="No definido"/>
    <s v="Si"/>
    <n v="77"/>
    <d v="2023-12-16T20:18:00"/>
    <s v="Activo"/>
    <d v="2023-12-16T16:45:00"/>
    <d v="2023-12-16T20:18:00"/>
    <x v="0"/>
    <m/>
    <m/>
    <m/>
    <m/>
    <m/>
    <m/>
  </r>
  <r>
    <s v="Persona"/>
    <s v="No"/>
    <s v="14137427-3"/>
    <x v="89"/>
    <s v="Watkins"/>
    <s v="Stivaly Watkins"/>
    <s v="Sin Giro"/>
    <s v="psicologawatkins@gmail.com"/>
    <m/>
    <m/>
    <m/>
    <m/>
    <m/>
    <s v="No"/>
    <n v="0"/>
    <s v="No"/>
    <s v="No definido"/>
    <s v="Si"/>
    <n v="77"/>
    <d v="2023-12-16T20:18:00"/>
    <s v="Activo"/>
    <d v="2023-12-16T18:21:00"/>
    <d v="2023-12-16T20:18:00"/>
    <x v="0"/>
    <m/>
    <m/>
    <m/>
    <m/>
    <m/>
    <m/>
  </r>
  <r>
    <s v="Persona"/>
    <s v="No"/>
    <s v="17084844-6"/>
    <x v="90"/>
    <s v="Gonzalez"/>
    <s v="Pamela Gonzalez"/>
    <s v="Sin Giro"/>
    <s v="pame.agc@gmail.com"/>
    <m/>
    <m/>
    <m/>
    <m/>
    <m/>
    <s v="No"/>
    <n v="0"/>
    <s v="No"/>
    <s v="No definido"/>
    <s v="Si"/>
    <n v="50"/>
    <d v="2023-12-16T20:18:00"/>
    <s v="Activo"/>
    <d v="2023-12-16T18:23:00"/>
    <d v="2023-12-16T20:18:00"/>
    <x v="0"/>
    <m/>
    <m/>
    <m/>
    <m/>
    <m/>
    <m/>
  </r>
  <r>
    <s v="Persona"/>
    <s v="No"/>
    <s v="19862763-1"/>
    <x v="55"/>
    <s v="Lopez"/>
    <s v="Francisca Lopez"/>
    <s v="Sin Giro"/>
    <s v="franilop98@gmail.com"/>
    <m/>
    <m/>
    <m/>
    <m/>
    <m/>
    <s v="No"/>
    <n v="0"/>
    <s v="No"/>
    <s v="No definido"/>
    <s v="Si"/>
    <n v="77"/>
    <d v="2023-12-16T20:14:00"/>
    <s v="Activo"/>
    <d v="2023-12-16T20:14:00"/>
    <d v="2023-12-16T20:14:00"/>
    <x v="0"/>
    <m/>
    <m/>
    <m/>
    <m/>
    <m/>
    <m/>
  </r>
  <r>
    <s v="Persona"/>
    <s v="No"/>
    <s v="16010648-4"/>
    <x v="91"/>
    <s v="Morales"/>
    <s v="Karina Morales"/>
    <s v="Sin Giro"/>
    <s v="kmoralespena@gmail.com"/>
    <m/>
    <m/>
    <m/>
    <m/>
    <m/>
    <s v="No"/>
    <n v="0"/>
    <s v="No"/>
    <s v="No definido"/>
    <s v="Si"/>
    <n v="87"/>
    <d v="2023-12-16T21:01:00"/>
    <s v="Activo"/>
    <d v="2023-12-16T21:00:00"/>
    <d v="2023-12-16T21:01:00"/>
    <x v="0"/>
    <m/>
    <m/>
    <m/>
    <m/>
    <m/>
    <m/>
  </r>
  <r>
    <s v="Persona"/>
    <s v="No"/>
    <s v="18452703-0"/>
    <x v="92"/>
    <s v="Silva"/>
    <s v="José Miguel Silva"/>
    <s v="Sin Giro"/>
    <s v="josemiguelsilva0@gmail.com"/>
    <m/>
    <m/>
    <m/>
    <m/>
    <m/>
    <s v="No"/>
    <n v="0"/>
    <s v="No"/>
    <s v="No definido"/>
    <s v="Si"/>
    <n v="87"/>
    <d v="2023-12-17T19:10:00"/>
    <s v="Activo"/>
    <d v="2023-12-17T19:09:00"/>
    <d v="2023-12-17T19:10:00"/>
    <x v="0"/>
    <m/>
    <m/>
    <m/>
    <m/>
    <m/>
    <m/>
  </r>
  <r>
    <s v="Persona"/>
    <s v="No"/>
    <s v="14760749-0"/>
    <x v="93"/>
    <s v="Rivera"/>
    <s v="Juan Rivera"/>
    <s v="Sin Giro"/>
    <s v="jdariasrivera@gmail.com"/>
    <m/>
    <m/>
    <m/>
    <m/>
    <m/>
    <s v="No"/>
    <n v="0"/>
    <s v="No"/>
    <s v="No definido"/>
    <s v="Si"/>
    <n v="50"/>
    <d v="2023-12-18T14:10:00"/>
    <s v="Activo"/>
    <d v="2023-12-18T14:09:00"/>
    <d v="2023-12-18T14:10:00"/>
    <x v="43"/>
    <m/>
    <m/>
    <m/>
    <m/>
    <m/>
    <m/>
  </r>
  <r>
    <s v="Persona"/>
    <s v="No"/>
    <s v="13214828-7"/>
    <x v="64"/>
    <s v="Dureaux"/>
    <s v="Jorge Dureaux"/>
    <s v="Sin Giro"/>
    <s v="jorgedureaux@gmail.com"/>
    <m/>
    <m/>
    <m/>
    <m/>
    <m/>
    <s v="No"/>
    <n v="0"/>
    <s v="No"/>
    <s v="No definido"/>
    <s v="Si"/>
    <n v="77"/>
    <d v="2023-12-18T14:12:00"/>
    <s v="Activo"/>
    <d v="2023-12-18T14:12:00"/>
    <d v="2023-12-18T14:12:00"/>
    <x v="0"/>
    <m/>
    <m/>
    <m/>
    <m/>
    <m/>
    <m/>
  </r>
  <r>
    <s v="Persona"/>
    <s v="No"/>
    <s v="13306194-0"/>
    <x v="77"/>
    <s v="Retamal"/>
    <s v="Soledad Retamal"/>
    <s v="Sin Giro"/>
    <m/>
    <m/>
    <m/>
    <m/>
    <m/>
    <m/>
    <s v="No"/>
    <n v="0"/>
    <s v="No"/>
    <s v="No definido"/>
    <s v="Si"/>
    <n v="77"/>
    <d v="2023-12-18T15:52:00"/>
    <s v="Activo"/>
    <d v="2023-12-18T15:43:00"/>
    <d v="2023-12-18T15:52:00"/>
    <x v="0"/>
    <m/>
    <m/>
    <m/>
    <m/>
    <m/>
    <m/>
  </r>
  <r>
    <s v="Persona"/>
    <s v="No"/>
    <s v="8393213-9"/>
    <x v="94"/>
    <s v="Atenas"/>
    <s v="Elisabeth  Atenas"/>
    <s v="Sin Giro"/>
    <s v="elisabethatenas@gmail.com"/>
    <m/>
    <m/>
    <m/>
    <m/>
    <m/>
    <s v="No"/>
    <n v="0"/>
    <s v="No"/>
    <s v="No definido"/>
    <s v="Si"/>
    <n v="77"/>
    <d v="2023-12-18T15:54:00"/>
    <s v="Activo"/>
    <d v="2023-12-18T15:54:00"/>
    <d v="2023-12-18T15:54:00"/>
    <x v="19"/>
    <m/>
    <m/>
    <m/>
    <m/>
    <m/>
    <m/>
  </r>
  <r>
    <s v="Persona"/>
    <s v="No"/>
    <s v="21051884-3"/>
    <x v="95"/>
    <s v="Saffie"/>
    <s v="Isidora Saffie"/>
    <s v="Sin Giro"/>
    <s v="motasaffie@gmail.com"/>
    <m/>
    <m/>
    <m/>
    <m/>
    <m/>
    <s v="No"/>
    <n v="0"/>
    <s v="No"/>
    <s v="No definido"/>
    <s v="Si"/>
    <n v="87"/>
    <d v="2023-12-18T16:14:00"/>
    <s v="Activo"/>
    <d v="2023-12-18T16:13:00"/>
    <d v="2023-12-18T16:14:00"/>
    <x v="19"/>
    <m/>
    <m/>
    <m/>
    <m/>
    <m/>
    <m/>
  </r>
  <r>
    <s v="Persona"/>
    <s v="No"/>
    <s v="15771572-0"/>
    <x v="96"/>
    <s v="Lopez"/>
    <s v="Juan Manuel Lopez"/>
    <s v="Sin Giro"/>
    <s v="juan.lopezromo@gmail.com"/>
    <m/>
    <m/>
    <m/>
    <m/>
    <m/>
    <s v="No"/>
    <n v="0"/>
    <s v="No"/>
    <s v="No definido"/>
    <s v="Si"/>
    <n v="173"/>
    <d v="2023-12-18T20:06:00"/>
    <s v="Activo"/>
    <d v="2023-12-18T20:04:00"/>
    <d v="2023-12-18T20:06:00"/>
    <x v="44"/>
    <m/>
    <m/>
    <m/>
    <m/>
    <m/>
    <m/>
  </r>
  <r>
    <s v="Persona"/>
    <s v="No"/>
    <s v="17995930-5"/>
    <x v="97"/>
    <s v="Gibert"/>
    <s v="Javier Gibert"/>
    <s v="Sin Giro"/>
    <s v="jagibert@gmail.com"/>
    <m/>
    <m/>
    <m/>
    <m/>
    <m/>
    <s v="No"/>
    <n v="0"/>
    <s v="No"/>
    <s v="No definido"/>
    <s v="Si"/>
    <n v="87"/>
    <d v="2023-12-18T20:23:00"/>
    <s v="Activo"/>
    <d v="2023-12-18T20:23:00"/>
    <d v="2023-12-18T20:23:00"/>
    <x v="0"/>
    <m/>
    <m/>
    <m/>
    <m/>
    <m/>
    <m/>
  </r>
  <r>
    <s v="Persona"/>
    <s v="No"/>
    <s v="19244673-2"/>
    <x v="98"/>
    <s v="Vivallo"/>
    <s v="Antonia Vivallo"/>
    <s v="Sin Giro"/>
    <s v="antoniavivallo@gmail.com"/>
    <m/>
    <m/>
    <m/>
    <m/>
    <m/>
    <s v="No"/>
    <n v="0"/>
    <s v="No"/>
    <s v="No definido"/>
    <s v="Si"/>
    <n v="77"/>
    <d v="2023-12-19T13:46:00"/>
    <s v="Activo"/>
    <d v="2023-12-19T13:45:00"/>
    <d v="2023-12-19T13:46:00"/>
    <x v="45"/>
    <m/>
    <m/>
    <m/>
    <m/>
    <m/>
    <m/>
  </r>
  <r>
    <s v="Persona"/>
    <s v="No"/>
    <s v="21022152-2"/>
    <x v="99"/>
    <s v="Vásquez"/>
    <s v="Florencia Vásquez"/>
    <s v="Sin Giro"/>
    <s v="florenciaalejandralin@gmail.com"/>
    <m/>
    <m/>
    <m/>
    <m/>
    <m/>
    <s v="No"/>
    <n v="0"/>
    <s v="No"/>
    <s v="No definido"/>
    <s v="Si"/>
    <n v="127"/>
    <d v="2024-02-23T18:47:00"/>
    <s v="Activo"/>
    <d v="2023-12-19T13:51:00"/>
    <d v="2024-02-23T18:47:00"/>
    <x v="0"/>
    <m/>
    <m/>
    <m/>
    <m/>
    <m/>
    <m/>
  </r>
  <r>
    <s v="Persona"/>
    <s v="No"/>
    <s v="20994251-8"/>
    <x v="100"/>
    <s v="Soto"/>
    <s v="Abraham Soto"/>
    <s v="Sin Giro"/>
    <s v="abrahamsoto639@gmail.com"/>
    <m/>
    <m/>
    <m/>
    <m/>
    <m/>
    <s v="No"/>
    <n v="0"/>
    <s v="No"/>
    <s v="No definido"/>
    <s v="Si"/>
    <n v="0"/>
    <d v="2024-04-17T20:44:00"/>
    <s v="Activo"/>
    <d v="2023-12-19T17:22:00"/>
    <d v="2023-12-19T17:22:00"/>
    <x v="46"/>
    <m/>
    <m/>
    <m/>
    <m/>
    <m/>
    <m/>
  </r>
  <r>
    <s v="Persona"/>
    <s v="No"/>
    <s v="17303032-0"/>
    <x v="45"/>
    <s v="Carreño"/>
    <s v="Carlos Carreño"/>
    <s v="Sin Giro"/>
    <s v="krloscp.adv@gmail.com"/>
    <m/>
    <m/>
    <m/>
    <m/>
    <m/>
    <s v="No"/>
    <n v="0"/>
    <s v="No"/>
    <s v="No definido"/>
    <s v="Si"/>
    <n v="77"/>
    <d v="2023-12-19T18:57:00"/>
    <s v="Activo"/>
    <d v="2023-12-19T18:56:00"/>
    <d v="2023-12-19T18:57:00"/>
    <x v="12"/>
    <m/>
    <m/>
    <m/>
    <m/>
    <m/>
    <m/>
  </r>
  <r>
    <s v="Persona"/>
    <s v="No"/>
    <s v="15415951-7"/>
    <x v="101"/>
    <s v="Arias"/>
    <s v="Daniel Arias"/>
    <s v="Sin Giro"/>
    <s v="dariasga@gmail.com"/>
    <m/>
    <m/>
    <m/>
    <m/>
    <m/>
    <s v="No"/>
    <n v="0"/>
    <s v="No"/>
    <s v="No definido"/>
    <s v="Si"/>
    <n v="77"/>
    <d v="2023-12-20T12:14:00"/>
    <s v="Activo"/>
    <d v="2023-12-20T12:13:00"/>
    <d v="2023-12-20T12:14:00"/>
    <x v="47"/>
    <m/>
    <m/>
    <m/>
    <m/>
    <m/>
    <m/>
  </r>
  <r>
    <s v="Persona"/>
    <s v="No"/>
    <s v="15184197-K"/>
    <x v="102"/>
    <s v="Bouniot"/>
    <s v="Paulina Bouniot"/>
    <s v="Sin Giro"/>
    <s v="pbouniot@gmail.com"/>
    <m/>
    <m/>
    <m/>
    <m/>
    <m/>
    <s v="No"/>
    <n v="0"/>
    <s v="No"/>
    <s v="No definido"/>
    <s v="Si"/>
    <n v="318"/>
    <d v="2024-02-26T19:08:00"/>
    <s v="Activo"/>
    <d v="2023-12-20T12:32:00"/>
    <d v="2024-02-26T19:08:00"/>
    <x v="19"/>
    <m/>
    <m/>
    <m/>
    <m/>
    <m/>
    <m/>
  </r>
  <r>
    <s v="Persona"/>
    <s v="No"/>
    <s v="18739719-7"/>
    <x v="103"/>
    <s v="Riquelme"/>
    <s v="Sergio Riquelme"/>
    <s v="Sin Giro"/>
    <s v="sergionachi@gmail.com"/>
    <m/>
    <m/>
    <m/>
    <m/>
    <m/>
    <s v="No"/>
    <n v="0"/>
    <s v="No"/>
    <s v="No definido"/>
    <s v="Si"/>
    <n v="77"/>
    <d v="2023-12-20T14:21:00"/>
    <s v="Activo"/>
    <d v="2023-12-20T14:20:00"/>
    <d v="2023-12-20T14:21:00"/>
    <x v="12"/>
    <m/>
    <m/>
    <m/>
    <m/>
    <m/>
    <m/>
  </r>
  <r>
    <s v="Persona"/>
    <s v="No"/>
    <s v="13250335-4"/>
    <x v="19"/>
    <s v="Madariaga Bravo"/>
    <s v="Carolina Madariaga Bravo"/>
    <s v="Sin Giro"/>
    <s v="caritomadariaga@gmail.com"/>
    <m/>
    <m/>
    <m/>
    <m/>
    <m/>
    <s v="No"/>
    <n v="0"/>
    <s v="No"/>
    <s v="No definido"/>
    <s v="Si"/>
    <n v="77"/>
    <d v="2023-12-20T14:24:00"/>
    <s v="Activo"/>
    <d v="2023-12-20T14:23:00"/>
    <d v="2023-12-20T14:24:00"/>
    <x v="48"/>
    <m/>
    <m/>
    <m/>
    <m/>
    <m/>
    <m/>
  </r>
  <r>
    <s v="Persona"/>
    <s v="No"/>
    <s v="21360486-4"/>
    <x v="104"/>
    <s v="Oyanadel"/>
    <s v="Felipe Oyanadel"/>
    <s v="Sin Giro"/>
    <s v="felipeoyanadev@gmail.com"/>
    <m/>
    <m/>
    <m/>
    <m/>
    <m/>
    <s v="No"/>
    <n v="0"/>
    <s v="No"/>
    <s v="No definido"/>
    <s v="Si"/>
    <n v="50"/>
    <d v="2023-12-20T14:31:00"/>
    <s v="Activo"/>
    <d v="2023-12-20T14:30:00"/>
    <d v="2023-12-20T14:31:00"/>
    <x v="49"/>
    <m/>
    <m/>
    <m/>
    <m/>
    <m/>
    <m/>
  </r>
  <r>
    <s v="Persona"/>
    <s v="No"/>
    <s v="15453079-7"/>
    <x v="105"/>
    <s v="Hidalgo"/>
    <s v="Gloria Hidalgo"/>
    <s v="Sin Giro"/>
    <s v="gloriahidalgo.m@gmail.com"/>
    <m/>
    <m/>
    <m/>
    <m/>
    <m/>
    <s v="No"/>
    <n v="0"/>
    <s v="No"/>
    <s v="No definido"/>
    <s v="Si"/>
    <n v="192"/>
    <d v="2024-03-25T13:57:00"/>
    <s v="Activo"/>
    <d v="2023-12-20T17:37:00"/>
    <d v="2024-03-25T13:57:00"/>
    <x v="19"/>
    <m/>
    <m/>
    <m/>
    <m/>
    <m/>
    <m/>
  </r>
  <r>
    <s v="Persona"/>
    <s v="No"/>
    <s v="20434694-1"/>
    <x v="106"/>
    <s v="Rivas"/>
    <s v="Javiera  Rivas"/>
    <s v="Sin Giro"/>
    <s v="javiera19rivas@gmail.com"/>
    <m/>
    <m/>
    <m/>
    <m/>
    <m/>
    <s v="No"/>
    <n v="0"/>
    <s v="No"/>
    <s v="No definido"/>
    <s v="Si"/>
    <n v="77"/>
    <d v="2023-12-20T18:50:00"/>
    <s v="Activo"/>
    <d v="2023-12-20T18:50:00"/>
    <d v="2023-12-20T18:50:00"/>
    <x v="0"/>
    <m/>
    <m/>
    <m/>
    <m/>
    <m/>
    <m/>
  </r>
  <r>
    <s v="Persona"/>
    <s v="No"/>
    <s v="19962337-0"/>
    <x v="107"/>
    <s v="Guzman"/>
    <s v="Valentina Guzman"/>
    <s v="Sin Giro"/>
    <s v="valeguzman212013@gmail.com"/>
    <m/>
    <m/>
    <m/>
    <m/>
    <m/>
    <s v="No"/>
    <n v="0"/>
    <s v="No"/>
    <s v="No definido"/>
    <s v="Si"/>
    <n v="77"/>
    <d v="2023-12-20T18:53:00"/>
    <s v="Activo"/>
    <d v="2023-12-20T18:52:00"/>
    <d v="2023-12-20T18:53:00"/>
    <x v="0"/>
    <m/>
    <m/>
    <m/>
    <m/>
    <m/>
    <m/>
  </r>
  <r>
    <s v="Persona"/>
    <s v="No"/>
    <s v="16127610-3"/>
    <x v="108"/>
    <s v="Brierly"/>
    <s v="Javiera Fernanda Brierly"/>
    <s v="Sin Giro"/>
    <s v="javiera.fernanda@gmail.com"/>
    <m/>
    <m/>
    <m/>
    <m/>
    <m/>
    <s v="No"/>
    <n v="0"/>
    <s v="No"/>
    <s v="No definido"/>
    <s v="Si"/>
    <n v="0"/>
    <d v="2024-04-17T20:44:00"/>
    <s v="Activo"/>
    <d v="2023-12-20T18:55:00"/>
    <d v="2023-12-20T18:55:00"/>
    <x v="19"/>
    <m/>
    <m/>
    <m/>
    <m/>
    <m/>
    <m/>
  </r>
  <r>
    <s v="Persona"/>
    <s v="No"/>
    <s v="18397035-6"/>
    <x v="109"/>
    <s v="Barrera"/>
    <s v="Constanza Barrera"/>
    <s v="Sin Giro"/>
    <s v="coni.barrera.cabrera@gmail.com"/>
    <m/>
    <m/>
    <m/>
    <m/>
    <m/>
    <s v="No"/>
    <n v="0"/>
    <s v="No"/>
    <s v="No definido"/>
    <s v="Si"/>
    <n v="241"/>
    <d v="2024-01-20T12:59:00"/>
    <s v="Activo"/>
    <d v="2023-12-20T18:58:00"/>
    <d v="2024-01-20T12:59:00"/>
    <x v="50"/>
    <m/>
    <m/>
    <m/>
    <m/>
    <m/>
    <m/>
  </r>
  <r>
    <s v="Persona"/>
    <s v="No"/>
    <s v="12462830-K"/>
    <x v="110"/>
    <s v="Leal Leiva"/>
    <s v="Margarita  Leal Leiva"/>
    <s v="Sin Giro"/>
    <s v="margarata21@hotmail.com"/>
    <m/>
    <m/>
    <m/>
    <m/>
    <m/>
    <s v="No"/>
    <n v="0"/>
    <s v="No"/>
    <s v="No definido"/>
    <s v="Si"/>
    <n v="87"/>
    <d v="2023-12-20T19:21:00"/>
    <s v="Activo"/>
    <d v="2023-12-20T19:20:00"/>
    <d v="2023-12-20T19:21:00"/>
    <x v="51"/>
    <m/>
    <m/>
    <m/>
    <m/>
    <m/>
    <m/>
  </r>
  <r>
    <s v="Persona"/>
    <s v="No"/>
    <s v="18643462-5"/>
    <x v="6"/>
    <s v="Hodge"/>
    <s v="Gabriel Hodge"/>
    <s v="Sin Giro"/>
    <s v="gabrielhodge1@gmail.com"/>
    <m/>
    <m/>
    <m/>
    <m/>
    <m/>
    <s v="No"/>
    <n v="0"/>
    <s v="No"/>
    <s v="No definido"/>
    <s v="Si"/>
    <n v="77"/>
    <d v="2023-12-20T20:02:00"/>
    <s v="Activo"/>
    <d v="2023-12-20T20:01:00"/>
    <d v="2023-12-20T20:02:00"/>
    <x v="52"/>
    <m/>
    <m/>
    <m/>
    <m/>
    <m/>
    <m/>
  </r>
  <r>
    <s v="Persona"/>
    <s v="No"/>
    <s v="12494829-0"/>
    <x v="69"/>
    <s v="Marchant"/>
    <s v="Patricio Marchant"/>
    <s v="Sin Giro"/>
    <s v="patricio.marchant@gmail.com"/>
    <m/>
    <m/>
    <m/>
    <m/>
    <m/>
    <s v="No"/>
    <n v="0"/>
    <s v="No"/>
    <s v="No definido"/>
    <s v="Si"/>
    <n v="390"/>
    <d v="2024-03-09T16:15:00"/>
    <s v="Activo"/>
    <d v="2023-12-20T20:25:00"/>
    <d v="2024-03-09T16:15:00"/>
    <x v="19"/>
    <m/>
    <m/>
    <m/>
    <m/>
    <m/>
    <m/>
  </r>
  <r>
    <s v="Persona"/>
    <s v="No"/>
    <s v=""/>
    <x v="111"/>
    <s v="Contreras"/>
    <s v="Francisco Contreras"/>
    <s v="Sin Giro"/>
    <s v="green.of.benet@gmail.com"/>
    <m/>
    <m/>
    <m/>
    <m/>
    <m/>
    <s v="No"/>
    <n v="0"/>
    <s v="No"/>
    <s v="No definido"/>
    <s v="Si"/>
    <n v="77"/>
    <d v="2023-12-20T20:46:00"/>
    <s v="Activo"/>
    <d v="2023-12-20T20:46:00"/>
    <d v="2023-12-20T20:46:00"/>
    <x v="19"/>
    <m/>
    <m/>
    <m/>
    <m/>
    <m/>
    <m/>
  </r>
  <r>
    <s v="Persona"/>
    <s v="No"/>
    <s v="20957318-0"/>
    <x v="61"/>
    <s v="Mena"/>
    <s v="Sebastian Mena"/>
    <s v="Sin Giro"/>
    <s v="adolfomena1311@gmail.com"/>
    <m/>
    <m/>
    <m/>
    <m/>
    <m/>
    <s v="No"/>
    <n v="0"/>
    <s v="No"/>
    <s v="No definido"/>
    <s v="Si"/>
    <n v="207"/>
    <d v="2024-03-18T15:40:00"/>
    <s v="Activo"/>
    <d v="2023-12-20T20:57:00"/>
    <d v="2024-03-18T15:40:00"/>
    <x v="19"/>
    <m/>
    <m/>
    <m/>
    <m/>
    <m/>
    <m/>
  </r>
  <r>
    <s v="Persona"/>
    <s v="No"/>
    <s v="12584494-4"/>
    <x v="112"/>
    <s v="Kind Kligge"/>
    <s v="Hans Kind Kligge"/>
    <s v="Sin Giro"/>
    <s v="hanskinol@gmail.com"/>
    <m/>
    <m/>
    <m/>
    <m/>
    <m/>
    <s v="No"/>
    <n v="0"/>
    <s v="No"/>
    <s v="No definido"/>
    <s v="Si"/>
    <n v="87"/>
    <d v="2023-12-21T14:56:00"/>
    <s v="Activo"/>
    <d v="2023-12-21T14:55:00"/>
    <d v="2023-12-21T14:56:00"/>
    <x v="53"/>
    <m/>
    <m/>
    <m/>
    <m/>
    <m/>
    <m/>
  </r>
  <r>
    <s v="Persona"/>
    <s v="No"/>
    <s v="18568947-6"/>
    <x v="113"/>
    <s v="Norambuena"/>
    <s v="Andy  Norambuena"/>
    <s v="Sin Giro"/>
    <s v="norambuena.andy@gmail.com"/>
    <m/>
    <m/>
    <m/>
    <m/>
    <m/>
    <s v="No"/>
    <n v="0"/>
    <s v="No"/>
    <s v="No definido"/>
    <s v="Si"/>
    <n v="0"/>
    <d v="2024-04-17T20:44:00"/>
    <s v="Activo"/>
    <d v="2023-12-21T15:28:00"/>
    <d v="2023-12-21T15:28:00"/>
    <x v="54"/>
    <m/>
    <m/>
    <m/>
    <m/>
    <m/>
    <m/>
  </r>
  <r>
    <s v="Persona"/>
    <s v="No"/>
    <s v="19481421-6"/>
    <x v="114"/>
    <s v="Guerrero"/>
    <s v="Víctor Guerrero"/>
    <s v="Sin Giro"/>
    <s v="victor.guerrero.ignacio@gmail.com"/>
    <m/>
    <m/>
    <m/>
    <m/>
    <m/>
    <s v="No"/>
    <n v="0"/>
    <s v="No"/>
    <s v="No definido"/>
    <s v="Si"/>
    <n v="154"/>
    <d v="2024-01-10T17:31:00"/>
    <s v="Activo"/>
    <d v="2023-12-21T19:24:00"/>
    <d v="2024-01-10T17:31:00"/>
    <x v="19"/>
    <m/>
    <m/>
    <m/>
    <m/>
    <m/>
    <m/>
  </r>
  <r>
    <s v="Persona"/>
    <s v="No"/>
    <s v="17701477-K"/>
    <x v="115"/>
    <s v="Santana Queirolo"/>
    <s v="Belen Santana Queirolo"/>
    <s v="Sin Giro"/>
    <s v="belensantanaqueirolo@gmail.com"/>
    <m/>
    <m/>
    <m/>
    <m/>
    <m/>
    <s v="No"/>
    <n v="0"/>
    <s v="No"/>
    <s v="No definido"/>
    <s v="Si"/>
    <n v="77"/>
    <d v="2023-12-21T19:27:00"/>
    <s v="Activo"/>
    <d v="2023-12-21T19:26:00"/>
    <d v="2023-12-21T19:27:00"/>
    <x v="55"/>
    <m/>
    <m/>
    <m/>
    <m/>
    <m/>
    <m/>
  </r>
  <r>
    <s v="Persona"/>
    <s v="No"/>
    <s v="17517324-2"/>
    <x v="116"/>
    <s v="Muñoz"/>
    <s v="Diego Muñoz"/>
    <s v="Sin Giro"/>
    <s v="damunozd@gmail.com"/>
    <m/>
    <m/>
    <m/>
    <m/>
    <m/>
    <s v="No"/>
    <n v="0"/>
    <s v="No"/>
    <s v="No definido"/>
    <s v="Si"/>
    <n v="153"/>
    <d v="2023-12-21T20:11:00"/>
    <s v="Activo"/>
    <d v="2023-12-21T20:10:00"/>
    <d v="2023-12-21T20:11:00"/>
    <x v="19"/>
    <m/>
    <m/>
    <m/>
    <m/>
    <m/>
    <m/>
  </r>
  <r>
    <s v="Persona"/>
    <s v="No"/>
    <s v="18115898-0"/>
    <x v="117"/>
    <s v="Pacheco"/>
    <s v="Mariela Pacheco"/>
    <s v="Sin Giro"/>
    <s v="mariela.paguerrero@gmail.com"/>
    <m/>
    <m/>
    <m/>
    <m/>
    <m/>
    <s v="No"/>
    <n v="0"/>
    <s v="No"/>
    <s v="No definido"/>
    <s v="Si"/>
    <n v="77"/>
    <d v="2023-12-22T12:05:00"/>
    <s v="Activo"/>
    <d v="2023-12-22T12:04:00"/>
    <d v="2023-12-22T12:05:00"/>
    <x v="0"/>
    <m/>
    <m/>
    <m/>
    <m/>
    <m/>
    <m/>
  </r>
  <r>
    <s v="Persona"/>
    <s v="No"/>
    <s v="12662701-7"/>
    <x v="118"/>
    <s v="Vallejos"/>
    <s v="Yesenia Vallejos"/>
    <s v="Sin Giro"/>
    <s v="yeseniavallejos@hotmail.com"/>
    <m/>
    <m/>
    <m/>
    <m/>
    <m/>
    <s v="No"/>
    <n v="0"/>
    <s v="No"/>
    <s v="No definido"/>
    <s v="Si"/>
    <n v="240"/>
    <d v="2023-12-22T13:57:00"/>
    <s v="Activo"/>
    <d v="2023-12-22T13:54:00"/>
    <d v="2023-12-22T13:57:00"/>
    <x v="0"/>
    <m/>
    <m/>
    <m/>
    <m/>
    <m/>
    <m/>
  </r>
  <r>
    <s v="Persona"/>
    <s v="No"/>
    <s v="15371265-4"/>
    <x v="119"/>
    <s v="Martinez"/>
    <s v="Miriam Martinez"/>
    <s v="Sin Giro"/>
    <s v="miriam_martinez.p@hotmail.com"/>
    <m/>
    <m/>
    <m/>
    <m/>
    <m/>
    <s v="No"/>
    <n v="0"/>
    <s v="No"/>
    <s v="No definido"/>
    <s v="Si"/>
    <n v="154"/>
    <d v="2023-12-22T14:28:00"/>
    <s v="Activo"/>
    <d v="2023-12-22T14:00:00"/>
    <d v="2023-12-22T14:28:00"/>
    <x v="0"/>
    <m/>
    <m/>
    <m/>
    <m/>
    <m/>
    <m/>
  </r>
  <r>
    <s v="Persona"/>
    <s v="No"/>
    <s v=""/>
    <x v="107"/>
    <s v="Mujica"/>
    <s v="Valentina Mujica"/>
    <s v="Sin Giro"/>
    <s v="v.mujicabecerro@gmail.com"/>
    <m/>
    <m/>
    <m/>
    <m/>
    <m/>
    <s v="No"/>
    <n v="0"/>
    <s v="No"/>
    <s v="No definido"/>
    <s v="Si"/>
    <n v="0"/>
    <d v="2024-04-17T20:44:00"/>
    <s v="Activo"/>
    <d v="2023-12-22T14:16:00"/>
    <d v="2023-12-22T14:16:00"/>
    <x v="0"/>
    <m/>
    <m/>
    <m/>
    <m/>
    <m/>
    <m/>
  </r>
  <r>
    <s v="Persona"/>
    <s v="No"/>
    <s v="13740706-K"/>
    <x v="54"/>
    <s v="burgos"/>
    <s v="Rodrigo burgos"/>
    <s v="Sin Giro"/>
    <s v="rburgoso@hotmail.com"/>
    <m/>
    <m/>
    <m/>
    <m/>
    <m/>
    <s v="No"/>
    <n v="0"/>
    <s v="No"/>
    <s v="No definido"/>
    <s v="Si"/>
    <n v="173"/>
    <d v="2023-12-22T14:32:00"/>
    <s v="Activo"/>
    <d v="2023-12-22T14:30:00"/>
    <d v="2023-12-22T14:32:00"/>
    <x v="0"/>
    <m/>
    <m/>
    <m/>
    <m/>
    <m/>
    <m/>
  </r>
  <r>
    <s v="Persona"/>
    <s v="No"/>
    <s v="18293637-5"/>
    <x v="120"/>
    <s v="Santana"/>
    <s v="Camila Santana"/>
    <s v="Sin Giro"/>
    <s v="csantana.ar@gmail.com"/>
    <m/>
    <m/>
    <m/>
    <m/>
    <m/>
    <s v="No"/>
    <n v="0"/>
    <s v="No"/>
    <s v="No definido"/>
    <s v="Si"/>
    <n v="83"/>
    <d v="2023-12-22T19:35:00"/>
    <s v="Activo"/>
    <d v="2023-12-22T19:34:00"/>
    <d v="2023-12-22T19:35:00"/>
    <x v="0"/>
    <m/>
    <m/>
    <m/>
    <m/>
    <m/>
    <m/>
  </r>
  <r>
    <s v="Persona"/>
    <s v="No"/>
    <s v="20246191-3"/>
    <x v="121"/>
    <s v="Navarro"/>
    <s v="Paula Navarro"/>
    <s v="Sin Giro"/>
    <s v="dlizanaalvarez@gmail.com"/>
    <m/>
    <m/>
    <m/>
    <m/>
    <m/>
    <s v="No"/>
    <n v="0"/>
    <s v="No"/>
    <s v="No definido"/>
    <s v="Si"/>
    <n v="77"/>
    <d v="2023-12-23T12:58:00"/>
    <s v="Activo"/>
    <d v="2023-12-23T12:57:00"/>
    <d v="2023-12-23T12:58:00"/>
    <x v="56"/>
    <m/>
    <m/>
    <m/>
    <m/>
    <m/>
    <m/>
  </r>
  <r>
    <s v="Persona"/>
    <s v="No"/>
    <s v="11268918-4"/>
    <x v="122"/>
    <s v="Inostroza"/>
    <s v="Pilar del Carmen Inostroza"/>
    <s v="Sin Giro"/>
    <s v="pilardelcarmen@traducciones.cl"/>
    <m/>
    <m/>
    <m/>
    <m/>
    <m/>
    <s v="No"/>
    <n v="0"/>
    <s v="No"/>
    <s v="No definido"/>
    <s v="Si"/>
    <n v="73"/>
    <d v="2023-12-23T13:22:00"/>
    <s v="Activo"/>
    <d v="2023-12-23T13:22:00"/>
    <d v="2023-12-23T13:22:00"/>
    <x v="0"/>
    <m/>
    <m/>
    <m/>
    <m/>
    <m/>
    <m/>
  </r>
  <r>
    <s v="Persona"/>
    <s v="No"/>
    <s v="17484479-8"/>
    <x v="123"/>
    <s v="Arancibia"/>
    <s v="Gissele Arancibia"/>
    <s v="Sin Giro"/>
    <s v="giss.arancibia@hotmail.com"/>
    <m/>
    <m/>
    <m/>
    <m/>
    <m/>
    <s v="No"/>
    <n v="0"/>
    <s v="No"/>
    <s v="No definido"/>
    <s v="Si"/>
    <n v="77"/>
    <d v="2023-12-23T13:50:00"/>
    <s v="Activo"/>
    <d v="2023-12-23T13:49:00"/>
    <d v="2023-12-23T13:50:00"/>
    <x v="0"/>
    <m/>
    <m/>
    <m/>
    <m/>
    <m/>
    <m/>
  </r>
  <r>
    <s v="Persona"/>
    <s v="No"/>
    <s v="18524482-2"/>
    <x v="72"/>
    <s v="Morales"/>
    <s v="Cristian Morales"/>
    <s v="Sin Giro"/>
    <s v="cbmorales.c@gmail.com"/>
    <m/>
    <m/>
    <m/>
    <m/>
    <m/>
    <s v="No"/>
    <n v="0"/>
    <s v="No"/>
    <s v="No definido"/>
    <s v="Si"/>
    <n v="77"/>
    <d v="2023-12-23T14:06:00"/>
    <s v="Activo"/>
    <d v="2023-12-23T14:05:00"/>
    <d v="2023-12-23T14:06:00"/>
    <x v="0"/>
    <m/>
    <m/>
    <m/>
    <m/>
    <m/>
    <m/>
  </r>
  <r>
    <s v="Persona"/>
    <s v="No"/>
    <s v="13914410-4"/>
    <x v="121"/>
    <s v="Fariña"/>
    <s v="Paula Fariña"/>
    <s v="Sin Giro"/>
    <s v="paupolina@gmail.com"/>
    <m/>
    <m/>
    <m/>
    <m/>
    <m/>
    <s v="No"/>
    <n v="0"/>
    <s v="No"/>
    <s v="No definido"/>
    <s v="Si"/>
    <n v="153"/>
    <d v="2023-12-23T14:33:00"/>
    <s v="Activo"/>
    <d v="2023-12-23T14:32:00"/>
    <d v="2023-12-23T14:33:00"/>
    <x v="0"/>
    <m/>
    <m/>
    <m/>
    <m/>
    <m/>
    <m/>
  </r>
  <r>
    <s v="Persona"/>
    <s v="No"/>
    <s v="17110877-2"/>
    <x v="124"/>
    <s v="Raimondi"/>
    <s v="Gennira Raimondi"/>
    <s v="Sin Giro"/>
    <s v="gennira@hotmail.com"/>
    <m/>
    <m/>
    <m/>
    <m/>
    <m/>
    <s v="No"/>
    <n v="0"/>
    <s v="No"/>
    <s v="No definido"/>
    <s v="Si"/>
    <n v="591"/>
    <d v="2024-04-02T18:34:00"/>
    <s v="Activo"/>
    <d v="2023-12-23T14:51:00"/>
    <d v="2024-04-02T18:34:00"/>
    <x v="0"/>
    <m/>
    <m/>
    <m/>
    <m/>
    <m/>
    <m/>
  </r>
  <r>
    <s v="Persona"/>
    <s v="No"/>
    <s v="23573050-2"/>
    <x v="125"/>
    <s v="tonme"/>
    <s v="alex tonme"/>
    <s v="Sin Giro"/>
    <s v="alex.tonme@gmail.com"/>
    <m/>
    <m/>
    <m/>
    <m/>
    <m/>
    <s v="No"/>
    <n v="0"/>
    <s v="No"/>
    <s v="No definido"/>
    <s v="Si"/>
    <n v="164"/>
    <d v="2024-02-26T14:33:00"/>
    <s v="Activo"/>
    <d v="2023-12-23T15:48:00"/>
    <d v="2024-02-26T14:33:00"/>
    <x v="0"/>
    <m/>
    <m/>
    <m/>
    <m/>
    <m/>
    <m/>
  </r>
  <r>
    <s v="Persona"/>
    <s v="No"/>
    <s v="7682289-1"/>
    <x v="74"/>
    <s v="Bartholin"/>
    <s v="Claudia Bartholin"/>
    <s v="Sin Giro"/>
    <s v="cbartholin@gmail.com"/>
    <m/>
    <m/>
    <m/>
    <m/>
    <m/>
    <s v="No"/>
    <n v="0"/>
    <s v="No"/>
    <s v="No definido"/>
    <s v="Si"/>
    <n v="77"/>
    <d v="2023-12-23T19:05:00"/>
    <s v="Activo"/>
    <d v="2023-12-23T19:04:00"/>
    <d v="2023-12-23T19:05:00"/>
    <x v="0"/>
    <m/>
    <m/>
    <m/>
    <m/>
    <m/>
    <m/>
  </r>
  <r>
    <s v="Persona"/>
    <s v="No"/>
    <s v="17329981-8"/>
    <x v="126"/>
    <s v="Jara"/>
    <s v="Damaso Jara"/>
    <s v="Sin Giro"/>
    <s v="d23ajad@gmail.com"/>
    <m/>
    <m/>
    <m/>
    <m/>
    <m/>
    <s v="No"/>
    <n v="0"/>
    <s v="No"/>
    <s v="No definido"/>
    <s v="Si"/>
    <n v="127"/>
    <d v="2023-12-23T19:51:00"/>
    <s v="Activo"/>
    <d v="2023-12-23T19:29:00"/>
    <d v="2023-12-23T19:51:00"/>
    <x v="0"/>
    <m/>
    <m/>
    <m/>
    <m/>
    <m/>
    <m/>
  </r>
  <r>
    <s v="Persona"/>
    <s v="No"/>
    <s v="16153997-K"/>
    <x v="127"/>
    <s v="Muñoz"/>
    <s v="Victor Muñoz"/>
    <s v="Sin Giro"/>
    <s v="victormunozveloso@gmail.com"/>
    <m/>
    <m/>
    <m/>
    <m/>
    <m/>
    <s v="No"/>
    <n v="0"/>
    <s v="No"/>
    <s v="No definido"/>
    <s v="Si"/>
    <n v="87"/>
    <d v="2023-12-23T19:49:00"/>
    <s v="Activo"/>
    <d v="2023-12-23T19:49:00"/>
    <d v="2023-12-23T19:49:00"/>
    <x v="0"/>
    <m/>
    <m/>
    <m/>
    <m/>
    <m/>
    <m/>
  </r>
  <r>
    <s v="Persona"/>
    <s v="No"/>
    <s v="13527453-4"/>
    <x v="19"/>
    <s v="Guzman"/>
    <s v="Carolina Guzman"/>
    <s v="Sin Giro"/>
    <s v="cguzman_12@hotmail.com"/>
    <m/>
    <m/>
    <m/>
    <m/>
    <m/>
    <s v="No"/>
    <n v="0"/>
    <s v="No"/>
    <s v="No definido"/>
    <s v="Si"/>
    <n v="87"/>
    <d v="2023-12-24T12:45:00"/>
    <s v="Activo"/>
    <d v="2023-12-24T12:44:00"/>
    <d v="2023-12-24T12:45:00"/>
    <x v="0"/>
    <m/>
    <m/>
    <m/>
    <m/>
    <m/>
    <m/>
  </r>
  <r>
    <s v="Persona"/>
    <s v="No"/>
    <s v="19640253-5"/>
    <x v="128"/>
    <s v="Guerrero"/>
    <s v="Fernando Guerrero"/>
    <s v="Sin Giro"/>
    <s v="mafeg120@gmail.com"/>
    <s v="maipu"/>
    <s v="Santiago"/>
    <s v="Ñuñoa"/>
    <m/>
    <m/>
    <s v="No"/>
    <n v="0"/>
    <s v="No"/>
    <s v="No definido"/>
    <s v="Si"/>
    <n v="163"/>
    <d v="2023-12-24T13:57:00"/>
    <s v="Activo"/>
    <d v="2023-12-24T13:17:00"/>
    <d v="2023-12-24T13:57:00"/>
    <x v="0"/>
    <m/>
    <m/>
    <m/>
    <m/>
    <m/>
    <m/>
  </r>
  <r>
    <s v="Persona"/>
    <s v="No"/>
    <s v="8129527-1"/>
    <x v="117"/>
    <s v="Martinez"/>
    <s v="Mariela Martinez"/>
    <s v="Sin Giro"/>
    <s v="mamaval1228@gmail.com"/>
    <m/>
    <m/>
    <m/>
    <m/>
    <m/>
    <s v="No"/>
    <n v="0"/>
    <s v="No"/>
    <s v="No definido"/>
    <s v="Si"/>
    <n v="87"/>
    <d v="2023-12-24T14:01:00"/>
    <s v="Activo"/>
    <d v="2023-12-24T14:00:00"/>
    <d v="2023-12-24T14:01:00"/>
    <x v="0"/>
    <m/>
    <m/>
    <m/>
    <m/>
    <m/>
    <m/>
  </r>
  <r>
    <s v="Persona"/>
    <s v="No"/>
    <s v="13694879-2"/>
    <x v="44"/>
    <s v="valdebenito"/>
    <s v="yasna valdebenito"/>
    <s v="Sin Giro"/>
    <s v="yasna.valdevenito@gmail.com"/>
    <m/>
    <m/>
    <m/>
    <m/>
    <m/>
    <s v="No"/>
    <n v="0"/>
    <s v="No"/>
    <s v="No definido"/>
    <s v="Si"/>
    <n v="163"/>
    <d v="2023-12-24T14:06:00"/>
    <s v="Activo"/>
    <d v="2023-12-24T14:05:00"/>
    <d v="2023-12-24T14:06:00"/>
    <x v="0"/>
    <m/>
    <m/>
    <m/>
    <m/>
    <m/>
    <m/>
  </r>
  <r>
    <s v="Persona"/>
    <s v="No"/>
    <s v="17860534-8"/>
    <x v="104"/>
    <s v="Cajas"/>
    <s v="Felipe Cajas"/>
    <s v="Sin Giro"/>
    <s v="comercial.importadora.cyc@gmail.com"/>
    <m/>
    <m/>
    <m/>
    <m/>
    <m/>
    <s v="No"/>
    <n v="0"/>
    <s v="No"/>
    <s v="No definido"/>
    <s v="Si"/>
    <n v="174"/>
    <d v="2023-12-24T15:24:00"/>
    <s v="Activo"/>
    <d v="2023-12-24T14:52:00"/>
    <d v="2023-12-24T15:24:00"/>
    <x v="0"/>
    <m/>
    <m/>
    <m/>
    <m/>
    <m/>
    <m/>
  </r>
  <r>
    <s v="Persona"/>
    <s v="No"/>
    <s v="19109500-6"/>
    <x v="129"/>
    <s v="Vergara"/>
    <s v="Ruth Vergara"/>
    <s v="Sin Giro"/>
    <s v="rmvergaraperez@gmail.com"/>
    <m/>
    <m/>
    <m/>
    <s v="+569 89373570"/>
    <m/>
    <s v="No"/>
    <n v="0"/>
    <s v="No"/>
    <s v="No definido"/>
    <s v="Si"/>
    <n v="87"/>
    <d v="2023-12-26T12:32:00"/>
    <s v="Activo"/>
    <d v="2023-12-26T12:31:00"/>
    <d v="2023-12-26T15:26:00"/>
    <x v="57"/>
    <m/>
    <m/>
    <m/>
    <m/>
    <m/>
    <m/>
  </r>
  <r>
    <s v="Persona"/>
    <s v="No"/>
    <s v="14210427-K"/>
    <x v="130"/>
    <s v="Diaz"/>
    <s v="Alejandra Diaz"/>
    <s v="Sin Giro"/>
    <s v="alejandra.diazval@gmail.com"/>
    <m/>
    <m/>
    <m/>
    <m/>
    <m/>
    <s v="No"/>
    <n v="0"/>
    <s v="No"/>
    <s v="No definido"/>
    <s v="Si"/>
    <n v="424"/>
    <d v="2024-03-25T16:46:00"/>
    <s v="Activo"/>
    <d v="2023-12-26T15:39:00"/>
    <d v="2024-03-25T16:46:00"/>
    <x v="0"/>
    <m/>
    <m/>
    <m/>
    <m/>
    <m/>
    <m/>
  </r>
  <r>
    <s v="Persona"/>
    <s v="No"/>
    <s v="10832521-6"/>
    <x v="128"/>
    <s v="Gatica Mena"/>
    <s v="Fernando Gatica Mena"/>
    <s v="Sin Giro"/>
    <s v="fernandogaticamena@gmail.com"/>
    <m/>
    <m/>
    <m/>
    <m/>
    <m/>
    <s v="No"/>
    <n v="0"/>
    <s v="No"/>
    <s v="No definido"/>
    <s v="Si"/>
    <n v="87"/>
    <d v="2023-12-26T19:06:00"/>
    <s v="Activo"/>
    <d v="2023-12-26T17:31:00"/>
    <d v="2023-12-26T19:06:00"/>
    <x v="45"/>
    <m/>
    <m/>
    <m/>
    <m/>
    <m/>
    <m/>
  </r>
  <r>
    <s v="Persona"/>
    <s v="No"/>
    <s v="14136533-9"/>
    <x v="131"/>
    <s v="Villanueva"/>
    <s v="Ines Villanueva"/>
    <s v="Sin Giro"/>
    <s v="inesvillanueva@gmail.com"/>
    <m/>
    <m/>
    <m/>
    <m/>
    <m/>
    <s v="No"/>
    <n v="0"/>
    <s v="No"/>
    <s v="No definido"/>
    <s v="Si"/>
    <n v="231"/>
    <d v="2024-02-24T16:37:00"/>
    <s v="Activo"/>
    <d v="2023-12-26T20:26:00"/>
    <d v="2024-02-24T16:37:00"/>
    <x v="58"/>
    <m/>
    <m/>
    <m/>
    <m/>
    <m/>
    <m/>
  </r>
  <r>
    <s v="Persona"/>
    <s v="No"/>
    <s v="6690832-1"/>
    <x v="132"/>
    <s v="Meneses"/>
    <s v="Alvaro Meneses"/>
    <s v="Sin Giro"/>
    <s v="amenesesr@gmail.com"/>
    <m/>
    <m/>
    <m/>
    <m/>
    <m/>
    <s v="No"/>
    <n v="0"/>
    <s v="No"/>
    <s v="No definido"/>
    <s v="Si"/>
    <n v="77"/>
    <d v="2023-12-27T12:10:00"/>
    <s v="Activo"/>
    <d v="2023-12-27T12:09:00"/>
    <d v="2023-12-27T12:10:00"/>
    <x v="59"/>
    <m/>
    <m/>
    <m/>
    <m/>
    <m/>
    <m/>
  </r>
  <r>
    <s v="Persona"/>
    <s v="No"/>
    <s v="15584416-7"/>
    <x v="133"/>
    <s v="Aguilera"/>
    <s v="Gustavo Aguilera"/>
    <s v="Sin Giro"/>
    <s v="gusthof@gmail.com"/>
    <m/>
    <m/>
    <m/>
    <m/>
    <m/>
    <s v="No"/>
    <n v="0"/>
    <s v="No"/>
    <s v="No definido"/>
    <s v="Si"/>
    <n v="77"/>
    <d v="2023-12-27T14:25:00"/>
    <s v="Activo"/>
    <d v="2023-12-27T14:24:00"/>
    <d v="2023-12-27T14:25:00"/>
    <x v="19"/>
    <m/>
    <m/>
    <m/>
    <m/>
    <m/>
    <m/>
  </r>
  <r>
    <s v="Persona"/>
    <s v="No"/>
    <s v="14044994-6"/>
    <x v="134"/>
    <s v="Vasquez"/>
    <s v="Silvia Vasquez"/>
    <s v="Sin Giro"/>
    <s v="sylvia_vasquezs@hotmail.com"/>
    <m/>
    <m/>
    <m/>
    <m/>
    <m/>
    <s v="No"/>
    <n v="0"/>
    <s v="No"/>
    <s v="No definido"/>
    <s v="Si"/>
    <n v="77"/>
    <d v="2023-12-27T15:12:00"/>
    <s v="Activo"/>
    <d v="2023-12-27T15:12:00"/>
    <d v="2023-12-27T15:12:00"/>
    <x v="60"/>
    <m/>
    <m/>
    <m/>
    <m/>
    <m/>
    <m/>
  </r>
  <r>
    <s v="Persona"/>
    <s v="No"/>
    <s v="9385025-4"/>
    <x v="135"/>
    <s v="Ferrada"/>
    <s v="Ricardo Ferrada"/>
    <s v="Sin Giro"/>
    <s v="rdo_jfl@hotmail.com"/>
    <m/>
    <m/>
    <m/>
    <m/>
    <m/>
    <s v="No"/>
    <n v="0"/>
    <s v="No"/>
    <s v="No definido"/>
    <s v="Si"/>
    <n v="154"/>
    <d v="2023-12-28T14:39:00"/>
    <s v="Activo"/>
    <d v="2023-12-27T15:31:00"/>
    <d v="2023-12-28T14:39:00"/>
    <x v="61"/>
    <m/>
    <m/>
    <m/>
    <m/>
    <m/>
    <m/>
  </r>
  <r>
    <s v="Persona"/>
    <s v="No"/>
    <s v="14578207-4"/>
    <x v="136"/>
    <s v="Lafferte"/>
    <s v="Manuel Lafferte"/>
    <s v="Sin Giro"/>
    <s v="mlaffertem@yahoo.com"/>
    <m/>
    <m/>
    <m/>
    <m/>
    <m/>
    <s v="No"/>
    <n v="0"/>
    <s v="No"/>
    <s v="No definido"/>
    <s v="Si"/>
    <n v="87"/>
    <d v="2023-12-27T18:01:00"/>
    <s v="Activo"/>
    <d v="2023-12-27T18:00:00"/>
    <d v="2023-12-27T18:01:00"/>
    <x v="19"/>
    <m/>
    <m/>
    <m/>
    <m/>
    <m/>
    <m/>
  </r>
  <r>
    <s v="Persona"/>
    <s v="No"/>
    <s v="13465628-K"/>
    <x v="137"/>
    <s v="Muñoz"/>
    <s v="Deniss Muñoz"/>
    <s v="Sin Giro"/>
    <s v="denissbiograd@hotmail.com"/>
    <m/>
    <m/>
    <m/>
    <m/>
    <m/>
    <s v="No"/>
    <n v="0"/>
    <s v="No"/>
    <s v="No definido"/>
    <s v="Si"/>
    <n v="717"/>
    <d v="2024-03-08T11:27:00"/>
    <s v="Activo"/>
    <d v="2023-12-27T18:57:00"/>
    <d v="2024-03-08T11:27:00"/>
    <x v="62"/>
    <m/>
    <m/>
    <m/>
    <m/>
    <m/>
    <m/>
  </r>
  <r>
    <s v="Persona"/>
    <s v="No"/>
    <s v="10707800-2"/>
    <x v="138"/>
    <s v="Kendall"/>
    <s v="Maryory Kendall"/>
    <s v="Sin Giro"/>
    <s v="mkendalles@gmail.com"/>
    <m/>
    <m/>
    <m/>
    <m/>
    <m/>
    <s v="No"/>
    <n v="0"/>
    <s v="No"/>
    <s v="No definido"/>
    <s v="Si"/>
    <n v="409"/>
    <d v="2024-04-16T18:50:00"/>
    <s v="Activo"/>
    <d v="2023-12-27T19:40:00"/>
    <d v="2024-04-16T18:50:00"/>
    <x v="63"/>
    <m/>
    <m/>
    <m/>
    <m/>
    <m/>
    <m/>
  </r>
  <r>
    <s v="Persona"/>
    <s v="No"/>
    <s v="15534028-2"/>
    <x v="139"/>
    <s v="Hermosilla"/>
    <s v="Tomas Hermosilla"/>
    <s v="Sin Giro"/>
    <s v="tomas.hermosilla@hotmail.com"/>
    <m/>
    <m/>
    <m/>
    <m/>
    <m/>
    <s v="No"/>
    <n v="0"/>
    <s v="No"/>
    <s v="No definido"/>
    <s v="Si"/>
    <n v="77"/>
    <d v="2023-12-27T20:16:00"/>
    <s v="Activo"/>
    <d v="2023-12-27T20:15:00"/>
    <d v="2023-12-27T20:16:00"/>
    <x v="19"/>
    <m/>
    <m/>
    <m/>
    <m/>
    <m/>
    <m/>
  </r>
  <r>
    <s v="Persona"/>
    <s v="No"/>
    <s v="13893506-K"/>
    <x v="140"/>
    <s v="Llanos"/>
    <s v="Marisol Llanos"/>
    <s v="Sin Giro"/>
    <s v="marisol.llanosrozas@gmail.com"/>
    <m/>
    <m/>
    <m/>
    <m/>
    <m/>
    <s v="No"/>
    <n v="0"/>
    <s v="No"/>
    <s v="No definido"/>
    <s v="Si"/>
    <n v="240"/>
    <d v="2024-01-31T16:30:00"/>
    <s v="Activo"/>
    <d v="2023-12-28T11:44:00"/>
    <d v="2024-01-31T16:30:00"/>
    <x v="64"/>
    <m/>
    <m/>
    <m/>
    <m/>
    <m/>
    <m/>
  </r>
  <r>
    <s v="Persona"/>
    <s v="No"/>
    <s v="21833292-7"/>
    <x v="141"/>
    <s v="Sanchez"/>
    <s v="Trinidad Sanchez"/>
    <s v="Sin Giro"/>
    <s v="trinidadsanchez2414@gmail.com"/>
    <m/>
    <m/>
    <m/>
    <m/>
    <m/>
    <s v="No"/>
    <n v="0"/>
    <s v="No"/>
    <s v="No definido"/>
    <s v="Si"/>
    <n v="0"/>
    <d v="2024-04-17T20:44:00"/>
    <s v="Activo"/>
    <d v="2023-12-28T13:10:00"/>
    <d v="2023-12-28T13:10:00"/>
    <x v="49"/>
    <m/>
    <m/>
    <m/>
    <m/>
    <m/>
    <m/>
  </r>
  <r>
    <s v="Persona"/>
    <s v="No"/>
    <s v="17602481-K"/>
    <x v="142"/>
    <s v="Abufhele"/>
    <s v="Tamara Abufhele"/>
    <s v="Sin Giro"/>
    <s v="tamara.abufhele@gmail.com"/>
    <m/>
    <m/>
    <m/>
    <m/>
    <m/>
    <s v="No"/>
    <n v="0"/>
    <s v="No"/>
    <s v="No definido"/>
    <s v="Si"/>
    <n v="87"/>
    <d v="2023-12-28T14:27:00"/>
    <s v="Activo"/>
    <d v="2023-12-28T14:25:00"/>
    <d v="2023-12-28T14:27:00"/>
    <x v="65"/>
    <m/>
    <m/>
    <m/>
    <m/>
    <m/>
    <m/>
  </r>
  <r>
    <s v="Persona"/>
    <s v="No"/>
    <s v="12244349-3"/>
    <x v="143"/>
    <s v="De Juan K"/>
    <s v="Elizabeth De Juan K"/>
    <s v="Sin Giro"/>
    <s v="ely.dejuan36@gmail.com"/>
    <m/>
    <m/>
    <m/>
    <m/>
    <m/>
    <s v="No"/>
    <n v="0"/>
    <s v="No"/>
    <s v="No definido"/>
    <s v="Si"/>
    <n v="77"/>
    <d v="2023-12-28T15:07:00"/>
    <s v="Activo"/>
    <d v="2023-12-28T15:06:00"/>
    <d v="2023-12-28T15:07:00"/>
    <x v="49"/>
    <m/>
    <m/>
    <m/>
    <m/>
    <m/>
    <m/>
  </r>
  <r>
    <s v="Persona"/>
    <s v="No"/>
    <s v="12642769-7"/>
    <x v="144"/>
    <s v="Hernández"/>
    <s v="Boris Hernández"/>
    <s v="Sin Giro"/>
    <s v="borishernandez1@gmail.com"/>
    <m/>
    <m/>
    <m/>
    <m/>
    <m/>
    <s v="No"/>
    <n v="0"/>
    <s v="No"/>
    <s v="No definido"/>
    <s v="Si"/>
    <n v="87"/>
    <d v="2023-12-28T16:02:00"/>
    <s v="Activo"/>
    <d v="2023-12-28T16:02:00"/>
    <d v="2023-12-28T16:02:00"/>
    <x v="32"/>
    <m/>
    <m/>
    <m/>
    <m/>
    <m/>
    <m/>
  </r>
  <r>
    <s v="Persona"/>
    <s v="No"/>
    <s v="18390878-2"/>
    <x v="145"/>
    <s v="Piñeda"/>
    <s v="Macarena Piñeda"/>
    <s v="Sin Giro"/>
    <s v="macapinedas@gmail.com"/>
    <m/>
    <m/>
    <m/>
    <m/>
    <m/>
    <s v="No"/>
    <n v="0"/>
    <s v="No"/>
    <s v="No definido"/>
    <s v="Si"/>
    <n v="77"/>
    <d v="2023-12-28T16:10:00"/>
    <s v="Activo"/>
    <d v="2023-12-28T16:09:00"/>
    <d v="2023-12-28T16:10:00"/>
    <x v="49"/>
    <m/>
    <m/>
    <m/>
    <m/>
    <m/>
    <m/>
  </r>
  <r>
    <s v="Persona"/>
    <s v="Si"/>
    <s v="28284043k"/>
    <x v="146"/>
    <s v="Ramirez"/>
    <s v="Shunashi Ramirez"/>
    <s v="Sin Giro"/>
    <s v="ramirezsunn@gmail.com"/>
    <m/>
    <m/>
    <m/>
    <m/>
    <m/>
    <s v="No"/>
    <n v="0"/>
    <s v="No"/>
    <s v="No definido"/>
    <s v="Si"/>
    <n v="77"/>
    <d v="2023-12-28T16:14:00"/>
    <s v="Activo"/>
    <d v="2023-12-28T16:13:00"/>
    <d v="2023-12-28T16:14:00"/>
    <x v="49"/>
    <m/>
    <m/>
    <m/>
    <m/>
    <m/>
    <m/>
  </r>
  <r>
    <s v="Persona"/>
    <s v="No"/>
    <s v="6817040-0"/>
    <x v="147"/>
    <s v="Oggero"/>
    <s v="Ximena Oggero"/>
    <s v="Sin Giro"/>
    <s v="ximenaoggero@gmail.com"/>
    <m/>
    <m/>
    <m/>
    <m/>
    <m/>
    <s v="No"/>
    <n v="0"/>
    <s v="No"/>
    <s v="No definido"/>
    <s v="Si"/>
    <n v="77"/>
    <d v="2023-12-29T13:29:00"/>
    <s v="Activo"/>
    <d v="2023-12-29T13:29:00"/>
    <d v="2023-12-29T13:29:00"/>
    <x v="0"/>
    <m/>
    <m/>
    <m/>
    <m/>
    <m/>
    <m/>
  </r>
  <r>
    <s v="Persona"/>
    <s v="No"/>
    <s v="21464318-9"/>
    <x v="148"/>
    <s v="Czerwenka"/>
    <s v="Daria Czerwenka"/>
    <s v="Sin Giro"/>
    <s v="dzerwenkae@gmail.com"/>
    <m/>
    <m/>
    <m/>
    <m/>
    <m/>
    <s v="No"/>
    <n v="0"/>
    <s v="No"/>
    <s v="No definido"/>
    <s v="Si"/>
    <n v="77"/>
    <d v="2023-12-29T13:32:00"/>
    <s v="Activo"/>
    <d v="2023-12-29T13:32:00"/>
    <d v="2023-12-29T13:32:00"/>
    <x v="0"/>
    <m/>
    <m/>
    <m/>
    <m/>
    <m/>
    <m/>
  </r>
  <r>
    <s v="Persona"/>
    <s v="No"/>
    <s v="20899648-7"/>
    <x v="149"/>
    <s v="Freidzon"/>
    <s v="shirly Freidzon"/>
    <s v="Sin Giro"/>
    <s v="sfreidzonm@gmail.com"/>
    <m/>
    <m/>
    <m/>
    <m/>
    <m/>
    <s v="No"/>
    <n v="0"/>
    <s v="No"/>
    <s v="No definido"/>
    <s v="Si"/>
    <n v="87"/>
    <d v="2023-12-29T13:36:00"/>
    <s v="Activo"/>
    <d v="2023-12-29T13:34:00"/>
    <d v="2023-12-29T13:36:00"/>
    <x v="0"/>
    <m/>
    <m/>
    <m/>
    <m/>
    <m/>
    <m/>
  </r>
  <r>
    <s v="Persona"/>
    <s v="No"/>
    <s v="21141511-8"/>
    <x v="150"/>
    <s v="Palma"/>
    <s v="Ian Palma"/>
    <s v="Sin Giro"/>
    <s v="ianpalma469@gmail.com"/>
    <m/>
    <m/>
    <m/>
    <m/>
    <m/>
    <s v="No"/>
    <n v="0"/>
    <s v="No"/>
    <s v="No definido"/>
    <s v="Si"/>
    <n v="0"/>
    <d v="2024-04-17T20:44:00"/>
    <s v="Activo"/>
    <d v="2023-12-29T17:48:00"/>
    <d v="2023-12-29T17:48:00"/>
    <x v="0"/>
    <m/>
    <m/>
    <m/>
    <m/>
    <m/>
    <m/>
  </r>
  <r>
    <s v="Persona"/>
    <s v="No"/>
    <s v="12494796-0"/>
    <x v="151"/>
    <s v="Caris"/>
    <s v="Miguel Caris"/>
    <s v="Sin Giro"/>
    <s v="miguel.v.caris@gmail.com"/>
    <m/>
    <m/>
    <m/>
    <m/>
    <m/>
    <s v="No"/>
    <n v="0"/>
    <s v="No"/>
    <s v="No definido"/>
    <s v="Si"/>
    <n v="87"/>
    <d v="2023-12-29T20:23:00"/>
    <s v="Activo"/>
    <d v="2023-12-29T20:23:00"/>
    <d v="2023-12-29T20:23:00"/>
    <x v="0"/>
    <m/>
    <m/>
    <m/>
    <m/>
    <m/>
    <m/>
  </r>
  <r>
    <s v="Persona"/>
    <s v="No"/>
    <s v="9384963-9"/>
    <x v="152"/>
    <s v="Solari"/>
    <s v="Paola Solari"/>
    <s v="Sin Giro"/>
    <s v="psolari17@gmail.com"/>
    <m/>
    <m/>
    <m/>
    <m/>
    <m/>
    <s v="No"/>
    <n v="0"/>
    <s v="No"/>
    <s v="No definido"/>
    <s v="Si"/>
    <n v="87"/>
    <d v="2023-12-30T13:32:00"/>
    <s v="Activo"/>
    <d v="2023-12-30T13:31:00"/>
    <d v="2023-12-30T13:32:00"/>
    <x v="0"/>
    <m/>
    <m/>
    <m/>
    <m/>
    <m/>
    <m/>
  </r>
  <r>
    <s v="Persona"/>
    <s v="No"/>
    <s v="15379575-4"/>
    <x v="153"/>
    <s v="Cepeda"/>
    <s v="Loreto Cepeda"/>
    <s v="Sin Giro"/>
    <s v="loreto.cepeda@gmail.com"/>
    <m/>
    <m/>
    <m/>
    <m/>
    <m/>
    <s v="No"/>
    <n v="0"/>
    <s v="No"/>
    <s v="No definido"/>
    <s v="Si"/>
    <n v="87"/>
    <d v="2023-12-30T14:28:00"/>
    <s v="Activo"/>
    <d v="2023-12-30T14:26:00"/>
    <d v="2023-12-30T14:28:00"/>
    <x v="0"/>
    <m/>
    <m/>
    <m/>
    <m/>
    <m/>
    <m/>
  </r>
  <r>
    <s v="Persona"/>
    <s v="No"/>
    <s v="9348917-9"/>
    <x v="154"/>
    <s v="Barrera"/>
    <s v="Sole Barrera"/>
    <s v="Sin Giro"/>
    <s v="sole.barrera.d@gmail.com"/>
    <m/>
    <m/>
    <m/>
    <m/>
    <m/>
    <s v="No"/>
    <n v="0"/>
    <s v="No"/>
    <s v="No definido"/>
    <s v="Si"/>
    <n v="87"/>
    <d v="2023-12-30T15:31:00"/>
    <s v="Activo"/>
    <d v="2023-12-30T15:14:00"/>
    <d v="2023-12-30T15:31:00"/>
    <x v="0"/>
    <m/>
    <m/>
    <m/>
    <m/>
    <m/>
    <m/>
  </r>
  <r>
    <s v="Persona"/>
    <s v="No"/>
    <s v="13967151-1"/>
    <x v="155"/>
    <s v="Almona"/>
    <s v="Cris Almona"/>
    <s v="Sin Giro"/>
    <s v="cris.almona1979@gmail.com"/>
    <m/>
    <m/>
    <m/>
    <m/>
    <m/>
    <s v="No"/>
    <n v="0"/>
    <s v="No"/>
    <s v="No definido"/>
    <s v="Si"/>
    <n v="77"/>
    <d v="2023-12-30T15:33:00"/>
    <s v="Activo"/>
    <d v="2023-12-30T15:32:00"/>
    <d v="2023-12-30T15:33:00"/>
    <x v="0"/>
    <m/>
    <m/>
    <m/>
    <m/>
    <m/>
    <m/>
  </r>
  <r>
    <s v="Persona"/>
    <s v="No"/>
    <s v="21013206-6"/>
    <x v="104"/>
    <s v="Cardenas"/>
    <s v="Felipe Cardenas"/>
    <s v="Sin Giro"/>
    <s v="felipecardenas301@gmail.com"/>
    <m/>
    <m/>
    <m/>
    <m/>
    <m/>
    <s v="No"/>
    <n v="0"/>
    <s v="No"/>
    <s v="No definido"/>
    <s v="Si"/>
    <n v="87"/>
    <d v="2023-12-30T15:35:00"/>
    <s v="Activo"/>
    <d v="2023-12-30T15:34:00"/>
    <d v="2023-12-30T15:35:00"/>
    <x v="0"/>
    <m/>
    <m/>
    <m/>
    <m/>
    <m/>
    <m/>
  </r>
  <r>
    <s v="Persona"/>
    <s v="No"/>
    <s v="26516941-4"/>
    <x v="45"/>
    <s v="Penzo"/>
    <s v="Carlos Penzo"/>
    <s v="Sin Giro"/>
    <s v="carlospenzo.12@gmail.com"/>
    <m/>
    <m/>
    <m/>
    <m/>
    <m/>
    <s v="No"/>
    <n v="0"/>
    <s v="No"/>
    <s v="No definido"/>
    <s v="Si"/>
    <n v="77"/>
    <d v="2023-12-30T20:08:00"/>
    <s v="Activo"/>
    <d v="2023-12-30T20:07:00"/>
    <d v="2023-12-30T20:08:00"/>
    <x v="0"/>
    <m/>
    <m/>
    <m/>
    <m/>
    <m/>
    <m/>
  </r>
  <r>
    <s v="Persona"/>
    <s v="No"/>
    <s v="20898781-K"/>
    <x v="30"/>
    <s v="Suarez"/>
    <s v="Hernan Suarez"/>
    <s v="Sin Giro"/>
    <s v="hgsuarez@uc.cl"/>
    <m/>
    <m/>
    <m/>
    <m/>
    <m/>
    <s v="No"/>
    <n v="0"/>
    <s v="No"/>
    <s v="No definido"/>
    <s v="Si"/>
    <n v="77"/>
    <d v="2024-01-02T12:44:00"/>
    <s v="Activo"/>
    <d v="2024-01-02T12:34:00"/>
    <d v="2024-01-02T12:44:00"/>
    <x v="19"/>
    <m/>
    <m/>
    <m/>
    <m/>
    <m/>
    <m/>
  </r>
  <r>
    <s v="Persona"/>
    <s v="No"/>
    <s v="12484838-5"/>
    <x v="156"/>
    <s v="Castelli"/>
    <s v="Giorgio Castelli"/>
    <s v="Sin Giro"/>
    <s v="gcastellio@gmail.com"/>
    <m/>
    <m/>
    <m/>
    <m/>
    <m/>
    <s v="No"/>
    <n v="0"/>
    <s v="No"/>
    <s v="No definido"/>
    <s v="Si"/>
    <n v="77"/>
    <d v="2024-01-02T12:49:00"/>
    <s v="Activo"/>
    <d v="2024-01-02T12:48:00"/>
    <d v="2024-01-02T12:49:00"/>
    <x v="66"/>
    <m/>
    <m/>
    <m/>
    <m/>
    <m/>
    <m/>
  </r>
  <r>
    <s v="Persona"/>
    <s v="No"/>
    <s v="20296121-5"/>
    <x v="157"/>
    <s v="Sepulveda "/>
    <s v="Juan Pablo  Sepulveda "/>
    <s v="Sin Giro"/>
    <s v="jpsepulveda00@gmail.com"/>
    <m/>
    <m/>
    <m/>
    <m/>
    <m/>
    <s v="No"/>
    <n v="0"/>
    <s v="No"/>
    <s v="No definido"/>
    <s v="Si"/>
    <n v="221"/>
    <d v="2024-02-03T21:11:00"/>
    <s v="Activo"/>
    <d v="2024-01-02T14:39:00"/>
    <d v="2024-02-03T21:11:00"/>
    <x v="0"/>
    <m/>
    <m/>
    <m/>
    <m/>
    <m/>
    <m/>
  </r>
  <r>
    <s v="Persona"/>
    <s v="No"/>
    <s v="18992418-6"/>
    <x v="158"/>
    <s v="garcía"/>
    <s v="mariana garcía"/>
    <s v="Sin Giro"/>
    <s v="marianapazgarcia@gmail.com"/>
    <m/>
    <m/>
    <m/>
    <m/>
    <m/>
    <s v="No"/>
    <n v="0"/>
    <s v="No"/>
    <s v="No definido"/>
    <s v="Si"/>
    <n v="50"/>
    <d v="2024-01-02T16:59:00"/>
    <s v="Activo"/>
    <d v="2024-01-02T16:58:00"/>
    <d v="2024-01-02T16:59:00"/>
    <x v="19"/>
    <m/>
    <m/>
    <m/>
    <m/>
    <m/>
    <m/>
  </r>
  <r>
    <s v="Persona"/>
    <s v="No"/>
    <s v="18731231-0"/>
    <x v="61"/>
    <s v="cortes"/>
    <s v="sebastian cortes"/>
    <s v="Sin Giro"/>
    <s v="sebastian.cortesm@gmail.com"/>
    <m/>
    <m/>
    <m/>
    <m/>
    <m/>
    <s v="No"/>
    <n v="0"/>
    <s v="No"/>
    <s v="No definido"/>
    <s v="Si"/>
    <n v="77"/>
    <d v="2024-01-02T17:28:00"/>
    <s v="Activo"/>
    <d v="2024-01-02T17:11:00"/>
    <d v="2024-01-02T17:28:00"/>
    <x v="67"/>
    <m/>
    <m/>
    <m/>
    <m/>
    <m/>
    <m/>
  </r>
  <r>
    <s v="Persona"/>
    <s v="No"/>
    <s v="15388151-0"/>
    <x v="5"/>
    <s v="Videla"/>
    <s v="Jorge  Videla"/>
    <s v="Sin Giro"/>
    <s v="videlajorge57@gmail.com"/>
    <m/>
    <m/>
    <m/>
    <m/>
    <m/>
    <s v="No"/>
    <n v="0"/>
    <s v="No"/>
    <s v="No definido"/>
    <s v="Si"/>
    <n v="33"/>
    <d v="2024-01-02T17:31:00"/>
    <s v="Activo"/>
    <d v="2024-01-02T17:30:00"/>
    <d v="2024-01-02T17:31:00"/>
    <x v="68"/>
    <m/>
    <m/>
    <m/>
    <m/>
    <m/>
    <m/>
  </r>
  <r>
    <s v="Persona"/>
    <s v="No"/>
    <s v="20299274-9"/>
    <x v="159"/>
    <s v="Quintanilla"/>
    <s v="Emilia  Quintanilla"/>
    <s v="Sin Giro"/>
    <s v="emi.quintanilla@gmail.com"/>
    <m/>
    <m/>
    <m/>
    <m/>
    <m/>
    <s v="No"/>
    <n v="0"/>
    <s v="No"/>
    <s v="No definido"/>
    <s v="Si"/>
    <n v="328"/>
    <d v="2024-02-19T17:38:00"/>
    <s v="Activo"/>
    <d v="2024-01-02T17:52:00"/>
    <d v="2024-02-19T17:38:00"/>
    <x v="0"/>
    <m/>
    <m/>
    <m/>
    <m/>
    <m/>
    <m/>
  </r>
  <r>
    <s v="Persona"/>
    <s v="No"/>
    <s v="19648519-8"/>
    <x v="120"/>
    <s v="Rivas"/>
    <s v="Camila Rivas"/>
    <s v="Sin Giro"/>
    <s v="caamirivasc@gmail.com"/>
    <m/>
    <m/>
    <m/>
    <m/>
    <m/>
    <s v="No"/>
    <n v="0"/>
    <s v="No"/>
    <s v="No definido"/>
    <s v="Si"/>
    <n v="207"/>
    <d v="2024-03-06T18:33:00"/>
    <s v="Activo"/>
    <d v="2024-01-02T20:37:00"/>
    <d v="2024-03-06T18:33:00"/>
    <x v="0"/>
    <m/>
    <m/>
    <m/>
    <m/>
    <m/>
    <m/>
  </r>
  <r>
    <s v="Persona"/>
    <s v="No"/>
    <s v="13698614-7"/>
    <x v="74"/>
    <s v="Rojas Venegas"/>
    <s v="Claudia Rojas Venegas"/>
    <s v="Sin Giro"/>
    <s v="rojasvenegasclaudia@gmail.com"/>
    <m/>
    <m/>
    <m/>
    <m/>
    <m/>
    <s v="No"/>
    <n v="0"/>
    <s v="No"/>
    <s v="No definido"/>
    <s v="Si"/>
    <n v="73"/>
    <d v="2024-01-03T12:09:00"/>
    <s v="Activo"/>
    <d v="2024-01-03T11:52:00"/>
    <d v="2024-01-03T12:09:00"/>
    <x v="0"/>
    <m/>
    <m/>
    <m/>
    <m/>
    <m/>
    <m/>
  </r>
  <r>
    <s v="Persona"/>
    <s v="Si"/>
    <s v="55555555-5"/>
    <x v="160"/>
    <s v="Llanos"/>
    <s v="Carlo Llanos"/>
    <s v="Sin Giro"/>
    <s v="fabriciolla3@gmail.com"/>
    <m/>
    <m/>
    <m/>
    <m/>
    <m/>
    <s v="No"/>
    <n v="0"/>
    <s v="No"/>
    <s v="No definido"/>
    <s v="Si"/>
    <n v="0"/>
    <d v="2024-03-14T12:33:00"/>
    <s v="Inactivo"/>
    <d v="2024-01-03T15:02:00"/>
    <d v="2024-03-14T12:35:00"/>
    <x v="0"/>
    <m/>
    <m/>
    <m/>
    <m/>
    <m/>
    <m/>
  </r>
  <r>
    <s v="Persona"/>
    <s v="No"/>
    <s v="19078432-0"/>
    <x v="120"/>
    <s v="Roco"/>
    <s v="Camila Roco"/>
    <s v="Sin Giro"/>
    <s v="caami.pm@gmail.com"/>
    <m/>
    <m/>
    <m/>
    <m/>
    <m/>
    <s v="No"/>
    <n v="0"/>
    <s v="No"/>
    <s v="No definido"/>
    <s v="Si"/>
    <n v="337"/>
    <d v="2024-04-06T13:12:00"/>
    <s v="Activo"/>
    <d v="2024-01-03T15:28:00"/>
    <d v="2024-04-06T13:12:00"/>
    <x v="69"/>
    <m/>
    <m/>
    <m/>
    <m/>
    <m/>
    <m/>
  </r>
  <r>
    <s v="Persona"/>
    <s v="No"/>
    <s v="15316654-4"/>
    <x v="161"/>
    <s v="Palma"/>
    <s v="Romina  Palma"/>
    <s v="Sin Giro"/>
    <s v="romina.palma@gmail.com"/>
    <m/>
    <m/>
    <m/>
    <m/>
    <m/>
    <s v="No"/>
    <n v="0"/>
    <s v="No"/>
    <s v="No definido"/>
    <s v="Si"/>
    <n v="77"/>
    <d v="2024-01-03T16:25:00"/>
    <s v="Activo"/>
    <d v="2024-01-03T16:24:00"/>
    <d v="2024-01-03T16:25:00"/>
    <x v="70"/>
    <m/>
    <m/>
    <m/>
    <m/>
    <m/>
    <m/>
  </r>
  <r>
    <s v="Persona"/>
    <s v="No"/>
    <s v="19960630-1"/>
    <x v="162"/>
    <s v="Guajardo"/>
    <s v="Micaella Guajardo"/>
    <s v="Sin Giro"/>
    <s v="mica.guajardo.p@gmail.com"/>
    <m/>
    <m/>
    <m/>
    <m/>
    <m/>
    <s v="No"/>
    <n v="0"/>
    <s v="No"/>
    <s v="No definido"/>
    <s v="Si"/>
    <n v="163"/>
    <d v="2024-03-07T19:40:00"/>
    <s v="Activo"/>
    <d v="2024-01-03T18:47:00"/>
    <d v="2024-03-07T19:40:00"/>
    <x v="0"/>
    <m/>
    <m/>
    <m/>
    <m/>
    <m/>
    <m/>
  </r>
  <r>
    <s v="Persona"/>
    <s v="No"/>
    <s v="19039709-2"/>
    <x v="29"/>
    <s v="Moreno Serrano"/>
    <s v="Daniela Moreno Serrano"/>
    <s v="Sin Giro"/>
    <s v="dmorenoserrano@gmail.com"/>
    <m/>
    <m/>
    <m/>
    <m/>
    <m/>
    <s v="No"/>
    <n v="0"/>
    <s v="No"/>
    <s v="No definido"/>
    <s v="Si"/>
    <n v="77"/>
    <d v="2024-01-03T18:57:00"/>
    <s v="Activo"/>
    <d v="2024-01-03T18:57:00"/>
    <d v="2024-01-03T18:57:00"/>
    <x v="0"/>
    <m/>
    <m/>
    <m/>
    <m/>
    <m/>
    <m/>
  </r>
  <r>
    <s v="Persona"/>
    <s v="No"/>
    <s v="13240601-4"/>
    <x v="72"/>
    <s v="Mayor"/>
    <s v="Cristian Mayor"/>
    <s v="Sin Giro"/>
    <s v="cmayorm@gmail.com"/>
    <m/>
    <m/>
    <m/>
    <m/>
    <m/>
    <s v="No"/>
    <n v="0"/>
    <s v="No"/>
    <s v="No definido"/>
    <s v="Si"/>
    <n v="77"/>
    <d v="2024-01-03T18:59:00"/>
    <s v="Activo"/>
    <d v="2024-01-03T18:59:00"/>
    <d v="2024-01-03T18:59:00"/>
    <x v="19"/>
    <m/>
    <m/>
    <m/>
    <m/>
    <m/>
    <m/>
  </r>
  <r>
    <s v="Persona"/>
    <s v="No"/>
    <s v="16977557-5"/>
    <x v="163"/>
    <s v="Hayashi"/>
    <s v="Alejandro Hayashi"/>
    <s v="Sin Giro"/>
    <s v="alejandro.hayashi@gmail.com"/>
    <m/>
    <m/>
    <m/>
    <m/>
    <m/>
    <s v="No"/>
    <n v="0"/>
    <s v="No"/>
    <s v="No definido"/>
    <s v="Si"/>
    <n v="87"/>
    <d v="2024-01-03T19:45:00"/>
    <s v="Activo"/>
    <d v="2024-01-03T19:45:00"/>
    <d v="2024-01-03T19:45:00"/>
    <x v="71"/>
    <m/>
    <m/>
    <m/>
    <m/>
    <m/>
    <m/>
  </r>
  <r>
    <s v="Persona"/>
    <s v="No"/>
    <s v="12472427-9"/>
    <x v="32"/>
    <s v="González "/>
    <s v="Lorena González "/>
    <s v="Sin Giro"/>
    <s v="lorenagonzalez1973@outlook.cl"/>
    <m/>
    <m/>
    <m/>
    <m/>
    <m/>
    <s v="No"/>
    <n v="0"/>
    <s v="No"/>
    <s v="No definido"/>
    <s v="Si"/>
    <n v="500"/>
    <d v="2024-04-04T14:25:00"/>
    <s v="Activo"/>
    <d v="2024-01-04T10:19:00"/>
    <d v="2024-04-04T14:25:00"/>
    <x v="72"/>
    <m/>
    <m/>
    <m/>
    <m/>
    <m/>
    <m/>
  </r>
  <r>
    <s v="Persona"/>
    <s v="No"/>
    <s v="21641748-8"/>
    <x v="95"/>
    <s v="Lynch"/>
    <s v="Isidora Lynch"/>
    <s v="Sin Giro"/>
    <s v="isipazlych@gmail.com"/>
    <m/>
    <m/>
    <m/>
    <m/>
    <m/>
    <s v="No"/>
    <n v="0"/>
    <s v="No"/>
    <s v="No definido"/>
    <s v="Si"/>
    <n v="77"/>
    <d v="2024-01-04T11:54:00"/>
    <s v="Activo"/>
    <d v="2024-01-04T11:53:00"/>
    <d v="2024-01-04T11:54:00"/>
    <x v="73"/>
    <m/>
    <m/>
    <m/>
    <m/>
    <m/>
    <m/>
  </r>
  <r>
    <s v="Persona"/>
    <s v="No"/>
    <s v="27309145-9"/>
    <x v="64"/>
    <s v="Castillo"/>
    <s v="Jorge Castillo"/>
    <s v="Sin Giro"/>
    <s v="jorgehisagi@gmail.com"/>
    <m/>
    <m/>
    <m/>
    <m/>
    <m/>
    <s v="No"/>
    <n v="0"/>
    <s v="No"/>
    <s v="No definido"/>
    <s v="Si"/>
    <n v="78"/>
    <d v="2024-04-10T16:46:00"/>
    <s v="Activo"/>
    <d v="2024-01-04T13:37:00"/>
    <d v="2024-04-10T16:46:00"/>
    <x v="74"/>
    <m/>
    <m/>
    <m/>
    <m/>
    <m/>
    <m/>
  </r>
  <r>
    <s v="Persona"/>
    <s v="No"/>
    <s v="15432872-6"/>
    <x v="29"/>
    <s v="Ramírez "/>
    <s v="Daniela Ramírez "/>
    <s v="Sin Giro"/>
    <s v="danipaz22@yahoo.es"/>
    <m/>
    <m/>
    <m/>
    <m/>
    <m/>
    <s v="No"/>
    <n v="0"/>
    <s v="No"/>
    <s v="No definido"/>
    <s v="Si"/>
    <n v="50"/>
    <d v="2024-01-04T14:16:00"/>
    <s v="Activo"/>
    <d v="2024-01-04T14:15:00"/>
    <d v="2024-01-04T14:16:00"/>
    <x v="49"/>
    <m/>
    <m/>
    <m/>
    <m/>
    <m/>
    <m/>
  </r>
  <r>
    <s v="Persona"/>
    <s v="No"/>
    <s v="11058519-5"/>
    <x v="109"/>
    <s v="Rosas"/>
    <s v="Constanza Rosas"/>
    <s v="Sin Giro"/>
    <s v="crosasc@uc.cl"/>
    <m/>
    <m/>
    <m/>
    <m/>
    <m/>
    <s v="No"/>
    <n v="0"/>
    <s v="No"/>
    <s v="No definido"/>
    <s v="Si"/>
    <n v="87"/>
    <d v="2024-01-04T18:02:00"/>
    <s v="Activo"/>
    <d v="2024-01-04T18:01:00"/>
    <d v="2024-01-04T18:02:00"/>
    <x v="75"/>
    <m/>
    <m/>
    <m/>
    <m/>
    <m/>
    <m/>
  </r>
  <r>
    <s v="Persona"/>
    <s v="No"/>
    <s v="20460382-0"/>
    <x v="164"/>
    <s v="alvarez"/>
    <s v="montserrat  alvarez"/>
    <s v="Sin Giro"/>
    <s v="montseyeso@gmail.com"/>
    <m/>
    <m/>
    <m/>
    <m/>
    <m/>
    <s v="No"/>
    <n v="0"/>
    <s v="No"/>
    <s v="No definido"/>
    <s v="Si"/>
    <n v="77"/>
    <d v="2024-01-04T19:28:00"/>
    <s v="Activo"/>
    <d v="2024-01-04T19:28:00"/>
    <d v="2024-01-04T19:28:00"/>
    <x v="76"/>
    <m/>
    <m/>
    <m/>
    <m/>
    <m/>
    <m/>
  </r>
  <r>
    <s v="Persona"/>
    <s v="No"/>
    <s v="17885382-1"/>
    <x v="165"/>
    <s v="Tapia"/>
    <s v="Gabryela Tapia"/>
    <s v="Sin Giro"/>
    <s v="gabyandreat@gmail.com"/>
    <m/>
    <m/>
    <m/>
    <m/>
    <m/>
    <s v="No"/>
    <n v="0"/>
    <s v="No"/>
    <s v="No definido"/>
    <s v="Si"/>
    <n v="77"/>
    <d v="2024-01-04T19:32:00"/>
    <s v="Activo"/>
    <d v="2024-01-04T19:32:00"/>
    <d v="2024-01-04T19:32:00"/>
    <x v="77"/>
    <m/>
    <m/>
    <m/>
    <m/>
    <m/>
    <m/>
  </r>
  <r>
    <s v="Persona"/>
    <s v="No"/>
    <s v="12833915-9"/>
    <x v="111"/>
    <s v="fernandez"/>
    <s v="francisco fernandez"/>
    <s v="Sin Giro"/>
    <s v="francisco.fer.albarracin@gmail.com"/>
    <m/>
    <m/>
    <m/>
    <m/>
    <m/>
    <s v="No"/>
    <n v="0"/>
    <s v="No"/>
    <s v="No definido"/>
    <s v="Si"/>
    <n v="154"/>
    <d v="2024-01-10T20:47:00"/>
    <s v="Activo"/>
    <d v="2024-01-04T21:34:00"/>
    <d v="2024-01-10T20:47:00"/>
    <x v="78"/>
    <m/>
    <m/>
    <m/>
    <m/>
    <m/>
    <m/>
  </r>
  <r>
    <s v="Persona"/>
    <s v="No"/>
    <s v="18936248-K"/>
    <x v="166"/>
    <s v="Vasquez"/>
    <s v="Joaquin Vasquez"/>
    <s v="Sin Giro"/>
    <s v="joaquinv.walter@gmail.com"/>
    <m/>
    <m/>
    <m/>
    <m/>
    <m/>
    <s v="No"/>
    <n v="0"/>
    <s v="No"/>
    <s v="No definido"/>
    <s v="Si"/>
    <n v="87"/>
    <d v="2024-01-04T22:08:00"/>
    <s v="Activo"/>
    <d v="2024-01-04T22:08:00"/>
    <d v="2024-01-04T22:08:00"/>
    <x v="0"/>
    <m/>
    <m/>
    <m/>
    <m/>
    <m/>
    <m/>
  </r>
  <r>
    <s v="Persona"/>
    <s v="No"/>
    <s v="18068837-4"/>
    <x v="41"/>
    <s v="Riquelme"/>
    <s v="Marcela  Riquelme"/>
    <s v="Sin Giro"/>
    <s v="marcela.riquelmec@gmail.com"/>
    <m/>
    <m/>
    <m/>
    <m/>
    <m/>
    <s v="No"/>
    <n v="0"/>
    <s v="No"/>
    <s v="No definido"/>
    <s v="Si"/>
    <n v="77"/>
    <d v="2024-01-05T13:35:00"/>
    <s v="Activo"/>
    <d v="2024-01-05T13:34:00"/>
    <d v="2024-01-05T13:35:00"/>
    <x v="0"/>
    <m/>
    <m/>
    <m/>
    <m/>
    <m/>
    <m/>
  </r>
  <r>
    <s v="Persona"/>
    <s v="No"/>
    <s v="15366683-0"/>
    <x v="167"/>
    <s v="Montoya"/>
    <s v="Virginia Montoya"/>
    <s v="Sin Giro"/>
    <s v="montoya.virginia@gmail.com"/>
    <m/>
    <m/>
    <m/>
    <m/>
    <m/>
    <s v="No"/>
    <n v="0"/>
    <s v="No"/>
    <s v="No definido"/>
    <s v="Si"/>
    <n v="127"/>
    <d v="2024-01-16T15:23:00"/>
    <s v="Activo"/>
    <d v="2024-01-05T13:51:00"/>
    <d v="2024-01-16T15:23:00"/>
    <x v="79"/>
    <m/>
    <m/>
    <m/>
    <m/>
    <m/>
    <m/>
  </r>
  <r>
    <s v="Persona"/>
    <s v="No"/>
    <s v="20107803-2"/>
    <x v="168"/>
    <s v="Manzo"/>
    <s v="Max Manzo"/>
    <s v="Sin Giro"/>
    <s v="miarsinho@gmail.com"/>
    <m/>
    <m/>
    <m/>
    <m/>
    <m/>
    <s v="No"/>
    <n v="0"/>
    <s v="No"/>
    <s v="No definido"/>
    <s v="Si"/>
    <n v="326"/>
    <d v="2024-02-14T16:43:00"/>
    <s v="Activo"/>
    <d v="2024-01-05T14:52:00"/>
    <d v="2024-02-14T16:43:00"/>
    <x v="80"/>
    <m/>
    <m/>
    <m/>
    <m/>
    <m/>
    <m/>
  </r>
  <r>
    <s v="Persona"/>
    <s v="No"/>
    <s v="15371918-7"/>
    <x v="169"/>
    <s v="Lillo"/>
    <s v="Patricia Lillo"/>
    <s v="Sin Giro"/>
    <s v="patricia.lilloleon@gmail.com"/>
    <m/>
    <m/>
    <m/>
    <m/>
    <m/>
    <s v="No"/>
    <n v="0"/>
    <s v="No"/>
    <s v="No definido"/>
    <s v="Si"/>
    <n v="77"/>
    <d v="2024-01-05T16:52:00"/>
    <s v="Activo"/>
    <d v="2024-01-05T16:51:00"/>
    <d v="2024-01-05T16:52:00"/>
    <x v="81"/>
    <m/>
    <m/>
    <m/>
    <m/>
    <m/>
    <m/>
  </r>
  <r>
    <s v="Persona"/>
    <s v="No"/>
    <s v="18168365-1"/>
    <x v="170"/>
    <s v="sepulveda"/>
    <s v="Manuela  sepulveda"/>
    <s v="Sin Giro"/>
    <s v="cmsepulvedas@gmail.com"/>
    <m/>
    <m/>
    <m/>
    <m/>
    <m/>
    <s v="No"/>
    <n v="0"/>
    <s v="No"/>
    <s v="No definido"/>
    <s v="Si"/>
    <n v="203"/>
    <d v="2024-01-05T18:18:00"/>
    <s v="Activo"/>
    <d v="2024-01-05T18:16:00"/>
    <d v="2024-01-05T18:18:00"/>
    <x v="82"/>
    <m/>
    <m/>
    <m/>
    <m/>
    <m/>
    <m/>
  </r>
  <r>
    <s v="Persona"/>
    <s v="No"/>
    <s v="18521733-7"/>
    <x v="171"/>
    <s v="acevedo"/>
    <s v="valeria  acevedo"/>
    <s v="Sin Giro"/>
    <s v="valeria.acevedofuentes@gmail.com"/>
    <m/>
    <m/>
    <m/>
    <m/>
    <m/>
    <s v="No"/>
    <n v="0"/>
    <s v="No"/>
    <s v="No definido"/>
    <s v="Si"/>
    <n v="77"/>
    <d v="2024-01-05T18:26:00"/>
    <s v="Activo"/>
    <d v="2024-01-05T18:25:00"/>
    <d v="2024-01-05T18:26:00"/>
    <x v="83"/>
    <m/>
    <m/>
    <m/>
    <m/>
    <m/>
    <m/>
  </r>
  <r>
    <s v="Persona"/>
    <s v="No"/>
    <s v="22871044-K"/>
    <x v="172"/>
    <s v="Contreras"/>
    <s v="Sebastian  Contreras"/>
    <s v="Sin Giro"/>
    <s v="sebastiancontreras82@hotmail.com"/>
    <m/>
    <m/>
    <m/>
    <m/>
    <m/>
    <s v="No"/>
    <n v="0"/>
    <s v="No"/>
    <s v="No definido"/>
    <s v="Si"/>
    <n v="77"/>
    <d v="2024-01-05T18:30:00"/>
    <s v="Activo"/>
    <d v="2024-01-05T18:29:00"/>
    <d v="2024-01-05T18:30:00"/>
    <x v="84"/>
    <m/>
    <m/>
    <m/>
    <m/>
    <m/>
    <m/>
  </r>
  <r>
    <s v="Persona"/>
    <s v="No"/>
    <s v="21522177-6"/>
    <x v="173"/>
    <s v="fuenzalida"/>
    <s v="montserrat fuenzalida"/>
    <s v="Sin Giro"/>
    <s v="m604fufe@gmail.com"/>
    <m/>
    <m/>
    <m/>
    <m/>
    <m/>
    <s v="No"/>
    <n v="0"/>
    <s v="No"/>
    <s v="No definido"/>
    <s v="Si"/>
    <n v="50"/>
    <d v="2024-01-05T18:50:00"/>
    <s v="Activo"/>
    <d v="2024-01-05T18:49:00"/>
    <d v="2024-01-05T18:50:00"/>
    <x v="0"/>
    <m/>
    <m/>
    <m/>
    <m/>
    <m/>
    <m/>
  </r>
  <r>
    <s v="Persona"/>
    <s v="No"/>
    <s v="19241601-9"/>
    <x v="14"/>
    <s v="olivares"/>
    <s v="benjamin olivares"/>
    <s v="Sin Giro"/>
    <s v="benjamin-o-1996@hotmail.com"/>
    <m/>
    <m/>
    <m/>
    <m/>
    <m/>
    <s v="No"/>
    <n v="0"/>
    <s v="No"/>
    <s v="No definido"/>
    <s v="Si"/>
    <n v="217"/>
    <d v="2024-04-03T14:26:00"/>
    <s v="Activo"/>
    <d v="2024-01-05T19:51:00"/>
    <d v="2024-04-03T14:26:00"/>
    <x v="0"/>
    <m/>
    <m/>
    <m/>
    <m/>
    <m/>
    <m/>
  </r>
  <r>
    <s v="Persona"/>
    <s v="No"/>
    <s v="18127471-9"/>
    <x v="174"/>
    <s v="montiel"/>
    <s v="rocio montiel"/>
    <s v="Sin Giro"/>
    <s v="rmontiellobos@gmail.com"/>
    <m/>
    <m/>
    <m/>
    <m/>
    <m/>
    <s v="No"/>
    <n v="0"/>
    <s v="No"/>
    <s v="No definido"/>
    <s v="Si"/>
    <n v="207"/>
    <d v="2024-03-16T16:54:00"/>
    <s v="Activo"/>
    <d v="2024-01-05T20:01:00"/>
    <d v="2024-03-16T16:54:00"/>
    <x v="0"/>
    <m/>
    <m/>
    <m/>
    <m/>
    <m/>
    <m/>
  </r>
  <r>
    <s v="Persona"/>
    <s v="No"/>
    <s v="19406949-9"/>
    <x v="60"/>
    <s v="olave"/>
    <s v="alexander  olave"/>
    <s v="Sin Giro"/>
    <s v="alexander.olaved@gmail.com"/>
    <m/>
    <m/>
    <m/>
    <m/>
    <m/>
    <s v="No"/>
    <n v="0"/>
    <s v="No"/>
    <s v="No definido"/>
    <s v="Si"/>
    <n v="77"/>
    <d v="2024-01-05T20:04:00"/>
    <s v="Activo"/>
    <d v="2024-01-05T20:03:00"/>
    <d v="2024-01-05T20:04:00"/>
    <x v="0"/>
    <m/>
    <m/>
    <m/>
    <m/>
    <m/>
    <m/>
  </r>
  <r>
    <s v="Persona"/>
    <s v="No"/>
    <s v="14046209-8"/>
    <x v="175"/>
    <s v="Lagos"/>
    <s v="Catalina Lagos"/>
    <s v="Sin Giro"/>
    <s v="clagosm81@gmail.com"/>
    <m/>
    <m/>
    <m/>
    <m/>
    <m/>
    <s v="No"/>
    <n v="0"/>
    <s v="No"/>
    <s v="No definido"/>
    <s v="Si"/>
    <n v="73"/>
    <d v="2024-01-06T14:03:00"/>
    <s v="Activo"/>
    <d v="2024-01-06T14:02:00"/>
    <d v="2024-01-06T14:03:00"/>
    <x v="0"/>
    <m/>
    <m/>
    <m/>
    <m/>
    <m/>
    <m/>
  </r>
  <r>
    <s v="Persona"/>
    <s v="No"/>
    <s v="12827058-2"/>
    <x v="176"/>
    <s v="Alvarez"/>
    <s v="Mario Alvarez"/>
    <s v="Sin Giro"/>
    <s v="marioalvarezb@gmail.com"/>
    <m/>
    <m/>
    <m/>
    <m/>
    <m/>
    <s v="No"/>
    <n v="0"/>
    <s v="No"/>
    <s v="No definido"/>
    <s v="Si"/>
    <n v="286"/>
    <d v="2024-01-27T19:50:00"/>
    <s v="Activo"/>
    <d v="2024-01-06T16:35:00"/>
    <d v="2024-01-27T19:50:00"/>
    <x v="0"/>
    <m/>
    <m/>
    <m/>
    <m/>
    <m/>
    <m/>
  </r>
  <r>
    <s v="Persona"/>
    <s v="No"/>
    <s v="20666363-4"/>
    <x v="177"/>
    <s v="Massa"/>
    <s v="Vicente Massa"/>
    <s v="Sin Giro"/>
    <s v="vicho.massag@gmail.com"/>
    <m/>
    <m/>
    <m/>
    <m/>
    <m/>
    <s v="No"/>
    <n v="0"/>
    <s v="No"/>
    <s v="No definido"/>
    <s v="Si"/>
    <n v="154"/>
    <d v="2024-01-17T20:26:00"/>
    <s v="Activo"/>
    <d v="2024-01-06T16:56:00"/>
    <d v="2024-01-17T20:26:00"/>
    <x v="0"/>
    <m/>
    <m/>
    <m/>
    <m/>
    <m/>
    <m/>
  </r>
  <r>
    <s v="Persona"/>
    <s v="No"/>
    <s v="21738925-9"/>
    <x v="178"/>
    <s v="sidgman"/>
    <s v="amaya sidgman"/>
    <s v="Sin Giro"/>
    <s v="amayasidgman@gmail.com"/>
    <m/>
    <m/>
    <m/>
    <m/>
    <m/>
    <s v="No"/>
    <n v="0"/>
    <s v="No"/>
    <s v="No definido"/>
    <s v="Si"/>
    <n v="77"/>
    <d v="2024-01-06T17:00:00"/>
    <s v="Activo"/>
    <d v="2024-01-06T17:00:00"/>
    <d v="2024-01-06T17:00:00"/>
    <x v="0"/>
    <m/>
    <m/>
    <m/>
    <m/>
    <m/>
    <m/>
  </r>
  <r>
    <s v="Persona"/>
    <s v="No"/>
    <s v="19438008-9"/>
    <x v="179"/>
    <s v="leon"/>
    <s v="pablo leon"/>
    <s v="Sin Giro"/>
    <s v="pablo.leon.96@hotmail.com"/>
    <m/>
    <m/>
    <m/>
    <m/>
    <m/>
    <s v="No"/>
    <n v="0"/>
    <s v="No"/>
    <s v="No definido"/>
    <s v="Si"/>
    <n v="77"/>
    <d v="2024-01-06T19:02:00"/>
    <s v="Activo"/>
    <d v="2024-01-06T18:59:00"/>
    <d v="2024-01-06T19:02:00"/>
    <x v="0"/>
    <m/>
    <m/>
    <m/>
    <m/>
    <m/>
    <m/>
  </r>
  <r>
    <s v="Persona"/>
    <s v="No"/>
    <s v="20428046-0"/>
    <x v="180"/>
    <s v="fricke"/>
    <s v="pia fricke"/>
    <s v="Sin Giro"/>
    <s v="pia.freakm@gmail.com"/>
    <m/>
    <m/>
    <m/>
    <m/>
    <m/>
    <s v="No"/>
    <n v="0"/>
    <s v="No"/>
    <s v="No definido"/>
    <s v="Si"/>
    <n v="95"/>
    <d v="2024-04-13T17:25:00"/>
    <s v="Activo"/>
    <d v="2024-01-06T19:04:00"/>
    <d v="2024-04-13T17:25:00"/>
    <x v="0"/>
    <m/>
    <m/>
    <m/>
    <m/>
    <m/>
    <m/>
  </r>
  <r>
    <s v="Persona"/>
    <s v="No"/>
    <s v="19216162-2"/>
    <x v="181"/>
    <s v="ruz"/>
    <s v="karla ruz"/>
    <s v="Sin Giro"/>
    <s v="karlaa.ruz@gmail.com"/>
    <m/>
    <m/>
    <m/>
    <m/>
    <m/>
    <s v="No"/>
    <n v="0"/>
    <s v="No"/>
    <s v="No definido"/>
    <s v="Si"/>
    <n v="50"/>
    <d v="2024-01-06T19:37:00"/>
    <s v="Activo"/>
    <d v="2024-01-06T19:36:00"/>
    <d v="2024-01-06T19:37:00"/>
    <x v="0"/>
    <m/>
    <m/>
    <m/>
    <m/>
    <m/>
    <m/>
  </r>
  <r>
    <s v="Persona"/>
    <s v="No"/>
    <s v="20285429-K"/>
    <x v="182"/>
    <s v="Saldias"/>
    <s v="Romina Saldias"/>
    <s v="Sin Giro"/>
    <s v="romina.saldiass@gmail.com"/>
    <m/>
    <m/>
    <m/>
    <m/>
    <m/>
    <s v="No"/>
    <n v="0"/>
    <s v="No"/>
    <s v="No definido"/>
    <s v="Si"/>
    <n v="77"/>
    <d v="2024-01-08T15:09:00"/>
    <s v="Activo"/>
    <d v="2024-01-08T15:09:00"/>
    <d v="2024-01-08T15:09:00"/>
    <x v="19"/>
    <m/>
    <m/>
    <m/>
    <m/>
    <m/>
    <m/>
  </r>
  <r>
    <s v="Persona"/>
    <s v="No"/>
    <s v="26281142-5"/>
    <x v="103"/>
    <s v="Perez"/>
    <s v="Sergio Perez"/>
    <s v="Sin Giro"/>
    <s v="sergiodperez95@gmail.com"/>
    <m/>
    <m/>
    <m/>
    <m/>
    <m/>
    <s v="No"/>
    <n v="0"/>
    <s v="No"/>
    <s v="No definido"/>
    <s v="Si"/>
    <n v="77"/>
    <d v="2024-01-08T17:31:00"/>
    <s v="Activo"/>
    <d v="2024-01-08T17:30:00"/>
    <d v="2024-01-08T17:31:00"/>
    <x v="19"/>
    <m/>
    <m/>
    <m/>
    <m/>
    <m/>
    <m/>
  </r>
  <r>
    <s v="Persona"/>
    <s v="Si"/>
    <s v="220052006"/>
    <x v="43"/>
    <s v="Llanos"/>
    <s v="Carlos  Llanos"/>
    <s v="Sin Giro"/>
    <s v="fabriciolla3@gmail.com"/>
    <m/>
    <m/>
    <m/>
    <m/>
    <m/>
    <s v="No"/>
    <n v="0"/>
    <s v="No"/>
    <s v="No definido"/>
    <s v="Si"/>
    <n v="242"/>
    <d v="2024-03-14T12:37:00"/>
    <s v="Activo"/>
    <d v="2024-01-08T18:20:00"/>
    <d v="2024-03-14T12:37:00"/>
    <x v="19"/>
    <m/>
    <m/>
    <m/>
    <m/>
    <m/>
    <m/>
  </r>
  <r>
    <s v="Persona"/>
    <s v="No"/>
    <s v="16072920-1"/>
    <x v="17"/>
    <s v="Castro"/>
    <s v="Pablo  Castro"/>
    <s v="Sin Giro"/>
    <s v="pcasgo@gmail.com"/>
    <m/>
    <m/>
    <m/>
    <m/>
    <m/>
    <s v="No"/>
    <n v="0"/>
    <s v="No"/>
    <s v="No definido"/>
    <s v="Si"/>
    <n v="50"/>
    <d v="2024-01-08T18:31:00"/>
    <s v="Activo"/>
    <d v="2024-01-08T18:30:00"/>
    <d v="2024-01-08T18:31:00"/>
    <x v="19"/>
    <m/>
    <m/>
    <m/>
    <m/>
    <m/>
    <m/>
  </r>
  <r>
    <s v="Persona"/>
    <s v="No"/>
    <s v="15363886-1"/>
    <x v="183"/>
    <s v="Martinez"/>
    <s v="María Victoria Martinez"/>
    <s v="Sin Giro"/>
    <s v="vitopmb@gmail.com"/>
    <m/>
    <m/>
    <m/>
    <m/>
    <m/>
    <s v="No"/>
    <n v="0"/>
    <s v="No"/>
    <s v="No definido"/>
    <s v="Si"/>
    <n v="77"/>
    <d v="2024-01-08T19:58:00"/>
    <s v="Activo"/>
    <d v="2024-01-08T19:57:00"/>
    <d v="2024-01-08T19:58:00"/>
    <x v="19"/>
    <m/>
    <m/>
    <m/>
    <m/>
    <m/>
    <m/>
  </r>
  <r>
    <s v="Persona"/>
    <s v="No"/>
    <s v="27505996-K"/>
    <x v="184"/>
    <s v="Rivera"/>
    <s v="Julio  Rivera"/>
    <s v="Sin Giro"/>
    <s v="juliorivera@spotcloul.io"/>
    <m/>
    <m/>
    <m/>
    <m/>
    <m/>
    <s v="No"/>
    <n v="0"/>
    <s v="No"/>
    <s v="No definido"/>
    <s v="Si"/>
    <n v="50"/>
    <d v="2024-01-08T20:13:00"/>
    <s v="Activo"/>
    <d v="2024-01-08T20:11:00"/>
    <d v="2024-01-08T20:13:00"/>
    <x v="49"/>
    <m/>
    <m/>
    <m/>
    <m/>
    <m/>
    <m/>
  </r>
  <r>
    <s v="Persona"/>
    <s v="No"/>
    <s v="26415476-6"/>
    <x v="185"/>
    <s v="Savarino"/>
    <s v="Marines  Savarino"/>
    <s v="Sin Giro"/>
    <s v="marinessavarino@hotmail.com"/>
    <m/>
    <m/>
    <m/>
    <m/>
    <m/>
    <s v="No"/>
    <n v="0"/>
    <s v="No"/>
    <s v="No definido"/>
    <s v="Si"/>
    <n v="639"/>
    <d v="2024-04-06T18:21:00"/>
    <s v="Activo"/>
    <d v="2024-01-09T11:37:00"/>
    <d v="2024-04-06T18:21:00"/>
    <x v="19"/>
    <m/>
    <m/>
    <m/>
    <m/>
    <m/>
    <m/>
  </r>
  <r>
    <s v="Persona"/>
    <s v="No"/>
    <s v="11053720-4"/>
    <x v="186"/>
    <s v="Diaz"/>
    <s v="Ana Maria Diaz"/>
    <s v="Sin Giro"/>
    <s v="anidiaz.21@gmail.com"/>
    <m/>
    <m/>
    <m/>
    <m/>
    <m/>
    <s v="No"/>
    <n v="0"/>
    <s v="No"/>
    <s v="No definido"/>
    <s v="Si"/>
    <n v="77"/>
    <d v="2024-01-09T11:41:00"/>
    <s v="Activo"/>
    <d v="2024-01-09T11:40:00"/>
    <d v="2024-01-09T11:41:00"/>
    <x v="85"/>
    <m/>
    <m/>
    <m/>
    <m/>
    <m/>
    <m/>
  </r>
  <r>
    <s v="Persona"/>
    <s v="No"/>
    <s v="10006844-3"/>
    <x v="187"/>
    <s v="Bolados"/>
    <s v="Roxana  Bolados"/>
    <s v="Sin Giro"/>
    <s v="boladosrb1@gmail.com"/>
    <m/>
    <m/>
    <m/>
    <m/>
    <m/>
    <s v="No"/>
    <n v="0"/>
    <s v="No"/>
    <s v="No definido"/>
    <s v="Si"/>
    <n v="77"/>
    <d v="2024-01-09T11:43:00"/>
    <s v="Activo"/>
    <d v="2024-01-09T11:42:00"/>
    <d v="2024-01-09T11:43:00"/>
    <x v="19"/>
    <m/>
    <m/>
    <m/>
    <m/>
    <m/>
    <m/>
  </r>
  <r>
    <s v="Persona"/>
    <s v="No"/>
    <s v="17612697-3"/>
    <x v="188"/>
    <s v="Machuca"/>
    <s v="Felipe  Machuca"/>
    <s v="Sin Giro"/>
    <s v="f.machuca.trmpt@gmail.com"/>
    <m/>
    <m/>
    <m/>
    <m/>
    <m/>
    <s v="No"/>
    <n v="0"/>
    <s v="No"/>
    <s v="No definido"/>
    <s v="Si"/>
    <n v="537"/>
    <d v="2024-04-02T13:00:00"/>
    <s v="Activo"/>
    <d v="2024-01-09T15:45:00"/>
    <d v="2024-04-02T13:00:00"/>
    <x v="86"/>
    <m/>
    <m/>
    <m/>
    <m/>
    <m/>
    <m/>
  </r>
  <r>
    <s v="Persona"/>
    <s v="No"/>
    <s v="18755555-8"/>
    <x v="69"/>
    <s v="Barria"/>
    <s v="Patricio Barria"/>
    <s v="Sin Giro"/>
    <s v="patricio.barria.celis@gmail.com"/>
    <m/>
    <m/>
    <m/>
    <m/>
    <m/>
    <s v="No"/>
    <n v="0"/>
    <s v="No"/>
    <s v="No definido"/>
    <s v="Si"/>
    <n v="100"/>
    <d v="2024-01-30T16:23:00"/>
    <s v="Activo"/>
    <d v="2024-01-09T16:14:00"/>
    <d v="2024-01-30T16:23:00"/>
    <x v="87"/>
    <m/>
    <m/>
    <m/>
    <m/>
    <m/>
    <m/>
  </r>
  <r>
    <s v="Persona"/>
    <s v="No"/>
    <s v="18954165-1"/>
    <x v="104"/>
    <s v="Valdes"/>
    <s v="Felipe Valdes"/>
    <s v="Sin Giro"/>
    <s v="felipe.valdes.olguin@gmail.com"/>
    <m/>
    <m/>
    <m/>
    <m/>
    <m/>
    <s v="No"/>
    <n v="0"/>
    <s v="No"/>
    <s v="No definido"/>
    <s v="Si"/>
    <n v="50"/>
    <d v="2024-01-09T17:27:00"/>
    <s v="Activo"/>
    <d v="2024-01-09T17:26:00"/>
    <d v="2024-01-09T17:27:00"/>
    <x v="0"/>
    <m/>
    <m/>
    <m/>
    <m/>
    <m/>
    <m/>
  </r>
  <r>
    <s v="Persona"/>
    <s v="No"/>
    <s v="8112616-K"/>
    <x v="32"/>
    <s v="Jara"/>
    <s v="Lorena Jara"/>
    <s v="Sin Giro"/>
    <s v="lorena.jara@hotmail.com"/>
    <m/>
    <m/>
    <m/>
    <m/>
    <m/>
    <s v="No"/>
    <n v="0"/>
    <s v="No"/>
    <s v="No definido"/>
    <s v="Si"/>
    <n v="77"/>
    <d v="2024-01-10T09:50:00"/>
    <s v="Activo"/>
    <d v="2024-01-10T09:49:00"/>
    <d v="2024-01-10T09:50:00"/>
    <x v="88"/>
    <m/>
    <m/>
    <m/>
    <m/>
    <m/>
    <m/>
  </r>
  <r>
    <s v="Persona"/>
    <s v="No"/>
    <s v="8805948-4"/>
    <x v="189"/>
    <s v="Aragonese Grunert"/>
    <s v="Eduardo Pablo Aragonese Grunert"/>
    <s v="Sin Giro"/>
    <s v="pabloa66@hotmail.com"/>
    <m/>
    <m/>
    <m/>
    <m/>
    <m/>
    <s v="No"/>
    <n v="0"/>
    <s v="No"/>
    <s v="No definido"/>
    <s v="Si"/>
    <n v="77"/>
    <d v="2024-01-10T13:37:00"/>
    <s v="Activo"/>
    <d v="2024-01-10T13:36:00"/>
    <d v="2024-01-10T13:37:00"/>
    <x v="89"/>
    <m/>
    <m/>
    <m/>
    <m/>
    <m/>
    <m/>
  </r>
  <r>
    <s v="Persona"/>
    <s v="No"/>
    <s v="20830986-2"/>
    <x v="61"/>
    <s v="Caro"/>
    <s v="Sebastian Caro"/>
    <s v="Sin Giro"/>
    <s v="sebacaro.1313@gmail.com"/>
    <m/>
    <m/>
    <m/>
    <m/>
    <m/>
    <s v="No"/>
    <n v="0"/>
    <s v="No"/>
    <s v="No definido"/>
    <s v="Si"/>
    <n v="153"/>
    <d v="2024-01-10T16:10:00"/>
    <s v="Activo"/>
    <d v="2024-01-10T16:09:00"/>
    <d v="2024-01-10T16:10:00"/>
    <x v="90"/>
    <m/>
    <m/>
    <m/>
    <m/>
    <m/>
    <m/>
  </r>
  <r>
    <s v="Persona"/>
    <s v="No"/>
    <s v="33585349-0"/>
    <x v="190"/>
    <s v="Gonzalez"/>
    <s v="Valeria Gonzalez"/>
    <s v="Sin Giro"/>
    <s v="valeria.gn2001@gmail.com"/>
    <m/>
    <m/>
    <m/>
    <m/>
    <m/>
    <s v="No"/>
    <n v="0"/>
    <s v="No"/>
    <s v="No definido"/>
    <s v="Si"/>
    <n v="87"/>
    <d v="2024-01-10T17:15:00"/>
    <s v="Activo"/>
    <d v="2024-01-10T17:14:00"/>
    <d v="2024-01-10T17:15:00"/>
    <x v="45"/>
    <m/>
    <m/>
    <m/>
    <m/>
    <m/>
    <m/>
  </r>
  <r>
    <s v="Persona"/>
    <s v="No"/>
    <s v="21811935-2"/>
    <x v="177"/>
    <s v="chacon"/>
    <s v="vicente chacon"/>
    <s v="Sin Giro"/>
    <s v="chaconvicente43@gmail.com"/>
    <m/>
    <m/>
    <m/>
    <m/>
    <m/>
    <s v="No"/>
    <n v="0"/>
    <s v="No"/>
    <s v="No definido"/>
    <s v="Si"/>
    <n v="77"/>
    <d v="2024-01-10T18:05:00"/>
    <s v="Activo"/>
    <d v="2024-01-10T18:03:00"/>
    <d v="2024-01-10T18:05:00"/>
    <x v="0"/>
    <m/>
    <m/>
    <m/>
    <m/>
    <m/>
    <m/>
  </r>
  <r>
    <s v="Persona"/>
    <s v="No"/>
    <s v="20676036-2"/>
    <x v="191"/>
    <s v="rios"/>
    <s v="ignacia rios"/>
    <s v="Sin Giro"/>
    <s v="ignacia.rios.ossandon@gmail.com"/>
    <m/>
    <m/>
    <m/>
    <m/>
    <m/>
    <s v="No"/>
    <n v="0"/>
    <s v="No"/>
    <s v="No definido"/>
    <s v="Si"/>
    <n v="77"/>
    <d v="2024-01-10T18:44:00"/>
    <s v="Activo"/>
    <d v="2024-01-10T18:44:00"/>
    <d v="2024-01-10T18:44:00"/>
    <x v="0"/>
    <m/>
    <m/>
    <m/>
    <m/>
    <m/>
    <m/>
  </r>
  <r>
    <s v="Persona"/>
    <s v="No"/>
    <s v="17373289-9"/>
    <x v="87"/>
    <s v="aguilar"/>
    <s v="nicole aguilar"/>
    <s v="Sin Giro"/>
    <s v="ni.aguilar09@gmail.com"/>
    <m/>
    <m/>
    <m/>
    <m/>
    <m/>
    <s v="No"/>
    <n v="0"/>
    <s v="No"/>
    <s v="No definido"/>
    <s v="Si"/>
    <n v="77"/>
    <d v="2024-01-10T18:47:00"/>
    <s v="Activo"/>
    <d v="2024-01-10T18:46:00"/>
    <d v="2024-01-10T18:47:00"/>
    <x v="0"/>
    <m/>
    <m/>
    <m/>
    <m/>
    <m/>
    <m/>
  </r>
  <r>
    <s v="Persona"/>
    <s v="No"/>
    <s v="11659666-0"/>
    <x v="192"/>
    <s v="padilla poblete"/>
    <s v="juan francisco padilla poblete"/>
    <s v="Sin Giro"/>
    <s v="fcomode@gmail.com"/>
    <m/>
    <m/>
    <m/>
    <m/>
    <m/>
    <s v="No"/>
    <n v="0"/>
    <s v="No"/>
    <s v="No definido"/>
    <s v="Si"/>
    <n v="77"/>
    <d v="2024-01-10T19:43:00"/>
    <s v="Activo"/>
    <d v="2024-01-10T19:42:00"/>
    <d v="2024-01-10T19:43:00"/>
    <x v="91"/>
    <m/>
    <m/>
    <m/>
    <m/>
    <m/>
    <m/>
  </r>
  <r>
    <s v="Persona"/>
    <s v="No"/>
    <s v=""/>
    <x v="120"/>
    <s v="faundez"/>
    <s v="camila faundez"/>
    <s v="Sin Giro"/>
    <s v="camilafch21@gmail.com"/>
    <m/>
    <m/>
    <m/>
    <m/>
    <m/>
    <s v="No"/>
    <n v="0"/>
    <s v="No"/>
    <s v="No definido"/>
    <s v="Si"/>
    <n v="77"/>
    <d v="2024-01-10T21:20:00"/>
    <s v="Activo"/>
    <d v="2024-01-10T21:19:00"/>
    <d v="2024-01-10T21:20:00"/>
    <x v="92"/>
    <m/>
    <m/>
    <m/>
    <m/>
    <m/>
    <m/>
  </r>
  <r>
    <s v="Persona"/>
    <s v="No"/>
    <s v="20055356-K"/>
    <x v="109"/>
    <s v="Tudela"/>
    <s v="Constanza Tudela"/>
    <s v="Sin Giro"/>
    <s v="connitudela@gmail.com"/>
    <m/>
    <m/>
    <m/>
    <m/>
    <m/>
    <s v="No"/>
    <n v="0"/>
    <s v="No"/>
    <s v="No definido"/>
    <s v="Si"/>
    <n v="87"/>
    <d v="2024-01-11T10:45:00"/>
    <s v="Activo"/>
    <d v="2024-01-11T10:45:00"/>
    <d v="2024-01-11T10:45:00"/>
    <x v="93"/>
    <m/>
    <m/>
    <m/>
    <m/>
    <m/>
    <m/>
  </r>
  <r>
    <s v="Persona"/>
    <s v="No"/>
    <s v="15342990-1"/>
    <x v="64"/>
    <s v="Bardin"/>
    <s v="Jorge Bardin"/>
    <s v="Sin Giro"/>
    <s v="jorge.bardin@gmail.com"/>
    <m/>
    <m/>
    <m/>
    <m/>
    <m/>
    <s v="No"/>
    <n v="0"/>
    <s v="No"/>
    <s v="No definido"/>
    <s v="Si"/>
    <n v="230"/>
    <d v="2024-01-11T13:23:00"/>
    <s v="Activo"/>
    <d v="2024-01-11T13:21:00"/>
    <d v="2024-01-11T13:23:00"/>
    <x v="94"/>
    <m/>
    <m/>
    <m/>
    <m/>
    <m/>
    <m/>
  </r>
  <r>
    <s v="Persona"/>
    <s v="No"/>
    <s v="10070989-9"/>
    <x v="193"/>
    <s v="Harire Ceballos"/>
    <s v="Mauricio Alberto Harire Ceballos"/>
    <s v="Sin Giro"/>
    <s v="mauricioharireceballos@gmail.com"/>
    <m/>
    <m/>
    <m/>
    <m/>
    <m/>
    <s v="No"/>
    <n v="0"/>
    <s v="No"/>
    <s v="No definido"/>
    <s v="Si"/>
    <n v="154"/>
    <d v="2024-01-24T18:58:00"/>
    <s v="Activo"/>
    <d v="2024-01-11T13:27:00"/>
    <d v="2024-01-24T18:58:00"/>
    <x v="0"/>
    <m/>
    <m/>
    <m/>
    <m/>
    <m/>
    <m/>
  </r>
  <r>
    <s v="Persona"/>
    <s v="No"/>
    <s v="8823343-3"/>
    <x v="194"/>
    <s v="Gajardo Perrier"/>
    <s v="Juan Carlos Gajardo Perrier"/>
    <s v="Sin Giro"/>
    <s v="jcarlosgajardo@gmail.com"/>
    <m/>
    <m/>
    <m/>
    <m/>
    <m/>
    <s v="No"/>
    <n v="0"/>
    <s v="No"/>
    <s v="No definido"/>
    <s v="Si"/>
    <n v="415"/>
    <d v="2024-03-29T19:36:00"/>
    <s v="Activo"/>
    <d v="2024-01-11T14:04:00"/>
    <d v="2024-03-29T19:36:00"/>
    <x v="0"/>
    <m/>
    <m/>
    <m/>
    <m/>
    <m/>
    <m/>
  </r>
  <r>
    <s v="Persona"/>
    <s v="No"/>
    <s v="13284954-4"/>
    <x v="195"/>
    <s v="Lizana Catalan"/>
    <s v="Patricio Enrique Lizana Catalan"/>
    <s v="IMPORTACION Y COMERCIALIZACION DE ARTICULOS ELECTRONICOS"/>
    <s v="ventas@todoradio.cl"/>
    <m/>
    <m/>
    <m/>
    <m/>
    <m/>
    <s v="No"/>
    <n v="0"/>
    <s v="No"/>
    <s v="No definido"/>
    <s v="Si"/>
    <n v="153"/>
    <d v="2024-01-11T15:20:00"/>
    <s v="Activo"/>
    <d v="2024-01-11T15:19:00"/>
    <d v="2024-01-11T15:20:00"/>
    <x v="19"/>
    <m/>
    <m/>
    <m/>
    <m/>
    <m/>
    <m/>
  </r>
  <r>
    <s v="Persona"/>
    <s v="No"/>
    <s v="21557394-K"/>
    <x v="188"/>
    <s v="Alvarez"/>
    <s v="Felipe  Alvarez"/>
    <s v="Sin Giro"/>
    <s v="felipealvarez.mer@gmail.com"/>
    <m/>
    <m/>
    <m/>
    <m/>
    <m/>
    <s v="No"/>
    <n v="0"/>
    <s v="No"/>
    <s v="No definido"/>
    <s v="Si"/>
    <n v="77"/>
    <d v="2024-01-11T15:48:00"/>
    <s v="Activo"/>
    <d v="2024-01-11T15:48:00"/>
    <d v="2024-01-11T15:48:00"/>
    <x v="95"/>
    <m/>
    <m/>
    <m/>
    <m/>
    <m/>
    <m/>
  </r>
  <r>
    <s v="Persona"/>
    <s v="No"/>
    <s v="17064569-3"/>
    <x v="196"/>
    <s v="Rodríguez"/>
    <s v="William Rodríguez"/>
    <s v="Sin Giro"/>
    <s v="will.rodriguez.m@gmail.com"/>
    <m/>
    <m/>
    <m/>
    <m/>
    <m/>
    <s v="No"/>
    <n v="0"/>
    <s v="No"/>
    <s v="No definido"/>
    <s v="Si"/>
    <n v="77"/>
    <d v="2024-01-11T15:51:00"/>
    <s v="Activo"/>
    <d v="2024-01-11T15:50:00"/>
    <d v="2024-01-11T15:51:00"/>
    <x v="19"/>
    <m/>
    <m/>
    <m/>
    <m/>
    <m/>
    <m/>
  </r>
  <r>
    <s v="Persona"/>
    <s v="No"/>
    <s v="17798825-1"/>
    <x v="197"/>
    <s v="yap nara"/>
    <s v="Sergio Jalid yap nara"/>
    <s v="Sin Giro"/>
    <s v="jalidyn@icloud.com"/>
    <s v="La Dehesa"/>
    <s v="Santiago"/>
    <s v="La Dehesa"/>
    <m/>
    <m/>
    <s v="No"/>
    <n v="0"/>
    <s v="No"/>
    <s v="No definido"/>
    <s v="Si"/>
    <n v="77"/>
    <d v="2024-01-11T20:23:00"/>
    <s v="Activo"/>
    <d v="2024-01-11T20:22:00"/>
    <d v="2024-01-17T22:26:00"/>
    <x v="0"/>
    <m/>
    <m/>
    <m/>
    <m/>
    <m/>
    <m/>
  </r>
  <r>
    <s v="Persona"/>
    <s v="No"/>
    <s v="8863993-6"/>
    <x v="198"/>
    <s v="Castro"/>
    <s v="Clara Castro"/>
    <s v="Sin Giro"/>
    <m/>
    <m/>
    <m/>
    <m/>
    <m/>
    <m/>
    <s v="No"/>
    <n v="0"/>
    <s v="No"/>
    <s v="No definido"/>
    <s v="Si"/>
    <n v="77"/>
    <d v="2024-01-12T11:46:00"/>
    <s v="Activo"/>
    <d v="2024-01-12T11:45:00"/>
    <d v="2024-01-12T11:46:00"/>
    <x v="0"/>
    <m/>
    <m/>
    <m/>
    <m/>
    <m/>
    <m/>
  </r>
  <r>
    <s v="Persona"/>
    <s v="No"/>
    <s v="16798098-8"/>
    <x v="199"/>
    <s v="M"/>
    <s v="Gonzalo M"/>
    <s v="Sin Giro"/>
    <s v="gonzalo.m87@gmail.com"/>
    <m/>
    <m/>
    <m/>
    <m/>
    <m/>
    <s v="No"/>
    <n v="0"/>
    <s v="No"/>
    <s v="No definido"/>
    <s v="Si"/>
    <n v="50"/>
    <d v="2024-01-12T13:44:00"/>
    <s v="Activo"/>
    <d v="2024-01-12T13:43:00"/>
    <d v="2024-01-12T13:44:00"/>
    <x v="0"/>
    <m/>
    <m/>
    <m/>
    <m/>
    <m/>
    <m/>
  </r>
  <r>
    <s v="Persona"/>
    <s v="No"/>
    <s v="17245812-2"/>
    <x v="104"/>
    <s v="mendoza"/>
    <s v="felipe mendoza"/>
    <s v="Sin Giro"/>
    <s v="felipea.mendozaa@gmail.com"/>
    <m/>
    <m/>
    <m/>
    <m/>
    <m/>
    <s v="No"/>
    <n v="0"/>
    <s v="No"/>
    <s v="No definido"/>
    <s v="Si"/>
    <n v="77"/>
    <d v="2024-01-12T15:43:00"/>
    <s v="Activo"/>
    <d v="2024-01-12T15:42:00"/>
    <d v="2024-01-12T15:43:00"/>
    <x v="0"/>
    <m/>
    <m/>
    <m/>
    <m/>
    <m/>
    <m/>
  </r>
  <r>
    <s v="Persona"/>
    <s v="No"/>
    <s v="21227219-1"/>
    <x v="200"/>
    <s v="Rojas"/>
    <s v="Maria Jesus Rojas"/>
    <s v="Sin Giro"/>
    <s v="jesusrjmejias@gmail.com"/>
    <m/>
    <m/>
    <m/>
    <m/>
    <m/>
    <s v="No"/>
    <n v="0"/>
    <s v="No"/>
    <s v="No definido"/>
    <s v="Si"/>
    <n v="77"/>
    <d v="2024-01-12T17:35:00"/>
    <s v="Activo"/>
    <d v="2024-01-12T17:35:00"/>
    <d v="2024-01-12T17:35:00"/>
    <x v="0"/>
    <m/>
    <m/>
    <m/>
    <m/>
    <m/>
    <m/>
  </r>
  <r>
    <s v="Persona"/>
    <s v="No"/>
    <s v="8035923-3"/>
    <x v="201"/>
    <s v="Retamal"/>
    <s v="Edgardo Retamal"/>
    <s v="Sin Giro"/>
    <s v="edgardo.retamal@gmail.com"/>
    <m/>
    <m/>
    <m/>
    <m/>
    <m/>
    <s v="No"/>
    <n v="0"/>
    <s v="No"/>
    <s v="No definido"/>
    <s v="Si"/>
    <n v="77"/>
    <d v="2024-01-12T17:37:00"/>
    <s v="Activo"/>
    <d v="2024-01-12T17:36:00"/>
    <d v="2024-01-12T17:37:00"/>
    <x v="0"/>
    <m/>
    <m/>
    <m/>
    <m/>
    <m/>
    <m/>
  </r>
  <r>
    <s v="Persona"/>
    <s v="No"/>
    <s v="17422258-4"/>
    <x v="101"/>
    <s v="Salinas"/>
    <s v="Daniel Salinas"/>
    <s v="Sin Giro"/>
    <s v="disalinas@outlook.com"/>
    <m/>
    <m/>
    <m/>
    <m/>
    <m/>
    <s v="No"/>
    <n v="0"/>
    <s v="No"/>
    <s v="No definido"/>
    <s v="Si"/>
    <n v="77"/>
    <d v="2024-01-12T18:40:00"/>
    <s v="Activo"/>
    <d v="2024-01-12T18:40:00"/>
    <d v="2024-01-12T18:40:00"/>
    <x v="0"/>
    <m/>
    <m/>
    <m/>
    <m/>
    <m/>
    <m/>
  </r>
  <r>
    <s v="Persona"/>
    <s v="No"/>
    <s v="18189565-9"/>
    <x v="202"/>
    <s v="Romero"/>
    <s v="Alfredo Romero"/>
    <s v="Sin Giro"/>
    <s v="carlosalfredoromerozuniga@gmail.com"/>
    <m/>
    <m/>
    <m/>
    <m/>
    <m/>
    <s v="No"/>
    <n v="0"/>
    <s v="No"/>
    <s v="No definido"/>
    <s v="Si"/>
    <n v="77"/>
    <d v="2024-01-12T21:04:00"/>
    <s v="Activo"/>
    <d v="2024-01-12T21:04:00"/>
    <d v="2024-01-12T21:04:00"/>
    <x v="0"/>
    <m/>
    <m/>
    <m/>
    <m/>
    <m/>
    <m/>
  </r>
  <r>
    <s v="Persona"/>
    <s v="No"/>
    <s v="15070819-2"/>
    <x v="203"/>
    <s v="Diaz Bustos"/>
    <s v="Rodrigo Alejandro Diaz Bustos"/>
    <s v="Sin Giro"/>
    <s v="rodrigoa.diazbustos@gmail.com"/>
    <m/>
    <m/>
    <m/>
    <m/>
    <m/>
    <s v="No"/>
    <n v="0"/>
    <s v="No"/>
    <s v="No definido"/>
    <s v="Si"/>
    <n v="77"/>
    <d v="2024-01-13T11:56:00"/>
    <s v="Activo"/>
    <d v="2024-01-13T11:56:00"/>
    <d v="2024-01-13T11:56:00"/>
    <x v="0"/>
    <m/>
    <m/>
    <m/>
    <m/>
    <m/>
    <m/>
  </r>
  <r>
    <s v="Persona"/>
    <s v="No"/>
    <s v="10835485-2"/>
    <x v="204"/>
    <s v="Salazar Muñoz"/>
    <s v="Veronica Ivonne Salazar Muñoz"/>
    <s v="Sin Giro"/>
    <s v="verosalazar2031@gmail.com"/>
    <m/>
    <m/>
    <m/>
    <m/>
    <m/>
    <s v="No"/>
    <n v="0"/>
    <s v="No"/>
    <s v="No definido"/>
    <s v="Si"/>
    <n v="77"/>
    <d v="2024-01-13T14:09:00"/>
    <s v="Activo"/>
    <d v="2024-01-13T14:09:00"/>
    <d v="2024-01-13T14:09:00"/>
    <x v="0"/>
    <m/>
    <m/>
    <m/>
    <m/>
    <m/>
    <m/>
  </r>
  <r>
    <s v="Persona"/>
    <s v="No"/>
    <s v="10117276-7"/>
    <x v="205"/>
    <s v="Malguell Postigo"/>
    <s v="Alida Isadora Shivas Malguell Postigo"/>
    <s v="Sin Giro"/>
    <s v="alidamalguell@hotmail.com"/>
    <m/>
    <m/>
    <m/>
    <m/>
    <m/>
    <s v="No"/>
    <n v="0"/>
    <s v="No"/>
    <s v="No definido"/>
    <s v="Si"/>
    <n v="153"/>
    <d v="2024-01-13T14:39:00"/>
    <s v="Activo"/>
    <d v="2024-01-13T14:39:00"/>
    <d v="2024-01-13T14:39:00"/>
    <x v="96"/>
    <m/>
    <m/>
    <m/>
    <m/>
    <m/>
    <m/>
  </r>
  <r>
    <s v="Persona"/>
    <s v="No"/>
    <s v="21352802-5"/>
    <x v="69"/>
    <s v="Venegas"/>
    <s v="Patricio Venegas"/>
    <s v="Sin Giro"/>
    <s v="patricio2018venegas@gmail.com"/>
    <m/>
    <m/>
    <m/>
    <m/>
    <m/>
    <s v="No"/>
    <n v="0"/>
    <s v="No"/>
    <s v="No definido"/>
    <s v="Si"/>
    <n v="50"/>
    <d v="2024-01-13T15:24:00"/>
    <s v="Activo"/>
    <d v="2024-01-13T15:24:00"/>
    <d v="2024-01-13T15:24:00"/>
    <x v="0"/>
    <m/>
    <m/>
    <m/>
    <m/>
    <m/>
    <m/>
  </r>
  <r>
    <s v="Persona"/>
    <s v="No"/>
    <s v="18466225-6"/>
    <x v="206"/>
    <s v="Cabeza Araneda"/>
    <s v="Pablo Ignacio Cabeza Araneda"/>
    <s v="Sin Giro"/>
    <s v="pcabeza93@gmail.com"/>
    <m/>
    <m/>
    <m/>
    <m/>
    <m/>
    <s v="No"/>
    <n v="0"/>
    <s v="No"/>
    <s v="No definido"/>
    <s v="Si"/>
    <n v="50"/>
    <d v="2024-01-13T15:59:00"/>
    <s v="Activo"/>
    <d v="2024-01-13T15:58:00"/>
    <d v="2024-01-13T15:59:00"/>
    <x v="0"/>
    <m/>
    <m/>
    <m/>
    <m/>
    <m/>
    <m/>
  </r>
  <r>
    <s v="Persona"/>
    <s v="No"/>
    <s v="16617526-7"/>
    <x v="93"/>
    <s v="Budini Lopez"/>
    <s v="Juan Budini Lopez"/>
    <s v="Sin Giro"/>
    <s v="juan_budini@hotmail.com"/>
    <s v="Gran avenida Jose Miguel carrera 4310"/>
    <s v="SMIG"/>
    <s v="METROPOLITANA DE SANTIAGO"/>
    <n v="981293162"/>
    <m/>
    <s v="No"/>
    <n v="0"/>
    <s v="No"/>
    <s v="No definido"/>
    <s v="Si"/>
    <n v="67"/>
    <d v="2024-01-14T21:03:00"/>
    <s v="Activo"/>
    <d v="2024-01-14T21:03:00"/>
    <d v="2024-01-14T21:03:00"/>
    <x v="0"/>
    <m/>
    <m/>
    <m/>
    <m/>
    <m/>
    <m/>
  </r>
  <r>
    <s v="Persona"/>
    <s v="No"/>
    <s v="16743042-2"/>
    <x v="64"/>
    <s v="Dennett"/>
    <s v="Jorge Dennett"/>
    <s v="Sin Giro"/>
    <s v="jorge.dennett@gmail.com"/>
    <m/>
    <m/>
    <m/>
    <m/>
    <m/>
    <s v="No"/>
    <n v="0"/>
    <s v="No"/>
    <s v="No definido"/>
    <s v="Si"/>
    <n v="77"/>
    <d v="2024-01-15T12:15:00"/>
    <s v="Activo"/>
    <d v="2024-01-15T12:13:00"/>
    <d v="2024-01-15T12:15:00"/>
    <x v="19"/>
    <m/>
    <m/>
    <m/>
    <m/>
    <m/>
    <m/>
  </r>
  <r>
    <s v="Persona"/>
    <s v="No"/>
    <s v="9974751-K"/>
    <x v="207"/>
    <s v="Contreras"/>
    <s v="Ivan Contreras"/>
    <s v="Sin Giro"/>
    <s v="ivan.contreras2016@gmail.com"/>
    <m/>
    <m/>
    <m/>
    <s v="+569 93970804"/>
    <m/>
    <s v="No"/>
    <n v="0"/>
    <s v="No"/>
    <s v="No definido"/>
    <s v="Si"/>
    <n v="150"/>
    <d v="2024-01-15T15:08:00"/>
    <s v="Activo"/>
    <d v="2024-01-15T14:40:00"/>
    <d v="2024-01-15T15:08:00"/>
    <x v="97"/>
    <m/>
    <m/>
    <m/>
    <m/>
    <m/>
    <m/>
  </r>
  <r>
    <s v="Persona"/>
    <s v="No"/>
    <s v="15777053-5"/>
    <x v="29"/>
    <s v="Altamirano"/>
    <s v="Daniela Altamirano"/>
    <s v="Sin Giro"/>
    <s v="daltamir@gmail.com"/>
    <m/>
    <m/>
    <m/>
    <m/>
    <m/>
    <s v="No"/>
    <n v="0"/>
    <s v="No"/>
    <s v="No definido"/>
    <s v="Si"/>
    <n v="77"/>
    <d v="2024-01-15T18:32:00"/>
    <s v="Activo"/>
    <d v="2024-01-15T18:31:00"/>
    <d v="2024-01-15T18:32:00"/>
    <x v="19"/>
    <m/>
    <m/>
    <m/>
    <m/>
    <m/>
    <m/>
  </r>
  <r>
    <s v="Persona"/>
    <s v="No"/>
    <s v="7016261-K"/>
    <x v="169"/>
    <s v="Adriazola"/>
    <s v="Patricia Adriazola"/>
    <s v="Sin Giro"/>
    <s v="patricia.adriazola@gmail.com"/>
    <m/>
    <m/>
    <m/>
    <s v="+569 92763109"/>
    <m/>
    <s v="No"/>
    <n v="0"/>
    <s v="No"/>
    <s v="No definido"/>
    <s v="Si"/>
    <n v="303"/>
    <d v="2024-01-20T13:59:00"/>
    <s v="Activo"/>
    <d v="2024-01-15T18:38:00"/>
    <d v="2024-01-20T13:59:00"/>
    <x v="0"/>
    <m/>
    <m/>
    <m/>
    <m/>
    <m/>
    <m/>
  </r>
  <r>
    <s v="Persona"/>
    <s v="No"/>
    <s v="8118250-7"/>
    <x v="208"/>
    <s v="Duran"/>
    <s v="Guadalupe Duran"/>
    <s v="Sin Giro"/>
    <s v="guadalupe_duran@hotmail.com"/>
    <m/>
    <m/>
    <m/>
    <m/>
    <m/>
    <s v="No"/>
    <n v="0"/>
    <s v="No"/>
    <s v="No definido"/>
    <s v="Si"/>
    <n v="77"/>
    <d v="2024-01-15T20:28:00"/>
    <s v="Activo"/>
    <d v="2024-01-15T20:26:00"/>
    <d v="2024-01-15T20:28:00"/>
    <x v="98"/>
    <m/>
    <m/>
    <m/>
    <m/>
    <m/>
    <m/>
  </r>
  <r>
    <s v="Persona"/>
    <s v="No"/>
    <s v="12846465-4"/>
    <x v="209"/>
    <s v="Mujica"/>
    <s v="Johana Mujica"/>
    <s v="Sin Giro"/>
    <s v="jmujica576@gmail.com"/>
    <m/>
    <m/>
    <m/>
    <m/>
    <m/>
    <s v="No"/>
    <n v="0"/>
    <s v="No"/>
    <s v="No definido"/>
    <s v="Si"/>
    <n v="77"/>
    <d v="2024-01-16T11:04:00"/>
    <s v="Activo"/>
    <d v="2024-01-16T11:02:00"/>
    <d v="2024-01-16T11:04:00"/>
    <x v="19"/>
    <m/>
    <m/>
    <m/>
    <m/>
    <m/>
    <m/>
  </r>
  <r>
    <s v="Persona"/>
    <s v="No"/>
    <s v="16460126-9"/>
    <x v="87"/>
    <s v="Correa"/>
    <s v="Nicole Correa"/>
    <s v="Sin Giro"/>
    <s v="nicolecorreatore@gmail.com"/>
    <m/>
    <m/>
    <m/>
    <m/>
    <m/>
    <s v="No"/>
    <n v="0"/>
    <s v="No"/>
    <s v="No definido"/>
    <s v="Si"/>
    <n v="77"/>
    <d v="2024-01-16T14:03:00"/>
    <s v="Activo"/>
    <d v="2024-01-16T14:01:00"/>
    <d v="2024-01-16T14:03:00"/>
    <x v="32"/>
    <m/>
    <m/>
    <m/>
    <m/>
    <m/>
    <m/>
  </r>
  <r>
    <s v="Persona"/>
    <s v="No"/>
    <s v="13069193-5"/>
    <x v="175"/>
    <s v="López"/>
    <s v="Catalina López"/>
    <s v="Sin Giro"/>
    <s v="catalc66@gmail.com"/>
    <m/>
    <m/>
    <m/>
    <m/>
    <m/>
    <s v="No"/>
    <n v="0"/>
    <s v="No"/>
    <s v="No definido"/>
    <s v="Si"/>
    <n v="77"/>
    <d v="2024-01-16T14:07:00"/>
    <s v="Activo"/>
    <d v="2024-01-16T14:05:00"/>
    <d v="2024-01-16T14:07:00"/>
    <x v="19"/>
    <m/>
    <m/>
    <m/>
    <m/>
    <m/>
    <m/>
  </r>
  <r>
    <s v="Persona"/>
    <s v="No"/>
    <s v="8865215-0"/>
    <x v="121"/>
    <s v="Herrera"/>
    <s v="Paula Herrera"/>
    <s v="Sin Giro"/>
    <s v="pherrera.siburo@gmail.com"/>
    <m/>
    <m/>
    <m/>
    <m/>
    <m/>
    <s v="No"/>
    <n v="0"/>
    <s v="No"/>
    <s v="No definido"/>
    <s v="Si"/>
    <n v="77"/>
    <d v="2024-01-16T15:25:00"/>
    <s v="Activo"/>
    <d v="2024-01-16T15:25:00"/>
    <d v="2024-01-16T15:25:00"/>
    <x v="19"/>
    <m/>
    <m/>
    <m/>
    <m/>
    <m/>
    <m/>
  </r>
  <r>
    <s v="Persona"/>
    <s v="No"/>
    <s v="14060001-6"/>
    <x v="210"/>
    <s v="Godoy "/>
    <s v="Leonardo  Godoy "/>
    <s v="Sin Giro"/>
    <s v="lgodoyrmz@gmail.com"/>
    <m/>
    <m/>
    <m/>
    <m/>
    <m/>
    <s v="No"/>
    <n v="0"/>
    <s v="No"/>
    <s v="No definido"/>
    <s v="Si"/>
    <n v="77"/>
    <d v="2024-01-16T15:50:00"/>
    <s v="Activo"/>
    <d v="2024-01-16T15:49:00"/>
    <d v="2024-01-16T15:50:00"/>
    <x v="99"/>
    <m/>
    <m/>
    <m/>
    <m/>
    <m/>
    <m/>
  </r>
  <r>
    <s v="Persona"/>
    <s v="No"/>
    <s v="16426251-0"/>
    <x v="211"/>
    <s v="Peña"/>
    <s v="Marianela Peña"/>
    <s v="Sin Giro"/>
    <s v="marianela.alejandra24@gmail.com"/>
    <m/>
    <m/>
    <m/>
    <m/>
    <m/>
    <s v="No"/>
    <n v="0"/>
    <s v="No"/>
    <s v="No definido"/>
    <s v="Si"/>
    <n v="154"/>
    <d v="2024-01-16T19:49:00"/>
    <s v="Activo"/>
    <d v="2024-01-16T16:53:00"/>
    <d v="2024-01-16T19:49:00"/>
    <x v="19"/>
    <m/>
    <m/>
    <m/>
    <m/>
    <m/>
    <m/>
  </r>
  <r>
    <s v="Persona"/>
    <s v="No"/>
    <s v="15770912-7"/>
    <x v="212"/>
    <s v="Henríquez Sanhueza"/>
    <s v="Noelia Henríquez Sanhueza"/>
    <s v="Sin Giro"/>
    <s v="noelia.henriquez.sanhueza@gmail.com"/>
    <m/>
    <m/>
    <m/>
    <m/>
    <m/>
    <s v="No"/>
    <n v="0"/>
    <s v="No"/>
    <s v="No definido"/>
    <s v="Si"/>
    <n v="345"/>
    <d v="2024-03-16T13:36:00"/>
    <s v="Activo"/>
    <d v="2024-01-16T16:56:00"/>
    <d v="2024-03-16T13:36:00"/>
    <x v="32"/>
    <m/>
    <m/>
    <m/>
    <m/>
    <m/>
    <m/>
  </r>
  <r>
    <s v="Persona"/>
    <s v="No"/>
    <s v="15322384-K"/>
    <x v="213"/>
    <s v="toranzos"/>
    <s v="albanie toranzos"/>
    <s v="Sin Giro"/>
    <s v="albanietoranzos@gmail.com"/>
    <m/>
    <m/>
    <m/>
    <m/>
    <m/>
    <s v="No"/>
    <n v="0"/>
    <s v="No"/>
    <s v="No definido"/>
    <s v="Si"/>
    <n v="73"/>
    <d v="2024-01-16T18:16:00"/>
    <s v="Activo"/>
    <d v="2024-01-16T18:13:00"/>
    <d v="2024-01-16T18:16:00"/>
    <x v="0"/>
    <m/>
    <m/>
    <m/>
    <m/>
    <m/>
    <m/>
  </r>
  <r>
    <s v="Persona"/>
    <s v="No"/>
    <s v="17163202-1"/>
    <x v="131"/>
    <s v="Ahumada"/>
    <s v="Ines Ahumada"/>
    <s v="Sin Giro"/>
    <s v="ines.ahumadab@gmail.com"/>
    <m/>
    <m/>
    <m/>
    <m/>
    <m/>
    <s v="No"/>
    <n v="0"/>
    <s v="No"/>
    <s v="No definido"/>
    <s v="Si"/>
    <n v="77"/>
    <d v="2024-01-16T18:59:00"/>
    <s v="Activo"/>
    <d v="2024-01-16T18:59:00"/>
    <d v="2024-01-16T18:59:00"/>
    <x v="0"/>
    <m/>
    <m/>
    <m/>
    <m/>
    <m/>
    <m/>
  </r>
  <r>
    <s v="Persona"/>
    <s v="No"/>
    <s v="17771654-5"/>
    <x v="54"/>
    <s v="Alarcon"/>
    <s v="Rodrigo Alarcon"/>
    <s v="Sin Giro"/>
    <s v="realarcon@miuandes.cl"/>
    <m/>
    <m/>
    <m/>
    <m/>
    <m/>
    <s v="No"/>
    <n v="0"/>
    <s v="No"/>
    <s v="No definido"/>
    <s v="Si"/>
    <n v="87"/>
    <d v="2024-01-17T11:07:00"/>
    <s v="Activo"/>
    <d v="2024-01-17T11:07:00"/>
    <d v="2024-01-17T11:07:00"/>
    <x v="19"/>
    <m/>
    <m/>
    <m/>
    <m/>
    <m/>
    <m/>
  </r>
  <r>
    <s v="Persona"/>
    <s v="No"/>
    <s v="18839181-8"/>
    <x v="214"/>
    <s v="Díaz López"/>
    <s v="Christian Díaz López"/>
    <s v="Sin Giro"/>
    <s v="christian.diaz.lopez@live.com"/>
    <m/>
    <m/>
    <m/>
    <m/>
    <m/>
    <s v="No"/>
    <n v="0"/>
    <s v="No"/>
    <s v="No definido"/>
    <s v="Si"/>
    <n v="87"/>
    <d v="2024-01-17T15:27:00"/>
    <s v="Activo"/>
    <d v="2024-01-17T15:26:00"/>
    <d v="2024-01-17T15:27:00"/>
    <x v="100"/>
    <m/>
    <m/>
    <m/>
    <m/>
    <m/>
    <m/>
  </r>
  <r>
    <s v="Persona"/>
    <s v="No"/>
    <s v="13628743-5"/>
    <x v="19"/>
    <s v="Provoste"/>
    <s v="Carolina Provoste"/>
    <s v="Sin Giro"/>
    <s v="krolinaprovoste@gmail.com"/>
    <m/>
    <m/>
    <m/>
    <m/>
    <m/>
    <s v="No"/>
    <n v="0"/>
    <s v="No"/>
    <s v="No definido"/>
    <s v="Si"/>
    <n v="520"/>
    <d v="2024-03-22T15:34:00"/>
    <s v="Activo"/>
    <d v="2024-01-17T16:33:00"/>
    <d v="2024-03-22T15:34:00"/>
    <x v="19"/>
    <m/>
    <m/>
    <m/>
    <m/>
    <m/>
    <m/>
  </r>
  <r>
    <s v="Persona"/>
    <s v="No"/>
    <s v="16355822-K"/>
    <x v="120"/>
    <s v="maureira"/>
    <s v="camila maureira"/>
    <s v="Sin Giro"/>
    <s v="camilamaureira.perez@gmail.com"/>
    <m/>
    <m/>
    <m/>
    <m/>
    <m/>
    <s v="No"/>
    <n v="0"/>
    <s v="No"/>
    <s v="No definido"/>
    <s v="Si"/>
    <n v="77"/>
    <d v="2024-01-17T17:50:00"/>
    <s v="Activo"/>
    <d v="2024-01-17T17:50:00"/>
    <d v="2024-01-17T17:50:00"/>
    <x v="0"/>
    <m/>
    <m/>
    <m/>
    <m/>
    <m/>
    <m/>
  </r>
  <r>
    <s v="Persona"/>
    <s v="No"/>
    <s v="19309105-9"/>
    <x v="107"/>
    <s v="Vásquez"/>
    <s v="Valentina Vásquez"/>
    <s v="Sin Giro"/>
    <s v="valentina.vasquezt@mail.udp.cl"/>
    <m/>
    <m/>
    <m/>
    <m/>
    <m/>
    <s v="No"/>
    <n v="0"/>
    <s v="No"/>
    <s v="No definido"/>
    <s v="Si"/>
    <n v="87"/>
    <d v="2024-01-17T18:09:00"/>
    <s v="Activo"/>
    <d v="2024-01-17T18:08:00"/>
    <d v="2024-01-17T18:09:00"/>
    <x v="32"/>
    <m/>
    <m/>
    <m/>
    <m/>
    <m/>
    <m/>
  </r>
  <r>
    <s v="Persona"/>
    <s v="No"/>
    <s v="27170964-1"/>
    <x v="215"/>
    <s v="Marín"/>
    <s v="Mauro  Marín"/>
    <s v="Sin Giro"/>
    <s v="marinmauro505@gmail.com"/>
    <m/>
    <m/>
    <m/>
    <m/>
    <m/>
    <s v="No"/>
    <n v="0"/>
    <s v="No"/>
    <s v="No definido"/>
    <s v="Si"/>
    <n v="77"/>
    <d v="2024-01-17T18:11:00"/>
    <s v="Activo"/>
    <d v="2024-01-17T18:10:00"/>
    <d v="2024-01-17T18:11:00"/>
    <x v="101"/>
    <m/>
    <m/>
    <m/>
    <m/>
    <m/>
    <m/>
  </r>
  <r>
    <s v="Persona"/>
    <s v="No"/>
    <s v="19186752-1"/>
    <x v="216"/>
    <s v="moyano"/>
    <s v="daniella moyano"/>
    <s v="Sin Giro"/>
    <s v="moyanodaniella@gmail.com"/>
    <m/>
    <m/>
    <m/>
    <m/>
    <m/>
    <s v="No"/>
    <n v="0"/>
    <s v="No"/>
    <s v="No definido"/>
    <s v="Si"/>
    <n v="77"/>
    <d v="2024-01-17T18:56:00"/>
    <s v="Activo"/>
    <d v="2024-01-17T18:53:00"/>
    <d v="2024-01-17T18:56:00"/>
    <x v="0"/>
    <m/>
    <m/>
    <m/>
    <m/>
    <m/>
    <m/>
  </r>
  <r>
    <s v="Persona"/>
    <s v="No"/>
    <s v="16098214-4"/>
    <x v="217"/>
    <s v="Tapia"/>
    <s v="Leslie Tapia"/>
    <s v="Sin Giro"/>
    <s v="leslie.h.tapia13@gmail.com"/>
    <m/>
    <m/>
    <m/>
    <m/>
    <m/>
    <s v="No"/>
    <n v="0"/>
    <s v="No"/>
    <s v="No definido"/>
    <s v="Si"/>
    <n v="77"/>
    <d v="2024-01-17T18:59:00"/>
    <s v="Activo"/>
    <d v="2024-01-17T18:58:00"/>
    <d v="2024-01-17T18:59:00"/>
    <x v="0"/>
    <m/>
    <m/>
    <m/>
    <m/>
    <m/>
    <m/>
  </r>
  <r>
    <s v="Persona"/>
    <s v="No"/>
    <s v="16750271-7"/>
    <x v="111"/>
    <s v="Donoso"/>
    <s v="Francisco Donoso"/>
    <s v="Sin Giro"/>
    <s v="franciscodonosos@gmail.com"/>
    <m/>
    <m/>
    <m/>
    <m/>
    <m/>
    <s v="No"/>
    <n v="0"/>
    <s v="No"/>
    <s v="No definido"/>
    <s v="Si"/>
    <n v="195"/>
    <d v="2024-03-30T18:12:00"/>
    <s v="Activo"/>
    <d v="2024-01-18T11:06:00"/>
    <d v="2024-03-30T18:12:00"/>
    <x v="49"/>
    <m/>
    <m/>
    <m/>
    <m/>
    <m/>
    <m/>
  </r>
  <r>
    <s v="Persona"/>
    <s v="No"/>
    <s v="7981672-8"/>
    <x v="5"/>
    <s v="Faundes Valenzuela"/>
    <s v="Jorge  Faundes Valenzuela"/>
    <s v="Sin Giro"/>
    <s v="jorgefaundezvalenzuela@gmail.com"/>
    <m/>
    <m/>
    <m/>
    <m/>
    <m/>
    <s v="No"/>
    <n v="0"/>
    <s v="No"/>
    <s v="No definido"/>
    <s v="Si"/>
    <n v="77"/>
    <d v="2024-01-18T11:46:00"/>
    <s v="Activo"/>
    <d v="2024-01-18T11:46:00"/>
    <d v="2024-01-18T11:46:00"/>
    <x v="102"/>
    <m/>
    <m/>
    <m/>
    <m/>
    <m/>
    <m/>
  </r>
  <r>
    <s v="Persona"/>
    <s v="No"/>
    <s v="19862680-5"/>
    <x v="218"/>
    <s v="Leon Delgado"/>
    <s v="Christian Eduardo Leon Delgado"/>
    <s v="Sin Giro"/>
    <s v="khrisautonoma@gmail.com"/>
    <m/>
    <m/>
    <m/>
    <m/>
    <m/>
    <s v="No"/>
    <n v="0"/>
    <s v="No"/>
    <s v="No definido"/>
    <s v="Si"/>
    <n v="77"/>
    <d v="2024-01-18T13:52:00"/>
    <s v="Activo"/>
    <d v="2024-01-18T13:50:00"/>
    <d v="2024-01-18T13:52:00"/>
    <x v="103"/>
    <m/>
    <m/>
    <m/>
    <m/>
    <m/>
    <m/>
  </r>
  <r>
    <s v="Persona"/>
    <s v="No"/>
    <s v="13508026-8"/>
    <x v="45"/>
    <s v="Velásquez Molina"/>
    <s v="Carlos Velásquez Molina"/>
    <s v="Sin Giro"/>
    <s v="carlosvelasquezmolina@gmail.com"/>
    <m/>
    <m/>
    <m/>
    <m/>
    <m/>
    <s v="No"/>
    <n v="0"/>
    <s v="No"/>
    <s v="No definido"/>
    <s v="Si"/>
    <n v="77"/>
    <d v="2024-01-18T16:51:00"/>
    <s v="Activo"/>
    <d v="2024-01-18T16:51:00"/>
    <d v="2024-01-18T16:51:00"/>
    <x v="104"/>
    <m/>
    <m/>
    <m/>
    <m/>
    <m/>
    <m/>
  </r>
  <r>
    <s v="Persona"/>
    <s v="No"/>
    <s v="27728790-0"/>
    <x v="219"/>
    <s v="pinto"/>
    <s v="elias  pinto"/>
    <s v="Sin Giro"/>
    <s v="eliaspdpinto@gmail.com"/>
    <m/>
    <m/>
    <m/>
    <m/>
    <m/>
    <s v="No"/>
    <n v="0"/>
    <s v="No"/>
    <s v="No definido"/>
    <s v="Si"/>
    <n v="87"/>
    <d v="2024-01-18T21:04:00"/>
    <s v="Activo"/>
    <d v="2024-01-18T21:03:00"/>
    <d v="2024-01-18T21:04:00"/>
    <x v="0"/>
    <m/>
    <m/>
    <m/>
    <m/>
    <m/>
    <m/>
  </r>
  <r>
    <s v="Persona"/>
    <s v="No"/>
    <s v="17181920-2"/>
    <x v="163"/>
    <s v="Navarro Lagos"/>
    <s v="Alejandro Navarro Lagos"/>
    <s v="Sin Giro"/>
    <s v="alejandro.nlagos@gmail.com"/>
    <m/>
    <m/>
    <m/>
    <m/>
    <m/>
    <s v="No"/>
    <n v="0"/>
    <s v="No"/>
    <s v="No definido"/>
    <s v="Si"/>
    <n v="77"/>
    <d v="2024-01-19T17:28:00"/>
    <s v="Activo"/>
    <d v="2024-01-19T17:28:00"/>
    <d v="2024-01-19T17:28:00"/>
    <x v="0"/>
    <m/>
    <m/>
    <m/>
    <m/>
    <m/>
    <m/>
  </r>
  <r>
    <s v="Persona"/>
    <s v="No"/>
    <s v="19185177-3"/>
    <x v="64"/>
    <s v="Miranda"/>
    <s v="Jorge Miranda"/>
    <s v="Sin Giro"/>
    <s v="jorgemiranda323@gmail.com"/>
    <m/>
    <m/>
    <m/>
    <m/>
    <m/>
    <s v="No"/>
    <n v="0"/>
    <s v="No"/>
    <s v="No definido"/>
    <s v="Si"/>
    <n v="352"/>
    <d v="2024-03-27T19:53:00"/>
    <s v="Activo"/>
    <d v="2024-01-19T21:18:00"/>
    <d v="2024-03-27T19:53:00"/>
    <x v="0"/>
    <m/>
    <m/>
    <m/>
    <m/>
    <m/>
    <m/>
  </r>
  <r>
    <s v="Persona"/>
    <s v="No"/>
    <s v="9705501-7"/>
    <x v="36"/>
    <s v="Carrillo"/>
    <s v="Marcelo Carrillo"/>
    <s v="Sin Giro"/>
    <s v="carrillo.marcelo@gmail.com"/>
    <m/>
    <m/>
    <m/>
    <m/>
    <m/>
    <s v="No"/>
    <n v="0"/>
    <s v="No"/>
    <s v="No definido"/>
    <s v="Si"/>
    <n v="77"/>
    <d v="2024-01-20T12:23:00"/>
    <s v="Activo"/>
    <d v="2024-01-20T12:22:00"/>
    <d v="2024-01-20T12:23:00"/>
    <x v="0"/>
    <m/>
    <m/>
    <m/>
    <m/>
    <m/>
    <m/>
  </r>
  <r>
    <s v="Persona"/>
    <s v="No"/>
    <s v="10859420-9"/>
    <x v="220"/>
    <s v="Larrondo"/>
    <s v="Maruza Larrondo"/>
    <s v="Sin Giro"/>
    <s v="maruzal@hotmail.com"/>
    <m/>
    <m/>
    <m/>
    <m/>
    <m/>
    <s v="No"/>
    <n v="0"/>
    <s v="No"/>
    <s v="No definido"/>
    <s v="Si"/>
    <n v="77"/>
    <d v="2024-01-20T13:55:00"/>
    <s v="Activo"/>
    <d v="2024-01-20T13:55:00"/>
    <d v="2024-01-20T13:55:00"/>
    <x v="0"/>
    <m/>
    <m/>
    <m/>
    <m/>
    <m/>
    <m/>
  </r>
  <r>
    <s v="Persona"/>
    <s v="No"/>
    <s v="18636779-0"/>
    <x v="107"/>
    <s v="Miranda"/>
    <s v="Valentina Miranda"/>
    <s v="Sin Giro"/>
    <s v="valentinam.roa@gmail.com"/>
    <m/>
    <m/>
    <m/>
    <m/>
    <m/>
    <s v="No"/>
    <n v="0"/>
    <s v="No"/>
    <s v="No definido"/>
    <s v="Si"/>
    <n v="77"/>
    <d v="2024-01-20T16:00:00"/>
    <s v="Activo"/>
    <d v="2024-01-20T15:59:00"/>
    <d v="2024-01-20T16:00:00"/>
    <x v="0"/>
    <m/>
    <m/>
    <m/>
    <m/>
    <m/>
    <m/>
  </r>
  <r>
    <s v="Persona"/>
    <s v="Si"/>
    <s v="55555555-5"/>
    <x v="221"/>
    <s v="S"/>
    <s v="Camilo S"/>
    <s v="Sin Giro"/>
    <s v="scamilo042@gmail.com"/>
    <m/>
    <m/>
    <m/>
    <m/>
    <m/>
    <s v="No"/>
    <n v="0"/>
    <s v="No"/>
    <s v="No definido"/>
    <s v="Si"/>
    <n v="77"/>
    <d v="2024-01-20T20:03:00"/>
    <s v="Activo"/>
    <d v="2024-01-20T20:03:00"/>
    <d v="2024-01-20T20:03:00"/>
    <x v="0"/>
    <m/>
    <m/>
    <m/>
    <m/>
    <m/>
    <m/>
  </r>
  <r>
    <s v="Persona"/>
    <s v="No"/>
    <s v="15192066-7"/>
    <x v="222"/>
    <s v="Blanco"/>
    <s v="Allison Blanco"/>
    <s v="Sin Giro"/>
    <s v="allisonblanco@gmail.com"/>
    <m/>
    <m/>
    <m/>
    <m/>
    <m/>
    <s v="No"/>
    <n v="0"/>
    <s v="No"/>
    <s v="No definido"/>
    <s v="Si"/>
    <n v="153"/>
    <d v="2024-01-20T20:04:00"/>
    <s v="Activo"/>
    <d v="2024-01-20T20:04:00"/>
    <d v="2024-01-20T20:04:00"/>
    <x v="0"/>
    <m/>
    <m/>
    <m/>
    <m/>
    <m/>
    <m/>
  </r>
  <r>
    <s v="Persona"/>
    <s v="No"/>
    <s v="19323822-K"/>
    <x v="54"/>
    <s v="Troncoso"/>
    <s v="Rodrigo Troncoso"/>
    <s v="Sin Giro"/>
    <s v="rodrigo.troncoso589@gmail.com"/>
    <m/>
    <m/>
    <m/>
    <m/>
    <m/>
    <s v="No"/>
    <n v="0"/>
    <s v="No"/>
    <s v="No definido"/>
    <s v="Si"/>
    <n v="77"/>
    <d v="2024-01-20T20:06:00"/>
    <s v="Activo"/>
    <d v="2024-01-20T20:05:00"/>
    <d v="2024-01-20T20:06:00"/>
    <x v="0"/>
    <m/>
    <m/>
    <m/>
    <m/>
    <m/>
    <m/>
  </r>
  <r>
    <s v="Persona"/>
    <s v="No"/>
    <s v="16547738-3"/>
    <x v="29"/>
    <s v="Carozzi"/>
    <s v="Daniela Carozzi"/>
    <s v="Sin Giro"/>
    <s v="alvdaniela@gmail.com"/>
    <m/>
    <m/>
    <m/>
    <m/>
    <m/>
    <s v="No"/>
    <n v="0"/>
    <s v="No"/>
    <s v="No definido"/>
    <s v="Si"/>
    <n v="77"/>
    <d v="2024-01-22T15:09:00"/>
    <s v="Activo"/>
    <d v="2024-01-22T15:08:00"/>
    <d v="2024-01-22T15:09:00"/>
    <x v="19"/>
    <m/>
    <m/>
    <m/>
    <m/>
    <m/>
    <m/>
  </r>
  <r>
    <s v="Persona"/>
    <s v="No"/>
    <s v="15335503-7"/>
    <x v="29"/>
    <s v="Pávez"/>
    <s v="Daniela Pávez"/>
    <s v="Sin Giro"/>
    <s v="dpavezbenitez@gmail.com"/>
    <m/>
    <m/>
    <m/>
    <m/>
    <m/>
    <s v="No"/>
    <n v="0"/>
    <s v="No"/>
    <s v="No definido"/>
    <s v="Si"/>
    <n v="77"/>
    <d v="2024-01-22T20:00:00"/>
    <s v="Activo"/>
    <d v="2024-01-22T19:59:00"/>
    <d v="2024-01-22T20:00:00"/>
    <x v="19"/>
    <m/>
    <m/>
    <m/>
    <m/>
    <m/>
    <m/>
  </r>
  <r>
    <s v="Persona"/>
    <s v="No"/>
    <s v="20963409-0"/>
    <x v="223"/>
    <s v="Plaza"/>
    <s v="Cristobal Plaza"/>
    <s v="Sin Giro"/>
    <s v="cristobal.plaza14@gmail.com"/>
    <m/>
    <m/>
    <m/>
    <m/>
    <m/>
    <s v="No"/>
    <n v="0"/>
    <s v="No"/>
    <s v="No definido"/>
    <s v="Si"/>
    <n v="77"/>
    <d v="2024-01-23T10:22:00"/>
    <s v="Activo"/>
    <d v="2024-01-23T10:21:00"/>
    <d v="2024-01-23T10:22:00"/>
    <x v="105"/>
    <m/>
    <m/>
    <m/>
    <m/>
    <m/>
    <m/>
  </r>
  <r>
    <s v="Persona"/>
    <s v="No"/>
    <s v="19324216-2"/>
    <x v="70"/>
    <s v="de la maza"/>
    <s v="Martin de la maza"/>
    <s v="Sin Giro"/>
    <s v="m.delamaza96@gmail.com"/>
    <m/>
    <m/>
    <m/>
    <m/>
    <m/>
    <s v="No"/>
    <n v="0"/>
    <s v="No"/>
    <s v="No definido"/>
    <s v="Si"/>
    <n v="164"/>
    <d v="2024-02-22T14:02:00"/>
    <s v="Activo"/>
    <d v="2024-01-23T13:49:00"/>
    <d v="2024-02-22T14:02:00"/>
    <x v="106"/>
    <m/>
    <m/>
    <m/>
    <m/>
    <m/>
    <m/>
  </r>
  <r>
    <s v="Persona"/>
    <s v="No"/>
    <s v="16391444-1"/>
    <x v="224"/>
    <s v="Reyes"/>
    <s v="Antonio Reyes"/>
    <s v="Sin Giro"/>
    <s v="antonioreyes.86r@gmail.com"/>
    <m/>
    <m/>
    <m/>
    <m/>
    <m/>
    <s v="No"/>
    <n v="0"/>
    <s v="No"/>
    <s v="No definido"/>
    <s v="Si"/>
    <n v="77"/>
    <d v="2024-01-23T15:34:00"/>
    <s v="Activo"/>
    <d v="2024-01-23T15:34:00"/>
    <d v="2024-01-23T15:34:00"/>
    <x v="107"/>
    <m/>
    <m/>
    <m/>
    <m/>
    <m/>
    <m/>
  </r>
  <r>
    <s v="Persona"/>
    <s v="No"/>
    <s v="17905229-6"/>
    <x v="225"/>
    <s v="Juger"/>
    <s v="Michelle  Juger"/>
    <s v="Sin Giro"/>
    <s v="juger.michelle@gmail.com"/>
    <m/>
    <m/>
    <m/>
    <m/>
    <m/>
    <s v="No"/>
    <n v="0"/>
    <s v="No"/>
    <s v="No definido"/>
    <s v="Si"/>
    <n v="87"/>
    <d v="2024-01-23T15:53:00"/>
    <s v="Activo"/>
    <d v="2024-01-23T15:52:00"/>
    <d v="2024-01-23T15:53:00"/>
    <x v="19"/>
    <m/>
    <m/>
    <m/>
    <m/>
    <m/>
    <m/>
  </r>
  <r>
    <s v="Persona"/>
    <s v="No"/>
    <s v="16658615-1"/>
    <x v="87"/>
    <s v="Olivares"/>
    <s v="Nicole Olivares"/>
    <s v="Sin Giro"/>
    <s v="nicole.olivares.l@gmail.com"/>
    <m/>
    <m/>
    <m/>
    <m/>
    <m/>
    <s v="No"/>
    <n v="0"/>
    <s v="No"/>
    <s v="No definido"/>
    <s v="Si"/>
    <n v="192"/>
    <d v="2024-04-08T18:44:00"/>
    <s v="Activo"/>
    <d v="2024-01-23T17:47:00"/>
    <d v="2024-04-08T18:44:00"/>
    <x v="108"/>
    <m/>
    <m/>
    <m/>
    <m/>
    <m/>
    <m/>
  </r>
  <r>
    <s v="Persona"/>
    <s v="No"/>
    <s v="19866806-0"/>
    <x v="100"/>
    <s v="Calderon"/>
    <s v="Abraham Calderon"/>
    <s v="Sin Giro"/>
    <s v="a.calderon.benavidez@gmail.com"/>
    <m/>
    <m/>
    <m/>
    <m/>
    <m/>
    <s v="No"/>
    <n v="0"/>
    <s v="No"/>
    <s v="No definido"/>
    <s v="Si"/>
    <n v="164"/>
    <d v="2024-02-07T10:17:00"/>
    <s v="Activo"/>
    <d v="2024-01-24T10:47:00"/>
    <d v="2024-02-07T10:17:00"/>
    <x v="109"/>
    <m/>
    <m/>
    <m/>
    <m/>
    <m/>
    <m/>
  </r>
  <r>
    <s v="Persona"/>
    <s v="No"/>
    <s v="16654991-4"/>
    <x v="226"/>
    <s v="Correa"/>
    <s v="Elisa Correa"/>
    <s v="Sin Giro"/>
    <s v="elisacorr@gmail.com"/>
    <m/>
    <m/>
    <m/>
    <m/>
    <m/>
    <s v="No"/>
    <n v="0"/>
    <s v="No"/>
    <s v="No definido"/>
    <s v="Si"/>
    <n v="164"/>
    <d v="2024-02-19T16:57:00"/>
    <s v="Activo"/>
    <d v="2024-01-24T17:34:00"/>
    <d v="2024-02-19T16:57:00"/>
    <x v="0"/>
    <m/>
    <m/>
    <m/>
    <m/>
    <m/>
    <m/>
  </r>
  <r>
    <s v="Persona"/>
    <s v="No"/>
    <s v="16242923-K"/>
    <x v="48"/>
    <s v="Domínguez"/>
    <s v="Fernando  Domínguez"/>
    <s v="Sin Giro"/>
    <s v="fdominguez562@gmail.com"/>
    <m/>
    <m/>
    <m/>
    <m/>
    <m/>
    <s v="No"/>
    <n v="0"/>
    <s v="No"/>
    <s v="No definido"/>
    <s v="Si"/>
    <n v="163"/>
    <d v="2024-01-24T17:57:00"/>
    <s v="Activo"/>
    <d v="2024-01-24T17:56:00"/>
    <d v="2024-01-24T17:57:00"/>
    <x v="19"/>
    <m/>
    <m/>
    <m/>
    <m/>
    <m/>
    <m/>
  </r>
  <r>
    <s v="Persona"/>
    <s v="No"/>
    <s v="20061728-2"/>
    <x v="6"/>
    <s v="González"/>
    <s v="Gabriel González"/>
    <s v="Sin Giro"/>
    <s v="gabot1gg@gmail.com"/>
    <m/>
    <m/>
    <m/>
    <m/>
    <m/>
    <s v="No"/>
    <n v="0"/>
    <s v="No"/>
    <s v="No definido"/>
    <s v="Si"/>
    <n v="207"/>
    <d v="2024-03-07T16:10:00"/>
    <s v="Activo"/>
    <d v="2024-01-25T16:25:00"/>
    <d v="2024-03-07T16:10:00"/>
    <x v="19"/>
    <m/>
    <m/>
    <m/>
    <m/>
    <m/>
    <m/>
  </r>
  <r>
    <s v="Persona"/>
    <s v="No"/>
    <s v="9909880-5"/>
    <x v="102"/>
    <s v="Benavides"/>
    <s v="Paulina Benavides"/>
    <s v="Sin Giro"/>
    <s v="pbenavides@desimat.cl"/>
    <m/>
    <m/>
    <m/>
    <m/>
    <m/>
    <s v="No"/>
    <n v="0"/>
    <s v="No"/>
    <s v="No definido"/>
    <s v="Si"/>
    <n v="393"/>
    <d v="2024-01-25T18:48:00"/>
    <s v="Activo"/>
    <d v="2024-01-25T18:46:00"/>
    <d v="2024-01-25T18:48:00"/>
    <x v="110"/>
    <m/>
    <m/>
    <m/>
    <m/>
    <m/>
    <m/>
  </r>
  <r>
    <s v="Persona"/>
    <s v="No"/>
    <s v="15564058-8"/>
    <x v="111"/>
    <s v="Zuñiga"/>
    <s v="Francisco Zuñiga"/>
    <s v="Sin Giro"/>
    <s v="fco.zuni@gmail.com"/>
    <m/>
    <m/>
    <m/>
    <m/>
    <m/>
    <s v="No"/>
    <n v="0"/>
    <s v="No"/>
    <s v="No definido"/>
    <s v="Si"/>
    <n v="326"/>
    <d v="2024-02-27T12:35:00"/>
    <s v="Activo"/>
    <d v="2024-01-26T12:59:00"/>
    <d v="2024-02-27T12:35:00"/>
    <x v="111"/>
    <m/>
    <m/>
    <m/>
    <m/>
    <m/>
    <m/>
  </r>
  <r>
    <s v="Persona"/>
    <s v="No"/>
    <s v="19924927-4"/>
    <x v="106"/>
    <s v="Solis"/>
    <s v="Javiera  Solis"/>
    <s v="Sin Giro"/>
    <s v="j.ignaciave25@gmail.com"/>
    <m/>
    <m/>
    <m/>
    <m/>
    <m/>
    <s v="No"/>
    <n v="0"/>
    <s v="No"/>
    <s v="No definido"/>
    <s v="Si"/>
    <n v="87"/>
    <d v="2024-01-26T19:54:00"/>
    <s v="Activo"/>
    <d v="2024-01-26T19:54:00"/>
    <d v="2024-01-26T19:54:00"/>
    <x v="0"/>
    <m/>
    <m/>
    <m/>
    <m/>
    <m/>
    <m/>
  </r>
  <r>
    <s v="Persona"/>
    <s v="No"/>
    <s v="11974450-4"/>
    <x v="91"/>
    <s v="Burgos"/>
    <s v="Karina Burgos"/>
    <s v="Sin Giro"/>
    <s v="cselene@lider.cl"/>
    <m/>
    <m/>
    <m/>
    <m/>
    <m/>
    <s v="No"/>
    <n v="0"/>
    <s v="No"/>
    <s v="No definido"/>
    <s v="Si"/>
    <n v="153"/>
    <d v="2024-01-27T14:34:00"/>
    <s v="Activo"/>
    <d v="2024-01-27T14:33:00"/>
    <d v="2024-01-27T14:34:00"/>
    <x v="0"/>
    <m/>
    <m/>
    <m/>
    <m/>
    <m/>
    <m/>
  </r>
  <r>
    <s v="Persona"/>
    <s v="No"/>
    <s v="18013383-6"/>
    <x v="61"/>
    <s v="Cepeda"/>
    <s v="Sebastian Cepeda"/>
    <s v="Sin Giro"/>
    <s v="sebastian.cepeda@clarovtr.cl"/>
    <m/>
    <m/>
    <m/>
    <m/>
    <m/>
    <s v="No"/>
    <n v="0"/>
    <s v="No"/>
    <s v="No definido"/>
    <s v="Si"/>
    <n v="383"/>
    <d v="2024-04-06T13:28:00"/>
    <s v="Activo"/>
    <d v="2024-01-27T16:29:00"/>
    <d v="2024-04-06T13:28:00"/>
    <x v="0"/>
    <m/>
    <m/>
    <m/>
    <m/>
    <m/>
    <m/>
  </r>
  <r>
    <s v="Persona"/>
    <s v="No"/>
    <s v="18546428-8"/>
    <x v="227"/>
    <s v="sepulveda"/>
    <s v="paulina  sepulveda"/>
    <s v="Sin Giro"/>
    <s v="paulina.alison@gmail.com"/>
    <m/>
    <m/>
    <m/>
    <m/>
    <m/>
    <s v="No"/>
    <n v="0"/>
    <s v="No"/>
    <s v="No definido"/>
    <s v="Si"/>
    <n v="317"/>
    <d v="2024-01-27T18:23:00"/>
    <s v="Activo"/>
    <d v="2024-01-27T18:20:00"/>
    <d v="2024-01-27T18:23:00"/>
    <x v="112"/>
    <m/>
    <m/>
    <m/>
    <m/>
    <m/>
    <m/>
  </r>
  <r>
    <s v="Persona"/>
    <s v="No"/>
    <s v="27084155-4"/>
    <x v="228"/>
    <s v="David"/>
    <s v="Daniel  David"/>
    <s v="Sin Giro"/>
    <s v="danieldavid1032@gmail.com"/>
    <m/>
    <m/>
    <m/>
    <m/>
    <m/>
    <s v="No"/>
    <n v="0"/>
    <s v="No"/>
    <s v="No definido"/>
    <s v="Si"/>
    <n v="0"/>
    <d v="2024-04-17T20:44:00"/>
    <s v="Activo"/>
    <d v="2024-01-27T20:06:00"/>
    <d v="2024-01-27T20:06:00"/>
    <x v="0"/>
    <m/>
    <m/>
    <m/>
    <m/>
    <m/>
    <m/>
  </r>
  <r>
    <s v="Persona"/>
    <s v="No"/>
    <s v="18926016-4"/>
    <x v="61"/>
    <s v="andre"/>
    <s v="sebastian andre"/>
    <s v="Sin Giro"/>
    <s v="sebastian.andre31@gmail.com"/>
    <m/>
    <m/>
    <m/>
    <m/>
    <m/>
    <s v="No"/>
    <n v="0"/>
    <s v="No"/>
    <s v="No definido"/>
    <s v="Si"/>
    <n v="173"/>
    <d v="2024-01-27T21:35:00"/>
    <s v="Activo"/>
    <d v="2024-01-27T21:34:00"/>
    <d v="2024-01-27T21:35:00"/>
    <x v="0"/>
    <m/>
    <m/>
    <m/>
    <m/>
    <m/>
    <m/>
  </r>
  <r>
    <s v="Persona"/>
    <s v="No"/>
    <s v="17860759-6"/>
    <x v="179"/>
    <s v="Donders"/>
    <s v="Pablo Donders"/>
    <s v="Sin Giro"/>
    <m/>
    <s v="pablo.donders@gmail.com"/>
    <m/>
    <m/>
    <m/>
    <m/>
    <s v="No"/>
    <n v="0"/>
    <s v="No"/>
    <s v="No definido"/>
    <s v="Si"/>
    <n v="279"/>
    <d v="2024-03-30T20:39:00"/>
    <s v="Activo"/>
    <d v="2024-01-28T13:47:00"/>
    <d v="2024-03-30T20:39:00"/>
    <x v="0"/>
    <m/>
    <m/>
    <m/>
    <m/>
    <m/>
    <m/>
  </r>
  <r>
    <s v="Persona"/>
    <s v="No"/>
    <s v="15839803-6"/>
    <x v="229"/>
    <s v="Sepulveda"/>
    <s v="Veronica  Sepulveda"/>
    <s v="Sin Giro"/>
    <s v="veronicapaz.sepulveda@gmail.com"/>
    <m/>
    <m/>
    <m/>
    <m/>
    <m/>
    <s v="No"/>
    <n v="0"/>
    <s v="No"/>
    <s v="No definido"/>
    <s v="Si"/>
    <n v="153"/>
    <d v="2024-01-29T13:26:00"/>
    <s v="Activo"/>
    <d v="2024-01-29T13:26:00"/>
    <d v="2024-01-29T13:26:00"/>
    <x v="12"/>
    <m/>
    <m/>
    <m/>
    <m/>
    <m/>
    <m/>
  </r>
  <r>
    <s v="Persona"/>
    <s v="No"/>
    <s v="15313204-6"/>
    <x v="230"/>
    <s v="Solar"/>
    <s v="Victor  Solar"/>
    <s v="Sin Giro"/>
    <s v="solarvictor309@gmail.com"/>
    <m/>
    <m/>
    <m/>
    <m/>
    <m/>
    <s v="No"/>
    <n v="0"/>
    <s v="No"/>
    <s v="No definido"/>
    <s v="Si"/>
    <n v="77"/>
    <d v="2024-01-29T17:25:00"/>
    <s v="Activo"/>
    <d v="2024-01-29T17:24:00"/>
    <d v="2024-01-29T17:25:00"/>
    <x v="113"/>
    <m/>
    <m/>
    <m/>
    <m/>
    <m/>
    <m/>
  </r>
  <r>
    <s v="Persona"/>
    <s v="No"/>
    <s v="14118268-4"/>
    <x v="19"/>
    <s v="Ortiz Martinez"/>
    <s v="Carolina Ortiz Martinez"/>
    <s v="Sin Giro"/>
    <s v="carolina.ortiz586@gmail.com"/>
    <m/>
    <m/>
    <m/>
    <m/>
    <m/>
    <s v="No"/>
    <n v="0"/>
    <s v="No"/>
    <s v="No definido"/>
    <s v="Si"/>
    <n v="164"/>
    <d v="2024-02-12T19:04:00"/>
    <s v="Activo"/>
    <d v="2024-01-29T18:00:00"/>
    <d v="2024-02-12T19:04:00"/>
    <x v="19"/>
    <m/>
    <m/>
    <m/>
    <m/>
    <m/>
    <m/>
  </r>
  <r>
    <s v="Persona"/>
    <s v="No"/>
    <s v="21053877-1"/>
    <x v="231"/>
    <s v="Padilla"/>
    <s v="Antonia  Padilla"/>
    <s v="Sin Giro"/>
    <s v="anto.padilla15@gmail.com"/>
    <m/>
    <m/>
    <m/>
    <m/>
    <m/>
    <s v="No"/>
    <n v="0"/>
    <s v="No"/>
    <s v="No definido"/>
    <s v="Si"/>
    <n v="77"/>
    <d v="2024-01-30T09:55:00"/>
    <s v="Activo"/>
    <d v="2024-01-30T09:54:00"/>
    <d v="2024-01-30T09:55:00"/>
    <x v="19"/>
    <m/>
    <m/>
    <m/>
    <m/>
    <m/>
    <m/>
  </r>
  <r>
    <s v="Persona"/>
    <s v="No"/>
    <s v="15363853-5"/>
    <x v="104"/>
    <s v="De torres"/>
    <s v="Felipe De torres"/>
    <s v="Sin Giro"/>
    <s v="fdetorres@gmail.com"/>
    <m/>
    <m/>
    <m/>
    <m/>
    <m/>
    <s v="No"/>
    <n v="0"/>
    <s v="No"/>
    <s v="No definido"/>
    <s v="Si"/>
    <n v="163"/>
    <d v="2024-01-30T11:07:00"/>
    <s v="Activo"/>
    <d v="2024-01-30T11:05:00"/>
    <d v="2024-01-30T11:07:00"/>
    <x v="19"/>
    <m/>
    <m/>
    <m/>
    <m/>
    <m/>
    <m/>
  </r>
  <r>
    <s v="Persona"/>
    <s v="No"/>
    <s v="14271593-7"/>
    <x v="232"/>
    <s v="Roa Soto"/>
    <s v="Manuel  Roa Soto"/>
    <s v="Sin Giro"/>
    <s v="manuelroa.soto@gmail.com"/>
    <m/>
    <m/>
    <m/>
    <m/>
    <m/>
    <s v="No"/>
    <n v="0"/>
    <s v="No"/>
    <s v="No definido"/>
    <s v="Si"/>
    <n v="173"/>
    <d v="2024-01-30T11:25:00"/>
    <s v="Activo"/>
    <d v="2024-01-30T11:24:00"/>
    <d v="2024-01-30T11:25:00"/>
    <x v="19"/>
    <m/>
    <m/>
    <m/>
    <m/>
    <m/>
    <m/>
  </r>
  <r>
    <s v="Persona"/>
    <s v="No"/>
    <s v="12905628-2"/>
    <x v="233"/>
    <s v="González"/>
    <s v="Andres  González"/>
    <s v="Sin Giro"/>
    <s v="andgonzalez@me.com"/>
    <m/>
    <m/>
    <m/>
    <m/>
    <m/>
    <s v="No"/>
    <n v="0"/>
    <s v="No"/>
    <s v="No definido"/>
    <s v="Si"/>
    <n v="77"/>
    <d v="2024-01-30T11:28:00"/>
    <s v="Activo"/>
    <d v="2024-01-30T11:27:00"/>
    <d v="2024-01-30T11:28:00"/>
    <x v="19"/>
    <m/>
    <m/>
    <m/>
    <m/>
    <m/>
    <m/>
  </r>
  <r>
    <s v="Persona"/>
    <s v="No"/>
    <s v="17599505-6"/>
    <x v="88"/>
    <s v="Bascur"/>
    <s v="Gabriela Bascur"/>
    <s v="Sin Giro"/>
    <s v="gabriela.bascur1@gmail.com"/>
    <m/>
    <m/>
    <m/>
    <m/>
    <m/>
    <s v="No"/>
    <n v="0"/>
    <s v="No"/>
    <s v="No definido"/>
    <s v="Si"/>
    <n v="153"/>
    <d v="2024-01-30T12:51:00"/>
    <s v="Activo"/>
    <d v="2024-01-30T12:28:00"/>
    <d v="2024-01-30T12:51:00"/>
    <x v="0"/>
    <m/>
    <m/>
    <m/>
    <m/>
    <m/>
    <m/>
  </r>
  <r>
    <s v="Persona"/>
    <s v="No"/>
    <s v="16235484-1"/>
    <x v="234"/>
    <s v="Riquelme Ovidedo"/>
    <s v="Susana Riquelme Ovidedo"/>
    <s v="Sin Giro"/>
    <s v="susan_balu@hotmail.com"/>
    <m/>
    <m/>
    <m/>
    <m/>
    <m/>
    <s v="No"/>
    <n v="0"/>
    <s v="No"/>
    <s v="No definido"/>
    <s v="Si"/>
    <n v="87"/>
    <d v="2024-01-30T12:55:00"/>
    <s v="Activo"/>
    <d v="2024-01-30T12:54:00"/>
    <d v="2024-01-30T12:55:00"/>
    <x v="0"/>
    <m/>
    <m/>
    <m/>
    <m/>
    <m/>
    <m/>
  </r>
  <r>
    <s v="Persona"/>
    <s v="No"/>
    <s v="20072315-5"/>
    <x v="235"/>
    <s v="Kurasz "/>
    <s v="Arturo Kurasz "/>
    <s v="Sin Giro"/>
    <s v="arturokurasz@hotmail.com"/>
    <m/>
    <m/>
    <m/>
    <m/>
    <m/>
    <s v="No"/>
    <n v="0"/>
    <s v="No"/>
    <s v="No definido"/>
    <s v="Si"/>
    <n v="77"/>
    <d v="2024-01-30T15:41:00"/>
    <s v="Activo"/>
    <d v="2024-01-30T15:40:00"/>
    <d v="2024-01-30T15:41:00"/>
    <x v="19"/>
    <m/>
    <m/>
    <m/>
    <m/>
    <m/>
    <m/>
  </r>
  <r>
    <s v="Persona"/>
    <s v="No"/>
    <s v="17083338-4"/>
    <x v="236"/>
    <s v="Burger"/>
    <s v="Matias Burger"/>
    <s v="Sin Giro"/>
    <s v="burgermatias@gmail.com"/>
    <m/>
    <m/>
    <m/>
    <m/>
    <m/>
    <s v="No"/>
    <n v="0"/>
    <s v="No"/>
    <s v="No definido"/>
    <s v="Si"/>
    <n v="307"/>
    <d v="2024-03-13T14:07:00"/>
    <s v="Activo"/>
    <d v="2024-01-31T10:54:00"/>
    <d v="2024-03-13T14:07:00"/>
    <x v="19"/>
    <m/>
    <m/>
    <m/>
    <m/>
    <m/>
    <m/>
  </r>
  <r>
    <s v="Persona"/>
    <s v="No"/>
    <s v="13143606-8"/>
    <x v="224"/>
    <s v="Achelias"/>
    <s v="Antonio Achelias"/>
    <s v="Sin Giro"/>
    <s v="antonioachelias@gmail.com"/>
    <m/>
    <m/>
    <m/>
    <m/>
    <m/>
    <s v="No"/>
    <n v="0"/>
    <s v="No"/>
    <s v="No definido"/>
    <s v="Si"/>
    <n v="77"/>
    <d v="2024-01-31T12:15:00"/>
    <s v="Activo"/>
    <d v="2024-01-31T12:13:00"/>
    <d v="2024-01-31T12:15:00"/>
    <x v="114"/>
    <m/>
    <m/>
    <m/>
    <m/>
    <m/>
    <m/>
  </r>
  <r>
    <s v="Persona"/>
    <s v="No"/>
    <s v="18877381-8"/>
    <x v="237"/>
    <s v="Otarola"/>
    <s v="Tamara  Otarola"/>
    <s v="Sin Giro"/>
    <m/>
    <m/>
    <m/>
    <m/>
    <m/>
    <m/>
    <s v="No"/>
    <n v="0"/>
    <s v="No"/>
    <s v="No definido"/>
    <s v="Si"/>
    <n v="307"/>
    <d v="2024-01-31T16:34:00"/>
    <s v="Activo"/>
    <d v="2024-01-31T16:33:00"/>
    <d v="2024-01-31T16:34:00"/>
    <x v="0"/>
    <m/>
    <m/>
    <m/>
    <m/>
    <m/>
    <m/>
  </r>
  <r>
    <s v="Persona"/>
    <s v="No"/>
    <s v="6241968-7"/>
    <x v="230"/>
    <s v="Solar Moreno"/>
    <s v="Victor  Solar Moreno"/>
    <s v="Sin Giro"/>
    <s v="victorsolardos@hotmail.com"/>
    <m/>
    <m/>
    <m/>
    <n v="995718858"/>
    <m/>
    <s v="No"/>
    <n v="0"/>
    <s v="No"/>
    <s v="No definido"/>
    <s v="Si"/>
    <n v="77"/>
    <d v="2024-01-31T17:21:00"/>
    <s v="Activo"/>
    <d v="2024-01-31T17:21:00"/>
    <d v="2024-01-31T17:21:00"/>
    <x v="19"/>
    <m/>
    <m/>
    <m/>
    <m/>
    <m/>
    <m/>
  </r>
  <r>
    <s v="Persona"/>
    <s v="No"/>
    <s v="5633557-9"/>
    <x v="238"/>
    <s v="Feliu Salas"/>
    <s v="Rosario  Feliu Salas"/>
    <s v="Sin Giro"/>
    <s v="rosariofeliusalas@gmail.com"/>
    <m/>
    <m/>
    <m/>
    <m/>
    <m/>
    <s v="No"/>
    <n v="0"/>
    <s v="No"/>
    <s v="No definido"/>
    <s v="Si"/>
    <n v="77"/>
    <d v="2024-01-31T17:29:00"/>
    <s v="Activo"/>
    <d v="2024-01-31T17:28:00"/>
    <d v="2024-01-31T17:29:00"/>
    <x v="115"/>
    <m/>
    <m/>
    <m/>
    <m/>
    <m/>
    <m/>
  </r>
  <r>
    <s v="Persona"/>
    <s v="No"/>
    <s v="16892518-2"/>
    <x v="12"/>
    <s v="cuartas condemarin"/>
    <s v="natalia cuartas condemarin"/>
    <s v="Sin Giro"/>
    <s v="natyba.psicologia@gmail.com"/>
    <s v="Briones luco 0675"/>
    <s v="LACI"/>
    <s v="METROPOLITANA DE SANTIAGO"/>
    <n v="997427951"/>
    <m/>
    <s v="No"/>
    <n v="0"/>
    <s v="No"/>
    <s v="No definido"/>
    <s v="Si"/>
    <n v="67"/>
    <d v="2024-01-31T22:51:00"/>
    <s v="Activo"/>
    <d v="2024-01-31T22:51:00"/>
    <d v="2024-01-31T22:51:00"/>
    <x v="0"/>
    <m/>
    <m/>
    <m/>
    <m/>
    <m/>
    <m/>
  </r>
  <r>
    <s v="Persona"/>
    <s v="No"/>
    <s v="9402560-5"/>
    <x v="239"/>
    <s v="Alfaro"/>
    <s v="Aurora Alfaro"/>
    <s v="Sin Giro"/>
    <s v="aurora.alfaro@globalseguros.cl"/>
    <m/>
    <m/>
    <m/>
    <m/>
    <m/>
    <s v="No"/>
    <n v="0"/>
    <s v="No"/>
    <s v="No definido"/>
    <s v="Si"/>
    <n v="611"/>
    <d v="2024-04-09T14:19:00"/>
    <s v="Activo"/>
    <d v="2024-02-01T12:47:00"/>
    <d v="2024-04-09T14:19:00"/>
    <x v="116"/>
    <m/>
    <m/>
    <m/>
    <m/>
    <m/>
    <m/>
  </r>
  <r>
    <s v="Persona"/>
    <s v="No"/>
    <s v="16719982-8"/>
    <x v="240"/>
    <s v="Huencho"/>
    <s v="Allyson Huencho"/>
    <s v="Sin Giro"/>
    <s v="allyson.huencho@gmail.com"/>
    <m/>
    <m/>
    <m/>
    <m/>
    <m/>
    <s v="No"/>
    <n v="0"/>
    <s v="No"/>
    <s v="No definido"/>
    <s v="Si"/>
    <n v="77"/>
    <d v="2024-02-01T14:03:00"/>
    <s v="Activo"/>
    <d v="2024-02-01T14:02:00"/>
    <d v="2024-02-01T14:03:00"/>
    <x v="19"/>
    <m/>
    <m/>
    <m/>
    <m/>
    <m/>
    <m/>
  </r>
  <r>
    <s v="Persona"/>
    <s v="No"/>
    <s v="20858326-3"/>
    <x v="241"/>
    <s v="Garcés"/>
    <s v="Maxi  Garcés"/>
    <s v="Sin Giro"/>
    <s v="maxi.garces12@gmail.com"/>
    <m/>
    <m/>
    <m/>
    <m/>
    <m/>
    <s v="No"/>
    <n v="0"/>
    <s v="No"/>
    <s v="No definido"/>
    <s v="Si"/>
    <n v="77"/>
    <d v="2024-02-01T16:19:00"/>
    <s v="Activo"/>
    <d v="2024-02-01T16:18:00"/>
    <d v="2024-02-01T16:19:00"/>
    <x v="0"/>
    <m/>
    <m/>
    <m/>
    <m/>
    <m/>
    <m/>
  </r>
  <r>
    <s v="Persona"/>
    <s v="No"/>
    <s v="15772282-4"/>
    <x v="242"/>
    <s v="Bustos"/>
    <s v="Lillian Bustos"/>
    <s v="Sin Giro"/>
    <s v="lillianbustos182@gmail.com"/>
    <m/>
    <m/>
    <m/>
    <m/>
    <m/>
    <s v="No"/>
    <n v="0"/>
    <s v="No"/>
    <s v="No definido"/>
    <s v="Si"/>
    <n v="77"/>
    <d v="2024-02-01T16:36:00"/>
    <s v="Activo"/>
    <d v="2024-02-01T16:35:00"/>
    <d v="2024-02-01T16:36:00"/>
    <x v="19"/>
    <m/>
    <m/>
    <m/>
    <m/>
    <m/>
    <m/>
  </r>
  <r>
    <s v="Persona"/>
    <s v="No"/>
    <s v="20731016-6"/>
    <x v="190"/>
    <s v="Castillo"/>
    <s v="Valeria Castillo"/>
    <s v="Sin Giro"/>
    <s v="contactovaleriacastillo@gmail.com"/>
    <m/>
    <m/>
    <m/>
    <m/>
    <m/>
    <s v="No"/>
    <n v="0"/>
    <s v="No"/>
    <s v="No definido"/>
    <s v="Si"/>
    <n v="77"/>
    <d v="2024-02-01T17:09:00"/>
    <s v="Activo"/>
    <d v="2024-02-01T17:08:00"/>
    <d v="2024-02-01T17:09:00"/>
    <x v="19"/>
    <m/>
    <m/>
    <m/>
    <m/>
    <m/>
    <m/>
  </r>
  <r>
    <s v="Persona"/>
    <s v="No"/>
    <s v="19409217-2"/>
    <x v="104"/>
    <s v="Contreras"/>
    <s v="Felipe Contreras"/>
    <s v="Sin Giro"/>
    <s v="fcontrerasrios25@gmail.com"/>
    <m/>
    <m/>
    <m/>
    <m/>
    <m/>
    <s v="No"/>
    <n v="0"/>
    <s v="No"/>
    <s v="No definido"/>
    <s v="Si"/>
    <n v="0"/>
    <d v="2024-04-17T20:44:00"/>
    <s v="Activo"/>
    <d v="2024-02-01T17:59:00"/>
    <d v="2024-02-15T13:03:00"/>
    <x v="117"/>
    <m/>
    <m/>
    <m/>
    <m/>
    <m/>
    <m/>
  </r>
  <r>
    <s v="Persona"/>
    <s v="No"/>
    <s v="16747848-4"/>
    <x v="243"/>
    <s v="gonzalez"/>
    <s v="viviana gonzalez"/>
    <s v="Sin Giro"/>
    <s v="viviana.eliz.gonzalez@gmail.com"/>
    <m/>
    <m/>
    <m/>
    <m/>
    <m/>
    <s v="No"/>
    <n v="0"/>
    <s v="No"/>
    <s v="No definido"/>
    <s v="Si"/>
    <n v="217"/>
    <d v="2024-03-07T16:01:00"/>
    <s v="Activo"/>
    <d v="2024-02-02T17:34:00"/>
    <d v="2024-03-07T16:01:00"/>
    <x v="0"/>
    <m/>
    <m/>
    <m/>
    <m/>
    <m/>
    <m/>
  </r>
  <r>
    <s v="Persona"/>
    <s v="No"/>
    <s v=""/>
    <x v="163"/>
    <s v="Jerez"/>
    <s v="Alejandro Jerez"/>
    <s v="Sin Giro"/>
    <s v="alejandro.jerez@gmail.com"/>
    <m/>
    <m/>
    <m/>
    <m/>
    <m/>
    <s v="No"/>
    <n v="0"/>
    <s v="No"/>
    <s v="No definido"/>
    <s v="Si"/>
    <n v="0"/>
    <d v="2024-04-17T20:44:00"/>
    <s v="Activo"/>
    <d v="2024-02-03T16:31:00"/>
    <d v="2024-02-03T16:31:00"/>
    <x v="0"/>
    <m/>
    <m/>
    <m/>
    <m/>
    <m/>
    <m/>
  </r>
  <r>
    <s v="Persona"/>
    <s v="No"/>
    <s v="13253602-3"/>
    <x v="3"/>
    <s v="Lillo"/>
    <s v="Marco Lillo"/>
    <s v="Sin Giro"/>
    <s v="marcolillo@gmail.com"/>
    <m/>
    <m/>
    <m/>
    <m/>
    <m/>
    <s v="No"/>
    <n v="0"/>
    <s v="No"/>
    <s v="No definido"/>
    <s v="Si"/>
    <n v="87"/>
    <d v="2024-02-03T18:12:00"/>
    <s v="Activo"/>
    <d v="2024-02-03T18:12:00"/>
    <d v="2024-02-03T18:12:00"/>
    <x v="0"/>
    <m/>
    <m/>
    <m/>
    <m/>
    <m/>
    <m/>
  </r>
  <r>
    <s v="Persona"/>
    <s v="No"/>
    <s v="9386447-6"/>
    <x v="102"/>
    <s v="nakouzih"/>
    <s v="paulina nakouzih"/>
    <s v="Sin Giro"/>
    <s v="nakouzih@gmail.com"/>
    <m/>
    <m/>
    <m/>
    <m/>
    <m/>
    <s v="No"/>
    <n v="0"/>
    <s v="No"/>
    <s v="No definido"/>
    <s v="Si"/>
    <n v="87"/>
    <d v="2024-02-03T19:48:00"/>
    <s v="Activo"/>
    <d v="2024-02-03T19:47:00"/>
    <d v="2024-02-03T19:48:00"/>
    <x v="0"/>
    <m/>
    <m/>
    <m/>
    <m/>
    <m/>
    <m/>
  </r>
  <r>
    <s v="Persona"/>
    <s v="No"/>
    <s v="15938794-1"/>
    <x v="244"/>
    <s v="lopez"/>
    <s v="elias lopez"/>
    <s v="Sin Giro"/>
    <s v="lopez.avila.elias@gmail.com"/>
    <m/>
    <m/>
    <m/>
    <m/>
    <m/>
    <s v="No"/>
    <n v="0"/>
    <s v="No"/>
    <s v="No definido"/>
    <s v="Si"/>
    <n v="87"/>
    <d v="2024-02-03T19:50:00"/>
    <s v="Activo"/>
    <d v="2024-02-03T19:49:00"/>
    <d v="2024-02-03T19:50:00"/>
    <x v="0"/>
    <m/>
    <m/>
    <m/>
    <m/>
    <m/>
    <m/>
  </r>
  <r>
    <s v="Persona"/>
    <s v="No"/>
    <s v="22118995-7"/>
    <x v="245"/>
    <s v="s"/>
    <s v="josefa s"/>
    <s v="Sin Giro"/>
    <s v="scorsese.josefa@gmail.com"/>
    <m/>
    <m/>
    <m/>
    <m/>
    <m/>
    <s v="No"/>
    <n v="0"/>
    <s v="No"/>
    <s v="No definido"/>
    <s v="Si"/>
    <n v="87"/>
    <d v="2024-02-03T19:52:00"/>
    <s v="Activo"/>
    <d v="2024-02-03T19:52:00"/>
    <d v="2024-02-03T19:52:00"/>
    <x v="0"/>
    <m/>
    <m/>
    <m/>
    <m/>
    <m/>
    <m/>
  </r>
  <r>
    <s v="Persona"/>
    <s v="No"/>
    <s v="17749983-8"/>
    <x v="246"/>
    <s v="Sepúlveda"/>
    <s v="Jeraldine Sepúlveda"/>
    <s v="Sin Giro"/>
    <s v="jsepul20@gmail.com"/>
    <m/>
    <m/>
    <m/>
    <m/>
    <m/>
    <s v="No"/>
    <n v="0"/>
    <s v="No"/>
    <s v="No definido"/>
    <s v="Si"/>
    <n v="77"/>
    <d v="2024-02-03T20:32:00"/>
    <s v="Activo"/>
    <d v="2024-02-03T20:31:00"/>
    <d v="2024-02-03T20:32:00"/>
    <x v="0"/>
    <m/>
    <m/>
    <m/>
    <m/>
    <m/>
    <m/>
  </r>
  <r>
    <s v="Persona"/>
    <s v="No"/>
    <s v="17189564-2"/>
    <x v="120"/>
    <s v="Ramos Rui"/>
    <s v="Camila Ramos Rui"/>
    <s v="Sin Giro"/>
    <s v="ramosruiz.camila@gmail.com"/>
    <m/>
    <m/>
    <m/>
    <m/>
    <m/>
    <s v="No"/>
    <n v="0"/>
    <s v="No"/>
    <s v="No definido"/>
    <s v="Si"/>
    <n v="87"/>
    <d v="2024-02-05T12:49:00"/>
    <s v="Activo"/>
    <d v="2024-02-05T12:48:00"/>
    <d v="2024-02-05T12:49:00"/>
    <x v="19"/>
    <m/>
    <m/>
    <m/>
    <m/>
    <m/>
    <m/>
  </r>
  <r>
    <s v="Persona"/>
    <s v="No"/>
    <s v="11480007-4"/>
    <x v="247"/>
    <s v="Sepulveda"/>
    <s v="Yasna  Sepulveda"/>
    <s v="Sin Giro"/>
    <s v="yasepulor@gmail.com"/>
    <m/>
    <m/>
    <m/>
    <m/>
    <m/>
    <s v="No"/>
    <n v="0"/>
    <s v="No"/>
    <s v="No definido"/>
    <s v="Si"/>
    <n v="77"/>
    <d v="2024-02-05T17:37:00"/>
    <s v="Activo"/>
    <d v="2024-02-05T17:36:00"/>
    <d v="2024-02-05T17:37:00"/>
    <x v="19"/>
    <m/>
    <m/>
    <m/>
    <m/>
    <m/>
    <m/>
  </r>
  <r>
    <s v="Persona"/>
    <s v="No"/>
    <s v="10084293-9"/>
    <x v="248"/>
    <s v="Cáceres "/>
    <s v="Veronica Cáceres "/>
    <s v="Sin Giro"/>
    <s v="v.caceresleal17@gmail.com"/>
    <m/>
    <m/>
    <m/>
    <m/>
    <m/>
    <s v="No"/>
    <n v="0"/>
    <s v="No"/>
    <s v="No definido"/>
    <s v="Si"/>
    <n v="77"/>
    <d v="2024-02-05T17:39:00"/>
    <s v="Activo"/>
    <d v="2024-02-05T17:39:00"/>
    <d v="2024-02-05T17:39:00"/>
    <x v="0"/>
    <m/>
    <m/>
    <m/>
    <m/>
    <m/>
    <m/>
  </r>
  <r>
    <s v="Persona"/>
    <s v="No"/>
    <s v="15932154-1"/>
    <x v="132"/>
    <s v="Becerra"/>
    <s v="Alvaro Becerra"/>
    <s v="Sin Giro"/>
    <s v="alvaro.becerrac@gmail.com"/>
    <m/>
    <m/>
    <m/>
    <m/>
    <m/>
    <s v="No"/>
    <n v="0"/>
    <s v="No"/>
    <s v="No definido"/>
    <s v="Si"/>
    <n v="217"/>
    <d v="2024-03-20T14:04:00"/>
    <s v="Activo"/>
    <d v="2024-02-05T18:17:00"/>
    <d v="2024-03-20T14:04:00"/>
    <x v="19"/>
    <m/>
    <m/>
    <m/>
    <m/>
    <m/>
    <m/>
  </r>
  <r>
    <s v="Persona"/>
    <s v="Si"/>
    <s v="55555555-5"/>
    <x v="249"/>
    <s v="Hernández"/>
    <s v="Luis Hernández"/>
    <s v="Sin Giro"/>
    <s v="farmaclub200@gmail.com"/>
    <m/>
    <m/>
    <m/>
    <m/>
    <m/>
    <s v="No"/>
    <n v="0"/>
    <s v="No"/>
    <s v="No definido"/>
    <s v="Si"/>
    <n v="173"/>
    <d v="2024-02-05T19:04:00"/>
    <s v="Activo"/>
    <d v="2024-02-05T19:03:00"/>
    <d v="2024-02-05T19:04:00"/>
    <x v="19"/>
    <m/>
    <m/>
    <m/>
    <m/>
    <m/>
    <m/>
  </r>
  <r>
    <s v="Persona"/>
    <s v="No"/>
    <s v="15481789-1"/>
    <x v="29"/>
    <s v="Basaure"/>
    <s v="Daniela Basaure"/>
    <s v="Sin Giro"/>
    <s v="danielabasure@gmail.com"/>
    <m/>
    <m/>
    <m/>
    <m/>
    <m/>
    <s v="No"/>
    <n v="0"/>
    <s v="No"/>
    <s v="No definido"/>
    <s v="Si"/>
    <n v="77"/>
    <d v="2024-02-06T13:12:00"/>
    <s v="Activo"/>
    <d v="2024-02-06T13:11:00"/>
    <d v="2024-02-06T13:12:00"/>
    <x v="19"/>
    <m/>
    <m/>
    <m/>
    <m/>
    <m/>
    <m/>
  </r>
  <r>
    <s v="Persona"/>
    <s v="No"/>
    <s v="18114656-7"/>
    <x v="250"/>
    <s v="León "/>
    <s v="Fernanda León "/>
    <s v="Sin Giro"/>
    <s v="fdaleontorres@gmail.com"/>
    <m/>
    <m/>
    <m/>
    <m/>
    <m/>
    <s v="No"/>
    <n v="0"/>
    <s v="No"/>
    <s v="No definido"/>
    <s v="Si"/>
    <n v="164"/>
    <d v="2024-02-19T18:12:00"/>
    <s v="Activo"/>
    <d v="2024-02-06T17:47:00"/>
    <d v="2024-02-19T18:12:00"/>
    <x v="19"/>
    <m/>
    <m/>
    <m/>
    <m/>
    <m/>
    <m/>
  </r>
  <r>
    <s v="Persona"/>
    <s v="No"/>
    <s v="11713846-1"/>
    <x v="233"/>
    <s v="Palma"/>
    <s v="Andres  Palma"/>
    <s v="Sin Giro"/>
    <s v="andres.palma1@gmail.com"/>
    <m/>
    <m/>
    <m/>
    <m/>
    <m/>
    <s v="No"/>
    <n v="0"/>
    <s v="No"/>
    <s v="No definido"/>
    <s v="Si"/>
    <n v="164"/>
    <d v="2024-02-28T10:20:00"/>
    <s v="Activo"/>
    <d v="2024-02-06T19:13:00"/>
    <d v="2024-02-28T10:20:00"/>
    <x v="19"/>
    <m/>
    <m/>
    <m/>
    <m/>
    <m/>
    <m/>
  </r>
  <r>
    <s v="Persona"/>
    <s v="No"/>
    <s v="17345675-1"/>
    <x v="50"/>
    <s v="Duhalde"/>
    <s v="Nicolas Duhalde"/>
    <s v="Sin Giro"/>
    <s v="nduhaldea@gmail.com"/>
    <m/>
    <m/>
    <m/>
    <m/>
    <m/>
    <s v="No"/>
    <n v="0"/>
    <s v="No"/>
    <s v="No definido"/>
    <s v="Si"/>
    <n v="87"/>
    <d v="2024-02-06T19:35:00"/>
    <s v="Activo"/>
    <d v="2024-02-06T19:35:00"/>
    <d v="2024-02-06T19:35:00"/>
    <x v="19"/>
    <m/>
    <m/>
    <m/>
    <m/>
    <m/>
    <m/>
  </r>
  <r>
    <s v="Persona"/>
    <s v="No"/>
    <s v="18033626-5"/>
    <x v="111"/>
    <s v="Villanelo"/>
    <s v="Francisco Villanelo"/>
    <s v="Sin Giro"/>
    <s v="f.cabrera.villanelo@gmail.com"/>
    <m/>
    <m/>
    <m/>
    <m/>
    <m/>
    <s v="No"/>
    <n v="0"/>
    <s v="No"/>
    <s v="No definido"/>
    <s v="Si"/>
    <n v="87"/>
    <d v="2024-02-06T21:41:00"/>
    <s v="Activo"/>
    <d v="2024-02-06T21:41:00"/>
    <d v="2024-02-06T21:41:00"/>
    <x v="0"/>
    <m/>
    <m/>
    <m/>
    <m/>
    <m/>
    <m/>
  </r>
  <r>
    <s v="Persona"/>
    <s v="No"/>
    <s v=""/>
    <x v="251"/>
    <s v="Peña Rojas"/>
    <s v="Maria Isabel Peña Rojas"/>
    <s v="Sin Giro"/>
    <s v="maxysabel@hotmail.com"/>
    <m/>
    <m/>
    <m/>
    <m/>
    <m/>
    <s v="No"/>
    <n v="0"/>
    <s v="No"/>
    <s v="No definido"/>
    <s v="Si"/>
    <n v="77"/>
    <d v="2024-02-07T12:58:00"/>
    <s v="Activo"/>
    <d v="2024-02-07T12:56:00"/>
    <d v="2024-02-07T12:58:00"/>
    <x v="19"/>
    <m/>
    <m/>
    <m/>
    <m/>
    <m/>
    <m/>
  </r>
  <r>
    <s v="Persona"/>
    <s v="No"/>
    <s v="13448834-4"/>
    <x v="64"/>
    <s v="villari"/>
    <s v="jorge villari"/>
    <s v="Sin Giro"/>
    <s v="jorgevillari.vargas@gmail.com"/>
    <m/>
    <m/>
    <m/>
    <m/>
    <m/>
    <s v="No"/>
    <n v="0"/>
    <s v="No"/>
    <s v="No definido"/>
    <s v="Si"/>
    <n v="150"/>
    <d v="2024-02-07T14:56:00"/>
    <s v="Activo"/>
    <d v="2024-02-07T14:56:00"/>
    <d v="2024-02-07T14:56:00"/>
    <x v="0"/>
    <m/>
    <m/>
    <m/>
    <m/>
    <m/>
    <m/>
  </r>
  <r>
    <s v="Persona"/>
    <s v="No"/>
    <s v="21486350-2"/>
    <x v="252"/>
    <s v="Pizarro"/>
    <s v="Maria Ignacia Pizarro"/>
    <s v="Sin Giro"/>
    <s v="mariaignacia614@gmail.com"/>
    <m/>
    <m/>
    <m/>
    <m/>
    <m/>
    <s v="No"/>
    <n v="0"/>
    <s v="No"/>
    <s v="No definido"/>
    <s v="Si"/>
    <n v="154"/>
    <d v="2024-02-22T15:32:00"/>
    <s v="Activo"/>
    <d v="2024-02-07T16:19:00"/>
    <d v="2024-02-22T15:32:00"/>
    <x v="0"/>
    <m/>
    <m/>
    <m/>
    <m/>
    <m/>
    <m/>
  </r>
  <r>
    <s v="Persona"/>
    <s v="No"/>
    <s v="20784436-5"/>
    <x v="107"/>
    <s v="Slater Diaz"/>
    <s v="Valentina Slater Diaz"/>
    <s v="Sin Giro"/>
    <s v="valentinaslater4@gmail.com"/>
    <m/>
    <m/>
    <m/>
    <m/>
    <m/>
    <s v="No"/>
    <n v="0"/>
    <s v="No"/>
    <s v="No definido"/>
    <s v="Si"/>
    <n v="520"/>
    <d v="2024-03-12T13:11:00"/>
    <s v="Activo"/>
    <d v="2024-02-07T18:50:00"/>
    <d v="2024-03-12T13:11:00"/>
    <x v="0"/>
    <m/>
    <m/>
    <m/>
    <m/>
    <m/>
    <m/>
  </r>
  <r>
    <s v="Persona"/>
    <s v="No"/>
    <s v="17697400-1"/>
    <x v="111"/>
    <s v="Silva"/>
    <s v="Francisco Silva"/>
    <s v="Sin Giro"/>
    <s v="fco.silvaramirez@gmail.com"/>
    <m/>
    <m/>
    <m/>
    <m/>
    <m/>
    <s v="No"/>
    <n v="0"/>
    <s v="No"/>
    <s v="No definido"/>
    <s v="Si"/>
    <n v="163"/>
    <d v="2024-02-07T19:00:00"/>
    <s v="Activo"/>
    <d v="2024-02-07T18:59:00"/>
    <d v="2024-02-07T19:00:00"/>
    <x v="118"/>
    <m/>
    <m/>
    <m/>
    <m/>
    <m/>
    <m/>
  </r>
  <r>
    <s v="Persona"/>
    <s v="No"/>
    <s v="19871549-2"/>
    <x v="250"/>
    <s v="Novoa"/>
    <s v="Fernanda Novoa"/>
    <s v="Sin Giro"/>
    <s v="fernandanovoacriado@gmail.com"/>
    <m/>
    <m/>
    <m/>
    <m/>
    <m/>
    <s v="No"/>
    <n v="0"/>
    <s v="No"/>
    <s v="No definido"/>
    <s v="Si"/>
    <n v="173"/>
    <d v="2024-02-07T19:32:00"/>
    <s v="Activo"/>
    <d v="2024-02-07T19:31:00"/>
    <d v="2024-02-07T19:32:00"/>
    <x v="0"/>
    <m/>
    <m/>
    <m/>
    <m/>
    <m/>
    <m/>
  </r>
  <r>
    <s v="Persona"/>
    <s v="No"/>
    <s v="16840776-9"/>
    <x v="253"/>
    <s v="Castro"/>
    <s v="Camila  Castro"/>
    <s v="Sin Giro"/>
    <s v="camila.castro.arce@gmail.com"/>
    <m/>
    <m/>
    <m/>
    <m/>
    <m/>
    <s v="No"/>
    <n v="0"/>
    <s v="No"/>
    <s v="No definido"/>
    <s v="Si"/>
    <n v="87"/>
    <d v="2024-02-08T11:10:00"/>
    <s v="Activo"/>
    <d v="2024-02-08T11:09:00"/>
    <d v="2024-02-08T11:10:00"/>
    <x v="19"/>
    <m/>
    <m/>
    <m/>
    <m/>
    <m/>
    <m/>
  </r>
  <r>
    <s v="Persona"/>
    <s v="No"/>
    <s v="14494868-8"/>
    <x v="26"/>
    <s v="Rivera"/>
    <s v="Eduardo Rivera"/>
    <s v="Sin Giro"/>
    <s v="eargonzalez@gmail.com"/>
    <m/>
    <m/>
    <m/>
    <m/>
    <m/>
    <s v="No"/>
    <n v="0"/>
    <s v="No"/>
    <s v="No definido"/>
    <s v="Si"/>
    <n v="87"/>
    <d v="2024-02-08T20:49:00"/>
    <s v="Activo"/>
    <d v="2024-02-08T20:48:00"/>
    <d v="2024-02-08T20:49:00"/>
    <x v="0"/>
    <m/>
    <m/>
    <m/>
    <m/>
    <m/>
    <m/>
  </r>
  <r>
    <s v="Persona"/>
    <s v="No"/>
    <s v="15140145-7"/>
    <x v="254"/>
    <s v="Poblete"/>
    <s v="Priscilla Poblete"/>
    <s v="Sin Giro"/>
    <s v="priscilla_tal20@hotmail.com"/>
    <m/>
    <m/>
    <m/>
    <m/>
    <m/>
    <s v="No"/>
    <n v="0"/>
    <s v="No"/>
    <s v="No definido"/>
    <s v="Si"/>
    <n v="87"/>
    <d v="2024-02-09T13:20:00"/>
    <s v="Activo"/>
    <d v="2024-02-09T13:20:00"/>
    <d v="2024-02-09T13:20:00"/>
    <x v="0"/>
    <m/>
    <m/>
    <m/>
    <m/>
    <m/>
    <m/>
  </r>
  <r>
    <s v="Persona"/>
    <s v="No"/>
    <s v="8659882-5"/>
    <x v="169"/>
    <s v="Rios Araya"/>
    <s v="Patricia Rios Araya"/>
    <s v="Sin Giro"/>
    <s v="priosaraya1975@gmail.com"/>
    <m/>
    <m/>
    <m/>
    <m/>
    <m/>
    <s v="No"/>
    <n v="0"/>
    <s v="No"/>
    <s v="No definido"/>
    <s v="Si"/>
    <n v="433"/>
    <d v="2024-02-26T20:00:00"/>
    <s v="Activo"/>
    <d v="2024-02-09T14:59:00"/>
    <d v="2024-02-26T20:00:00"/>
    <x v="0"/>
    <m/>
    <m/>
    <m/>
    <m/>
    <m/>
    <m/>
  </r>
  <r>
    <s v="Persona"/>
    <s v="No"/>
    <s v="17697397-8"/>
    <x v="166"/>
    <s v="Garrido"/>
    <s v="Joaquin Garrido"/>
    <s v="Sin Giro"/>
    <s v="jgarridoc@uft.edu"/>
    <m/>
    <m/>
    <m/>
    <m/>
    <m/>
    <s v="No"/>
    <n v="0"/>
    <s v="No"/>
    <s v="No definido"/>
    <s v="Si"/>
    <n v="87"/>
    <d v="2024-02-09T19:01:00"/>
    <s v="Activo"/>
    <d v="2024-02-09T19:01:00"/>
    <d v="2024-02-09T19:01:00"/>
    <x v="0"/>
    <m/>
    <m/>
    <m/>
    <m/>
    <m/>
    <m/>
  </r>
  <r>
    <s v="Persona"/>
    <s v="No"/>
    <s v="17944169-1"/>
    <x v="61"/>
    <s v="Paredes"/>
    <s v="Sebastian Paredes"/>
    <s v="Sin Giro"/>
    <s v="sebastianparedespavez@gmail.com"/>
    <m/>
    <m/>
    <m/>
    <m/>
    <m/>
    <s v="No"/>
    <n v="0"/>
    <s v="No"/>
    <s v="No definido"/>
    <s v="Si"/>
    <n v="87"/>
    <d v="2024-02-09T21:01:00"/>
    <s v="Activo"/>
    <d v="2024-02-09T21:00:00"/>
    <d v="2024-02-09T21:01:00"/>
    <x v="0"/>
    <m/>
    <m/>
    <m/>
    <m/>
    <m/>
    <m/>
  </r>
  <r>
    <s v="Persona"/>
    <s v="No"/>
    <s v="15357219-4"/>
    <x v="255"/>
    <s v="Barrera"/>
    <s v="Franco Barrera"/>
    <s v="Sin Giro"/>
    <s v="feb7diaz@gmail.com"/>
    <m/>
    <m/>
    <m/>
    <m/>
    <m/>
    <s v="No"/>
    <n v="0"/>
    <s v="No"/>
    <s v="No definido"/>
    <s v="Si"/>
    <n v="87"/>
    <d v="2024-02-10T13:43:00"/>
    <s v="Activo"/>
    <d v="2024-02-10T13:43:00"/>
    <d v="2024-02-10T13:43:00"/>
    <x v="0"/>
    <m/>
    <m/>
    <m/>
    <m/>
    <m/>
    <m/>
  </r>
  <r>
    <s v="Persona"/>
    <s v="No"/>
    <s v="18315737-K"/>
    <x v="74"/>
    <s v="Diaz"/>
    <s v="Claudia Diaz"/>
    <s v="Sin Giro"/>
    <s v="claudiadiazorellana@hotmail.com"/>
    <m/>
    <m/>
    <m/>
    <m/>
    <m/>
    <s v="No"/>
    <n v="0"/>
    <s v="No"/>
    <s v="No definido"/>
    <s v="Si"/>
    <n v="87"/>
    <d v="2024-02-10T20:46:00"/>
    <s v="Activo"/>
    <d v="2024-02-10T20:46:00"/>
    <d v="2024-02-10T20:46:00"/>
    <x v="119"/>
    <m/>
    <m/>
    <m/>
    <m/>
    <m/>
    <m/>
  </r>
  <r>
    <s v="Persona"/>
    <s v="No"/>
    <s v="22017691-6"/>
    <x v="212"/>
    <s v="Briones"/>
    <s v="Noelia Briones"/>
    <s v="Sin Giro"/>
    <s v="brionesbnoelia@gmail.com"/>
    <m/>
    <m/>
    <m/>
    <m/>
    <m/>
    <s v="No"/>
    <n v="0"/>
    <s v="No"/>
    <s v="No definido"/>
    <s v="Si"/>
    <n v="77"/>
    <d v="2024-02-10T21:30:00"/>
    <s v="Activo"/>
    <d v="2024-02-10T21:30:00"/>
    <d v="2024-02-10T21:30:00"/>
    <x v="0"/>
    <m/>
    <m/>
    <m/>
    <m/>
    <m/>
    <m/>
  </r>
  <r>
    <s v="Persona"/>
    <s v="No"/>
    <s v="16371442-6"/>
    <x v="256"/>
    <s v="Obermoller"/>
    <s v="Stefanie Obermoller"/>
    <s v="Sin Giro"/>
    <s v="ste.obermoller@gmail.com"/>
    <m/>
    <m/>
    <m/>
    <m/>
    <m/>
    <s v="No"/>
    <n v="0"/>
    <s v="No"/>
    <s v="No definido"/>
    <s v="Si"/>
    <n v="250"/>
    <d v="2024-02-12T12:08:00"/>
    <s v="Activo"/>
    <d v="2024-02-12T12:04:00"/>
    <d v="2024-02-12T12:08:00"/>
    <x v="114"/>
    <m/>
    <m/>
    <m/>
    <m/>
    <m/>
    <m/>
  </r>
  <r>
    <s v="Persona"/>
    <s v="No"/>
    <s v="18840421-9"/>
    <x v="72"/>
    <s v="González"/>
    <s v="Cristian González"/>
    <s v="Sin Giro"/>
    <s v="cristiangq2@gmail.com"/>
    <m/>
    <m/>
    <m/>
    <m/>
    <m/>
    <s v="No"/>
    <n v="0"/>
    <s v="No"/>
    <s v="No definido"/>
    <s v="Si"/>
    <n v="50"/>
    <d v="2024-02-12T18:59:00"/>
    <s v="Activo"/>
    <d v="2024-02-12T18:59:00"/>
    <d v="2024-02-12T18:59:00"/>
    <x v="19"/>
    <m/>
    <m/>
    <m/>
    <m/>
    <m/>
    <m/>
  </r>
  <r>
    <s v="Persona"/>
    <s v="No"/>
    <s v="13546422-8"/>
    <x v="2"/>
    <s v="Fernández"/>
    <s v="Rodrigo  Fernández"/>
    <s v="Sin Giro"/>
    <s v="rodrigoafl@gmail.com"/>
    <m/>
    <m/>
    <m/>
    <m/>
    <m/>
    <s v="No"/>
    <n v="0"/>
    <s v="No"/>
    <s v="No definido"/>
    <s v="Si"/>
    <n v="192"/>
    <d v="2024-04-11T17:57:00"/>
    <s v="Activo"/>
    <d v="2024-02-12T19:46:00"/>
    <d v="2024-04-11T17:57:00"/>
    <x v="19"/>
    <m/>
    <m/>
    <m/>
    <m/>
    <m/>
    <m/>
  </r>
  <r>
    <s v="Persona"/>
    <s v="No"/>
    <s v="13452887-7"/>
    <x v="257"/>
    <s v=" Álvarez Viveros"/>
    <s v="María Alejandra  Álvarez Viveros"/>
    <s v="Sin Giro"/>
    <s v="alealvarezviveros@gmail.com"/>
    <m/>
    <m/>
    <m/>
    <n v="85124640"/>
    <m/>
    <s v="No"/>
    <n v="0"/>
    <s v="No"/>
    <s v="No definido"/>
    <s v="Si"/>
    <n v="77"/>
    <d v="2024-02-13T10:16:00"/>
    <s v="Activo"/>
    <d v="2024-02-13T10:16:00"/>
    <d v="2024-02-13T11:17:00"/>
    <x v="120"/>
    <m/>
    <m/>
    <m/>
    <m/>
    <m/>
    <m/>
  </r>
  <r>
    <s v="Persona"/>
    <s v="No"/>
    <s v="10392222-4"/>
    <x v="45"/>
    <s v="Aravena"/>
    <s v="Carlos Aravena"/>
    <s v="Sin Giro"/>
    <s v="carlos.caryali@gmail.com"/>
    <m/>
    <m/>
    <m/>
    <m/>
    <m/>
    <s v="No"/>
    <n v="0"/>
    <s v="No"/>
    <s v="No definido"/>
    <s v="Si"/>
    <n v="77"/>
    <d v="2024-02-13T10:21:00"/>
    <s v="Activo"/>
    <d v="2024-02-13T10:21:00"/>
    <d v="2024-02-13T10:21:00"/>
    <x v="121"/>
    <m/>
    <m/>
    <m/>
    <m/>
    <m/>
    <m/>
  </r>
  <r>
    <s v="Persona"/>
    <s v="No"/>
    <s v="19541221-9"/>
    <x v="258"/>
    <s v="Tampe"/>
    <s v="Robert Tampe"/>
    <s v="Sin Giro"/>
    <s v="roberttampe@gmail.com"/>
    <m/>
    <m/>
    <m/>
    <m/>
    <m/>
    <s v="No"/>
    <n v="0"/>
    <s v="No"/>
    <s v="No definido"/>
    <s v="Si"/>
    <n v="87"/>
    <d v="2024-02-13T16:03:00"/>
    <s v="Activo"/>
    <d v="2024-02-13T15:49:00"/>
    <d v="2024-02-13T16:03:00"/>
    <x v="122"/>
    <m/>
    <m/>
    <m/>
    <m/>
    <m/>
    <m/>
  </r>
  <r>
    <s v="Persona"/>
    <s v="No"/>
    <s v="20072797-5"/>
    <x v="259"/>
    <s v="Selman Kunstmann"/>
    <s v="Joaquin Antonio Selman Kunstmann"/>
    <s v="Sin Giro"/>
    <s v="jselman.k@hotmail.es"/>
    <s v="Duble Almeyda 2650 Dpto 201"/>
    <m/>
    <s v="Ñuñoa"/>
    <m/>
    <m/>
    <s v="No"/>
    <n v="0"/>
    <s v="No"/>
    <s v="No definido"/>
    <s v="Si"/>
    <n v="650"/>
    <d v="2024-03-26T15:29:00"/>
    <s v="Activo"/>
    <d v="2024-02-13T20:52:00"/>
    <d v="2024-03-26T15:29:00"/>
    <x v="0"/>
    <m/>
    <m/>
    <m/>
    <m/>
    <m/>
    <m/>
  </r>
  <r>
    <s v="Persona"/>
    <s v="No"/>
    <s v="12129489-3"/>
    <x v="64"/>
    <s v="Campos"/>
    <s v="Jorge Campos"/>
    <s v="Sin Giro"/>
    <s v="electricojorge@hotmail.com"/>
    <m/>
    <m/>
    <m/>
    <m/>
    <m/>
    <s v="No"/>
    <n v="0"/>
    <s v="No"/>
    <s v="No definido"/>
    <s v="Si"/>
    <n v="382"/>
    <d v="2024-03-26T12:35:00"/>
    <s v="Activo"/>
    <d v="2024-02-14T10:21:00"/>
    <d v="2024-03-26T12:35:00"/>
    <x v="0"/>
    <m/>
    <m/>
    <m/>
    <m/>
    <m/>
    <m/>
  </r>
  <r>
    <s v="Persona"/>
    <s v="No"/>
    <s v="17957175-7"/>
    <x v="260"/>
    <s v="Vásquez"/>
    <s v="David Vásquez"/>
    <s v="Sin Giro"/>
    <s v="dnvasque@uc.cl"/>
    <m/>
    <m/>
    <m/>
    <m/>
    <m/>
    <s v="No"/>
    <n v="0"/>
    <s v="No"/>
    <s v="No definido"/>
    <s v="Si"/>
    <n v="87"/>
    <d v="2024-02-14T10:34:00"/>
    <s v="Activo"/>
    <d v="2024-02-14T10:33:00"/>
    <d v="2024-02-14T10:34:00"/>
    <x v="123"/>
    <m/>
    <m/>
    <m/>
    <m/>
    <m/>
    <m/>
  </r>
  <r>
    <s v="Persona"/>
    <s v="No"/>
    <s v="15340834-3"/>
    <x v="54"/>
    <s v="Morales"/>
    <s v="Rodrigo Morales"/>
    <s v="Sin Giro"/>
    <s v="castortroys1983@gmail.com"/>
    <m/>
    <m/>
    <m/>
    <m/>
    <m/>
    <s v="No"/>
    <n v="0"/>
    <s v="No"/>
    <s v="No definido"/>
    <s v="Si"/>
    <n v="153"/>
    <d v="2024-02-14T13:03:00"/>
    <s v="Activo"/>
    <d v="2024-02-14T13:02:00"/>
    <d v="2024-02-14T13:03:00"/>
    <x v="23"/>
    <m/>
    <m/>
    <m/>
    <m/>
    <m/>
    <m/>
  </r>
  <r>
    <s v="Persona"/>
    <s v="No"/>
    <s v="9970103-K"/>
    <x v="261"/>
    <s v="Saldias"/>
    <s v="Liliana Saldias"/>
    <s v="Sin Giro"/>
    <s v="liliana.saldias@gmail.com"/>
    <m/>
    <m/>
    <m/>
    <m/>
    <m/>
    <s v="No"/>
    <n v="0"/>
    <s v="No"/>
    <s v="No definido"/>
    <s v="Si"/>
    <n v="87"/>
    <d v="2024-02-14T13:32:00"/>
    <s v="Activo"/>
    <d v="2024-02-14T13:31:00"/>
    <d v="2024-02-14T13:32:00"/>
    <x v="19"/>
    <m/>
    <m/>
    <m/>
    <m/>
    <m/>
    <m/>
  </r>
  <r>
    <s v="Persona"/>
    <s v="No"/>
    <s v="10780686-5"/>
    <x v="103"/>
    <s v="Valenzuela Ramírez"/>
    <s v="Sergio Valenzuela Ramírez"/>
    <s v="Sin Giro"/>
    <s v="sergio.valenzuelaramirez77@gmail.com"/>
    <m/>
    <m/>
    <m/>
    <m/>
    <m/>
    <s v="No"/>
    <n v="0"/>
    <s v="No"/>
    <s v="No definido"/>
    <s v="Si"/>
    <n v="87"/>
    <d v="2024-02-14T14:07:00"/>
    <s v="Activo"/>
    <d v="2024-02-14T14:05:00"/>
    <d v="2024-02-14T14:07:00"/>
    <x v="124"/>
    <m/>
    <m/>
    <m/>
    <m/>
    <m/>
    <m/>
  </r>
  <r>
    <s v="Persona"/>
    <s v="No"/>
    <s v="21980649-3"/>
    <x v="262"/>
    <s v="Urrutia"/>
    <s v="Luciano Urrutia"/>
    <s v="Sin Giro"/>
    <s v="luciano.urrutia181@gmail.com"/>
    <m/>
    <m/>
    <m/>
    <m/>
    <m/>
    <s v="No"/>
    <n v="0"/>
    <s v="No"/>
    <s v="No definido"/>
    <s v="Si"/>
    <n v="87"/>
    <d v="2024-02-14T14:09:00"/>
    <s v="Activo"/>
    <d v="2024-02-14T14:08:00"/>
    <d v="2024-02-14T14:09:00"/>
    <x v="74"/>
    <m/>
    <m/>
    <m/>
    <m/>
    <m/>
    <m/>
  </r>
  <r>
    <s v="Persona"/>
    <s v="No"/>
    <s v="13700563-8"/>
    <x v="7"/>
    <s v="Zamorano"/>
    <s v="Ulises Zamorano"/>
    <s v="Sin Giro"/>
    <s v="uzamoranoh@gmail.com"/>
    <m/>
    <m/>
    <m/>
    <m/>
    <m/>
    <s v="No"/>
    <n v="0"/>
    <s v="No"/>
    <s v="No definido"/>
    <s v="Si"/>
    <n v="73"/>
    <d v="2024-02-14T16:54:00"/>
    <s v="Activo"/>
    <d v="2024-02-14T16:54:00"/>
    <d v="2024-02-14T16:54:00"/>
    <x v="0"/>
    <m/>
    <m/>
    <m/>
    <m/>
    <m/>
    <m/>
  </r>
  <r>
    <s v="Persona"/>
    <s v="No"/>
    <s v="20495352-K"/>
    <x v="263"/>
    <s v="Quinteros"/>
    <s v="Lukas Maximiliano Quinteros"/>
    <s v="Sin Giro"/>
    <s v="lukas.maximiliano.zion@gmail.com"/>
    <m/>
    <m/>
    <m/>
    <m/>
    <m/>
    <s v="No"/>
    <n v="0"/>
    <s v="No"/>
    <s v="No definido"/>
    <s v="Si"/>
    <n v="87"/>
    <d v="2024-02-14T17:36:00"/>
    <s v="Activo"/>
    <d v="2024-02-14T17:35:00"/>
    <d v="2024-02-14T17:36:00"/>
    <x v="0"/>
    <m/>
    <m/>
    <m/>
    <m/>
    <m/>
    <m/>
  </r>
  <r>
    <s v="Persona"/>
    <s v="No"/>
    <s v="17180078-1"/>
    <x v="120"/>
    <s v="Alarcón"/>
    <s v="Camila Alarcón"/>
    <s v="Sin Giro"/>
    <s v="alarcon.j@hotmail.cl"/>
    <m/>
    <m/>
    <m/>
    <m/>
    <m/>
    <s v="No"/>
    <n v="0"/>
    <s v="No"/>
    <s v="No definido"/>
    <s v="Si"/>
    <n v="77"/>
    <d v="2024-02-14T21:00:00"/>
    <s v="Activo"/>
    <d v="2024-02-14T20:59:00"/>
    <d v="2024-02-14T21:00:00"/>
    <x v="83"/>
    <m/>
    <m/>
    <m/>
    <m/>
    <m/>
    <m/>
  </r>
  <r>
    <s v="Persona"/>
    <s v="No"/>
    <s v="19080396-1"/>
    <x v="116"/>
    <s v="Blas"/>
    <s v="Diego Blas"/>
    <s v="Sin Giro"/>
    <s v="dblas@fen.uchile.cl"/>
    <m/>
    <m/>
    <m/>
    <m/>
    <m/>
    <s v="No"/>
    <n v="0"/>
    <s v="No"/>
    <s v="No definido"/>
    <s v="Si"/>
    <n v="87"/>
    <d v="2024-02-14T22:46:00"/>
    <s v="Activo"/>
    <d v="2024-02-14T22:45:00"/>
    <d v="2024-02-14T22:46:00"/>
    <x v="0"/>
    <m/>
    <m/>
    <m/>
    <m/>
    <m/>
    <m/>
  </r>
  <r>
    <s v="Persona"/>
    <s v="No"/>
    <s v="10629543-3"/>
    <x v="30"/>
    <s v="Ulloa"/>
    <s v="Hernan Ulloa"/>
    <s v="Sin Giro"/>
    <s v="hulloa@gmail.com"/>
    <m/>
    <m/>
    <m/>
    <m/>
    <m/>
    <s v="No"/>
    <n v="0"/>
    <s v="No"/>
    <s v="No definido"/>
    <s v="Si"/>
    <n v="87"/>
    <d v="2024-02-15T10:43:00"/>
    <s v="Activo"/>
    <d v="2024-02-15T10:42:00"/>
    <d v="2024-02-15T10:43:00"/>
    <x v="125"/>
    <m/>
    <m/>
    <m/>
    <m/>
    <m/>
    <m/>
  </r>
  <r>
    <s v="Persona"/>
    <s v="No"/>
    <s v="16018693-3"/>
    <x v="19"/>
    <s v="Pérez Mott"/>
    <s v="Carolina Pérez Mott"/>
    <s v="Sin Giro"/>
    <s v="carolaperezc@yahoo.cl"/>
    <m/>
    <m/>
    <m/>
    <m/>
    <m/>
    <s v="No"/>
    <n v="0"/>
    <s v="No"/>
    <s v="No definido"/>
    <s v="Si"/>
    <n v="87"/>
    <d v="2024-02-15T11:27:00"/>
    <s v="Activo"/>
    <d v="2024-02-15T11:26:00"/>
    <d v="2024-02-15T11:27:00"/>
    <x v="126"/>
    <m/>
    <m/>
    <m/>
    <m/>
    <m/>
    <m/>
  </r>
  <r>
    <s v="Persona"/>
    <s v="No"/>
    <s v="16862372-0"/>
    <x v="264"/>
    <s v="Cavieres"/>
    <s v="Alonso Cavieres"/>
    <s v="Sin Giro"/>
    <s v="aloncavier@gmail.com"/>
    <m/>
    <m/>
    <m/>
    <m/>
    <m/>
    <s v="No"/>
    <n v="0"/>
    <s v="No"/>
    <s v="No definido"/>
    <s v="Si"/>
    <n v="77"/>
    <d v="2024-02-15T12:54:00"/>
    <s v="Activo"/>
    <d v="2024-02-15T12:54:00"/>
    <d v="2024-02-15T12:54:00"/>
    <x v="0"/>
    <m/>
    <m/>
    <m/>
    <m/>
    <m/>
    <m/>
  </r>
  <r>
    <s v="Persona"/>
    <s v="No"/>
    <s v="15376209-0"/>
    <x v="74"/>
    <s v="Villarroel"/>
    <s v="Claudia Villarroel"/>
    <s v="Sin Giro"/>
    <s v="cvillarroel@dgac.gob.cl"/>
    <m/>
    <m/>
    <m/>
    <m/>
    <m/>
    <s v="No"/>
    <n v="0"/>
    <s v="No"/>
    <s v="No definido"/>
    <s v="Si"/>
    <n v="337"/>
    <d v="2024-03-07T16:51:00"/>
    <s v="Activo"/>
    <d v="2024-02-15T12:56:00"/>
    <d v="2024-03-07T16:51:00"/>
    <x v="0"/>
    <m/>
    <m/>
    <m/>
    <m/>
    <m/>
    <m/>
  </r>
  <r>
    <s v="Persona"/>
    <s v="No"/>
    <s v="20970420-K"/>
    <x v="121"/>
    <s v="Capstick"/>
    <s v="Paula Capstick"/>
    <s v="Sin Giro"/>
    <s v="pcapstickf@fen.uchile.cl"/>
    <m/>
    <m/>
    <m/>
    <m/>
    <m/>
    <s v="No"/>
    <n v="0"/>
    <s v="No"/>
    <s v="No definido"/>
    <s v="Si"/>
    <n v="77"/>
    <d v="2024-02-15T15:26:00"/>
    <s v="Activo"/>
    <d v="2024-02-15T15:24:00"/>
    <d v="2024-02-15T15:26:00"/>
    <x v="0"/>
    <m/>
    <m/>
    <m/>
    <m/>
    <m/>
    <m/>
  </r>
  <r>
    <s v="Persona"/>
    <s v="No"/>
    <s v="10269270-5"/>
    <x v="90"/>
    <s v="overton"/>
    <s v="pamela overton"/>
    <s v="Sin Giro"/>
    <s v="overton_pamela@yahoo.com"/>
    <m/>
    <m/>
    <m/>
    <m/>
    <m/>
    <s v="No"/>
    <n v="0"/>
    <s v="No"/>
    <s v="No definido"/>
    <s v="Si"/>
    <n v="87"/>
    <d v="2024-02-15T17:15:00"/>
    <s v="Activo"/>
    <d v="2024-02-15T17:11:00"/>
    <d v="2024-02-15T17:15:00"/>
    <x v="0"/>
    <m/>
    <m/>
    <m/>
    <m/>
    <m/>
    <m/>
  </r>
  <r>
    <s v="Persona"/>
    <s v="No"/>
    <s v="21481938-4"/>
    <x v="175"/>
    <s v="Diaz"/>
    <s v="Catalina Diaz"/>
    <s v="Sin Giro"/>
    <s v="cata.diaz0801@gmail.com"/>
    <m/>
    <m/>
    <m/>
    <m/>
    <m/>
    <s v="No"/>
    <n v="0"/>
    <s v="No"/>
    <s v="No definido"/>
    <s v="Si"/>
    <n v="303"/>
    <d v="2024-03-08T17:12:00"/>
    <s v="Activo"/>
    <d v="2024-02-15T17:13:00"/>
    <d v="2024-03-08T17:12:00"/>
    <x v="0"/>
    <m/>
    <m/>
    <m/>
    <m/>
    <m/>
    <m/>
  </r>
  <r>
    <s v="Persona"/>
    <s v="No"/>
    <s v="13544360-3"/>
    <x v="265"/>
    <s v="Martin"/>
    <s v="Francisca  Martin"/>
    <s v="Sin Giro"/>
    <s v="franciscamartin.c@gmail.com"/>
    <m/>
    <m/>
    <m/>
    <m/>
    <m/>
    <s v="No"/>
    <n v="0"/>
    <s v="No"/>
    <s v="No definido"/>
    <s v="Si"/>
    <n v="163"/>
    <d v="2024-02-15T19:05:00"/>
    <s v="Activo"/>
    <d v="2024-02-15T19:04:00"/>
    <d v="2024-02-15T19:05:00"/>
    <x v="0"/>
    <m/>
    <m/>
    <m/>
    <m/>
    <m/>
    <m/>
  </r>
  <r>
    <s v="Persona"/>
    <s v="No"/>
    <s v="18794054-0"/>
    <x v="266"/>
    <s v="Rebolledo"/>
    <s v="Alexis Rebolledo"/>
    <s v="Sin Giro"/>
    <s v="alexisrebolledo27@gmail.com"/>
    <m/>
    <m/>
    <m/>
    <m/>
    <m/>
    <s v="No"/>
    <n v="0"/>
    <s v="No"/>
    <s v="No definido"/>
    <s v="Si"/>
    <n v="765"/>
    <d v="2024-04-05T13:36:00"/>
    <s v="Activo"/>
    <d v="2024-02-15T19:37:00"/>
    <d v="2024-04-05T13:36:00"/>
    <x v="0"/>
    <m/>
    <m/>
    <m/>
    <m/>
    <m/>
    <m/>
  </r>
  <r>
    <s v="Persona"/>
    <s v="No"/>
    <s v="18169413-0"/>
    <x v="267"/>
    <s v="Retamal"/>
    <s v="Nicolás Retamal"/>
    <s v="Sin Giro"/>
    <s v="nirevi92@gmail.com"/>
    <m/>
    <m/>
    <m/>
    <m/>
    <m/>
    <s v="No"/>
    <n v="0"/>
    <s v="No"/>
    <s v="No definido"/>
    <s v="Si"/>
    <n v="87"/>
    <d v="2024-02-15T21:08:00"/>
    <s v="Activo"/>
    <d v="2024-02-15T21:07:00"/>
    <d v="2024-02-15T21:08:00"/>
    <x v="0"/>
    <m/>
    <m/>
    <m/>
    <m/>
    <m/>
    <m/>
  </r>
  <r>
    <s v="Persona"/>
    <s v="No"/>
    <s v="19648512-0"/>
    <x v="176"/>
    <s v="Reveco"/>
    <s v="Mario Reveco"/>
    <s v="Sin Giro"/>
    <s v="reveking01@gmail.com"/>
    <m/>
    <m/>
    <m/>
    <m/>
    <m/>
    <s v="No"/>
    <n v="0"/>
    <s v="No"/>
    <s v="No definido"/>
    <s v="Si"/>
    <n v="87"/>
    <d v="2024-02-16T12:51:00"/>
    <s v="Activo"/>
    <d v="2024-02-16T12:42:00"/>
    <d v="2024-02-16T12:51:00"/>
    <x v="0"/>
    <m/>
    <m/>
    <m/>
    <m/>
    <m/>
    <m/>
  </r>
  <r>
    <s v="Persona"/>
    <s v="No"/>
    <s v="17628807-8"/>
    <x v="103"/>
    <s v="Azocar"/>
    <s v="Sergio Azocar"/>
    <s v="Sin Giro"/>
    <s v="sergio.azocar@mayor.cl"/>
    <m/>
    <m/>
    <m/>
    <m/>
    <m/>
    <s v="No"/>
    <n v="0"/>
    <s v="No"/>
    <s v="No definido"/>
    <s v="Si"/>
    <n v="260"/>
    <d v="2024-02-27T13:55:00"/>
    <s v="Activo"/>
    <d v="2024-02-16T14:54:00"/>
    <d v="2024-02-27T13:55:00"/>
    <x v="0"/>
    <m/>
    <m/>
    <m/>
    <m/>
    <m/>
    <m/>
  </r>
  <r>
    <s v="Persona"/>
    <s v="No"/>
    <s v="24319369-9"/>
    <x v="163"/>
    <s v="Oliveras"/>
    <s v="Alejandro Oliveras"/>
    <s v="Sin Giro"/>
    <s v="dr.oliverleguel@gmail.com"/>
    <m/>
    <m/>
    <m/>
    <m/>
    <m/>
    <s v="No"/>
    <n v="0"/>
    <s v="No"/>
    <s v="No definido"/>
    <s v="Si"/>
    <n v="164"/>
    <d v="2024-03-05T12:46:00"/>
    <s v="Activo"/>
    <d v="2024-02-16T17:23:00"/>
    <d v="2024-03-05T12:46:00"/>
    <x v="0"/>
    <m/>
    <m/>
    <m/>
    <m/>
    <m/>
    <m/>
  </r>
  <r>
    <s v="Persona"/>
    <s v="No"/>
    <s v="16945613-5"/>
    <x v="268"/>
    <s v="Ugaz"/>
    <s v="Amaru Ugaz"/>
    <s v="Sin Giro"/>
    <s v="andoapata@gmail.com"/>
    <m/>
    <m/>
    <m/>
    <m/>
    <m/>
    <s v="No"/>
    <n v="0"/>
    <s v="No"/>
    <s v="No definido"/>
    <s v="Si"/>
    <n v="346"/>
    <d v="2024-02-28T13:47:00"/>
    <s v="Activo"/>
    <d v="2024-02-16T18:40:00"/>
    <d v="2024-02-28T13:47:00"/>
    <x v="0"/>
    <m/>
    <m/>
    <m/>
    <m/>
    <m/>
    <m/>
  </r>
  <r>
    <s v="Persona"/>
    <s v="No"/>
    <s v="18745600-2"/>
    <x v="269"/>
    <s v="bobadilla"/>
    <s v="marcela bobadilla"/>
    <s v="Sin Giro"/>
    <s v="marce.bobadillac@gmail.com"/>
    <m/>
    <m/>
    <m/>
    <m/>
    <m/>
    <s v="No"/>
    <n v="0"/>
    <s v="No"/>
    <s v="No definido"/>
    <s v="Si"/>
    <n v="153"/>
    <d v="2024-02-17T15:54:00"/>
    <s v="Activo"/>
    <d v="2024-02-17T15:54:00"/>
    <d v="2024-02-17T15:54:00"/>
    <x v="0"/>
    <m/>
    <m/>
    <m/>
    <m/>
    <m/>
    <m/>
  </r>
  <r>
    <s v="Persona"/>
    <s v="No"/>
    <s v="16410986-0"/>
    <x v="270"/>
    <s v="Pizarro"/>
    <s v="Yiscela Pizarro"/>
    <s v="Sin Giro"/>
    <s v="pizarroyiscela@gmail.com"/>
    <s v="_x0009_Pje 11 Soldado Ortega 13730 Pob. El Castillo"/>
    <s v="Santiago"/>
    <s v="La Pintana"/>
    <m/>
    <m/>
    <s v="No"/>
    <n v="0"/>
    <s v="No"/>
    <s v="No definido"/>
    <s v="Si"/>
    <n v="552"/>
    <d v="2024-04-16T13:43:00"/>
    <s v="Activo"/>
    <d v="2024-02-19T12:10:00"/>
    <d v="2024-04-16T13:43:00"/>
    <x v="127"/>
    <m/>
    <m/>
    <m/>
    <m/>
    <m/>
    <m/>
  </r>
  <r>
    <s v="Persona"/>
    <s v="No"/>
    <s v="13264667-8"/>
    <x v="90"/>
    <s v="Lagos"/>
    <s v="Pamela Lagos"/>
    <s v="Sin Giro"/>
    <s v="pamelit4@gmail.com"/>
    <m/>
    <m/>
    <m/>
    <m/>
    <m/>
    <s v="No"/>
    <n v="0"/>
    <s v="No"/>
    <s v="No definido"/>
    <s v="Si"/>
    <n v="163"/>
    <d v="2024-02-19T14:23:00"/>
    <s v="Activo"/>
    <d v="2024-02-19T14:22:00"/>
    <d v="2024-02-19T14:23:00"/>
    <x v="128"/>
    <m/>
    <m/>
    <m/>
    <m/>
    <m/>
    <m/>
  </r>
  <r>
    <s v="Persona"/>
    <s v="No"/>
    <s v="19253089-K"/>
    <x v="271"/>
    <s v="Fernández González"/>
    <s v="Ignacio  Fernández González"/>
    <s v="Sin Giro"/>
    <s v="fergo.ignacio@gmail.com"/>
    <m/>
    <m/>
    <m/>
    <m/>
    <m/>
    <s v="No"/>
    <n v="0"/>
    <s v="No"/>
    <s v="No definido"/>
    <s v="Si"/>
    <n v="77"/>
    <d v="2024-02-19T17:40:00"/>
    <s v="Activo"/>
    <d v="2024-02-19T17:40:00"/>
    <d v="2024-02-19T17:40:00"/>
    <x v="129"/>
    <m/>
    <m/>
    <m/>
    <m/>
    <m/>
    <m/>
  </r>
  <r>
    <s v="Persona"/>
    <s v="No"/>
    <s v="17316919-1"/>
    <x v="107"/>
    <s v="Carrasco Pinto"/>
    <s v="Valentina Carrasco Pinto"/>
    <s v="Sin Giro"/>
    <s v="vcarrascopinto@gmail.com"/>
    <m/>
    <m/>
    <m/>
    <m/>
    <m/>
    <s v="No"/>
    <n v="0"/>
    <s v="No"/>
    <s v="No definido"/>
    <s v="Si"/>
    <n v="77"/>
    <d v="2024-02-19T18:36:00"/>
    <s v="Activo"/>
    <d v="2024-02-19T18:36:00"/>
    <d v="2024-02-19T18:36:00"/>
    <x v="130"/>
    <m/>
    <m/>
    <m/>
    <m/>
    <m/>
    <m/>
  </r>
  <r>
    <s v="Persona"/>
    <s v="No"/>
    <s v="20464835-2"/>
    <x v="272"/>
    <s v="De La Barra"/>
    <s v="María Jesús De La Barra"/>
    <s v="Sin Giro"/>
    <s v="mjdelabarrar@gmail.com"/>
    <m/>
    <m/>
    <m/>
    <m/>
    <m/>
    <s v="No"/>
    <n v="0"/>
    <s v="No"/>
    <s v="No definido"/>
    <s v="Si"/>
    <n v="87"/>
    <d v="2024-02-19T20:01:00"/>
    <s v="Activo"/>
    <d v="2024-02-19T20:00:00"/>
    <d v="2024-02-19T20:01:00"/>
    <x v="131"/>
    <m/>
    <m/>
    <m/>
    <m/>
    <m/>
    <m/>
  </r>
  <r>
    <s v="Persona"/>
    <s v="No"/>
    <s v="20705773-8"/>
    <x v="88"/>
    <s v="Saavedra Morales"/>
    <s v="Gabriela Saavedra Morales"/>
    <s v="Sin Giro"/>
    <s v="gabriela.suvdr.mrls@gmail.com"/>
    <m/>
    <m/>
    <m/>
    <m/>
    <m/>
    <s v="No"/>
    <n v="0"/>
    <s v="No"/>
    <s v="No definido"/>
    <s v="Si"/>
    <n v="87"/>
    <d v="2024-02-19T20:06:00"/>
    <s v="Activo"/>
    <d v="2024-02-19T20:05:00"/>
    <d v="2024-02-19T20:06:00"/>
    <x v="132"/>
    <m/>
    <m/>
    <m/>
    <m/>
    <m/>
    <m/>
  </r>
  <r>
    <s v="Persona"/>
    <s v="No"/>
    <s v="21080933-3"/>
    <x v="107"/>
    <s v="Muñoz"/>
    <s v="Valentina Muñoz"/>
    <s v="Sin Giro"/>
    <s v="valemunopa@gmail.com"/>
    <m/>
    <m/>
    <m/>
    <m/>
    <m/>
    <s v="No"/>
    <n v="0"/>
    <s v="No"/>
    <s v="No definido"/>
    <s v="Si"/>
    <n v="332"/>
    <d v="2024-04-06T20:23:00"/>
    <s v="Activo"/>
    <d v="2024-02-20T18:51:00"/>
    <d v="2024-04-06T20:23:00"/>
    <x v="0"/>
    <m/>
    <m/>
    <m/>
    <m/>
    <m/>
    <m/>
  </r>
  <r>
    <s v="Persona"/>
    <s v="No"/>
    <s v="20079645-4"/>
    <x v="4"/>
    <s v="silva"/>
    <s v="jose silva"/>
    <s v="Sin Giro"/>
    <s v="josesilvaria@gmail.com"/>
    <m/>
    <m/>
    <m/>
    <m/>
    <m/>
    <s v="No"/>
    <n v="0"/>
    <s v="No"/>
    <s v="No definido"/>
    <s v="Si"/>
    <n v="174"/>
    <d v="2024-03-01T17:21:00"/>
    <s v="Activo"/>
    <d v="2024-02-20T20:38:00"/>
    <d v="2024-03-01T17:21:00"/>
    <x v="0"/>
    <m/>
    <m/>
    <m/>
    <m/>
    <m/>
    <m/>
  </r>
  <r>
    <s v="Persona"/>
    <s v="No"/>
    <s v="18585853-7"/>
    <x v="61"/>
    <s v="Santa Maria"/>
    <s v="Sebastian Santa Maria"/>
    <s v="Sin Giro"/>
    <s v="seba_sm-a@hotmail.com"/>
    <m/>
    <m/>
    <m/>
    <m/>
    <m/>
    <s v="No"/>
    <n v="0"/>
    <s v="No"/>
    <s v="No definido"/>
    <s v="Si"/>
    <n v="87"/>
    <d v="2024-02-21T13:09:00"/>
    <s v="Activo"/>
    <d v="2024-02-21T13:09:00"/>
    <d v="2024-02-21T13:09:00"/>
    <x v="0"/>
    <m/>
    <m/>
    <m/>
    <m/>
    <m/>
    <m/>
  </r>
  <r>
    <s v="Persona"/>
    <s v="No"/>
    <s v="15970145-K"/>
    <x v="273"/>
    <s v="Villablanca"/>
    <s v="Maria Jose Villablanca"/>
    <s v="Sin Giro"/>
    <s v="majoviva1984@gmail.com"/>
    <m/>
    <m/>
    <m/>
    <m/>
    <m/>
    <s v="No"/>
    <n v="0"/>
    <s v="No"/>
    <s v="No definido"/>
    <s v="Si"/>
    <n v="997"/>
    <d v="2024-03-27T15:16:00"/>
    <s v="Activo"/>
    <d v="2024-02-21T13:21:00"/>
    <d v="2024-03-27T15:16:00"/>
    <x v="0"/>
    <m/>
    <m/>
    <m/>
    <m/>
    <m/>
    <m/>
  </r>
  <r>
    <s v="Persona"/>
    <s v="No"/>
    <s v="18956237-3"/>
    <x v="274"/>
    <s v="Massu"/>
    <s v="Fernanda  Massu"/>
    <s v="Sin Giro"/>
    <s v="fdamassu@gmail.com"/>
    <m/>
    <m/>
    <m/>
    <m/>
    <m/>
    <s v="No"/>
    <n v="0"/>
    <s v="No"/>
    <s v="No definido"/>
    <s v="Si"/>
    <n v="87"/>
    <d v="2024-02-21T15:33:00"/>
    <s v="Activo"/>
    <d v="2024-02-21T15:32:00"/>
    <d v="2024-02-21T15:33:00"/>
    <x v="45"/>
    <m/>
    <m/>
    <m/>
    <m/>
    <m/>
    <m/>
  </r>
  <r>
    <s v="Persona"/>
    <s v="No"/>
    <s v="12882669-6"/>
    <x v="90"/>
    <s v="Fuenzalida"/>
    <s v="Pamela Fuenzalida"/>
    <s v="Sin Giro"/>
    <s v="pfuenzalida.moore@gmail.com"/>
    <m/>
    <m/>
    <m/>
    <m/>
    <m/>
    <s v="No"/>
    <n v="0"/>
    <s v="No"/>
    <s v="No definido"/>
    <s v="Si"/>
    <n v="240"/>
    <d v="2024-02-21T16:43:00"/>
    <s v="Activo"/>
    <d v="2024-02-21T16:42:00"/>
    <d v="2024-02-21T16:43:00"/>
    <x v="0"/>
    <m/>
    <m/>
    <m/>
    <m/>
    <m/>
    <m/>
  </r>
  <r>
    <s v="Persona"/>
    <s v="No"/>
    <s v="16174034-9"/>
    <x v="275"/>
    <s v="rivera"/>
    <s v="joselinne rivera"/>
    <s v="Sin Giro"/>
    <s v="joselinnerivera3@gmail.com"/>
    <m/>
    <m/>
    <m/>
    <m/>
    <m/>
    <s v="No"/>
    <n v="0"/>
    <s v="No"/>
    <s v="No definido"/>
    <s v="Si"/>
    <n v="173"/>
    <d v="2024-02-21T19:23:00"/>
    <s v="Activo"/>
    <d v="2024-02-21T19:22:00"/>
    <d v="2024-02-21T19:23:00"/>
    <x v="0"/>
    <m/>
    <m/>
    <m/>
    <m/>
    <m/>
    <m/>
  </r>
  <r>
    <s v="Persona"/>
    <s v="No"/>
    <s v="17027073-8"/>
    <x v="260"/>
    <s v="Cabezas"/>
    <s v="David Cabezas"/>
    <s v="Sin Giro"/>
    <s v="d.cabezas.besares@gmail.com"/>
    <m/>
    <m/>
    <m/>
    <m/>
    <m/>
    <s v="No"/>
    <n v="0"/>
    <s v="No"/>
    <s v="No definido"/>
    <s v="Si"/>
    <n v="173"/>
    <d v="2024-02-21T20:57:00"/>
    <s v="Activo"/>
    <d v="2024-02-21T20:57:00"/>
    <d v="2024-02-21T20:57:00"/>
    <x v="0"/>
    <m/>
    <m/>
    <m/>
    <m/>
    <m/>
    <m/>
  </r>
  <r>
    <s v="Persona"/>
    <s v="No"/>
    <s v="16440262-2"/>
    <x v="276"/>
    <s v="Mondaca"/>
    <s v="Eugenia  Mondaca"/>
    <s v="Sin Giro"/>
    <s v="eugemondaca@gmail.com"/>
    <m/>
    <m/>
    <m/>
    <m/>
    <m/>
    <s v="No"/>
    <n v="0"/>
    <s v="No"/>
    <s v="No definido"/>
    <s v="Si"/>
    <n v="477"/>
    <d v="2024-03-27T13:54:00"/>
    <s v="Activo"/>
    <d v="2024-02-22T13:05:00"/>
    <d v="2024-03-27T13:54:00"/>
    <x v="23"/>
    <m/>
    <m/>
    <m/>
    <m/>
    <m/>
    <m/>
  </r>
  <r>
    <s v="Persona"/>
    <s v="No"/>
    <s v="18468686-4"/>
    <x v="250"/>
    <s v="Beckdorf"/>
    <s v="Fernanda Beckdorf"/>
    <s v="Sin Giro"/>
    <s v="fernanda.beckdorf@gmail.com"/>
    <m/>
    <m/>
    <m/>
    <m/>
    <m/>
    <s v="No"/>
    <n v="0"/>
    <s v="No"/>
    <s v="No definido"/>
    <s v="Si"/>
    <n v="173"/>
    <d v="2024-02-22T13:13:00"/>
    <s v="Activo"/>
    <d v="2024-02-22T13:12:00"/>
    <d v="2024-02-22T13:13:00"/>
    <x v="133"/>
    <m/>
    <m/>
    <m/>
    <m/>
    <m/>
    <m/>
  </r>
  <r>
    <s v="Persona"/>
    <s v="No"/>
    <s v="16321743-0"/>
    <x v="277"/>
    <s v="Santander"/>
    <s v="Icsy Santander"/>
    <s v="Sin Giro"/>
    <s v="icsang@hotmail.com"/>
    <m/>
    <m/>
    <m/>
    <m/>
    <m/>
    <s v="No"/>
    <n v="0"/>
    <s v="No"/>
    <s v="No definido"/>
    <s v="Si"/>
    <n v="87"/>
    <d v="2024-02-22T14:16:00"/>
    <s v="Activo"/>
    <d v="2024-02-22T14:15:00"/>
    <d v="2024-02-22T14:16:00"/>
    <x v="19"/>
    <m/>
    <m/>
    <m/>
    <m/>
    <m/>
    <m/>
  </r>
  <r>
    <s v="Persona"/>
    <s v="No"/>
    <s v="13647432-4"/>
    <x v="5"/>
    <s v="Olivares"/>
    <s v="Jorge  Olivares"/>
    <s v="Sin Giro"/>
    <s v="jorge.olivares@kdeser.com"/>
    <m/>
    <m/>
    <m/>
    <m/>
    <m/>
    <s v="No"/>
    <n v="0"/>
    <s v="No"/>
    <s v="No definido"/>
    <s v="Si"/>
    <n v="150"/>
    <d v="2024-02-22T19:09:00"/>
    <s v="Activo"/>
    <d v="2024-02-22T19:08:00"/>
    <d v="2024-02-22T19:11:00"/>
    <x v="134"/>
    <m/>
    <m/>
    <m/>
    <m/>
    <m/>
    <m/>
  </r>
  <r>
    <s v="Persona"/>
    <s v="No"/>
    <s v="17780112-7"/>
    <x v="23"/>
    <s v="Yañez"/>
    <s v="Thomas Yañez"/>
    <s v="Sin Giro"/>
    <s v="thomas.yanez.quintanilla@gmail.com"/>
    <m/>
    <m/>
    <m/>
    <m/>
    <m/>
    <s v="No"/>
    <n v="0"/>
    <s v="No"/>
    <s v="No definido"/>
    <s v="Si"/>
    <n v="202"/>
    <d v="2024-04-01T18:44:00"/>
    <s v="Activo"/>
    <d v="2024-02-23T13:25:00"/>
    <d v="2024-04-01T18:44:00"/>
    <x v="135"/>
    <m/>
    <m/>
    <m/>
    <m/>
    <m/>
    <m/>
  </r>
  <r>
    <s v="Persona"/>
    <s v="No"/>
    <s v="13371634-3"/>
    <x v="278"/>
    <s v="Torres"/>
    <s v="Valeska Torres"/>
    <s v="Sin Giro"/>
    <s v="valeska.artesgraficas@gmail.com"/>
    <m/>
    <m/>
    <m/>
    <m/>
    <m/>
    <s v="No"/>
    <n v="0"/>
    <s v="No"/>
    <s v="No definido"/>
    <s v="Si"/>
    <n v="163"/>
    <d v="2024-02-23T17:18:00"/>
    <s v="Activo"/>
    <d v="2024-02-23T17:17:00"/>
    <d v="2024-02-23T17:18:00"/>
    <x v="0"/>
    <m/>
    <m/>
    <m/>
    <m/>
    <m/>
    <m/>
  </r>
  <r>
    <s v="Persona"/>
    <s v="No"/>
    <s v="10289418-9"/>
    <x v="76"/>
    <s v="Muñoz"/>
    <s v="Sandra Muñoz"/>
    <s v="Sin Giro"/>
    <s v="sandramunozortiz@gmail.com"/>
    <m/>
    <m/>
    <m/>
    <m/>
    <m/>
    <s v="No"/>
    <n v="0"/>
    <s v="No"/>
    <s v="No definido"/>
    <s v="Si"/>
    <n v="77"/>
    <d v="2024-02-23T19:13:00"/>
    <s v="Activo"/>
    <d v="2024-02-23T19:13:00"/>
    <d v="2024-02-23T19:13:00"/>
    <x v="0"/>
    <m/>
    <m/>
    <m/>
    <m/>
    <m/>
    <m/>
  </r>
  <r>
    <s v="Persona"/>
    <s v="No"/>
    <s v="19679184-1"/>
    <x v="279"/>
    <s v="Vazquez "/>
    <s v="Juan Pablo Vazquez "/>
    <s v="Sin Giro"/>
    <s v="jpablovazquezgrogg@gmail.com"/>
    <m/>
    <m/>
    <m/>
    <m/>
    <m/>
    <s v="No"/>
    <n v="0"/>
    <s v="No"/>
    <s v="No definido"/>
    <s v="Si"/>
    <n v="77"/>
    <d v="2024-02-23T20:43:00"/>
    <s v="Activo"/>
    <d v="2024-02-23T20:43:00"/>
    <d v="2024-02-23T20:43:00"/>
    <x v="136"/>
    <m/>
    <m/>
    <m/>
    <m/>
    <m/>
    <m/>
  </r>
  <r>
    <s v="Persona"/>
    <s v="No"/>
    <s v="20124571-0"/>
    <x v="109"/>
    <s v="Ugarte"/>
    <s v="Constanza Ugarte"/>
    <s v="Sin Giro"/>
    <s v="constanzaalvarau@gmail.com"/>
    <m/>
    <m/>
    <m/>
    <m/>
    <m/>
    <s v="No"/>
    <n v="0"/>
    <s v="No"/>
    <s v="No definido"/>
    <s v="Si"/>
    <n v="87"/>
    <d v="2024-02-24T12:48:00"/>
    <s v="Activo"/>
    <d v="2024-02-24T12:47:00"/>
    <d v="2024-02-24T12:48:00"/>
    <x v="0"/>
    <m/>
    <m/>
    <m/>
    <m/>
    <m/>
    <m/>
  </r>
  <r>
    <s v="Persona"/>
    <s v="No"/>
    <s v="13481832-8"/>
    <x v="280"/>
    <s v="Caceres"/>
    <s v="Leticia Caceres"/>
    <s v="Sin Giro"/>
    <s v="leticiacaceresnarvaez@gmail.com"/>
    <m/>
    <m/>
    <m/>
    <m/>
    <m/>
    <s v="No"/>
    <n v="0"/>
    <s v="No"/>
    <s v="No definido"/>
    <s v="Si"/>
    <n v="322"/>
    <d v="2024-04-01T15:40:00"/>
    <s v="Activo"/>
    <d v="2024-02-24T13:30:00"/>
    <d v="2024-04-01T15:40:00"/>
    <x v="137"/>
    <m/>
    <m/>
    <m/>
    <m/>
    <m/>
    <m/>
  </r>
  <r>
    <s v="Persona"/>
    <s v="No"/>
    <s v="13882618-K"/>
    <x v="29"/>
    <s v="Traslaviña"/>
    <s v="Daniela Traslaviña"/>
    <s v="Sin Giro"/>
    <s v="dtraslavinav@gmail.com"/>
    <m/>
    <m/>
    <m/>
    <m/>
    <m/>
    <s v="No"/>
    <n v="0"/>
    <s v="No"/>
    <s v="No definido"/>
    <s v="Si"/>
    <n v="483"/>
    <d v="2024-03-28T14:23:00"/>
    <s v="Activo"/>
    <d v="2024-02-24T15:45:00"/>
    <d v="2024-03-28T14:23:00"/>
    <x v="138"/>
    <m/>
    <m/>
    <m/>
    <m/>
    <m/>
    <m/>
  </r>
  <r>
    <s v="Persona"/>
    <s v="No"/>
    <s v="15333138-3"/>
    <x v="41"/>
    <s v="Alvarado"/>
    <s v="Marcela  Alvarado"/>
    <s v="Sin Giro"/>
    <s v="mpazalvaradom42@gmail.com"/>
    <m/>
    <m/>
    <m/>
    <m/>
    <m/>
    <s v="No"/>
    <n v="0"/>
    <s v="No"/>
    <s v="No definido"/>
    <s v="Si"/>
    <n v="242"/>
    <d v="2024-03-09T16:31:00"/>
    <s v="Activo"/>
    <d v="2024-02-24T17:05:00"/>
    <d v="2024-03-09T16:31:00"/>
    <x v="0"/>
    <m/>
    <m/>
    <m/>
    <m/>
    <m/>
    <m/>
  </r>
  <r>
    <s v="Persona"/>
    <s v="No"/>
    <s v="7014289-9"/>
    <x v="281"/>
    <s v="Peña"/>
    <s v="Ivone Peña"/>
    <s v="Sin Giro"/>
    <s v="t.ivonepena@gmail.com"/>
    <m/>
    <m/>
    <m/>
    <m/>
    <m/>
    <s v="No"/>
    <n v="0"/>
    <s v="No"/>
    <s v="No definido"/>
    <s v="Si"/>
    <n v="73"/>
    <d v="2024-02-26T13:26:00"/>
    <s v="Activo"/>
    <d v="2024-02-26T13:25:00"/>
    <d v="2024-02-26T13:26:00"/>
    <x v="139"/>
    <m/>
    <m/>
    <m/>
    <m/>
    <m/>
    <m/>
  </r>
  <r>
    <s v="Persona"/>
    <s v="No"/>
    <s v="14109174-3"/>
    <x v="111"/>
    <s v="López "/>
    <s v="Francisco López "/>
    <s v="Sin Giro"/>
    <s v="flopez3921@gmail.com"/>
    <m/>
    <m/>
    <m/>
    <m/>
    <m/>
    <s v="No"/>
    <n v="0"/>
    <s v="No"/>
    <s v="No definido"/>
    <s v="Si"/>
    <n v="87"/>
    <d v="2024-02-26T14:00:00"/>
    <s v="Activo"/>
    <d v="2024-02-26T13:59:00"/>
    <d v="2024-02-26T14:00:00"/>
    <x v="140"/>
    <m/>
    <m/>
    <m/>
    <m/>
    <m/>
    <m/>
  </r>
  <r>
    <s v="Persona"/>
    <s v="No"/>
    <s v="13377551-K"/>
    <x v="282"/>
    <s v="Carrere Vilches"/>
    <s v=" Geraldine Solange Carrere Vilches"/>
    <s v="Sin Giro"/>
    <s v="karrere@hotmail.com"/>
    <m/>
    <m/>
    <m/>
    <m/>
    <m/>
    <s v="No"/>
    <n v="0"/>
    <s v="No"/>
    <s v="No definido"/>
    <s v="Si"/>
    <n v="992"/>
    <d v="2024-03-27T18:57:00"/>
    <s v="Activo"/>
    <d v="2024-02-26T15:59:00"/>
    <d v="2024-03-27T18:57:00"/>
    <x v="19"/>
    <m/>
    <m/>
    <m/>
    <m/>
    <m/>
    <m/>
  </r>
  <r>
    <s v="Persona"/>
    <s v="No"/>
    <s v="17898269-9"/>
    <x v="283"/>
    <s v="Zúñiga"/>
    <s v="Fabiola Zúñiga"/>
    <s v="Sin Giro"/>
    <s v="fabiola.zuniga@outlook.com"/>
    <m/>
    <m/>
    <m/>
    <m/>
    <m/>
    <s v="No"/>
    <n v="0"/>
    <s v="No"/>
    <s v="No definido"/>
    <s v="Si"/>
    <n v="77"/>
    <d v="2024-02-26T16:02:00"/>
    <s v="Activo"/>
    <d v="2024-02-26T16:01:00"/>
    <d v="2024-02-26T16:02:00"/>
    <x v="19"/>
    <m/>
    <m/>
    <m/>
    <m/>
    <m/>
    <m/>
  </r>
  <r>
    <s v="Persona"/>
    <s v="No"/>
    <s v="18097835-6"/>
    <x v="2"/>
    <s v="Fierro Risco"/>
    <s v="Rodrigo  Fierro Risco"/>
    <s v="Sin Giro"/>
    <s v="rodrigoaf20@gmail.com"/>
    <m/>
    <m/>
    <m/>
    <m/>
    <m/>
    <s v="No"/>
    <n v="0"/>
    <s v="No"/>
    <s v="No definido"/>
    <s v="Si"/>
    <n v="87"/>
    <d v="2024-02-26T17:40:00"/>
    <s v="Activo"/>
    <d v="2024-02-26T17:40:00"/>
    <d v="2024-02-26T17:40:00"/>
    <x v="141"/>
    <m/>
    <m/>
    <m/>
    <m/>
    <m/>
    <m/>
  </r>
  <r>
    <s v="Persona"/>
    <s v="No"/>
    <s v="17920129-1"/>
    <x v="284"/>
    <s v="Carrasco Jerez"/>
    <s v="Pedro  Carrasco Jerez"/>
    <s v="Sin Giro"/>
    <s v="pedrocarrascojerez@gmail.com"/>
    <m/>
    <m/>
    <m/>
    <m/>
    <m/>
    <s v="No"/>
    <n v="0"/>
    <s v="No"/>
    <s v="No definido"/>
    <s v="Si"/>
    <n v="87"/>
    <d v="2024-02-27T10:31:00"/>
    <s v="Activo"/>
    <d v="2024-02-27T10:30:00"/>
    <d v="2024-02-27T10:31:00"/>
    <x v="142"/>
    <m/>
    <m/>
    <m/>
    <m/>
    <m/>
    <m/>
  </r>
  <r>
    <s v="Persona"/>
    <s v="No"/>
    <s v="15430892-K"/>
    <x v="285"/>
    <s v="Perez"/>
    <s v="Danilo Perez"/>
    <s v="Sin Giro"/>
    <s v="danilo.rafaelpp@gmail.com"/>
    <m/>
    <m/>
    <m/>
    <m/>
    <m/>
    <s v="No"/>
    <n v="0"/>
    <s v="No"/>
    <s v="No definido"/>
    <s v="Si"/>
    <n v="153"/>
    <d v="2024-02-27T14:58:00"/>
    <s v="Activo"/>
    <d v="2024-02-27T14:57:00"/>
    <d v="2024-02-27T14:58:00"/>
    <x v="0"/>
    <m/>
    <m/>
    <m/>
    <m/>
    <m/>
    <m/>
  </r>
  <r>
    <s v="Persona"/>
    <s v="No"/>
    <s v="18501091-0"/>
    <x v="286"/>
    <s v="Pérez Arévalo "/>
    <s v="Adolfo  Pérez Arévalo "/>
    <s v="Sin Giro"/>
    <s v="adoignacio@gmail.com"/>
    <m/>
    <m/>
    <m/>
    <m/>
    <m/>
    <s v="No"/>
    <n v="0"/>
    <s v="No"/>
    <s v="No definido"/>
    <s v="Si"/>
    <n v="87"/>
    <d v="2024-02-27T15:53:00"/>
    <s v="Activo"/>
    <d v="2024-02-27T15:52:00"/>
    <d v="2024-02-27T15:53:00"/>
    <x v="23"/>
    <m/>
    <m/>
    <m/>
    <m/>
    <m/>
    <m/>
  </r>
  <r>
    <s v="Persona"/>
    <s v="No"/>
    <s v="15375926-K"/>
    <x v="50"/>
    <s v="Araya"/>
    <s v="Nicolas Araya"/>
    <s v="Sin Giro"/>
    <m/>
    <m/>
    <m/>
    <m/>
    <m/>
    <m/>
    <s v="No"/>
    <n v="0"/>
    <s v="No"/>
    <s v="No definido"/>
    <s v="Si"/>
    <n v="77"/>
    <d v="2024-02-27T17:32:00"/>
    <s v="Activo"/>
    <d v="2024-02-27T17:31:00"/>
    <d v="2024-02-27T17:32:00"/>
    <x v="0"/>
    <m/>
    <m/>
    <m/>
    <m/>
    <m/>
    <m/>
  </r>
  <r>
    <s v="Persona"/>
    <s v="No"/>
    <s v="13067856-4"/>
    <x v="163"/>
    <s v="Tapia"/>
    <s v="Alejandro Tapia"/>
    <s v="Sin Giro"/>
    <s v="tapiaalejandro3@gmail.com"/>
    <m/>
    <m/>
    <m/>
    <m/>
    <m/>
    <s v="No"/>
    <n v="0"/>
    <s v="No"/>
    <s v="No definido"/>
    <s v="Si"/>
    <n v="173"/>
    <d v="2024-02-28T14:36:00"/>
    <s v="Activo"/>
    <d v="2024-02-28T14:35:00"/>
    <d v="2024-02-28T14:36:00"/>
    <x v="0"/>
    <m/>
    <m/>
    <m/>
    <m/>
    <m/>
    <m/>
  </r>
  <r>
    <s v="Persona"/>
    <s v="Si"/>
    <s v="55555555-5"/>
    <x v="287"/>
    <s v="Vargas"/>
    <s v="Adrian Vargas"/>
    <s v="Sin Giro"/>
    <s v="vargasgarciaadrian02@gmail.com"/>
    <m/>
    <m/>
    <m/>
    <m/>
    <m/>
    <s v="No"/>
    <n v="0"/>
    <s v="No"/>
    <s v="No definido"/>
    <s v="Si"/>
    <n v="217"/>
    <d v="2024-03-11T14:32:00"/>
    <s v="Activo"/>
    <d v="2024-02-28T17:49:00"/>
    <d v="2024-03-11T14:32:00"/>
    <x v="143"/>
    <m/>
    <m/>
    <m/>
    <m/>
    <m/>
    <m/>
  </r>
  <r>
    <s v="Persona"/>
    <s v="No"/>
    <s v="21836143-9"/>
    <x v="288"/>
    <s v="Valenzuela"/>
    <s v="Eloisa Valenzuela"/>
    <s v="Sin Giro"/>
    <s v="haruchan.niel@gmail.com"/>
    <m/>
    <m/>
    <m/>
    <m/>
    <m/>
    <s v="No"/>
    <n v="0"/>
    <s v="No"/>
    <s v="No definido"/>
    <s v="Si"/>
    <n v="132"/>
    <d v="2024-04-12T11:37:00"/>
    <s v="Activo"/>
    <d v="2024-02-28T17:52:00"/>
    <d v="2024-04-12T11:37:00"/>
    <x v="0"/>
    <m/>
    <m/>
    <m/>
    <m/>
    <m/>
    <m/>
  </r>
  <r>
    <s v="Persona"/>
    <s v="No"/>
    <s v="26764391-1"/>
    <x v="289"/>
    <s v="jimenez"/>
    <s v="oscar jimenez"/>
    <s v="Sin Giro"/>
    <s v="oscar.jimenez.m@gmail.com"/>
    <m/>
    <m/>
    <m/>
    <m/>
    <m/>
    <s v="No"/>
    <n v="0"/>
    <s v="No"/>
    <s v="No definido"/>
    <s v="Si"/>
    <n v="87"/>
    <d v="2024-02-28T18:07:00"/>
    <s v="Activo"/>
    <d v="2024-02-28T18:06:00"/>
    <d v="2024-02-28T18:07:00"/>
    <x v="0"/>
    <m/>
    <m/>
    <m/>
    <m/>
    <m/>
    <m/>
  </r>
  <r>
    <s v="Persona"/>
    <s v="No"/>
    <s v="18456154-9"/>
    <x v="290"/>
    <s v="nicolas"/>
    <s v="cristopher nicolas"/>
    <s v="Sin Giro"/>
    <s v="cristophernicolaszc@gmail.com"/>
    <m/>
    <m/>
    <m/>
    <m/>
    <m/>
    <s v="No"/>
    <n v="0"/>
    <s v="No"/>
    <s v="No definido"/>
    <s v="Si"/>
    <n v="173"/>
    <d v="2024-02-28T18:55:00"/>
    <s v="Activo"/>
    <d v="2024-02-28T18:55:00"/>
    <d v="2024-02-28T18:55:00"/>
    <x v="0"/>
    <m/>
    <m/>
    <m/>
    <m/>
    <m/>
    <m/>
  </r>
  <r>
    <s v="Persona"/>
    <s v="No"/>
    <s v="16017600-8"/>
    <x v="102"/>
    <s v="Galaz"/>
    <s v="Paulina Galaz"/>
    <s v="Sin Giro"/>
    <s v="paulina_374@hotmail.com"/>
    <m/>
    <m/>
    <m/>
    <m/>
    <m/>
    <s v="No"/>
    <n v="0"/>
    <s v="No"/>
    <s v="No definido"/>
    <s v="Si"/>
    <n v="87"/>
    <d v="2024-02-29T12:18:00"/>
    <s v="Activo"/>
    <d v="2024-02-29T12:16:00"/>
    <d v="2024-02-29T12:18:00"/>
    <x v="19"/>
    <m/>
    <m/>
    <m/>
    <m/>
    <m/>
    <m/>
  </r>
  <r>
    <s v="Persona"/>
    <s v="No"/>
    <s v="4855541-1"/>
    <x v="291"/>
    <s v="Silva"/>
    <s v="Delia Silva"/>
    <s v="Sin Giro"/>
    <s v="delmariasil37@gmail.com"/>
    <m/>
    <m/>
    <m/>
    <m/>
    <m/>
    <s v="No"/>
    <n v="0"/>
    <s v="No"/>
    <s v="No definido"/>
    <s v="Si"/>
    <n v="73"/>
    <d v="2024-02-29T12:59:00"/>
    <s v="Activo"/>
    <d v="2024-02-29T12:59:00"/>
    <d v="2024-02-29T12:59:00"/>
    <x v="23"/>
    <m/>
    <m/>
    <m/>
    <m/>
    <m/>
    <m/>
  </r>
  <r>
    <s v="Persona"/>
    <s v="No"/>
    <s v="17176551-K"/>
    <x v="292"/>
    <s v="Aguirre"/>
    <s v="Celia Aguirre"/>
    <s v="Sin Giro"/>
    <s v="ceguirrer@gmail.com"/>
    <m/>
    <m/>
    <m/>
    <m/>
    <m/>
    <s v="No"/>
    <n v="0"/>
    <s v="No"/>
    <s v="No definido"/>
    <s v="Si"/>
    <n v="77"/>
    <d v="2024-02-29T13:06:00"/>
    <s v="Activo"/>
    <d v="2024-02-29T13:05:00"/>
    <d v="2024-02-29T13:06:00"/>
    <x v="144"/>
    <m/>
    <m/>
    <m/>
    <m/>
    <m/>
    <m/>
  </r>
  <r>
    <s v="Persona"/>
    <s v="Si"/>
    <s v="55555555-5"/>
    <x v="293"/>
    <s v="Diaz"/>
    <s v="Isa Diaz"/>
    <s v="Sin Giro"/>
    <s v="isadiazurso10@gmail.com"/>
    <m/>
    <m/>
    <m/>
    <m/>
    <m/>
    <s v="No"/>
    <n v="0"/>
    <s v="No"/>
    <s v="No definido"/>
    <s v="Si"/>
    <n v="77"/>
    <d v="2024-02-29T13:10:00"/>
    <s v="Activo"/>
    <d v="2024-02-29T13:10:00"/>
    <d v="2024-02-29T13:10:00"/>
    <x v="19"/>
    <m/>
    <m/>
    <m/>
    <m/>
    <m/>
    <m/>
  </r>
  <r>
    <s v="Persona"/>
    <s v="No"/>
    <s v="25795886-8"/>
    <x v="147"/>
    <s v="Flores"/>
    <s v="Ximena Flores"/>
    <s v="Sin Giro"/>
    <s v="floresximena34@gmail.com"/>
    <m/>
    <m/>
    <m/>
    <m/>
    <m/>
    <s v="No"/>
    <n v="0"/>
    <s v="No"/>
    <s v="No definido"/>
    <s v="Si"/>
    <n v="77"/>
    <d v="2024-02-29T19:48:00"/>
    <s v="Activo"/>
    <d v="2024-02-29T19:47:00"/>
    <d v="2024-02-29T19:48:00"/>
    <x v="0"/>
    <m/>
    <m/>
    <m/>
    <m/>
    <m/>
    <m/>
  </r>
  <r>
    <s v="Persona"/>
    <s v="No"/>
    <s v="13475190-8"/>
    <x v="269"/>
    <s v="Opazo"/>
    <s v="Marcela Opazo"/>
    <s v="Sin Giro"/>
    <s v="marcela.opazo.a@gmail.com"/>
    <m/>
    <m/>
    <m/>
    <m/>
    <m/>
    <s v="No"/>
    <n v="0"/>
    <s v="No"/>
    <s v="No definido"/>
    <s v="Si"/>
    <n v="177"/>
    <d v="2024-04-12T17:15:00"/>
    <s v="Activo"/>
    <d v="2024-02-29T19:51:00"/>
    <d v="2024-04-12T17:15:00"/>
    <x v="145"/>
    <m/>
    <m/>
    <m/>
    <m/>
    <m/>
    <m/>
  </r>
  <r>
    <s v="Persona"/>
    <s v="No"/>
    <s v="18250234-0"/>
    <x v="294"/>
    <s v="Espinoza"/>
    <s v="Kristian Espinoza"/>
    <s v="Sin Giro"/>
    <s v="kristian.esinoza@live.com"/>
    <m/>
    <m/>
    <m/>
    <m/>
    <m/>
    <s v="No"/>
    <n v="0"/>
    <s v="No"/>
    <s v="No definido"/>
    <s v="Si"/>
    <n v="522"/>
    <d v="2024-04-15T13:45:00"/>
    <s v="Activo"/>
    <d v="2024-02-29T19:53:00"/>
    <d v="2024-04-15T13:45:00"/>
    <x v="146"/>
    <m/>
    <m/>
    <m/>
    <m/>
    <m/>
    <m/>
  </r>
  <r>
    <s v="Persona"/>
    <s v="No"/>
    <s v="16417824-2"/>
    <x v="295"/>
    <s v="Cifuentes"/>
    <s v="victoria Cifuentes"/>
    <s v="Sin Giro"/>
    <s v="victoria.cifuentes1986@gmail.com"/>
    <m/>
    <m/>
    <m/>
    <m/>
    <m/>
    <s v="No"/>
    <n v="0"/>
    <s v="No"/>
    <s v="No definido"/>
    <s v="Si"/>
    <n v="217"/>
    <d v="2024-04-05T19:45:00"/>
    <s v="Activo"/>
    <d v="2024-02-29T21:20:00"/>
    <d v="2024-04-05T19:45:00"/>
    <x v="0"/>
    <m/>
    <m/>
    <m/>
    <m/>
    <m/>
    <m/>
  </r>
  <r>
    <s v="Persona"/>
    <s v="No"/>
    <s v="17110605-2"/>
    <x v="296"/>
    <s v="Rivano"/>
    <s v="Nico Rivano"/>
    <s v="Sin Giro"/>
    <s v="nicorivano87@gmail.com"/>
    <m/>
    <m/>
    <m/>
    <m/>
    <m/>
    <s v="No"/>
    <n v="0"/>
    <s v="No"/>
    <s v="No definido"/>
    <s v="Si"/>
    <n v="87"/>
    <d v="2024-02-29T21:22:00"/>
    <s v="Activo"/>
    <d v="2024-02-29T21:22:00"/>
    <d v="2024-02-29T21:22:00"/>
    <x v="0"/>
    <m/>
    <m/>
    <m/>
    <m/>
    <m/>
    <m/>
  </r>
  <r>
    <s v="Persona"/>
    <s v="No"/>
    <s v="16658012-9"/>
    <x v="297"/>
    <s v="Cisternas"/>
    <s v="Adolfo Cisternas"/>
    <s v="Sin Giro"/>
    <s v="a.cisternas.baltolu@gmail.com"/>
    <m/>
    <m/>
    <m/>
    <m/>
    <m/>
    <s v="No"/>
    <n v="0"/>
    <s v="No"/>
    <s v="No definido"/>
    <s v="Si"/>
    <n v="77"/>
    <d v="2024-03-01T12:32:00"/>
    <s v="Activo"/>
    <d v="2024-03-01T12:31:00"/>
    <d v="2024-03-01T12:32:00"/>
    <x v="0"/>
    <m/>
    <m/>
    <m/>
    <m/>
    <m/>
    <m/>
  </r>
  <r>
    <s v="Persona"/>
    <s v="No"/>
    <s v="19374565-2"/>
    <x v="151"/>
    <s v="caroca"/>
    <s v="Miguel caroca"/>
    <s v="Sin Giro"/>
    <m/>
    <m/>
    <m/>
    <m/>
    <m/>
    <m/>
    <s v="No"/>
    <n v="0"/>
    <s v="No"/>
    <s v="No definido"/>
    <s v="Si"/>
    <n v="87"/>
    <d v="2024-03-01T20:43:00"/>
    <s v="Activo"/>
    <d v="2024-03-01T20:43:00"/>
    <d v="2024-03-01T20:43:00"/>
    <x v="0"/>
    <m/>
    <m/>
    <m/>
    <m/>
    <m/>
    <m/>
  </r>
  <r>
    <s v="Persona"/>
    <s v="No"/>
    <s v="14041158-2"/>
    <x v="127"/>
    <s v="perez"/>
    <s v="victor perez"/>
    <s v="Sin Giro"/>
    <s v="victorperezb@gmail.com"/>
    <m/>
    <m/>
    <m/>
    <m/>
    <m/>
    <s v="No"/>
    <n v="0"/>
    <s v="No"/>
    <s v="No definido"/>
    <s v="Si"/>
    <n v="173"/>
    <d v="2024-03-02T13:49:00"/>
    <s v="Activo"/>
    <d v="2024-03-02T13:45:00"/>
    <d v="2024-03-02T13:49:00"/>
    <x v="0"/>
    <m/>
    <m/>
    <m/>
    <m/>
    <m/>
    <m/>
  </r>
  <r>
    <s v="Persona"/>
    <s v="No"/>
    <s v="19521767-K"/>
    <x v="298"/>
    <s v="Diaz"/>
    <s v="Natacha Diaz"/>
    <s v="Sin Giro"/>
    <s v="nat.anambp888@gmail.com"/>
    <m/>
    <m/>
    <m/>
    <m/>
    <m/>
    <s v="No"/>
    <n v="0"/>
    <s v="No"/>
    <s v="No definido"/>
    <s v="Si"/>
    <n v="87"/>
    <d v="2024-03-04T19:20:00"/>
    <s v="Activo"/>
    <d v="2024-03-04T19:19:00"/>
    <d v="2024-03-04T19:20:00"/>
    <x v="0"/>
    <m/>
    <m/>
    <m/>
    <m/>
    <m/>
    <m/>
  </r>
  <r>
    <s v="Persona"/>
    <s v="No"/>
    <s v="21945390-6"/>
    <x v="177"/>
    <s v="Salazar"/>
    <s v="Vicente Salazar"/>
    <s v="Sin Giro"/>
    <s v="vice.salazar.2005@gmail.com"/>
    <m/>
    <m/>
    <m/>
    <m/>
    <m/>
    <s v="No"/>
    <n v="0"/>
    <s v="No"/>
    <s v="No definido"/>
    <s v="Si"/>
    <n v="393"/>
    <d v="2024-04-12T17:48:00"/>
    <s v="Activo"/>
    <d v="2024-03-04T19:44:00"/>
    <d v="2024-04-12T17:48:00"/>
    <x v="147"/>
    <m/>
    <m/>
    <m/>
    <m/>
    <m/>
    <m/>
  </r>
  <r>
    <s v="Persona"/>
    <s v="No"/>
    <s v="22594233-1"/>
    <x v="299"/>
    <s v="Abujida"/>
    <s v="Abdala Abujida"/>
    <s v="Sin Giro"/>
    <s v="abdala.abujida71@gmail.com"/>
    <m/>
    <m/>
    <m/>
    <m/>
    <m/>
    <s v="No"/>
    <n v="0"/>
    <s v="No"/>
    <s v="No definido"/>
    <s v="Si"/>
    <n v="87"/>
    <d v="2024-03-04T19:47:00"/>
    <s v="Activo"/>
    <d v="2024-03-04T19:47:00"/>
    <d v="2024-03-04T19:47:00"/>
    <x v="148"/>
    <m/>
    <m/>
    <m/>
    <m/>
    <m/>
    <m/>
  </r>
  <r>
    <s v="Persona"/>
    <s v="No"/>
    <s v="17740694-5"/>
    <x v="300"/>
    <s v="Cisternas"/>
    <s v="Soraya Cisternas"/>
    <s v="Sin Giro"/>
    <s v="sori.csaid@gmail.com"/>
    <m/>
    <m/>
    <m/>
    <m/>
    <m/>
    <s v="No"/>
    <n v="0"/>
    <s v="No"/>
    <s v="No definido"/>
    <s v="Si"/>
    <n v="607"/>
    <d v="2024-04-13T20:07:00"/>
    <s v="Activo"/>
    <d v="2024-03-05T12:09:00"/>
    <d v="2024-04-13T20:07:00"/>
    <x v="149"/>
    <m/>
    <m/>
    <m/>
    <m/>
    <m/>
    <m/>
  </r>
  <r>
    <s v="Persona"/>
    <s v="No"/>
    <s v="14123509-5"/>
    <x v="301"/>
    <s v="Link"/>
    <s v="Tania Link"/>
    <s v="Sin Giro"/>
    <s v="tania.link@gmail.com"/>
    <m/>
    <m/>
    <m/>
    <m/>
    <m/>
    <s v="No"/>
    <n v="0"/>
    <s v="No"/>
    <s v="No definido"/>
    <s v="Si"/>
    <n v="150"/>
    <d v="2024-03-05T12:31:00"/>
    <s v="Activo"/>
    <d v="2024-03-05T12:28:00"/>
    <d v="2024-03-05T12:31:00"/>
    <x v="0"/>
    <m/>
    <m/>
    <m/>
    <m/>
    <m/>
    <m/>
  </r>
  <r>
    <s v="Persona"/>
    <s v="No"/>
    <s v="20955581-6"/>
    <x v="12"/>
    <s v="Lizana"/>
    <s v="Natalia Lizana"/>
    <s v="Sin Giro"/>
    <s v="natalializana21@gmail.com"/>
    <m/>
    <m/>
    <m/>
    <m/>
    <m/>
    <s v="No"/>
    <n v="0"/>
    <s v="No"/>
    <s v="No definido"/>
    <s v="Si"/>
    <n v="130"/>
    <d v="2024-03-05T16:19:00"/>
    <s v="Activo"/>
    <d v="2024-03-05T16:18:00"/>
    <d v="2024-03-05T16:19:00"/>
    <x v="0"/>
    <m/>
    <m/>
    <m/>
    <m/>
    <m/>
    <m/>
  </r>
  <r>
    <s v="Persona"/>
    <s v="No"/>
    <s v="19681868-5"/>
    <x v="302"/>
    <s v="Lillo"/>
    <s v="scarlette Lillo"/>
    <s v="Sin Giro"/>
    <s v="scarlette.sofia.1924@gmail.com"/>
    <m/>
    <m/>
    <m/>
    <m/>
    <m/>
    <s v="No"/>
    <n v="0"/>
    <s v="No"/>
    <s v="No definido"/>
    <s v="Si"/>
    <n v="175"/>
    <d v="2024-04-15T17:10:00"/>
    <s v="Activo"/>
    <d v="2024-03-05T19:37:00"/>
    <d v="2024-04-15T17:10:00"/>
    <x v="150"/>
    <m/>
    <m/>
    <m/>
    <m/>
    <m/>
    <m/>
  </r>
  <r>
    <s v="Persona"/>
    <s v="No"/>
    <s v="12241396-9"/>
    <x v="303"/>
    <s v="Carol"/>
    <s v="Andrea Carol"/>
    <s v="Sin Giro"/>
    <s v="andreacarol911@gmail.com"/>
    <m/>
    <m/>
    <m/>
    <m/>
    <m/>
    <s v="No"/>
    <n v="0"/>
    <s v="No"/>
    <s v="No definido"/>
    <s v="Si"/>
    <n v="115"/>
    <d v="2024-03-06T16:43:00"/>
    <s v="Activo"/>
    <d v="2024-03-06T16:42:00"/>
    <d v="2024-03-06T16:43:00"/>
    <x v="151"/>
    <m/>
    <m/>
    <m/>
    <m/>
    <m/>
    <m/>
  </r>
  <r>
    <s v="Persona"/>
    <s v="No"/>
    <s v="16362158-4"/>
    <x v="104"/>
    <s v="Peña"/>
    <s v="Felipe Peña"/>
    <s v="Sin Giro"/>
    <s v="felipe.pena.henriquez@gmail.com"/>
    <m/>
    <m/>
    <m/>
    <m/>
    <m/>
    <s v="No"/>
    <n v="0"/>
    <s v="No"/>
    <s v="No definido"/>
    <s v="Si"/>
    <n v="115"/>
    <d v="2024-03-06T16:45:00"/>
    <s v="Activo"/>
    <d v="2024-03-06T16:44:00"/>
    <d v="2024-03-06T16:45:00"/>
    <x v="152"/>
    <m/>
    <m/>
    <m/>
    <m/>
    <m/>
    <m/>
  </r>
  <r>
    <s v="Persona"/>
    <s v="No"/>
    <s v="20237496-4"/>
    <x v="14"/>
    <s v="Sepulveda"/>
    <s v="Benjamin Sepulveda"/>
    <s v="Sin Giro"/>
    <s v="benja.sepulveda.sandoval@gmail.com"/>
    <m/>
    <m/>
    <m/>
    <m/>
    <m/>
    <s v="No"/>
    <n v="0"/>
    <s v="No"/>
    <s v="No definido"/>
    <s v="Si"/>
    <n v="260"/>
    <d v="2024-03-07T16:53:00"/>
    <s v="Activo"/>
    <d v="2024-03-07T16:53:00"/>
    <d v="2024-03-07T16:53:00"/>
    <x v="153"/>
    <m/>
    <m/>
    <m/>
    <m/>
    <m/>
    <m/>
  </r>
  <r>
    <s v="Persona"/>
    <s v="No"/>
    <s v="20532717-7"/>
    <x v="200"/>
    <s v="Medel"/>
    <s v="Maria Jesus Medel"/>
    <s v="Sin Giro"/>
    <s v="mmedel992@gmail.com"/>
    <m/>
    <m/>
    <m/>
    <m/>
    <m/>
    <s v="No"/>
    <n v="0"/>
    <s v="No"/>
    <s v="No definido"/>
    <s v="Si"/>
    <n v="115"/>
    <d v="2024-03-07T16:56:00"/>
    <s v="Activo"/>
    <d v="2024-03-07T16:55:00"/>
    <d v="2024-03-07T16:56:00"/>
    <x v="0"/>
    <m/>
    <m/>
    <m/>
    <m/>
    <m/>
    <m/>
  </r>
  <r>
    <s v="Persona"/>
    <s v="No"/>
    <s v="16345753-9"/>
    <x v="304"/>
    <s v="Astudillo"/>
    <s v="Priscila Astudillo"/>
    <s v="Sin Giro"/>
    <s v="lamagiadelalma777@gmail.com"/>
    <m/>
    <m/>
    <m/>
    <m/>
    <m/>
    <s v="No"/>
    <n v="0"/>
    <s v="No"/>
    <s v="No definido"/>
    <s v="Si"/>
    <n v="250"/>
    <d v="2024-03-23T13:38:00"/>
    <s v="Activo"/>
    <d v="2024-03-07T16:57:00"/>
    <d v="2024-03-23T13:38:00"/>
    <x v="154"/>
    <m/>
    <m/>
    <m/>
    <m/>
    <m/>
    <m/>
  </r>
  <r>
    <s v="Persona"/>
    <s v="No"/>
    <s v="19751655-0"/>
    <x v="305"/>
    <s v="carvallo"/>
    <s v="sofia carvallo"/>
    <s v="Sin Giro"/>
    <s v="soficarvalloc@gmail.com"/>
    <m/>
    <m/>
    <m/>
    <m/>
    <m/>
    <s v="No"/>
    <n v="0"/>
    <s v="No"/>
    <s v="No definido"/>
    <s v="Si"/>
    <n v="0"/>
    <d v="2024-04-17T20:44:00"/>
    <s v="Activo"/>
    <d v="2024-03-08T18:54:00"/>
    <d v="2024-03-08T18:54:00"/>
    <x v="0"/>
    <m/>
    <m/>
    <m/>
    <m/>
    <m/>
    <m/>
  </r>
  <r>
    <s v="Persona"/>
    <s v="No"/>
    <s v="18534054-6"/>
    <x v="72"/>
    <s v="m"/>
    <s v="Cristian m"/>
    <s v="Sin Giro"/>
    <s v="cristianmb93@oulook.com"/>
    <m/>
    <m/>
    <m/>
    <m/>
    <m/>
    <s v="No"/>
    <n v="0"/>
    <s v="No"/>
    <s v="No definido"/>
    <s v="Si"/>
    <n v="115"/>
    <d v="2024-03-08T18:58:00"/>
    <s v="Activo"/>
    <d v="2024-03-08T18:57:00"/>
    <d v="2024-03-08T18:58:00"/>
    <x v="0"/>
    <m/>
    <m/>
    <m/>
    <m/>
    <m/>
    <m/>
  </r>
  <r>
    <s v="Persona"/>
    <s v="No"/>
    <s v="13688801-3"/>
    <x v="306"/>
    <s v="Aguilera Recabarren"/>
    <s v="Irian Liliana Aguilera Recabarren"/>
    <s v="Sin Giro"/>
    <s v="irianliliana@gmail.com"/>
    <m/>
    <m/>
    <m/>
    <m/>
    <m/>
    <s v="No"/>
    <n v="0"/>
    <s v="No"/>
    <s v="No definido"/>
    <s v="Si"/>
    <n v="805"/>
    <d v="2024-04-11T12:12:00"/>
    <s v="Activo"/>
    <d v="2024-03-09T16:23:00"/>
    <d v="2024-04-11T12:12:00"/>
    <x v="155"/>
    <m/>
    <m/>
    <m/>
    <m/>
    <m/>
    <m/>
  </r>
  <r>
    <s v="Persona"/>
    <s v="No"/>
    <s v="15475234-K"/>
    <x v="12"/>
    <s v="Fernandez"/>
    <s v="Natalia Fernandez"/>
    <s v="Sin Giro"/>
    <s v="naty.fernandez.silva@gmail.com"/>
    <m/>
    <m/>
    <m/>
    <m/>
    <m/>
    <s v="No"/>
    <n v="0"/>
    <s v="No"/>
    <s v="No definido"/>
    <s v="Si"/>
    <n v="115"/>
    <d v="2024-03-09T16:58:00"/>
    <s v="Activo"/>
    <d v="2024-03-09T16:56:00"/>
    <d v="2024-03-09T16:58:00"/>
    <x v="156"/>
    <m/>
    <m/>
    <m/>
    <m/>
    <m/>
    <m/>
  </r>
  <r>
    <s v="Persona"/>
    <s v="No"/>
    <s v="22163941-3"/>
    <x v="42"/>
    <s v="moreira"/>
    <s v="andres moreira"/>
    <s v="Sin Giro"/>
    <s v="moreirabarros.andres@gmail.com"/>
    <m/>
    <m/>
    <m/>
    <m/>
    <m/>
    <s v="No"/>
    <n v="0"/>
    <s v="No"/>
    <s v="No definido"/>
    <s v="Si"/>
    <n v="130"/>
    <d v="2024-03-09T17:29:00"/>
    <s v="Activo"/>
    <d v="2024-03-09T17:28:00"/>
    <d v="2024-03-09T17:29:00"/>
    <x v="157"/>
    <m/>
    <m/>
    <m/>
    <m/>
    <m/>
    <m/>
  </r>
  <r>
    <s v="Persona"/>
    <s v="No"/>
    <s v="10864277-7"/>
    <x v="74"/>
    <s v="Cuevas"/>
    <s v="Claudia Cuevas"/>
    <s v="Sin Giro"/>
    <s v="clauxim.cuevas.g@gmail.com"/>
    <m/>
    <m/>
    <m/>
    <m/>
    <m/>
    <s v="No"/>
    <n v="0"/>
    <s v="No"/>
    <s v="No definido"/>
    <s v="Si"/>
    <n v="115"/>
    <d v="2024-03-09T17:52:00"/>
    <s v="Activo"/>
    <d v="2024-03-09T17:52:00"/>
    <d v="2024-03-09T17:52:00"/>
    <x v="0"/>
    <m/>
    <m/>
    <m/>
    <m/>
    <m/>
    <m/>
  </r>
  <r>
    <s v="Persona"/>
    <s v="No"/>
    <s v="7019420-1"/>
    <x v="307"/>
    <s v="de Lucca"/>
    <s v="Vigue de Lucca"/>
    <s v="Sin Giro"/>
    <s v="viguedelucca@yahoo.es"/>
    <m/>
    <m/>
    <m/>
    <m/>
    <m/>
    <s v="No"/>
    <n v="0"/>
    <s v="No"/>
    <s v="No definido"/>
    <s v="Si"/>
    <n v="115"/>
    <d v="2024-03-09T17:55:00"/>
    <s v="Activo"/>
    <d v="2024-03-09T17:55:00"/>
    <d v="2024-03-09T17:55:00"/>
    <x v="0"/>
    <m/>
    <m/>
    <m/>
    <m/>
    <m/>
    <m/>
  </r>
  <r>
    <s v="Persona"/>
    <s v="No"/>
    <s v="1500409-6"/>
    <x v="308"/>
    <s v="obando"/>
    <s v="betsabeth obando"/>
    <s v="Sin Giro"/>
    <s v="betsabethobando@hotmail.com"/>
    <m/>
    <m/>
    <m/>
    <m/>
    <m/>
    <s v="No"/>
    <n v="0"/>
    <s v="No"/>
    <s v="No definido"/>
    <s v="Si"/>
    <n v="90"/>
    <d v="2024-03-09T18:02:00"/>
    <s v="Activo"/>
    <d v="2024-03-09T18:02:00"/>
    <d v="2024-03-09T18:02:00"/>
    <x v="0"/>
    <m/>
    <m/>
    <m/>
    <m/>
    <m/>
    <m/>
  </r>
  <r>
    <s v="Persona"/>
    <s v="No"/>
    <s v="15380719-1"/>
    <x v="309"/>
    <s v="Gonzalez"/>
    <s v="Freddy Gonzalez"/>
    <s v="Sin Giro"/>
    <s v="fdagonzalez@yahoo.es"/>
    <m/>
    <m/>
    <m/>
    <m/>
    <m/>
    <s v="No"/>
    <n v="0"/>
    <s v="No"/>
    <s v="No definido"/>
    <s v="Si"/>
    <n v="115"/>
    <d v="2024-03-09T18:45:00"/>
    <s v="Activo"/>
    <d v="2024-03-09T18:44:00"/>
    <d v="2024-03-12T19:32:00"/>
    <x v="0"/>
    <m/>
    <m/>
    <m/>
    <m/>
    <m/>
    <m/>
  </r>
  <r>
    <s v="Persona"/>
    <s v="No"/>
    <s v="12464227-2"/>
    <x v="104"/>
    <s v="Besa"/>
    <s v="Felipe Besa"/>
    <s v="Sin Giro"/>
    <s v="felipebesat@gmail.com"/>
    <m/>
    <m/>
    <m/>
    <m/>
    <m/>
    <s v="No"/>
    <n v="0"/>
    <s v="No"/>
    <s v="No definido"/>
    <s v="Si"/>
    <n v="200"/>
    <d v="2024-03-11T13:33:00"/>
    <s v="Activo"/>
    <d v="2024-03-09T18:49:00"/>
    <d v="2024-03-11T13:33:00"/>
    <x v="158"/>
    <m/>
    <m/>
    <m/>
    <m/>
    <m/>
    <m/>
  </r>
  <r>
    <s v="Persona"/>
    <s v="No"/>
    <s v="14043824-3"/>
    <x v="310"/>
    <s v="Garcia"/>
    <s v="Doly Garcia"/>
    <s v="Sin Giro"/>
    <s v="dolygarcia@hotmail.com"/>
    <m/>
    <m/>
    <m/>
    <m/>
    <m/>
    <s v="No"/>
    <n v="0"/>
    <s v="No"/>
    <s v="No definido"/>
    <s v="Si"/>
    <n v="115"/>
    <d v="2024-03-09T19:45:00"/>
    <s v="Activo"/>
    <d v="2024-03-09T19:43:00"/>
    <d v="2024-03-09T19:45:00"/>
    <x v="0"/>
    <m/>
    <m/>
    <m/>
    <m/>
    <m/>
    <m/>
  </r>
  <r>
    <s v="Persona"/>
    <s v="No"/>
    <s v="18953367-5"/>
    <x v="273"/>
    <s v="Soto"/>
    <s v="Maria Jose Soto"/>
    <s v="Sin Giro"/>
    <s v="mariajosesoto_13@hotmail.com"/>
    <m/>
    <m/>
    <m/>
    <m/>
    <m/>
    <s v="No"/>
    <n v="0"/>
    <s v="No"/>
    <s v="No definido"/>
    <s v="Si"/>
    <n v="115"/>
    <d v="2024-03-09T20:43:00"/>
    <s v="Activo"/>
    <d v="2024-03-09T20:43:00"/>
    <d v="2024-03-09T20:43:00"/>
    <x v="159"/>
    <m/>
    <m/>
    <m/>
    <m/>
    <m/>
    <m/>
  </r>
  <r>
    <s v="Persona"/>
    <s v="No"/>
    <s v=""/>
    <x v="311"/>
    <s v="Astorga"/>
    <s v="Mauricio Astorga"/>
    <s v="Sin Giro"/>
    <s v="mastorga22@gmail.com"/>
    <m/>
    <m/>
    <m/>
    <m/>
    <m/>
    <s v="No"/>
    <n v="0"/>
    <s v="No"/>
    <s v="No definido"/>
    <s v="Si"/>
    <n v="270"/>
    <d v="2024-03-16T20:00:00"/>
    <s v="Activo"/>
    <d v="2024-03-09T20:59:00"/>
    <d v="2024-03-16T20:00:00"/>
    <x v="0"/>
    <m/>
    <m/>
    <m/>
    <m/>
    <m/>
    <m/>
  </r>
  <r>
    <s v="Persona"/>
    <s v="No"/>
    <s v="13468805-K"/>
    <x v="312"/>
    <s v="Muñoz"/>
    <s v="Pau Muñoz"/>
    <s v="Sin Giro"/>
    <s v="paumunozm@gmail.com"/>
    <m/>
    <m/>
    <m/>
    <m/>
    <m/>
    <s v="No"/>
    <n v="0"/>
    <s v="No"/>
    <s v="No definido"/>
    <s v="Si"/>
    <n v="115"/>
    <d v="2024-03-11T11:20:00"/>
    <s v="Activo"/>
    <d v="2024-03-11T11:19:00"/>
    <d v="2024-03-11T11:20:00"/>
    <x v="160"/>
    <m/>
    <m/>
    <m/>
    <m/>
    <m/>
    <m/>
  </r>
  <r>
    <s v="Persona"/>
    <s v="No"/>
    <s v="21341971-4"/>
    <x v="14"/>
    <s v="Guzman Madrid"/>
    <s v="Benjamin Guzman Madrid"/>
    <s v="Sin Giro"/>
    <s v="venjaconuve@gmail.com"/>
    <m/>
    <m/>
    <m/>
    <m/>
    <m/>
    <s v="No"/>
    <n v="0"/>
    <s v="No"/>
    <s v="No definido"/>
    <s v="Si"/>
    <n v="115"/>
    <d v="2024-03-11T13:00:00"/>
    <s v="Activo"/>
    <d v="2024-03-11T12:59:00"/>
    <d v="2024-03-11T13:00:00"/>
    <x v="161"/>
    <m/>
    <m/>
    <m/>
    <m/>
    <m/>
    <m/>
  </r>
  <r>
    <s v="Persona"/>
    <s v="No"/>
    <s v="21291085-6"/>
    <x v="313"/>
    <s v="cardio"/>
    <s v="irina cardio"/>
    <s v="Sin Giro"/>
    <s v="irinacarpio1901@gmail.com"/>
    <m/>
    <m/>
    <m/>
    <m/>
    <m/>
    <s v="No"/>
    <n v="0"/>
    <s v="No"/>
    <s v="No definido"/>
    <s v="Si"/>
    <n v="245"/>
    <d v="2024-03-27T19:55:00"/>
    <s v="Activo"/>
    <d v="2024-03-11T13:27:00"/>
    <d v="2024-03-27T19:55:00"/>
    <x v="0"/>
    <m/>
    <m/>
    <m/>
    <m/>
    <m/>
    <m/>
  </r>
  <r>
    <s v="Persona"/>
    <s v="No"/>
    <s v="15525748-2"/>
    <x v="314"/>
    <s v="Alvarado Alcocer"/>
    <s v="José Patricio Alvarado Alcocer"/>
    <s v="Sin Giro"/>
    <s v="jalvaradoalcocer@hotmail.com"/>
    <m/>
    <m/>
    <m/>
    <m/>
    <m/>
    <s v="No"/>
    <n v="0"/>
    <s v="No"/>
    <s v="No definido"/>
    <s v="Si"/>
    <n v="390"/>
    <d v="2024-04-01T18:42:00"/>
    <s v="Activo"/>
    <d v="2024-03-11T14:37:00"/>
    <d v="2024-04-01T18:42:00"/>
    <x v="162"/>
    <m/>
    <m/>
    <m/>
    <m/>
    <m/>
    <m/>
  </r>
  <r>
    <s v="Persona"/>
    <s v="No"/>
    <s v="10065442-3"/>
    <x v="224"/>
    <s v="Gutierrez"/>
    <s v="Antonio Gutierrez"/>
    <s v="Sin Giro"/>
    <s v="antoguti@gmail.com"/>
    <m/>
    <m/>
    <m/>
    <m/>
    <m/>
    <s v="No"/>
    <n v="0"/>
    <s v="No"/>
    <s v="No definido"/>
    <s v="Si"/>
    <n v="260"/>
    <d v="2024-04-01T19:12:00"/>
    <s v="Activo"/>
    <d v="2024-03-11T18:49:00"/>
    <d v="2024-04-01T19:12:00"/>
    <x v="163"/>
    <m/>
    <m/>
    <m/>
    <m/>
    <m/>
    <m/>
  </r>
  <r>
    <s v="Persona"/>
    <s v="No"/>
    <s v="8657387-3"/>
    <x v="90"/>
    <s v="Vegas"/>
    <s v="Pamela Vegas"/>
    <s v="Sin Giro"/>
    <s v="ipvegas14@gmail.com"/>
    <m/>
    <m/>
    <m/>
    <m/>
    <m/>
    <s v="No"/>
    <n v="0"/>
    <s v="No"/>
    <s v="No definido"/>
    <s v="Si"/>
    <n v="45"/>
    <d v="2024-03-11T18:53:00"/>
    <s v="Activo"/>
    <d v="2024-03-11T18:53:00"/>
    <d v="2024-03-11T18:53:00"/>
    <x v="164"/>
    <m/>
    <m/>
    <m/>
    <m/>
    <m/>
    <m/>
  </r>
  <r>
    <s v="Persona"/>
    <s v="No"/>
    <s v="7034644-3"/>
    <x v="315"/>
    <s v="Alvear"/>
    <s v="Ademar Alvear"/>
    <s v="Sin Giro"/>
    <s v="ademasalvear@gmail.com"/>
    <m/>
    <m/>
    <m/>
    <m/>
    <m/>
    <s v="No"/>
    <n v="0"/>
    <s v="No"/>
    <s v="No definido"/>
    <s v="Si"/>
    <n v="225"/>
    <d v="2024-03-12T12:17:00"/>
    <s v="Activo"/>
    <d v="2024-03-12T12:17:00"/>
    <d v="2024-03-12T12:17:00"/>
    <x v="165"/>
    <m/>
    <m/>
    <m/>
    <m/>
    <m/>
    <m/>
  </r>
  <r>
    <s v="Persona"/>
    <s v="No"/>
    <s v="18165120-2"/>
    <x v="61"/>
    <s v="Rojas"/>
    <s v="Sebastian Rojas"/>
    <s v="Sin Giro"/>
    <s v="sarojas@miuandes.cl"/>
    <m/>
    <m/>
    <m/>
    <m/>
    <m/>
    <s v="No"/>
    <n v="0"/>
    <s v="No"/>
    <s v="No definido"/>
    <s v="Si"/>
    <n v="230"/>
    <d v="2024-03-12T13:40:00"/>
    <s v="Activo"/>
    <d v="2024-03-12T13:40:00"/>
    <d v="2024-03-12T13:40:00"/>
    <x v="166"/>
    <m/>
    <m/>
    <m/>
    <m/>
    <m/>
    <m/>
  </r>
  <r>
    <s v="Persona"/>
    <s v="No"/>
    <s v="17339434-9"/>
    <x v="166"/>
    <s v="Peña"/>
    <s v="Joaquin Peña"/>
    <s v="Sin Giro"/>
    <s v="joaquin.p.a01@gmail.com"/>
    <m/>
    <m/>
    <m/>
    <m/>
    <m/>
    <s v="No"/>
    <n v="0"/>
    <s v="No"/>
    <s v="No definido"/>
    <s v="Si"/>
    <n v="240"/>
    <d v="2024-03-12T19:13:00"/>
    <s v="Activo"/>
    <d v="2024-03-12T19:13:00"/>
    <d v="2024-03-12T19:13:00"/>
    <x v="0"/>
    <m/>
    <m/>
    <m/>
    <m/>
    <m/>
    <m/>
  </r>
  <r>
    <s v="Persona"/>
    <s v="No"/>
    <s v="17621761-8"/>
    <x v="182"/>
    <s v="Romero"/>
    <s v="Romina Romero"/>
    <s v="Sin Giro"/>
    <s v="romina.romero.ruz@gmail.com"/>
    <m/>
    <m/>
    <m/>
    <m/>
    <m/>
    <s v="No"/>
    <n v="0"/>
    <s v="No"/>
    <s v="No definido"/>
    <s v="Si"/>
    <n v="115"/>
    <d v="2024-03-12T19:44:00"/>
    <s v="Activo"/>
    <d v="2024-03-12T19:44:00"/>
    <d v="2024-03-12T19:44:00"/>
    <x v="167"/>
    <m/>
    <m/>
    <m/>
    <m/>
    <m/>
    <m/>
  </r>
  <r>
    <s v="Persona"/>
    <s v="No"/>
    <s v="17960383-7"/>
    <x v="23"/>
    <s v="Rojas"/>
    <s v="Thomas Rojas"/>
    <s v="Sin Giro"/>
    <s v="thomasrojas1@gmail.com"/>
    <m/>
    <m/>
    <m/>
    <m/>
    <m/>
    <s v="No"/>
    <n v="0"/>
    <s v="No"/>
    <s v="No definido"/>
    <s v="Si"/>
    <n v="115"/>
    <d v="2024-03-12T20:59:00"/>
    <s v="Activo"/>
    <d v="2024-03-12T20:57:00"/>
    <d v="2024-03-12T20:59:00"/>
    <x v="0"/>
    <m/>
    <m/>
    <m/>
    <m/>
    <m/>
    <m/>
  </r>
  <r>
    <s v="Persona"/>
    <s v="No"/>
    <s v="21599890-8"/>
    <x v="106"/>
    <s v="Hidalgo Benavente"/>
    <s v="Javiera  Hidalgo Benavente"/>
    <s v="Sin Giro"/>
    <s v="javierahidalgobenavente@gmail.com"/>
    <m/>
    <m/>
    <m/>
    <m/>
    <m/>
    <s v="No"/>
    <n v="0"/>
    <s v="No"/>
    <s v="No definido"/>
    <s v="Si"/>
    <n v="115"/>
    <d v="2024-03-13T16:30:00"/>
    <s v="Activo"/>
    <d v="2024-03-13T13:34:00"/>
    <d v="2024-03-13T16:30:00"/>
    <x v="168"/>
    <m/>
    <m/>
    <m/>
    <m/>
    <m/>
    <m/>
  </r>
  <r>
    <s v="Persona"/>
    <s v="No"/>
    <s v="13013288-K"/>
    <x v="36"/>
    <s v="Argandoña"/>
    <s v="Marcelo Argandoña"/>
    <s v="Sin Giro"/>
    <s v="marceloeiq@yahoo.com"/>
    <m/>
    <m/>
    <m/>
    <m/>
    <m/>
    <s v="No"/>
    <n v="0"/>
    <s v="No"/>
    <s v="No definido"/>
    <s v="Si"/>
    <n v="245"/>
    <d v="2024-03-13T14:36:00"/>
    <s v="Activo"/>
    <d v="2024-03-13T14:35:00"/>
    <d v="2024-03-13T14:36:00"/>
    <x v="169"/>
    <m/>
    <m/>
    <m/>
    <m/>
    <m/>
    <m/>
  </r>
  <r>
    <s v="Persona"/>
    <s v="No"/>
    <s v="21563563-5"/>
    <x v="316"/>
    <s v="FAUNDEZ MAIRA"/>
    <s v="CATALINA ANDREA FAUNDEZ MAIRA"/>
    <s v="Sin Giro"/>
    <s v="catalinafm1d@gmail.com"/>
    <m/>
    <s v="DEL LIBERTADOR GENERAL BERNARDO O'HIGGINS"/>
    <s v="_x0009_MOSTAZAL"/>
    <m/>
    <m/>
    <s v="No"/>
    <n v="0"/>
    <s v="No"/>
    <s v="No definido"/>
    <s v="Si"/>
    <n v="130"/>
    <d v="2024-03-13T18:01:00"/>
    <s v="Activo"/>
    <d v="2024-03-13T18:01:00"/>
    <d v="2024-03-13T18:01:00"/>
    <x v="0"/>
    <m/>
    <m/>
    <m/>
    <m/>
    <m/>
    <m/>
  </r>
  <r>
    <s v="Persona"/>
    <s v="No"/>
    <s v="16007065-K"/>
    <x v="24"/>
    <s v="BAZAN STEFFENS"/>
    <s v="CARLA BAZAN STEFFENS"/>
    <s v="Sin Giro"/>
    <s v="carla.bazan.s@gmail.com"/>
    <m/>
    <m/>
    <s v="_x0009_LA FLORIDA"/>
    <m/>
    <m/>
    <s v="No"/>
    <n v="0"/>
    <s v="No"/>
    <s v="No definido"/>
    <s v="Si"/>
    <n v="115"/>
    <d v="2024-03-13T18:18:00"/>
    <s v="Activo"/>
    <d v="2024-03-13T18:17:00"/>
    <d v="2024-03-13T18:18:00"/>
    <x v="0"/>
    <m/>
    <m/>
    <m/>
    <m/>
    <m/>
    <m/>
  </r>
  <r>
    <s v="Persona"/>
    <s v="No"/>
    <s v="18622392-6"/>
    <x v="260"/>
    <s v="Rivera Verdugo"/>
    <s v="David Rivera Verdugo"/>
    <s v="Sin Giro"/>
    <s v="david.rivera.verdugo@gmail.com"/>
    <m/>
    <m/>
    <m/>
    <m/>
    <m/>
    <s v="No"/>
    <n v="0"/>
    <s v="No"/>
    <s v="No definido"/>
    <s v="Si"/>
    <n v="115"/>
    <d v="2024-03-13T19:31:00"/>
    <s v="Activo"/>
    <d v="2024-03-13T19:30:00"/>
    <d v="2024-03-13T19:31:00"/>
    <x v="170"/>
    <m/>
    <m/>
    <m/>
    <m/>
    <m/>
    <m/>
  </r>
  <r>
    <s v="Persona"/>
    <s v="No"/>
    <s v="20215652-5"/>
    <x v="317"/>
    <s v="Villarroel Villarreal"/>
    <s v=" Felipe Javier Villarroel Villarreal"/>
    <s v="Sin Giro"/>
    <s v="fjvvillaa@gmail.com"/>
    <m/>
    <m/>
    <m/>
    <m/>
    <m/>
    <s v="No"/>
    <n v="0"/>
    <s v="No"/>
    <s v="No definido"/>
    <s v="Si"/>
    <n v="115"/>
    <d v="2024-03-13T19:35:00"/>
    <s v="Activo"/>
    <d v="2024-03-13T19:35:00"/>
    <d v="2024-03-13T19:35:00"/>
    <x v="0"/>
    <m/>
    <m/>
    <m/>
    <m/>
    <m/>
    <m/>
  </r>
  <r>
    <s v="Persona"/>
    <s v="No"/>
    <s v="19838886-6"/>
    <x v="19"/>
    <s v="mora"/>
    <s v="carolina mora"/>
    <s v="Sin Giro"/>
    <s v="carocmr1@gmail.com"/>
    <m/>
    <m/>
    <m/>
    <m/>
    <m/>
    <s v="No"/>
    <n v="0"/>
    <s v="No"/>
    <s v="No definido"/>
    <s v="Si"/>
    <n v="115"/>
    <d v="2024-03-13T20:09:00"/>
    <s v="Activo"/>
    <d v="2024-03-13T20:08:00"/>
    <d v="2024-03-13T20:09:00"/>
    <x v="0"/>
    <m/>
    <m/>
    <m/>
    <m/>
    <m/>
    <m/>
  </r>
  <r>
    <s v="Persona"/>
    <s v="No"/>
    <s v="12515410-7"/>
    <x v="318"/>
    <s v="Ramirez"/>
    <s v="Vanesa Ramirez"/>
    <s v="Sin Giro"/>
    <s v="vanesaramirezc@gmail.com"/>
    <m/>
    <m/>
    <m/>
    <m/>
    <m/>
    <s v="No"/>
    <n v="0"/>
    <s v="No"/>
    <s v="No definido"/>
    <s v="Si"/>
    <n v="130"/>
    <d v="2024-03-14T12:39:00"/>
    <s v="Activo"/>
    <d v="2024-03-14T12:39:00"/>
    <d v="2024-03-14T12:39:00"/>
    <x v="0"/>
    <m/>
    <m/>
    <m/>
    <m/>
    <m/>
    <m/>
  </r>
  <r>
    <s v="Persona"/>
    <s v="No"/>
    <s v="20219629-2"/>
    <x v="319"/>
    <s v="Vergara"/>
    <s v="Millaray Vergara"/>
    <s v="Sin Giro"/>
    <s v="millarayvergara99@gmail.com"/>
    <m/>
    <m/>
    <m/>
    <m/>
    <m/>
    <s v="No"/>
    <n v="0"/>
    <s v="No"/>
    <s v="No definido"/>
    <s v="Si"/>
    <n v="90"/>
    <d v="2024-03-14T13:26:00"/>
    <s v="Activo"/>
    <d v="2024-03-14T13:26:00"/>
    <d v="2024-03-14T13:26:00"/>
    <x v="0"/>
    <m/>
    <m/>
    <m/>
    <m/>
    <m/>
    <m/>
  </r>
  <r>
    <s v="Persona"/>
    <s v="No"/>
    <s v="7141352-7"/>
    <x v="320"/>
    <s v="González Hernández"/>
    <s v="Maria Nelly González Hernández"/>
    <s v="Sin Giro"/>
    <s v="marianely@gmail.com"/>
    <s v="Jose Domingo Cañas 2550 102"/>
    <s v="Santiago"/>
    <s v="Ñuñoa"/>
    <m/>
    <m/>
    <s v="No"/>
    <n v="0"/>
    <s v="No"/>
    <s v="No definido"/>
    <s v="Si"/>
    <n v="115"/>
    <d v="2024-03-14T13:52:00"/>
    <s v="Activo"/>
    <d v="2024-03-14T13:51:00"/>
    <d v="2024-03-14T13:52:00"/>
    <x v="171"/>
    <m/>
    <m/>
    <m/>
    <m/>
    <m/>
    <m/>
  </r>
  <r>
    <s v="Persona"/>
    <s v="No"/>
    <s v="6499522-7"/>
    <x v="321"/>
    <s v="Heise"/>
    <s v="Gisselle Heise"/>
    <s v="Sin Giro"/>
    <s v="gisseleheisef@gmail.com"/>
    <m/>
    <m/>
    <m/>
    <m/>
    <m/>
    <s v="No"/>
    <n v="0"/>
    <s v="No"/>
    <s v="No definido"/>
    <s v="Si"/>
    <n v="90"/>
    <d v="2024-03-14T14:35:00"/>
    <s v="Activo"/>
    <d v="2024-03-14T14:27:00"/>
    <d v="2024-03-14T14:35:00"/>
    <x v="0"/>
    <m/>
    <m/>
    <m/>
    <m/>
    <m/>
    <m/>
  </r>
  <r>
    <s v="Persona"/>
    <s v="No"/>
    <s v="17046745-0"/>
    <x v="104"/>
    <s v="Morales"/>
    <s v="Felipe Morales"/>
    <s v="Sin Giro"/>
    <s v="felipemorales.a@gmail.com"/>
    <m/>
    <m/>
    <m/>
    <m/>
    <m/>
    <s v="No"/>
    <n v="0"/>
    <s v="No"/>
    <s v="No definido"/>
    <s v="Si"/>
    <n v="115"/>
    <d v="2024-03-14T14:37:00"/>
    <s v="Activo"/>
    <d v="2024-03-14T14:37:00"/>
    <d v="2024-03-14T14:37:00"/>
    <x v="0"/>
    <m/>
    <m/>
    <m/>
    <m/>
    <m/>
    <m/>
  </r>
  <r>
    <s v="Persona"/>
    <s v="No"/>
    <s v="19434612-3"/>
    <x v="84"/>
    <s v="Meza Hatte"/>
    <s v="Javiera Meza Hatte"/>
    <s v="Sin Giro"/>
    <s v="jmezahatte@gmail.com"/>
    <m/>
    <m/>
    <m/>
    <m/>
    <m/>
    <s v="No"/>
    <n v="0"/>
    <s v="No"/>
    <s v="No definido"/>
    <s v="Si"/>
    <n v="115"/>
    <d v="2024-03-14T14:40:00"/>
    <s v="Activo"/>
    <d v="2024-03-14T14:40:00"/>
    <d v="2024-03-14T14:40:00"/>
    <x v="172"/>
    <m/>
    <m/>
    <m/>
    <m/>
    <m/>
    <m/>
  </r>
  <r>
    <s v="Persona"/>
    <s v="No"/>
    <s v="22102679-9"/>
    <x v="322"/>
    <s v="Ambiado"/>
    <s v="Domenica Ambiado"/>
    <s v="Sin Giro"/>
    <s v="domenicaambiado@gmail.com"/>
    <m/>
    <m/>
    <m/>
    <m/>
    <m/>
    <s v="No"/>
    <n v="0"/>
    <s v="No"/>
    <s v="No definido"/>
    <s v="Si"/>
    <n v="345"/>
    <d v="2024-03-14T17:47:00"/>
    <s v="Activo"/>
    <d v="2024-03-14T17:46:00"/>
    <d v="2024-03-14T17:47:00"/>
    <x v="0"/>
    <m/>
    <m/>
    <m/>
    <m/>
    <m/>
    <m/>
  </r>
  <r>
    <s v="Persona"/>
    <s v="No"/>
    <s v="16910197-3"/>
    <x v="54"/>
    <s v="Hoffmann"/>
    <s v="Rodrigo Hoffmann"/>
    <s v="Sin Giro"/>
    <s v="rhoffmann.g@gmail.com"/>
    <m/>
    <m/>
    <m/>
    <n v="56940103774"/>
    <m/>
    <s v="No"/>
    <n v="0"/>
    <s v="No"/>
    <s v="No definido"/>
    <s v="Si"/>
    <n v="135"/>
    <d v="2024-03-14T18:36:00"/>
    <s v="Activo"/>
    <d v="2024-03-14T18:35:00"/>
    <d v="2024-03-14T18:36:00"/>
    <x v="173"/>
    <m/>
    <m/>
    <m/>
    <m/>
    <m/>
    <m/>
  </r>
  <r>
    <s v="Persona"/>
    <s v="No"/>
    <s v="12898562-K"/>
    <x v="323"/>
    <s v="Lucero"/>
    <s v="Teresa Lucero"/>
    <s v="Sin Giro"/>
    <s v="tlucero@ecrgroup.cl"/>
    <s v="Pje Eolo 9440 V Los Peumos"/>
    <m/>
    <s v="Trinidad"/>
    <m/>
    <m/>
    <s v="No"/>
    <n v="0"/>
    <s v="No"/>
    <s v="No definido"/>
    <s v="Si"/>
    <n v="115"/>
    <d v="2024-03-15T17:44:00"/>
    <s v="Activo"/>
    <d v="2024-03-15T17:44:00"/>
    <d v="2024-03-15T17:44:00"/>
    <x v="0"/>
    <m/>
    <m/>
    <m/>
    <m/>
    <m/>
    <m/>
  </r>
  <r>
    <s v="Persona"/>
    <s v="No"/>
    <s v="8342113-4"/>
    <x v="140"/>
    <s v="Echavarria"/>
    <s v="Marisol Echavarria"/>
    <s v="Sin Giro"/>
    <s v="echavarriac.marisol@gmail.com"/>
    <m/>
    <m/>
    <m/>
    <m/>
    <m/>
    <s v="No"/>
    <n v="0"/>
    <s v="No"/>
    <s v="No definido"/>
    <s v="Si"/>
    <n v="130"/>
    <d v="2024-03-16T11:47:00"/>
    <s v="Activo"/>
    <d v="2024-03-16T11:46:00"/>
    <d v="2024-03-16T11:47:00"/>
    <x v="174"/>
    <m/>
    <m/>
    <m/>
    <m/>
    <m/>
    <m/>
  </r>
  <r>
    <s v="Persona"/>
    <s v="No"/>
    <s v="16047603-6"/>
    <x v="324"/>
    <s v="Cardenas"/>
    <s v="Raúl Cardenas"/>
    <s v="Sin Giro"/>
    <s v="raul@blac.cl"/>
    <m/>
    <m/>
    <m/>
    <m/>
    <m/>
    <s v="No"/>
    <n v="0"/>
    <s v="No"/>
    <s v="No definido"/>
    <s v="Si"/>
    <n v="90"/>
    <d v="2024-03-16T12:29:00"/>
    <s v="Activo"/>
    <d v="2024-03-16T12:28:00"/>
    <d v="2024-03-16T12:29:00"/>
    <x v="175"/>
    <m/>
    <m/>
    <m/>
    <m/>
    <m/>
    <m/>
  </r>
  <r>
    <s v="Persona"/>
    <s v="No"/>
    <s v="12802159-0"/>
    <x v="54"/>
    <s v="Pinto"/>
    <s v="Rodrigo Pinto"/>
    <s v="Sin Giro"/>
    <s v="rodrigo.pinto.rios@gmail.com"/>
    <m/>
    <m/>
    <m/>
    <m/>
    <m/>
    <s v="No"/>
    <n v="0"/>
    <s v="No"/>
    <s v="No definido"/>
    <s v="Si"/>
    <n v="115"/>
    <d v="2024-03-16T13:26:00"/>
    <s v="Activo"/>
    <d v="2024-03-16T13:25:00"/>
    <d v="2024-03-16T13:26:00"/>
    <x v="176"/>
    <m/>
    <m/>
    <m/>
    <m/>
    <m/>
    <m/>
  </r>
  <r>
    <s v="Persona"/>
    <s v="No"/>
    <s v="17264468-6"/>
    <x v="325"/>
    <s v="Vargas Ruiz"/>
    <s v="Claudia Rebeca Jesus Vargas Ruiz"/>
    <s v="Sin Giro"/>
    <s v="claudia.vargas.ruiz@hotmail.com"/>
    <s v="Alonzo De Cordova 5316 Depto.14"/>
    <m/>
    <s v="Las Condes"/>
    <m/>
    <m/>
    <s v="No"/>
    <n v="0"/>
    <s v="No"/>
    <s v="No definido"/>
    <s v="Si"/>
    <n v="390"/>
    <d v="2024-04-04T16:33:00"/>
    <s v="Activo"/>
    <d v="2024-03-16T14:22:00"/>
    <d v="2024-04-04T16:33:00"/>
    <x v="0"/>
    <m/>
    <m/>
    <m/>
    <m/>
    <m/>
    <m/>
  </r>
  <r>
    <s v="Persona"/>
    <s v="No"/>
    <s v="15360503-3"/>
    <x v="104"/>
    <s v="Concha"/>
    <s v="Felipe Concha"/>
    <s v="Sin Giro"/>
    <s v="fcd@diproc.cl"/>
    <m/>
    <m/>
    <m/>
    <m/>
    <m/>
    <s v="No"/>
    <n v="0"/>
    <s v="No"/>
    <s v="No definido"/>
    <s v="Si"/>
    <n v="130"/>
    <d v="2024-03-16T14:53:00"/>
    <s v="Activo"/>
    <d v="2024-03-16T14:53:00"/>
    <d v="2024-03-16T14:53:00"/>
    <x v="0"/>
    <m/>
    <m/>
    <m/>
    <m/>
    <m/>
    <m/>
  </r>
  <r>
    <s v="Persona"/>
    <s v="No"/>
    <s v="17778644-6"/>
    <x v="326"/>
    <s v="Urrea"/>
    <s v="Leyla Urrea"/>
    <s v="Sin Giro"/>
    <s v="leyla.urrea.lu@gmail.com"/>
    <m/>
    <m/>
    <m/>
    <m/>
    <m/>
    <s v="No"/>
    <n v="0"/>
    <s v="No"/>
    <s v="No definido"/>
    <s v="Si"/>
    <n v="90"/>
    <d v="2024-03-16T15:03:00"/>
    <s v="Activo"/>
    <d v="2024-03-16T15:02:00"/>
    <d v="2024-03-16T15:03:00"/>
    <x v="177"/>
    <m/>
    <m/>
    <m/>
    <m/>
    <m/>
    <m/>
  </r>
  <r>
    <s v="Persona"/>
    <s v="No"/>
    <s v="16370320-3"/>
    <x v="327"/>
    <s v="Castro"/>
    <s v="Ale Castro"/>
    <s v="Sin Giro"/>
    <s v="alecastroguzman@gmail.com"/>
    <m/>
    <m/>
    <m/>
    <m/>
    <m/>
    <s v="No"/>
    <n v="0"/>
    <s v="No"/>
    <s v="No definido"/>
    <s v="Si"/>
    <n v="115"/>
    <d v="2024-03-16T15:41:00"/>
    <s v="Activo"/>
    <d v="2024-03-16T15:41:00"/>
    <d v="2024-03-16T15:41:00"/>
    <x v="0"/>
    <m/>
    <m/>
    <m/>
    <m/>
    <m/>
    <m/>
  </r>
  <r>
    <s v="Persona"/>
    <s v="No"/>
    <s v="13563715-7"/>
    <x v="311"/>
    <s v="Echeverria"/>
    <s v="Mauricio Echeverria"/>
    <s v="Sin Giro"/>
    <s v="programasmei@gmail.com"/>
    <m/>
    <m/>
    <m/>
    <m/>
    <m/>
    <s v="No"/>
    <n v="0"/>
    <s v="No"/>
    <s v="No definido"/>
    <s v="Si"/>
    <n v="90"/>
    <d v="2024-03-16T18:21:00"/>
    <s v="Activo"/>
    <d v="2024-03-16T18:19:00"/>
    <d v="2024-03-16T18:21:00"/>
    <x v="0"/>
    <m/>
    <m/>
    <m/>
    <m/>
    <m/>
    <m/>
  </r>
  <r>
    <s v="Persona"/>
    <s v="No"/>
    <s v="17286266-7"/>
    <x v="221"/>
    <s v="Navarrete"/>
    <s v="Camilo Navarrete"/>
    <s v="Sin Giro"/>
    <s v="camilo.navarretemella@gmail.com"/>
    <m/>
    <m/>
    <m/>
    <m/>
    <m/>
    <s v="No"/>
    <n v="0"/>
    <s v="No"/>
    <s v="No definido"/>
    <s v="Si"/>
    <n v="115"/>
    <d v="2024-03-16T18:36:00"/>
    <s v="Activo"/>
    <d v="2024-03-16T18:36:00"/>
    <d v="2024-03-16T18:36:00"/>
    <x v="178"/>
    <m/>
    <m/>
    <m/>
    <m/>
    <m/>
    <m/>
  </r>
  <r>
    <s v="Persona"/>
    <s v="No"/>
    <s v="19381520-0"/>
    <x v="145"/>
    <s v="Montiel"/>
    <s v="Macarena Montiel"/>
    <s v="Sin Giro"/>
    <s v="montiel.garces@gmail.com"/>
    <m/>
    <m/>
    <m/>
    <m/>
    <m/>
    <s v="No"/>
    <n v="0"/>
    <s v="No"/>
    <s v="No definido"/>
    <s v="Si"/>
    <n v="45"/>
    <d v="2024-03-16T19:23:00"/>
    <s v="Activo"/>
    <d v="2024-03-16T19:23:00"/>
    <d v="2024-03-16T19:23:00"/>
    <x v="168"/>
    <m/>
    <m/>
    <m/>
    <m/>
    <m/>
    <m/>
  </r>
  <r>
    <s v="Persona"/>
    <s v="No"/>
    <s v="6852872-0"/>
    <x v="235"/>
    <s v="Kurasz"/>
    <s v="Arturo Kurasz"/>
    <s v="Sin Giro"/>
    <s v="condi@condi.cl"/>
    <m/>
    <m/>
    <m/>
    <m/>
    <m/>
    <s v="No"/>
    <n v="0"/>
    <s v="No"/>
    <s v="No definido"/>
    <s v="Si"/>
    <n v="575"/>
    <d v="2024-04-09T11:18:00"/>
    <s v="Activo"/>
    <d v="2024-03-18T13:57:00"/>
    <d v="2024-04-09T11:18:00"/>
    <x v="0"/>
    <m/>
    <m/>
    <m/>
    <m/>
    <m/>
    <m/>
  </r>
  <r>
    <s v="Persona"/>
    <s v="No"/>
    <s v="15954865-1"/>
    <x v="328"/>
    <s v="Suazo"/>
    <s v="Diana Suazo"/>
    <s v="Sin Giro"/>
    <s v="c.diana.suazo@gmail.com"/>
    <m/>
    <m/>
    <m/>
    <m/>
    <m/>
    <s v="No"/>
    <n v="0"/>
    <s v="No"/>
    <s v="No definido"/>
    <s v="Si"/>
    <n v="115"/>
    <d v="2024-03-18T14:12:00"/>
    <s v="Activo"/>
    <d v="2024-03-18T14:11:00"/>
    <d v="2024-03-18T14:12:00"/>
    <x v="0"/>
    <m/>
    <m/>
    <m/>
    <m/>
    <m/>
    <m/>
  </r>
  <r>
    <s v="Persona"/>
    <s v="No"/>
    <s v="16665436-K"/>
    <x v="61"/>
    <s v="Aranda Jara "/>
    <s v="Sebastian Aranda Jara "/>
    <s v="Sin Giro"/>
    <s v="sebastianeduardoaj@gmail.com"/>
    <s v="Pasaje Naranjal 538 Paradero 6 Villa Dulce Norte"/>
    <m/>
    <s v="Miraflores"/>
    <m/>
    <m/>
    <s v="No"/>
    <n v="0"/>
    <s v="No"/>
    <s v="No definido"/>
    <s v="Si"/>
    <n v="130"/>
    <d v="2024-03-18T14:17:00"/>
    <s v="Activo"/>
    <d v="2024-03-18T14:17:00"/>
    <d v="2024-03-18T14:17:00"/>
    <x v="179"/>
    <m/>
    <m/>
    <m/>
    <m/>
    <m/>
    <m/>
  </r>
  <r>
    <s v="Persona"/>
    <s v="No"/>
    <s v="13458831-4"/>
    <x v="19"/>
    <s v="Corian"/>
    <s v="Carolina Corian"/>
    <s v="Sin Giro"/>
    <s v="carolinacorian@gmail.com"/>
    <m/>
    <m/>
    <m/>
    <m/>
    <m/>
    <s v="No"/>
    <n v="0"/>
    <s v="No"/>
    <s v="No definido"/>
    <s v="Si"/>
    <n v="130"/>
    <d v="2024-03-18T14:23:00"/>
    <s v="Activo"/>
    <d v="2024-03-18T14:23:00"/>
    <d v="2024-03-18T14:23:00"/>
    <x v="180"/>
    <m/>
    <m/>
    <m/>
    <m/>
    <m/>
    <m/>
  </r>
  <r>
    <s v="Persona"/>
    <s v="No"/>
    <s v="15439414-1"/>
    <x v="329"/>
    <s v="Palma Tello"/>
    <s v="María José Palma Tello"/>
    <s v="Sin Giro"/>
    <s v="josecita1982@live.cl"/>
    <s v="Los Gingos 2326"/>
    <m/>
    <s v="Puente Alto"/>
    <m/>
    <m/>
    <s v="No"/>
    <n v="0"/>
    <s v="No"/>
    <s v="No definido"/>
    <s v="Si"/>
    <n v="230"/>
    <d v="2024-03-18T14:27:00"/>
    <s v="Activo"/>
    <d v="2024-03-18T14:27:00"/>
    <d v="2024-03-18T14:27:00"/>
    <x v="181"/>
    <m/>
    <m/>
    <m/>
    <m/>
    <m/>
    <m/>
  </r>
  <r>
    <s v="Persona"/>
    <s v="No"/>
    <s v="18119985-7"/>
    <x v="54"/>
    <s v="Castillo"/>
    <s v="Rodrigo Castillo"/>
    <s v="Sin Giro"/>
    <s v="rodrigoignacio.castillobarrera@gmail.com"/>
    <m/>
    <m/>
    <m/>
    <m/>
    <m/>
    <s v="No"/>
    <n v="0"/>
    <s v="No"/>
    <s v="No definido"/>
    <s v="Si"/>
    <n v="130"/>
    <d v="2024-03-18T14:59:00"/>
    <s v="Activo"/>
    <d v="2024-03-18T14:59:00"/>
    <d v="2024-03-18T14:59:00"/>
    <x v="182"/>
    <m/>
    <m/>
    <m/>
    <m/>
    <m/>
    <m/>
  </r>
  <r>
    <s v="Persona"/>
    <s v="No"/>
    <s v="8203672-5"/>
    <x v="330"/>
    <s v="Chepino"/>
    <s v="Nancy Chepino"/>
    <s v="Sin Giro"/>
    <s v="nchepino@gmail.com"/>
    <m/>
    <m/>
    <m/>
    <m/>
    <m/>
    <s v="No"/>
    <n v="0"/>
    <s v="No"/>
    <s v="No definido"/>
    <s v="Si"/>
    <n v="115"/>
    <d v="2024-03-18T17:06:00"/>
    <s v="Activo"/>
    <d v="2024-03-18T17:05:00"/>
    <d v="2024-03-18T17:06:00"/>
    <x v="183"/>
    <m/>
    <m/>
    <m/>
    <m/>
    <m/>
    <m/>
  </r>
  <r>
    <s v="Persona"/>
    <s v="No"/>
    <s v="19686043-6"/>
    <x v="236"/>
    <s v="Flores"/>
    <s v="Matias Flores"/>
    <s v="Sin Giro"/>
    <s v="miflores3@uc.cl"/>
    <m/>
    <m/>
    <m/>
    <m/>
    <m/>
    <s v="No"/>
    <n v="0"/>
    <s v="No"/>
    <s v="No definido"/>
    <s v="Si"/>
    <n v="130"/>
    <d v="2024-03-18T18:39:00"/>
    <s v="Activo"/>
    <d v="2024-03-18T18:38:00"/>
    <d v="2024-03-18T18:39:00"/>
    <x v="0"/>
    <m/>
    <m/>
    <m/>
    <m/>
    <m/>
    <m/>
  </r>
  <r>
    <s v="Persona"/>
    <s v="No"/>
    <s v="19759124-2"/>
    <x v="331"/>
    <s v="Cardenas Virot"/>
    <s v="Katyna Belen Cardenas Virot"/>
    <s v="Sin Giro"/>
    <s v="katyna.a@hotmail.com"/>
    <s v="Av. Ricardo Lyon 3530 Depto. 54"/>
    <m/>
    <s v="Ñuñoa"/>
    <m/>
    <m/>
    <s v="No"/>
    <n v="0"/>
    <s v="No"/>
    <s v="No definido"/>
    <s v="Si"/>
    <n v="115"/>
    <d v="2024-03-18T19:27:00"/>
    <s v="Activo"/>
    <d v="2024-03-18T19:26:00"/>
    <d v="2024-03-18T19:27:00"/>
    <x v="184"/>
    <m/>
    <m/>
    <m/>
    <m/>
    <m/>
    <m/>
  </r>
  <r>
    <s v="Persona"/>
    <s v="No"/>
    <s v="21643762-4"/>
    <x v="190"/>
    <s v="Joaquina"/>
    <s v="Valeria Joaquina"/>
    <s v="Sin Giro"/>
    <s v="valeria.joaquina777@gmail.com"/>
    <m/>
    <m/>
    <m/>
    <m/>
    <m/>
    <s v="No"/>
    <n v="0"/>
    <s v="No"/>
    <s v="No definido"/>
    <s v="Si"/>
    <n v="45"/>
    <d v="2024-03-19T20:22:00"/>
    <s v="Activo"/>
    <d v="2024-03-19T20:21:00"/>
    <d v="2024-03-19T20:22:00"/>
    <x v="0"/>
    <m/>
    <m/>
    <m/>
    <m/>
    <m/>
    <m/>
  </r>
  <r>
    <s v="Persona"/>
    <s v="No"/>
    <s v="16623609-6"/>
    <x v="332"/>
    <s v="Infante Rodríguez"/>
    <s v="Nicolas Luciano Infante Rodríguez"/>
    <s v="Sin Giro"/>
    <s v="nicolas.infante@outlook.com"/>
    <s v="Premio Nobel 3185 Depto403 A"/>
    <m/>
    <s v="Ñuñoa"/>
    <m/>
    <m/>
    <s v="No"/>
    <n v="0"/>
    <s v="No"/>
    <s v="No definido"/>
    <s v="Si"/>
    <n v="225"/>
    <d v="2024-03-20T11:45:00"/>
    <s v="Activo"/>
    <d v="2024-03-20T11:45:00"/>
    <d v="2024-03-20T11:45:00"/>
    <x v="0"/>
    <m/>
    <m/>
    <m/>
    <m/>
    <m/>
    <m/>
  </r>
  <r>
    <s v="Persona"/>
    <s v="No"/>
    <s v="17149080-4"/>
    <x v="333"/>
    <s v="Vera Gutierrez"/>
    <s v="Tommy Nelson Vera Gutierrez"/>
    <s v="Sin Giro"/>
    <s v="tvera_@hotmail.com"/>
    <s v="8 De Octubre 5201"/>
    <m/>
    <s v="Quinta Normal"/>
    <m/>
    <m/>
    <s v="No"/>
    <n v="0"/>
    <s v="No"/>
    <s v="No definido"/>
    <s v="Si"/>
    <n v="345"/>
    <d v="2024-03-20T12:54:00"/>
    <s v="Activo"/>
    <d v="2024-03-20T12:52:00"/>
    <d v="2024-03-20T12:54:00"/>
    <x v="185"/>
    <m/>
    <m/>
    <m/>
    <m/>
    <m/>
    <m/>
  </r>
  <r>
    <s v="Persona"/>
    <s v="No"/>
    <s v="9146311-3"/>
    <x v="334"/>
    <s v="Cartes Chamblas"/>
    <s v="Miriam Del Carmen Cartes Chamblas"/>
    <s v="Sin Giro"/>
    <s v="miram161003@gmail.com"/>
    <s v="Cerro Largo 01535 Vi Cerrito Arriba"/>
    <m/>
    <s v="Puente Alto"/>
    <m/>
    <m/>
    <s v="No"/>
    <n v="0"/>
    <s v="No"/>
    <s v="No definido"/>
    <s v="Si"/>
    <n v="135"/>
    <d v="2024-03-20T12:58:00"/>
    <s v="Activo"/>
    <d v="2024-03-20T12:58:00"/>
    <d v="2024-03-20T12:58:00"/>
    <x v="186"/>
    <m/>
    <m/>
    <m/>
    <m/>
    <m/>
    <m/>
  </r>
  <r>
    <s v="Persona"/>
    <s v="No"/>
    <s v="12247982-K"/>
    <x v="335"/>
    <s v="Cortez Villanueva"/>
    <s v="Naly Millaray Cortez Villanueva"/>
    <s v="Sin Giro"/>
    <s v="nalyc35@gmail.com"/>
    <s v="Geronimo De Alderete 3181"/>
    <m/>
    <s v="Bellavista"/>
    <m/>
    <m/>
    <s v="No"/>
    <n v="0"/>
    <s v="No"/>
    <s v="No definido"/>
    <s v="Si"/>
    <n v="115"/>
    <d v="2024-03-20T14:07:00"/>
    <s v="Activo"/>
    <d v="2024-03-20T14:07:00"/>
    <d v="2024-03-20T14:07:00"/>
    <x v="0"/>
    <m/>
    <m/>
    <m/>
    <m/>
    <m/>
    <m/>
  </r>
  <r>
    <s v="Persona"/>
    <s v="No"/>
    <s v="17188533-7"/>
    <x v="336"/>
    <s v="Hahn Lewinsohn"/>
    <s v="Christian Alexander Hahn Lewinsohn"/>
    <s v="Sin Giro"/>
    <s v="chahnlewinsohn@gmail.com"/>
    <s v="El Contrabajo 7312"/>
    <m/>
    <s v="Las Condes"/>
    <m/>
    <m/>
    <s v="No"/>
    <n v="0"/>
    <s v="No"/>
    <s v="No definido"/>
    <s v="Si"/>
    <n v="460"/>
    <d v="2024-03-20T14:12:00"/>
    <s v="Activo"/>
    <d v="2024-03-20T14:11:00"/>
    <d v="2024-03-20T14:12:00"/>
    <x v="187"/>
    <m/>
    <m/>
    <m/>
    <m/>
    <m/>
    <m/>
  </r>
  <r>
    <s v="Persona"/>
    <s v="No"/>
    <s v="26441384-2"/>
    <x v="163"/>
    <s v="Yubrán"/>
    <s v="Alejandro Yubrán"/>
    <s v="Sin Giro"/>
    <s v="alejandro.yubran@gmail.com"/>
    <m/>
    <m/>
    <m/>
    <m/>
    <m/>
    <s v="No"/>
    <n v="0"/>
    <s v="No"/>
    <s v="No definido"/>
    <s v="Si"/>
    <n v="130"/>
    <d v="2024-03-20T14:16:00"/>
    <s v="Activo"/>
    <d v="2024-03-20T14:15:00"/>
    <d v="2024-03-20T14:16:00"/>
    <x v="188"/>
    <m/>
    <m/>
    <m/>
    <m/>
    <m/>
    <m/>
  </r>
  <r>
    <s v="Persona"/>
    <s v="No"/>
    <s v="16534099-K"/>
    <x v="337"/>
    <s v="Griott Dueñas"/>
    <s v="María Angelica Griott Dueñas"/>
    <s v="Sin Giro"/>
    <s v="angelica@griott.com"/>
    <s v="Pj Peumo 1730 El Polo"/>
    <m/>
    <s v="Machali"/>
    <m/>
    <m/>
    <s v="No"/>
    <n v="0"/>
    <s v="No"/>
    <s v="No definido"/>
    <s v="Si"/>
    <n v="245"/>
    <d v="2024-03-22T15:39:00"/>
    <s v="Activo"/>
    <d v="2024-03-20T15:01:00"/>
    <d v="2024-03-22T15:39:00"/>
    <x v="189"/>
    <m/>
    <m/>
    <m/>
    <m/>
    <m/>
    <m/>
  </r>
  <r>
    <s v="Persona"/>
    <s v="No"/>
    <s v="19255082-3"/>
    <x v="266"/>
    <s v="Gajardo"/>
    <s v="Alexis Gajardo"/>
    <s v="Sin Giro"/>
    <s v="alxisgajardo23@gmail.com"/>
    <m/>
    <m/>
    <m/>
    <m/>
    <m/>
    <s v="No"/>
    <n v="0"/>
    <s v="No"/>
    <s v="No definido"/>
    <s v="Si"/>
    <n v="90"/>
    <d v="2024-03-20T15:36:00"/>
    <s v="Activo"/>
    <d v="2024-03-20T15:36:00"/>
    <d v="2024-03-20T15:36:00"/>
    <x v="190"/>
    <m/>
    <m/>
    <m/>
    <m/>
    <m/>
    <m/>
  </r>
  <r>
    <s v="Persona"/>
    <s v="No"/>
    <s v="17639681-4"/>
    <x v="128"/>
    <s v="Soto"/>
    <s v="Fernando Soto"/>
    <s v="Sin Giro"/>
    <s v="fernandosotom.os9@gmail.com"/>
    <m/>
    <m/>
    <m/>
    <m/>
    <m/>
    <s v="No"/>
    <n v="0"/>
    <s v="No"/>
    <s v="No definido"/>
    <s v="Si"/>
    <n v="135"/>
    <d v="2024-04-15T18:21:00"/>
    <s v="Activo"/>
    <d v="2024-03-20T15:39:00"/>
    <d v="2024-04-15T18:21:00"/>
    <x v="191"/>
    <m/>
    <m/>
    <m/>
    <m/>
    <m/>
    <m/>
  </r>
  <r>
    <s v="Persona"/>
    <s v="No"/>
    <s v="19219699-K"/>
    <x v="338"/>
    <s v="Gonzalez Bercigli"/>
    <s v="Fernando Octavio Gonzalez Bercigli"/>
    <s v="Sin Giro"/>
    <s v="gonzalez.bercigli@gmail.com"/>
    <s v="Orlando Varas 1254"/>
    <s v="Antofagasta "/>
    <s v="Antofagasta Sur"/>
    <m/>
    <m/>
    <s v="No"/>
    <n v="0"/>
    <s v="No"/>
    <s v="No definido"/>
    <s v="Si"/>
    <n v="90"/>
    <d v="2024-03-20T15:44:00"/>
    <s v="Activo"/>
    <d v="2024-03-20T15:44:00"/>
    <d v="2024-03-20T15:44:00"/>
    <x v="192"/>
    <m/>
    <m/>
    <m/>
    <m/>
    <m/>
    <m/>
  </r>
  <r>
    <s v="Persona"/>
    <s v="No"/>
    <s v="20975611-0"/>
    <x v="339"/>
    <s v="Ortiz Correa"/>
    <s v="Martin Andres Ortiz Correa"/>
    <s v="Sin Giro"/>
    <s v="m.ortiz.correa02@gmail.com"/>
    <s v="Hernan Cortes 2675 Depto 705"/>
    <m/>
    <m/>
    <m/>
    <m/>
    <s v="No"/>
    <n v="0"/>
    <s v="No"/>
    <s v="No definido"/>
    <s v="Si"/>
    <n v="90"/>
    <d v="2024-03-20T16:22:00"/>
    <s v="Activo"/>
    <d v="2024-03-20T16:21:00"/>
    <d v="2024-03-20T16:22:00"/>
    <x v="0"/>
    <m/>
    <m/>
    <m/>
    <m/>
    <m/>
    <m/>
  </r>
  <r>
    <s v="Persona"/>
    <s v="No"/>
    <s v="26216493-4"/>
    <x v="340"/>
    <s v=" VIVAS ARRIETA"/>
    <s v="WILLIAM EDUARDO   VIVAS ARRIETA"/>
    <s v="Sin Giro"/>
    <s v="williamvivas.udla@gmail.com"/>
    <m/>
    <m/>
    <m/>
    <m/>
    <m/>
    <s v="No"/>
    <n v="0"/>
    <s v="No"/>
    <s v="No definido"/>
    <s v="Si"/>
    <n v="90"/>
    <d v="2024-03-20T18:06:00"/>
    <s v="Activo"/>
    <d v="2024-03-20T18:04:00"/>
    <d v="2024-03-20T18:06:00"/>
    <x v="26"/>
    <m/>
    <m/>
    <m/>
    <m/>
    <m/>
    <m/>
  </r>
  <r>
    <s v="Persona"/>
    <s v="No"/>
    <s v="12496141-6"/>
    <x v="74"/>
    <s v="Sanhueza"/>
    <s v="Claudia Sanhueza"/>
    <s v="Sin Giro"/>
    <s v="claudisanhueza@gmail.com"/>
    <m/>
    <m/>
    <m/>
    <m/>
    <m/>
    <s v="No"/>
    <n v="0"/>
    <s v="No"/>
    <s v="No definido"/>
    <s v="Si"/>
    <n v="180"/>
    <d v="2024-03-20T20:07:00"/>
    <s v="Activo"/>
    <d v="2024-03-20T20:04:00"/>
    <d v="2024-03-20T20:07:00"/>
    <x v="0"/>
    <m/>
    <m/>
    <m/>
    <m/>
    <m/>
    <m/>
  </r>
  <r>
    <s v="Persona"/>
    <s v="No"/>
    <s v="17375323-3"/>
    <x v="341"/>
    <s v="Ipinza Ortega"/>
    <s v="Iñaki Nicolas Ipinza Ortega"/>
    <s v="Sin Giro"/>
    <s v="inaipinzaortega13@gmail.com"/>
    <s v="Dufloff 2083 Sector Regional"/>
    <m/>
    <s v="Valdivia"/>
    <m/>
    <m/>
    <s v="No"/>
    <n v="0"/>
    <s v="No"/>
    <s v="No definido"/>
    <s v="Si"/>
    <n v="230"/>
    <d v="2024-03-21T15:00:00"/>
    <s v="Activo"/>
    <d v="2024-03-21T15:00:00"/>
    <d v="2024-03-21T15:00:00"/>
    <x v="0"/>
    <m/>
    <m/>
    <m/>
    <m/>
    <m/>
    <m/>
  </r>
  <r>
    <s v="Persona"/>
    <s v="No"/>
    <s v="13671484-8"/>
    <x v="342"/>
    <s v="Reyes Martinez"/>
    <s v="Carolina Andrea Reyes Martinez"/>
    <s v="Sin Giro"/>
    <s v="caroandreamart@gmail.com"/>
    <s v="Av Vicuña Mackenna 1751 Depto. 1204-b"/>
    <m/>
    <s v="Santiago"/>
    <m/>
    <m/>
    <s v="No"/>
    <n v="0"/>
    <s v="No"/>
    <s v="No definido"/>
    <s v="Si"/>
    <n v="225"/>
    <d v="2024-03-21T15:04:00"/>
    <s v="Activo"/>
    <d v="2024-03-21T15:04:00"/>
    <d v="2024-03-21T15:04:00"/>
    <x v="193"/>
    <m/>
    <m/>
    <m/>
    <m/>
    <m/>
    <m/>
  </r>
  <r>
    <s v="Persona"/>
    <s v="No"/>
    <s v="19978070-0"/>
    <x v="343"/>
    <s v="Pino Zarate"/>
    <s v="Paula Andrea Pino Zarate"/>
    <s v="Sin Giro"/>
    <s v="pautiny.1997@gmail.com"/>
    <s v="Rene Schneider 1669 Recreo Bajo"/>
    <m/>
    <s v="Agua Santa"/>
    <m/>
    <m/>
    <s v="No"/>
    <n v="0"/>
    <s v="No"/>
    <s v="No definido"/>
    <s v="Si"/>
    <n v="130"/>
    <d v="2024-03-21T15:07:00"/>
    <s v="Activo"/>
    <d v="2024-03-21T15:07:00"/>
    <d v="2024-03-21T15:07:00"/>
    <x v="0"/>
    <m/>
    <m/>
    <m/>
    <m/>
    <m/>
    <m/>
  </r>
  <r>
    <s v="Persona"/>
    <s v="No"/>
    <s v="16914658-6"/>
    <x v="344"/>
    <s v="Reyes Veliz"/>
    <s v="Patricio Alejandro Reyes Veliz"/>
    <s v="Sin Giro"/>
    <s v="preyesveliz@gmail.com"/>
    <s v="Trinidad Ramirez 0130"/>
    <m/>
    <s v="La Cisterna"/>
    <m/>
    <m/>
    <s v="No"/>
    <n v="0"/>
    <s v="No"/>
    <s v="No definido"/>
    <s v="Si"/>
    <n v="115"/>
    <d v="2024-03-21T16:00:00"/>
    <s v="Activo"/>
    <d v="2024-03-21T16:00:00"/>
    <d v="2024-03-21T16:00:00"/>
    <x v="194"/>
    <m/>
    <m/>
    <m/>
    <m/>
    <m/>
    <m/>
  </r>
  <r>
    <s v="Persona"/>
    <s v="No"/>
    <s v="15325602-0"/>
    <x v="345"/>
    <s v="Azocar Pinna "/>
    <s v="Andres Xavier Azocar Pinna "/>
    <s v="Sin Giro"/>
    <s v="azocar.md@gmail.com"/>
    <s v="Eduardo Donoso 632"/>
    <m/>
    <m/>
    <m/>
    <m/>
    <s v="No"/>
    <n v="0"/>
    <s v="No"/>
    <s v="No definido"/>
    <s v="Si"/>
    <n v="110"/>
    <d v="2024-03-21T18:50:00"/>
    <s v="Activo"/>
    <d v="2024-03-21T18:50:00"/>
    <d v="2024-03-21T18:50:00"/>
    <x v="0"/>
    <m/>
    <m/>
    <m/>
    <m/>
    <m/>
    <m/>
  </r>
  <r>
    <s v="Persona"/>
    <s v="No"/>
    <s v="11742427-8"/>
    <x v="226"/>
    <s v="Salinas"/>
    <s v="Elisa Salinas"/>
    <s v="Sin Giro"/>
    <s v="salinasroccoelisa@gmail.com"/>
    <m/>
    <m/>
    <m/>
    <m/>
    <m/>
    <s v="No"/>
    <n v="0"/>
    <s v="No"/>
    <s v="No definido"/>
    <s v="Si"/>
    <n v="45"/>
    <d v="2024-03-21T18:57:00"/>
    <s v="Activo"/>
    <d v="2024-03-21T18:57:00"/>
    <d v="2024-03-21T18:57:00"/>
    <x v="195"/>
    <m/>
    <m/>
    <m/>
    <m/>
    <m/>
    <m/>
  </r>
  <r>
    <s v="Persona"/>
    <s v="No"/>
    <s v="17507163-6"/>
    <x v="346"/>
    <s v="Correa Araneda"/>
    <s v="Diego Emanuel Correa Araneda"/>
    <s v="Sin Giro"/>
    <s v="diegocorreaaraneda@gmail.com"/>
    <m/>
    <m/>
    <m/>
    <m/>
    <m/>
    <s v="No"/>
    <n v="0"/>
    <s v="No"/>
    <s v="No definido"/>
    <s v="Si"/>
    <n v="115"/>
    <d v="2024-03-21T19:00:00"/>
    <s v="Activo"/>
    <d v="2024-03-21T19:00:00"/>
    <d v="2024-03-21T19:00:00"/>
    <x v="0"/>
    <m/>
    <m/>
    <m/>
    <m/>
    <m/>
    <m/>
  </r>
  <r>
    <s v="Persona"/>
    <s v="No"/>
    <s v="10724529-4"/>
    <x v="311"/>
    <s v="Castet Monsalves"/>
    <s v="Mauricio Castet Monsalves"/>
    <s v="Sin Giro"/>
    <s v="mcastet@gmail.com"/>
    <m/>
    <m/>
    <m/>
    <m/>
    <m/>
    <s v="No"/>
    <n v="0"/>
    <s v="No"/>
    <s v="No definido"/>
    <s v="Si"/>
    <n v="230"/>
    <d v="2024-03-21T19:54:00"/>
    <s v="Activo"/>
    <d v="2024-03-21T19:54:00"/>
    <d v="2024-03-21T19:54:00"/>
    <x v="196"/>
    <m/>
    <m/>
    <m/>
    <m/>
    <m/>
    <m/>
  </r>
  <r>
    <s v="Persona"/>
    <s v="No"/>
    <s v="9002406-K"/>
    <x v="347"/>
    <s v="Alfaro"/>
    <s v="Leonor Alfaro"/>
    <s v="Sin Giro"/>
    <s v="leonoralfarogallardo@gmail.com"/>
    <m/>
    <m/>
    <m/>
    <m/>
    <m/>
    <s v="No"/>
    <n v="0"/>
    <s v="No"/>
    <s v="No definido"/>
    <s v="Si"/>
    <n v="115"/>
    <d v="2024-03-21T20:00:00"/>
    <s v="Activo"/>
    <d v="2024-03-21T19:59:00"/>
    <d v="2024-03-21T20:00:00"/>
    <x v="197"/>
    <m/>
    <m/>
    <m/>
    <m/>
    <m/>
    <m/>
  </r>
  <r>
    <s v="Persona"/>
    <s v="No"/>
    <s v="18927465-3"/>
    <x v="111"/>
    <s v="Cantarero"/>
    <s v="Francisco Cantarero"/>
    <s v="Sin Giro"/>
    <s v="francisco.cantarero7@hotmail.com"/>
    <m/>
    <m/>
    <m/>
    <m/>
    <m/>
    <s v="No"/>
    <n v="0"/>
    <s v="No"/>
    <s v="No definido"/>
    <s v="Si"/>
    <n v="90"/>
    <d v="2024-03-21T21:36:00"/>
    <s v="Activo"/>
    <d v="2024-03-21T21:36:00"/>
    <d v="2024-03-21T21:36:00"/>
    <x v="198"/>
    <m/>
    <m/>
    <m/>
    <m/>
    <m/>
    <m/>
  </r>
  <r>
    <s v="Persona"/>
    <s v="Si"/>
    <s v="1 612 275 6163"/>
    <x v="348"/>
    <s v="Graffunder"/>
    <s v="David Graffunder Graffunder"/>
    <s v="Sin Giro"/>
    <s v="david.graffunder@gmail.com"/>
    <m/>
    <m/>
    <m/>
    <s v="01 612 275 6163"/>
    <m/>
    <s v="No"/>
    <n v="0"/>
    <s v="No"/>
    <s v="No definido"/>
    <s v="Si"/>
    <n v="390"/>
    <d v="2024-04-05T17:57:00"/>
    <s v="Activo"/>
    <d v="2024-03-22T13:53:00"/>
    <d v="2024-04-05T18:04:00"/>
    <x v="199"/>
    <m/>
    <m/>
    <m/>
    <m/>
    <m/>
    <m/>
  </r>
  <r>
    <s v="Persona"/>
    <s v="No"/>
    <s v="15442666-3"/>
    <x v="54"/>
    <s v="Bravo"/>
    <s v="Rodrigo Bravo"/>
    <s v="Sin Giro"/>
    <s v="rodrigobravobustos@gmail.com"/>
    <m/>
    <m/>
    <m/>
    <m/>
    <m/>
    <s v="No"/>
    <n v="0"/>
    <s v="No"/>
    <s v="No definido"/>
    <s v="Si"/>
    <n v="230"/>
    <d v="2024-03-22T13:59:00"/>
    <s v="Activo"/>
    <d v="2024-03-22T13:58:00"/>
    <d v="2024-03-22T13:59:00"/>
    <x v="200"/>
    <m/>
    <m/>
    <m/>
    <m/>
    <m/>
    <m/>
  </r>
  <r>
    <s v="Persona"/>
    <s v="No"/>
    <s v="15445635-K"/>
    <x v="349"/>
    <s v="Alvear"/>
    <s v="Karen Alvear"/>
    <s v="Sin Giro"/>
    <s v="karen.alvear.ccaf@gmail.com"/>
    <m/>
    <m/>
    <m/>
    <m/>
    <m/>
    <s v="No"/>
    <n v="0"/>
    <s v="No"/>
    <s v="No definido"/>
    <s v="Si"/>
    <n v="115"/>
    <d v="2024-03-22T15:37:00"/>
    <s v="Activo"/>
    <d v="2024-03-22T15:36:00"/>
    <d v="2024-03-22T15:37:00"/>
    <x v="201"/>
    <m/>
    <m/>
    <m/>
    <m/>
    <m/>
    <m/>
  </r>
  <r>
    <s v="Persona"/>
    <s v="No"/>
    <s v="20680358-4"/>
    <x v="350"/>
    <s v="Peña Moya"/>
    <s v="Valentina Mariana Peña Moya"/>
    <s v="Sin Giro"/>
    <s v="vpenam@udd.cl"/>
    <s v="Antupiren 7849"/>
    <m/>
    <m/>
    <m/>
    <m/>
    <s v="No"/>
    <n v="0"/>
    <s v="No"/>
    <s v="No definido"/>
    <s v="Si"/>
    <n v="375"/>
    <d v="2024-04-17T15:57:00"/>
    <s v="Activo"/>
    <d v="2024-03-22T15:43:00"/>
    <d v="2024-04-17T15:57:00"/>
    <x v="0"/>
    <m/>
    <m/>
    <m/>
    <m/>
    <m/>
    <m/>
  </r>
  <r>
    <s v="Persona"/>
    <s v="No"/>
    <s v="13692124-K"/>
    <x v="351"/>
    <s v="Salazar Barra"/>
    <s v="Clara Maria Salazar Barra"/>
    <s v="Sin Giro"/>
    <s v="csalazar1@gmail.com"/>
    <s v="Duble Almeyda 2924 402"/>
    <m/>
    <m/>
    <m/>
    <m/>
    <s v="No"/>
    <n v="0"/>
    <s v="No"/>
    <s v="No definido"/>
    <s v="Si"/>
    <n v="180"/>
    <d v="2024-03-25T15:09:00"/>
    <s v="Activo"/>
    <d v="2024-03-22T15:57:00"/>
    <d v="2024-03-25T15:09:00"/>
    <x v="0"/>
    <m/>
    <m/>
    <m/>
    <m/>
    <m/>
    <m/>
  </r>
  <r>
    <s v="Persona"/>
    <s v="No"/>
    <s v="19291461-2"/>
    <x v="352"/>
    <s v="Albornoz Macklins"/>
    <s v="Camila Francisca Albornoz Macklins"/>
    <s v="Sin Giro"/>
    <s v="cami.macklins@gmail.com"/>
    <m/>
    <m/>
    <m/>
    <m/>
    <m/>
    <s v="No"/>
    <n v="0"/>
    <s v="No"/>
    <s v="No definido"/>
    <s v="Si"/>
    <n v="115"/>
    <d v="2024-03-22T17:44:00"/>
    <s v="Activo"/>
    <d v="2024-03-22T17:43:00"/>
    <d v="2024-03-22T17:44:00"/>
    <x v="83"/>
    <m/>
    <m/>
    <m/>
    <m/>
    <m/>
    <m/>
  </r>
  <r>
    <s v="Persona"/>
    <s v="No"/>
    <s v="19418001-2"/>
    <x v="353"/>
    <s v="Salgado Saavedra"/>
    <s v="Javiera Constanza Salgado Saavedra"/>
    <s v="Sin Giro"/>
    <s v="javasalgados@gmail.com"/>
    <m/>
    <m/>
    <m/>
    <m/>
    <m/>
    <s v="No"/>
    <n v="0"/>
    <s v="No"/>
    <s v="No definido"/>
    <s v="Si"/>
    <n v="230"/>
    <d v="2024-03-22T18:20:00"/>
    <s v="Activo"/>
    <d v="2024-03-22T18:19:00"/>
    <d v="2024-03-22T18:20:00"/>
    <x v="202"/>
    <m/>
    <m/>
    <m/>
    <m/>
    <m/>
    <m/>
  </r>
  <r>
    <s v="Persona"/>
    <s v="No"/>
    <s v="18622753-0"/>
    <x v="354"/>
    <s v="Otello Reyes"/>
    <s v="Martin Tomas Otello Reyes"/>
    <s v="Sin Giro"/>
    <s v="martinotellor@gmail.com"/>
    <m/>
    <m/>
    <m/>
    <m/>
    <m/>
    <s v="No"/>
    <n v="0"/>
    <s v="No"/>
    <s v="No definido"/>
    <s v="Si"/>
    <n v="175"/>
    <d v="2024-03-22T18:23:00"/>
    <s v="Activo"/>
    <d v="2024-03-22T18:23:00"/>
    <d v="2024-03-22T18:23:00"/>
    <x v="203"/>
    <m/>
    <m/>
    <m/>
    <m/>
    <m/>
    <m/>
  </r>
  <r>
    <s v="Persona"/>
    <s v="No"/>
    <s v="24441424-9"/>
    <x v="19"/>
    <s v="Stania"/>
    <s v="Carolina Stania"/>
    <s v="Sin Giro"/>
    <s v="carolinastania11@outlook.com"/>
    <m/>
    <m/>
    <m/>
    <m/>
    <m/>
    <s v="No"/>
    <n v="0"/>
    <s v="No"/>
    <s v="No definido"/>
    <s v="Si"/>
    <n v="0"/>
    <d v="2024-04-17T20:44:00"/>
    <s v="Activo"/>
    <d v="2024-03-22T18:44:00"/>
    <d v="2024-03-22T18:44:00"/>
    <x v="204"/>
    <m/>
    <m/>
    <m/>
    <m/>
    <m/>
    <m/>
  </r>
  <r>
    <s v="Persona"/>
    <s v="No"/>
    <s v="20296622-5"/>
    <x v="355"/>
    <s v="Valdés Muñoz"/>
    <s v="Sebastián Patricio Valdés Muñoz"/>
    <s v="Sin Giro"/>
    <s v="sebastian.valdesm@usm.cl"/>
    <s v="Exequiel Fernandez 444 Depto, 81"/>
    <m/>
    <m/>
    <m/>
    <m/>
    <s v="No"/>
    <n v="0"/>
    <s v="No"/>
    <s v="No definido"/>
    <s v="Si"/>
    <n v="175"/>
    <d v="2024-03-22T19:21:00"/>
    <s v="Activo"/>
    <d v="2024-03-22T19:21:00"/>
    <d v="2024-03-22T19:21:00"/>
    <x v="0"/>
    <m/>
    <m/>
    <m/>
    <m/>
    <m/>
    <m/>
  </r>
  <r>
    <s v="Persona"/>
    <s v="No"/>
    <s v="16172463-7"/>
    <x v="356"/>
    <s v="Vargas Torres"/>
    <s v="Jean Luis Alexander Vargas Torres"/>
    <s v="Sin Giro"/>
    <s v="jvargat@gmail.com"/>
    <m/>
    <m/>
    <m/>
    <m/>
    <m/>
    <s v="No"/>
    <n v="0"/>
    <s v="No"/>
    <s v="No definido"/>
    <s v="Si"/>
    <n v="110"/>
    <d v="2024-03-22T19:47:00"/>
    <s v="Activo"/>
    <d v="2024-03-22T19:47:00"/>
    <d v="2024-03-22T19:47:00"/>
    <x v="205"/>
    <m/>
    <m/>
    <m/>
    <m/>
    <m/>
    <m/>
  </r>
  <r>
    <s v="Persona"/>
    <s v="No"/>
    <s v="19183014-8"/>
    <x v="121"/>
    <s v="Marin"/>
    <s v="Paula Marin"/>
    <s v="Sin Giro"/>
    <s v="paulaa.marinl@gmail.com"/>
    <m/>
    <m/>
    <m/>
    <m/>
    <m/>
    <s v="No"/>
    <n v="0"/>
    <s v="No"/>
    <s v="No definido"/>
    <s v="Si"/>
    <n v="45"/>
    <d v="2024-03-22T20:23:00"/>
    <s v="Activo"/>
    <d v="2024-03-22T20:22:00"/>
    <d v="2024-03-22T20:23:00"/>
    <x v="206"/>
    <m/>
    <m/>
    <m/>
    <m/>
    <m/>
    <m/>
  </r>
  <r>
    <s v="Persona"/>
    <s v="No"/>
    <s v="16056949-2"/>
    <x v="93"/>
    <s v="Pacheco"/>
    <s v="Juan Pacheco"/>
    <s v="Sin Giro"/>
    <s v="juanpachecosilva@gmail.com"/>
    <m/>
    <m/>
    <m/>
    <m/>
    <m/>
    <s v="No"/>
    <n v="0"/>
    <s v="No"/>
    <s v="No definido"/>
    <s v="Si"/>
    <n v="115"/>
    <d v="2024-03-23T12:51:00"/>
    <s v="Activo"/>
    <d v="2024-03-23T12:51:00"/>
    <d v="2024-03-23T12:51:00"/>
    <x v="0"/>
    <m/>
    <m/>
    <m/>
    <m/>
    <m/>
    <m/>
  </r>
  <r>
    <s v="Persona"/>
    <s v="No"/>
    <s v="13687083-1"/>
    <x v="254"/>
    <s v="Macklins"/>
    <s v="Priscilla Macklins"/>
    <s v="Sin Giro"/>
    <s v="pmacklins@hotmail.com"/>
    <m/>
    <m/>
    <m/>
    <m/>
    <m/>
    <s v="No"/>
    <n v="0"/>
    <s v="No"/>
    <s v="No definido"/>
    <s v="Si"/>
    <n v="260"/>
    <d v="2024-03-23T14:31:00"/>
    <s v="Activo"/>
    <d v="2024-03-23T14:31:00"/>
    <d v="2024-03-23T14:31:00"/>
    <x v="0"/>
    <m/>
    <m/>
    <m/>
    <m/>
    <m/>
    <m/>
  </r>
  <r>
    <s v="Persona"/>
    <s v="No"/>
    <s v="17961980-6"/>
    <x v="111"/>
    <s v="Piñeiro"/>
    <s v="Francisco Piñeiro"/>
    <s v="Sin Giro"/>
    <s v="pineiro_92@hotmail.com"/>
    <m/>
    <m/>
    <m/>
    <m/>
    <m/>
    <s v="No"/>
    <n v="0"/>
    <s v="No"/>
    <s v="No definido"/>
    <s v="Si"/>
    <n v="130"/>
    <d v="2024-03-23T19:25:00"/>
    <s v="Activo"/>
    <d v="2024-03-23T19:24:00"/>
    <d v="2024-03-23T19:25:00"/>
    <x v="26"/>
    <m/>
    <m/>
    <m/>
    <m/>
    <m/>
    <m/>
  </r>
  <r>
    <s v="Persona"/>
    <s v="No"/>
    <s v="17600056-2"/>
    <x v="70"/>
    <s v="Lago"/>
    <s v="Martin Lago"/>
    <s v="Sin Giro"/>
    <s v="lago1101@gmail.com"/>
    <m/>
    <m/>
    <m/>
    <m/>
    <m/>
    <s v="No"/>
    <n v="0"/>
    <s v="No"/>
    <s v="No definido"/>
    <s v="Si"/>
    <n v="130"/>
    <d v="2024-03-23T19:31:00"/>
    <s v="Activo"/>
    <d v="2024-03-23T19:30:00"/>
    <d v="2024-03-23T19:31:00"/>
    <x v="207"/>
    <m/>
    <m/>
    <m/>
    <m/>
    <m/>
    <m/>
  </r>
  <r>
    <s v="Persona"/>
    <s v="No"/>
    <s v="16778534-4"/>
    <x v="249"/>
    <s v="González"/>
    <s v="Luis González"/>
    <s v="Sin Giro"/>
    <s v="lgonzal.lied@gmail.com"/>
    <s v="Psje Morro De Arica 1626"/>
    <s v="Santiago"/>
    <s v="Renca"/>
    <m/>
    <m/>
    <s v="No"/>
    <n v="0"/>
    <s v="No"/>
    <s v="No definido"/>
    <s v="Si"/>
    <n v="110"/>
    <d v="2024-03-25T17:17:00"/>
    <s v="Activo"/>
    <d v="2024-03-25T17:16:00"/>
    <d v="2024-03-25T17:17:00"/>
    <x v="208"/>
    <m/>
    <m/>
    <m/>
    <m/>
    <m/>
    <m/>
  </r>
  <r>
    <s v="Persona"/>
    <s v="No"/>
    <s v="13926597-1"/>
    <x v="357"/>
    <s v="Vega"/>
    <s v="Miguel Angel Vega"/>
    <s v="Sin Giro"/>
    <s v="miguelangel@pbusiness.cl"/>
    <s v="Colon 5444 Dpto 308"/>
    <s v="Santiago"/>
    <s v="El Golf"/>
    <m/>
    <m/>
    <s v="No"/>
    <n v="0"/>
    <s v="No"/>
    <s v="No definido"/>
    <s v="Si"/>
    <n v="220"/>
    <d v="2024-03-25T18:14:00"/>
    <s v="Activo"/>
    <d v="2024-03-25T18:13:00"/>
    <d v="2024-03-25T18:14:00"/>
    <x v="209"/>
    <m/>
    <m/>
    <m/>
    <m/>
    <m/>
    <m/>
  </r>
  <r>
    <s v="Persona"/>
    <s v="No"/>
    <s v="16009979-8"/>
    <x v="42"/>
    <s v="Lamas"/>
    <s v="Andres Lamas"/>
    <s v="Sin Giro"/>
    <s v="a.lamas.g@gmail.com"/>
    <s v="Villaseca 2344"/>
    <s v="Santiago"/>
    <s v="Providencia"/>
    <m/>
    <m/>
    <s v="No"/>
    <n v="0"/>
    <s v="No"/>
    <s v="No definido"/>
    <s v="Si"/>
    <n v="90"/>
    <d v="2024-03-25T21:00:00"/>
    <s v="Activo"/>
    <d v="2024-03-25T20:59:00"/>
    <d v="2024-03-25T21:00:00"/>
    <x v="0"/>
    <m/>
    <m/>
    <m/>
    <m/>
    <m/>
    <m/>
  </r>
  <r>
    <s v="Persona"/>
    <s v="No"/>
    <s v="13680845-1"/>
    <x v="358"/>
    <s v="Ramirez Caceres"/>
    <s v="Elizabeth Andrea Ramirez Caceres"/>
    <s v="Sin Giro"/>
    <s v="ely_ramca@hotmail.com"/>
    <m/>
    <m/>
    <m/>
    <m/>
    <m/>
    <s v="No"/>
    <n v="0"/>
    <s v="No"/>
    <s v="No definido"/>
    <s v="Si"/>
    <n v="115"/>
    <d v="2024-03-26T13:08:00"/>
    <s v="Activo"/>
    <d v="2024-03-26T13:08:00"/>
    <d v="2024-03-26T13:08:00"/>
    <x v="201"/>
    <m/>
    <m/>
    <m/>
    <m/>
    <m/>
    <m/>
  </r>
  <r>
    <s v="Persona"/>
    <s v="No"/>
    <s v="16355134-9"/>
    <x v="359"/>
    <s v="Meneses González"/>
    <s v="Nicolas Esteban Meneses González"/>
    <s v="Sin Giro"/>
    <s v="nico.menesesg@gmail.com"/>
    <m/>
    <m/>
    <m/>
    <m/>
    <m/>
    <s v="No"/>
    <n v="0"/>
    <s v="No"/>
    <s v="No definido"/>
    <s v="Si"/>
    <n v="45"/>
    <d v="2024-03-26T13:37:00"/>
    <s v="Activo"/>
    <d v="2024-03-26T13:37:00"/>
    <d v="2024-03-26T13:37:00"/>
    <x v="210"/>
    <m/>
    <m/>
    <m/>
    <m/>
    <m/>
    <m/>
  </r>
  <r>
    <s v="Persona"/>
    <s v="No"/>
    <s v="15967200-K"/>
    <x v="360"/>
    <s v="Aramburú Jara"/>
    <s v="Sebastián Andrés Aramburú Jara"/>
    <s v="Sin Giro"/>
    <s v="sebastian.aramburu@gmail.com"/>
    <m/>
    <m/>
    <m/>
    <m/>
    <m/>
    <s v="No"/>
    <n v="0"/>
    <s v="No"/>
    <s v="No definido"/>
    <s v="Si"/>
    <n v="130"/>
    <d v="2024-03-26T16:04:00"/>
    <s v="Activo"/>
    <d v="2024-03-26T16:04:00"/>
    <d v="2024-03-26T16:04:00"/>
    <x v="211"/>
    <m/>
    <m/>
    <m/>
    <m/>
    <m/>
    <m/>
  </r>
  <r>
    <s v="Persona"/>
    <s v="No"/>
    <s v="9972477-3"/>
    <x v="361"/>
    <s v="Vergara"/>
    <s v="America Vergara"/>
    <s v="Sin Giro"/>
    <s v="america.vergara.o@gmail.com"/>
    <s v="Detective Vicente Bourguett Chaverini 156 Cumbres De Buin"/>
    <s v="Santiago"/>
    <s v="Buin"/>
    <m/>
    <m/>
    <s v="No"/>
    <n v="0"/>
    <s v="No"/>
    <s v="No definido"/>
    <s v="Si"/>
    <n v="230"/>
    <d v="2024-03-26T17:03:00"/>
    <s v="Activo"/>
    <d v="2024-03-26T17:00:00"/>
    <d v="2024-03-26T17:03:00"/>
    <x v="212"/>
    <m/>
    <m/>
    <m/>
    <m/>
    <m/>
    <m/>
  </r>
  <r>
    <s v="Persona"/>
    <s v="Si"/>
    <s v="9917972739"/>
    <x v="311"/>
    <s v="Mendoza"/>
    <s v="Mauricio Mendoza"/>
    <s v="Sin Giro"/>
    <s v="mauriciom8agencia@gmail.com"/>
    <m/>
    <m/>
    <m/>
    <m/>
    <m/>
    <s v="No"/>
    <n v="0"/>
    <s v="No"/>
    <s v="No definido"/>
    <s v="Si"/>
    <n v="130"/>
    <d v="2024-03-26T17:30:00"/>
    <s v="Activo"/>
    <d v="2024-03-26T17:28:00"/>
    <d v="2024-03-26T17:30:00"/>
    <x v="0"/>
    <m/>
    <m/>
    <m/>
    <m/>
    <m/>
    <m/>
  </r>
  <r>
    <s v="Persona"/>
    <s v="No"/>
    <s v="19985726-6"/>
    <x v="362"/>
    <s v="Garrido"/>
    <s v="Yarae Garrido"/>
    <s v="Sin Giro"/>
    <s v="yaraegarrido@gmail.com"/>
    <s v="Jose Miguel Carrera 2084-a 32 Poblacion Vicuña Mackena"/>
    <s v="Santiago"/>
    <s v="Macul"/>
    <m/>
    <m/>
    <s v="No"/>
    <n v="0"/>
    <s v="No"/>
    <s v="No definido"/>
    <s v="Si"/>
    <n v="115"/>
    <d v="2024-03-26T17:43:00"/>
    <s v="Activo"/>
    <d v="2024-03-26T17:42:00"/>
    <d v="2024-03-26T17:43:00"/>
    <x v="0"/>
    <m/>
    <m/>
    <m/>
    <m/>
    <m/>
    <m/>
  </r>
  <r>
    <s v="Persona"/>
    <s v="No"/>
    <s v="16654815-2"/>
    <x v="363"/>
    <s v="Nazal"/>
    <s v="Yamile Nazal"/>
    <s v="Sin Giro"/>
    <s v="yamilenazal@gmail.com"/>
    <s v="Urbano Vergara 226"/>
    <s v="Santiago"/>
    <s v="Providencia"/>
    <n v="992525125"/>
    <m/>
    <s v="No"/>
    <n v="0"/>
    <s v="No"/>
    <s v="No definido"/>
    <s v="Si"/>
    <n v="230"/>
    <d v="2024-03-27T18:15:00"/>
    <s v="Activo"/>
    <d v="2024-03-26T17:45:00"/>
    <d v="2024-03-27T18:15:00"/>
    <x v="213"/>
    <m/>
    <m/>
    <m/>
    <m/>
    <m/>
    <m/>
  </r>
  <r>
    <s v="Persona"/>
    <s v="No"/>
    <s v="12458054-4"/>
    <x v="97"/>
    <s v="Romero"/>
    <s v="Javier Romero"/>
    <s v="Sin Giro"/>
    <s v="jromero3@gmail.com"/>
    <s v="Avenida Macul 3198"/>
    <s v="Santiago"/>
    <s v="Jose Pedro Alessandri"/>
    <m/>
    <m/>
    <s v="No"/>
    <n v="0"/>
    <s v="No"/>
    <s v="No definido"/>
    <s v="Si"/>
    <n v="245"/>
    <d v="2024-03-26T19:05:00"/>
    <s v="Activo"/>
    <d v="2024-03-26T19:03:00"/>
    <d v="2024-03-26T19:05:00"/>
    <x v="214"/>
    <m/>
    <m/>
    <m/>
    <m/>
    <m/>
    <m/>
  </r>
  <r>
    <s v="Persona"/>
    <s v="No"/>
    <s v="10450655-0"/>
    <x v="364"/>
    <s v="Galaz"/>
    <s v="Sonia Galaz"/>
    <s v="Sin Giro"/>
    <s v="salaz66@gmail.com"/>
    <s v="Avenida Macul 3198 Departamento 401"/>
    <s v="Santiago"/>
    <s v="Jose Pedro Alessandri"/>
    <m/>
    <m/>
    <s v="No"/>
    <n v="0"/>
    <s v="No"/>
    <s v="No definido"/>
    <s v="Si"/>
    <n v="0"/>
    <d v="2024-04-17T20:44:00"/>
    <s v="Activo"/>
    <d v="2024-03-26T19:07:00"/>
    <d v="2024-03-26T19:07:00"/>
    <x v="215"/>
    <m/>
    <m/>
    <m/>
    <m/>
    <m/>
    <m/>
  </r>
  <r>
    <s v="Persona"/>
    <s v="No"/>
    <s v="28173902-6"/>
    <x v="163"/>
    <s v="Panteleon"/>
    <s v="Alejandro Panteleon"/>
    <s v="Sin Giro"/>
    <s v="acronos2008@gmail.com"/>
    <m/>
    <m/>
    <m/>
    <m/>
    <m/>
    <s v="No"/>
    <n v="0"/>
    <s v="No"/>
    <s v="No definido"/>
    <s v="Si"/>
    <n v="225"/>
    <d v="2024-03-26T20:03:00"/>
    <s v="Activo"/>
    <d v="2024-03-26T20:02:00"/>
    <d v="2024-03-26T20:03:00"/>
    <x v="216"/>
    <m/>
    <m/>
    <m/>
    <m/>
    <m/>
    <m/>
  </r>
  <r>
    <s v="Persona"/>
    <s v="Si"/>
    <s v="55555555-5"/>
    <x v="34"/>
    <s v="M"/>
    <s v="Ariel M"/>
    <s v="Sin Giro"/>
    <s v="ariel.malla@hotmail.com"/>
    <m/>
    <m/>
    <m/>
    <m/>
    <m/>
    <s v="No"/>
    <n v="0"/>
    <s v="No"/>
    <s v="No definido"/>
    <s v="Si"/>
    <n v="45"/>
    <d v="2024-03-26T20:08:00"/>
    <s v="Activo"/>
    <d v="2024-03-26T20:08:00"/>
    <d v="2024-03-26T20:08:00"/>
    <x v="217"/>
    <m/>
    <m/>
    <m/>
    <m/>
    <m/>
    <m/>
  </r>
  <r>
    <s v="Persona"/>
    <s v="No"/>
    <s v="18899637-K"/>
    <x v="87"/>
    <s v="Acuña"/>
    <s v="Nicole Acuña"/>
    <s v="Sin Giro"/>
    <s v="nicoleacunac@gmail.com"/>
    <s v="Ramirez 1559 Ed Señorial Depto 82"/>
    <s v="Iquique"/>
    <m/>
    <m/>
    <m/>
    <s v="No"/>
    <n v="0"/>
    <s v="No"/>
    <s v="No definido"/>
    <s v="Si"/>
    <n v="245"/>
    <d v="2024-03-27T13:04:00"/>
    <s v="Activo"/>
    <d v="2024-03-27T13:03:00"/>
    <d v="2024-03-27T13:04:00"/>
    <x v="0"/>
    <m/>
    <m/>
    <m/>
    <m/>
    <m/>
    <m/>
  </r>
  <r>
    <s v="Persona"/>
    <s v="No"/>
    <s v="17767233-5"/>
    <x v="101"/>
    <s v="Valenzuela"/>
    <s v="Daniel Valenzuela"/>
    <s v="Sin Giro"/>
    <s v="dvalenzuelav90@gmail.com"/>
    <s v="Jorge Giles 1534"/>
    <s v="Santiago"/>
    <s v="Cerro Navia"/>
    <m/>
    <m/>
    <s v="No"/>
    <n v="0"/>
    <s v="No"/>
    <s v="No definido"/>
    <s v="Si"/>
    <n v="130"/>
    <d v="2024-03-27T13:08:00"/>
    <s v="Activo"/>
    <d v="2024-03-27T13:07:00"/>
    <d v="2024-03-27T13:08:00"/>
    <x v="0"/>
    <m/>
    <m/>
    <m/>
    <m/>
    <m/>
    <m/>
  </r>
  <r>
    <s v="Persona"/>
    <s v="No"/>
    <s v="19863618-5"/>
    <x v="48"/>
    <s v="Medina"/>
    <s v="Fernando  Medina"/>
    <s v="Sin Giro"/>
    <s v="fernandomedi98@gmail.com"/>
    <s v="Parcelacion Playa Chamiza Alonso De Ercilla Parcela 119"/>
    <s v="Chamiza"/>
    <m/>
    <m/>
    <m/>
    <s v="No"/>
    <n v="0"/>
    <s v="No"/>
    <s v="No definido"/>
    <s v="Si"/>
    <n v="90"/>
    <d v="2024-03-27T13:42:00"/>
    <s v="Activo"/>
    <d v="2024-03-27T13:41:00"/>
    <d v="2024-03-27T13:42:00"/>
    <x v="0"/>
    <m/>
    <m/>
    <m/>
    <m/>
    <m/>
    <m/>
  </r>
  <r>
    <s v="Persona"/>
    <s v="No"/>
    <s v="12495391-K"/>
    <x v="365"/>
    <s v="Morales Rosas"/>
    <s v="Pierre Morales Rosas"/>
    <s v="Sin Giro"/>
    <s v="piromo1@yahoo.com"/>
    <s v="Bahia Catalina Fach"/>
    <s v="Punta Arenas"/>
    <m/>
    <m/>
    <m/>
    <s v="No"/>
    <n v="0"/>
    <s v="No"/>
    <s v="No definido"/>
    <s v="Si"/>
    <n v="260"/>
    <d v="2024-03-27T13:47:00"/>
    <s v="Activo"/>
    <d v="2024-03-27T13:45:00"/>
    <d v="2024-03-27T13:47:00"/>
    <x v="218"/>
    <m/>
    <m/>
    <m/>
    <m/>
    <m/>
    <m/>
  </r>
  <r>
    <s v="Persona"/>
    <s v="No"/>
    <s v="13412466-0"/>
    <x v="366"/>
    <s v="Videla"/>
    <s v="Nathalia Videla"/>
    <s v="Sin Giro"/>
    <s v="nathaliavidela@gmail.com"/>
    <s v="Exequiel Fernandez 1555 D 104"/>
    <s v="Santiago"/>
    <s v="Plaza Ñuñoa"/>
    <m/>
    <m/>
    <s v="No"/>
    <n v="0"/>
    <s v="No"/>
    <s v="No definido"/>
    <s v="Si"/>
    <n v="115"/>
    <d v="2024-03-27T13:51:00"/>
    <s v="Activo"/>
    <d v="2024-03-27T13:51:00"/>
    <d v="2024-03-27T13:51:00"/>
    <x v="0"/>
    <m/>
    <m/>
    <m/>
    <m/>
    <m/>
    <m/>
  </r>
  <r>
    <s v="Persona"/>
    <s v="No"/>
    <s v="25536692-0"/>
    <x v="367"/>
    <s v="Sivira"/>
    <s v="Guillermo Sivira"/>
    <s v="Sin Giro"/>
    <s v="siviraguillermo75@gmail.com"/>
    <m/>
    <m/>
    <m/>
    <m/>
    <m/>
    <s v="No"/>
    <n v="0"/>
    <s v="No"/>
    <s v="No definido"/>
    <s v="Si"/>
    <n v="115"/>
    <d v="2024-03-27T16:48:00"/>
    <s v="Activo"/>
    <d v="2024-03-27T16:47:00"/>
    <d v="2024-03-27T16:48:00"/>
    <x v="0"/>
    <m/>
    <m/>
    <m/>
    <m/>
    <m/>
    <m/>
  </r>
  <r>
    <s v="Persona"/>
    <s v="No"/>
    <s v="13903941-6"/>
    <x v="368"/>
    <s v="Aros Johnstone"/>
    <s v="Vessna Andrea Aros Johnstone"/>
    <s v="Sin Giro"/>
    <s v="vessna.aros.johnstone@gmail.com"/>
    <m/>
    <m/>
    <m/>
    <m/>
    <m/>
    <s v="No"/>
    <n v="0"/>
    <s v="No"/>
    <s v="No definido"/>
    <s v="Si"/>
    <n v="115"/>
    <d v="2024-03-27T19:02:00"/>
    <s v="Activo"/>
    <d v="2024-03-27T18:59:00"/>
    <d v="2024-03-27T19:02:00"/>
    <x v="0"/>
    <m/>
    <m/>
    <m/>
    <m/>
    <m/>
    <m/>
  </r>
  <r>
    <s v="Persona"/>
    <s v="No"/>
    <s v="9793982-9"/>
    <x v="249"/>
    <s v="Roman"/>
    <s v="Luis Roman"/>
    <s v="Sin Giro"/>
    <s v="roman.ingecom@gmail.com"/>
    <m/>
    <m/>
    <m/>
    <m/>
    <m/>
    <s v="No"/>
    <n v="0"/>
    <s v="No"/>
    <s v="No definido"/>
    <s v="Si"/>
    <n v="0"/>
    <d v="2024-04-17T20:44:00"/>
    <s v="Activo"/>
    <d v="2024-03-27T20:21:00"/>
    <d v="2024-03-27T20:21:00"/>
    <x v="219"/>
    <m/>
    <m/>
    <m/>
    <m/>
    <m/>
    <m/>
  </r>
  <r>
    <s v="Persona"/>
    <s v="No"/>
    <s v="12469333-0"/>
    <x v="369"/>
    <s v="Oliva"/>
    <s v="Laura Oliva"/>
    <s v="Sin Giro"/>
    <s v="loliva@protasa.cl"/>
    <m/>
    <m/>
    <m/>
    <m/>
    <m/>
    <s v="No"/>
    <n v="0"/>
    <s v="No"/>
    <s v="No definido"/>
    <s v="Si"/>
    <n v="130"/>
    <d v="2024-03-27T21:05:00"/>
    <s v="Activo"/>
    <d v="2024-03-27T21:04:00"/>
    <d v="2024-03-27T21:05:00"/>
    <x v="83"/>
    <m/>
    <m/>
    <m/>
    <m/>
    <m/>
    <m/>
  </r>
  <r>
    <s v="Persona"/>
    <s v="No"/>
    <s v="19895190-0"/>
    <x v="370"/>
    <s v="Diaz Urrutia"/>
    <s v="Damián Andrés Diaz Urrutia"/>
    <s v="Sin Giro"/>
    <s v="damiandiaz195@gmail.com"/>
    <s v="Pje Salesianos 1716 Pb Carlos Camus"/>
    <m/>
    <s v="Maule"/>
    <m/>
    <m/>
    <s v="No"/>
    <n v="0"/>
    <s v="No"/>
    <s v="No definido"/>
    <s v="Si"/>
    <n v="0"/>
    <d v="2024-04-17T20:44:00"/>
    <s v="Activo"/>
    <d v="2024-03-28T12:48:00"/>
    <d v="2024-03-28T12:48:00"/>
    <x v="220"/>
    <m/>
    <m/>
    <m/>
    <m/>
    <m/>
    <m/>
  </r>
  <r>
    <s v="Persona"/>
    <s v="No"/>
    <s v="19133577-5"/>
    <x v="371"/>
    <s v="Pizarro Gaete"/>
    <s v="Javier Antonio Pizarro Gaete"/>
    <s v="Sin Giro"/>
    <s v="jpizarro2612@gmail.com"/>
    <m/>
    <m/>
    <m/>
    <m/>
    <m/>
    <s v="No"/>
    <n v="0"/>
    <s v="No"/>
    <s v="No definido"/>
    <s v="Si"/>
    <n v="130"/>
    <d v="2024-03-28T13:26:00"/>
    <s v="Activo"/>
    <d v="2024-03-28T13:25:00"/>
    <d v="2024-03-28T13:26:00"/>
    <x v="221"/>
    <m/>
    <m/>
    <m/>
    <m/>
    <m/>
    <m/>
  </r>
  <r>
    <s v="Persona"/>
    <s v="No"/>
    <s v="18167964-6"/>
    <x v="372"/>
    <s v="Cipriano"/>
    <s v="Andrés Cipriano"/>
    <s v="Sin Giro"/>
    <s v="ciprianoandres@gmail.com"/>
    <m/>
    <m/>
    <m/>
    <m/>
    <m/>
    <s v="No"/>
    <n v="0"/>
    <s v="No"/>
    <s v="No definido"/>
    <s v="Si"/>
    <n v="245"/>
    <d v="2024-03-28T14:14:00"/>
    <s v="Activo"/>
    <d v="2024-03-28T14:13:00"/>
    <d v="2024-03-28T14:14:00"/>
    <x v="222"/>
    <m/>
    <m/>
    <m/>
    <m/>
    <m/>
    <m/>
  </r>
  <r>
    <s v="Persona"/>
    <s v="No"/>
    <s v="16278971-6"/>
    <x v="373"/>
    <s v="González Navas"/>
    <s v="Germana Alejandra Paola González Navas"/>
    <s v="Sin Giro"/>
    <s v="ggonzalez.navas@gmail.com"/>
    <m/>
    <m/>
    <m/>
    <m/>
    <m/>
    <s v="No"/>
    <n v="0"/>
    <s v="No"/>
    <s v="No definido"/>
    <s v="Si"/>
    <n v="135"/>
    <d v="2024-03-28T14:48:00"/>
    <s v="Activo"/>
    <d v="2024-03-28T14:47:00"/>
    <d v="2024-03-28T14:48:00"/>
    <x v="223"/>
    <m/>
    <m/>
    <m/>
    <m/>
    <m/>
    <m/>
  </r>
  <r>
    <s v="Persona"/>
    <s v="No"/>
    <s v="19308280-7"/>
    <x v="374"/>
    <s v="Brown Baeza"/>
    <s v="Michelle Pascalle Brown Baeza"/>
    <s v="Sin Giro"/>
    <s v="michellebrownb@gmail.com"/>
    <m/>
    <m/>
    <m/>
    <m/>
    <m/>
    <s v="No"/>
    <n v="0"/>
    <s v="No"/>
    <s v="No definido"/>
    <s v="Si"/>
    <n v="115"/>
    <d v="2024-03-28T17:14:00"/>
    <s v="Activo"/>
    <d v="2024-03-28T17:14:00"/>
    <d v="2024-03-28T17:14:00"/>
    <x v="224"/>
    <m/>
    <m/>
    <m/>
    <m/>
    <m/>
    <m/>
  </r>
  <r>
    <s v="Persona"/>
    <s v="No"/>
    <s v="10740464-3"/>
    <x v="375"/>
    <s v="Cavieres Meza"/>
    <s v="Carolina Paula Cavieres Meza"/>
    <s v="Sin Giro"/>
    <s v="imoresionarte@gmail.com"/>
    <m/>
    <m/>
    <m/>
    <m/>
    <m/>
    <s v="No"/>
    <n v="0"/>
    <s v="No"/>
    <s v="No definido"/>
    <s v="Si"/>
    <n v="90"/>
    <d v="2024-03-28T17:17:00"/>
    <s v="Activo"/>
    <d v="2024-03-28T17:17:00"/>
    <d v="2024-03-28T17:17:00"/>
    <x v="225"/>
    <m/>
    <m/>
    <m/>
    <m/>
    <m/>
    <m/>
  </r>
  <r>
    <s v="Persona"/>
    <s v="No"/>
    <s v="27905328-1"/>
    <x v="376"/>
    <s v="Sandoval"/>
    <s v="Johan Sandoval"/>
    <s v="Sin Giro"/>
    <s v="johansandovalria@gmail.com"/>
    <m/>
    <m/>
    <m/>
    <m/>
    <m/>
    <s v="No"/>
    <n v="0"/>
    <s v="No"/>
    <s v="No definido"/>
    <s v="Si"/>
    <n v="115"/>
    <d v="2024-03-28T18:43:00"/>
    <s v="Activo"/>
    <d v="2024-03-28T18:43:00"/>
    <d v="2024-03-28T18:43:00"/>
    <x v="226"/>
    <m/>
    <m/>
    <m/>
    <m/>
    <m/>
    <m/>
  </r>
  <r>
    <s v="Persona"/>
    <s v="No"/>
    <s v="9095383-4"/>
    <x v="377"/>
    <s v="Álvarez"/>
    <s v="Anita Álvarez"/>
    <s v="Sin Giro"/>
    <s v="vestuario.anita@gmail.com"/>
    <m/>
    <m/>
    <m/>
    <m/>
    <m/>
    <s v="No"/>
    <n v="0"/>
    <s v="No"/>
    <s v="No definido"/>
    <s v="Si"/>
    <n v="110"/>
    <d v="2024-03-28T18:45:00"/>
    <s v="Activo"/>
    <d v="2024-03-28T18:45:00"/>
    <d v="2024-03-28T18:45:00"/>
    <x v="227"/>
    <m/>
    <m/>
    <m/>
    <m/>
    <m/>
    <m/>
  </r>
  <r>
    <s v="Persona"/>
    <s v="No"/>
    <s v="15329924-2"/>
    <x v="378"/>
    <s v="Oliva"/>
    <s v="Jennifer Oliva"/>
    <s v="Sin Giro"/>
    <s v="joliva@chemtread.com"/>
    <m/>
    <m/>
    <m/>
    <m/>
    <m/>
    <s v="No"/>
    <n v="0"/>
    <s v="No"/>
    <s v="No definido"/>
    <s v="Si"/>
    <n v="225"/>
    <d v="2024-03-28T20:11:00"/>
    <s v="Activo"/>
    <d v="2024-03-28T20:10:00"/>
    <d v="2024-03-28T20:11:00"/>
    <x v="228"/>
    <m/>
    <m/>
    <m/>
    <m/>
    <m/>
    <m/>
  </r>
  <r>
    <s v="Persona"/>
    <s v="No"/>
    <s v="18391933-4"/>
    <x v="98"/>
    <s v="Sierralta Navarro "/>
    <s v="Antonia Sierralta Navarro "/>
    <s v="Sin Giro"/>
    <s v="anto.snavarro@gmail.com"/>
    <m/>
    <m/>
    <m/>
    <m/>
    <m/>
    <s v="No"/>
    <n v="0"/>
    <s v="No"/>
    <s v="No definido"/>
    <s v="Si"/>
    <n v="115"/>
    <d v="2024-03-28T20:14:00"/>
    <s v="Activo"/>
    <d v="2024-03-28T20:14:00"/>
    <d v="2024-03-28T20:14:00"/>
    <x v="0"/>
    <m/>
    <m/>
    <m/>
    <m/>
    <m/>
    <m/>
  </r>
  <r>
    <s v="Persona"/>
    <s v="No"/>
    <s v="14293869-3"/>
    <x v="135"/>
    <s v="Arenas"/>
    <s v="Ricardo Arenas"/>
    <s v="Sin Giro"/>
    <s v="rarenas@automarco.cl"/>
    <m/>
    <m/>
    <m/>
    <m/>
    <m/>
    <s v="No"/>
    <n v="0"/>
    <s v="No"/>
    <s v="No definido"/>
    <s v="Si"/>
    <n v="115"/>
    <d v="2024-03-29T13:13:00"/>
    <s v="Activo"/>
    <d v="2024-03-29T13:13:00"/>
    <d v="2024-03-29T13:13:00"/>
    <x v="229"/>
    <m/>
    <m/>
    <m/>
    <m/>
    <m/>
    <m/>
  </r>
  <r>
    <s v="Persona"/>
    <s v="No"/>
    <s v="7958364-2"/>
    <x v="379"/>
    <s v="Guacolda Muñoz"/>
    <s v="Maria Guacolda Muñoz"/>
    <s v="Sin Giro"/>
    <s v="mariaguacoldamunoz@gmail.com"/>
    <s v="Pasaje Rio Cisne 9456 D Valle Verde"/>
    <m/>
    <m/>
    <m/>
    <m/>
    <s v="No"/>
    <n v="0"/>
    <s v="No"/>
    <s v="No definido"/>
    <s v="Si"/>
    <n v="110"/>
    <d v="2024-03-29T13:16:00"/>
    <s v="Activo"/>
    <d v="2024-03-29T13:15:00"/>
    <d v="2024-03-29T13:16:00"/>
    <x v="196"/>
    <m/>
    <m/>
    <m/>
    <m/>
    <m/>
    <m/>
  </r>
  <r>
    <s v="Persona"/>
    <s v="No"/>
    <s v="15641176-0"/>
    <x v="380"/>
    <s v="Palomer Benitez"/>
    <s v="José Matías Palomer Benitez"/>
    <s v="Sin Giro"/>
    <s v="lord.matt.314@gmail.com"/>
    <m/>
    <m/>
    <m/>
    <m/>
    <m/>
    <s v="No"/>
    <n v="0"/>
    <s v="No"/>
    <s v="No definido"/>
    <s v="Si"/>
    <n v="230"/>
    <d v="2024-04-01T18:38:00"/>
    <s v="Activo"/>
    <d v="2024-03-29T13:18:00"/>
    <d v="2024-04-01T18:38:00"/>
    <x v="230"/>
    <m/>
    <m/>
    <m/>
    <m/>
    <m/>
    <m/>
  </r>
  <r>
    <s v="Persona"/>
    <s v="No"/>
    <s v="14107050-9"/>
    <x v="152"/>
    <s v="Aravena"/>
    <s v="Paola Aravena"/>
    <s v="Sin Giro"/>
    <s v="paola.aravena.p@gmail.com"/>
    <m/>
    <m/>
    <m/>
    <m/>
    <m/>
    <s v="No"/>
    <n v="0"/>
    <s v="No"/>
    <s v="No definido"/>
    <s v="Si"/>
    <n v="90"/>
    <d v="2024-03-29T21:05:00"/>
    <s v="Activo"/>
    <d v="2024-03-29T21:05:00"/>
    <d v="2024-03-29T21:05:00"/>
    <x v="83"/>
    <m/>
    <m/>
    <m/>
    <m/>
    <m/>
    <m/>
  </r>
  <r>
    <s v="Persona"/>
    <s v="No"/>
    <s v="13670378-1"/>
    <x v="381"/>
    <s v="Ramirez"/>
    <s v="Tania Andrea Ramirez"/>
    <s v="Sin Giro"/>
    <s v="tania.andrearamirez@gmail.com"/>
    <m/>
    <m/>
    <m/>
    <m/>
    <m/>
    <s v="No"/>
    <n v="0"/>
    <s v="No"/>
    <s v="No definido"/>
    <s v="Si"/>
    <n v="220"/>
    <d v="2024-03-30T16:26:00"/>
    <s v="Activo"/>
    <d v="2024-03-30T16:23:00"/>
    <d v="2024-03-30T16:26:00"/>
    <x v="231"/>
    <m/>
    <m/>
    <m/>
    <m/>
    <m/>
    <m/>
  </r>
  <r>
    <s v="Persona"/>
    <s v="No"/>
    <s v="26083271-9"/>
    <x v="382"/>
    <s v="M"/>
    <s v="Hidmara M"/>
    <s v="Sin Giro"/>
    <s v="hidmara@gmail.com"/>
    <m/>
    <m/>
    <m/>
    <m/>
    <m/>
    <s v="No"/>
    <n v="0"/>
    <s v="No"/>
    <s v="No definido"/>
    <s v="Si"/>
    <n v="115"/>
    <d v="2024-03-30T18:10:00"/>
    <s v="Activo"/>
    <d v="2024-03-30T18:10:00"/>
    <d v="2024-03-30T18:10:00"/>
    <x v="232"/>
    <m/>
    <m/>
    <m/>
    <m/>
    <m/>
    <m/>
  </r>
  <r>
    <s v="Persona"/>
    <s v="No"/>
    <s v="21076844-0"/>
    <x v="269"/>
    <s v="Huaiquilaf"/>
    <s v="Marcela Huaiquilaf"/>
    <s v="Sin Giro"/>
    <s v="mhuaiquilafsi@gmail.com"/>
    <m/>
    <m/>
    <m/>
    <m/>
    <m/>
    <s v="No"/>
    <n v="0"/>
    <s v="No"/>
    <s v="No definido"/>
    <s v="Si"/>
    <n v="115"/>
    <d v="2024-03-30T21:10:00"/>
    <s v="Activo"/>
    <d v="2024-03-30T21:09:00"/>
    <d v="2024-03-30T21:10:00"/>
    <x v="0"/>
    <m/>
    <m/>
    <m/>
    <m/>
    <m/>
    <m/>
  </r>
  <r>
    <s v="Persona"/>
    <s v="No"/>
    <s v="15962364-5"/>
    <x v="383"/>
    <s v="Angulo Troncoso"/>
    <s v="Jenniffer Angulo Troncoso"/>
    <s v="Sin Giro"/>
    <s v="jenniffer.at@gmail.com"/>
    <s v="Vicuna Mackenna Poniente 7735 torre B, depto 1506 7735"/>
    <s v="LAFL"/>
    <s v="METROPOLITANA DE SANTIAGO"/>
    <n v="946633658"/>
    <m/>
    <s v="No"/>
    <n v="0"/>
    <s v="No"/>
    <s v="No definido"/>
    <s v="Si"/>
    <n v="130"/>
    <d v="2024-04-01T00:24:00"/>
    <s v="Activo"/>
    <d v="2024-04-01T00:24:00"/>
    <d v="2024-04-01T00:24:00"/>
    <x v="0"/>
    <m/>
    <m/>
    <m/>
    <m/>
    <m/>
    <m/>
  </r>
  <r>
    <s v="Persona"/>
    <s v="No"/>
    <s v="24254968-6"/>
    <x v="180"/>
    <s v="Soto"/>
    <s v="Pia Soto"/>
    <s v="Sin Giro"/>
    <s v="piasotom3@gmail.com"/>
    <m/>
    <m/>
    <m/>
    <n v="56991099759"/>
    <m/>
    <s v="No"/>
    <n v="0"/>
    <s v="No"/>
    <s v="No definido"/>
    <s v="Si"/>
    <n v="45"/>
    <d v="2024-04-01T12:04:00"/>
    <s v="Activo"/>
    <d v="2024-04-01T12:02:00"/>
    <d v="2024-04-01T12:04:00"/>
    <x v="0"/>
    <m/>
    <m/>
    <m/>
    <m/>
    <m/>
    <m/>
  </r>
  <r>
    <s v="Persona"/>
    <s v="No"/>
    <s v="21940121-3"/>
    <x v="384"/>
    <s v="Subercaseaux"/>
    <s v="Ismael Subercaseaux"/>
    <s v="Sin Giro"/>
    <s v="pima6823@gmail.com"/>
    <m/>
    <m/>
    <m/>
    <n v="94755502"/>
    <m/>
    <s v="No"/>
    <n v="0"/>
    <s v="No"/>
    <s v="No definido"/>
    <s v="Si"/>
    <n v="130"/>
    <d v="2024-04-01T12:44:00"/>
    <s v="Activo"/>
    <d v="2024-04-01T12:43:00"/>
    <d v="2024-04-01T12:44:00"/>
    <x v="0"/>
    <m/>
    <m/>
    <m/>
    <m/>
    <m/>
    <m/>
  </r>
  <r>
    <s v="Persona"/>
    <s v="No"/>
    <s v="21144792-3"/>
    <x v="111"/>
    <s v="Miranda"/>
    <s v="Francisco Miranda"/>
    <s v="Sin Giro"/>
    <s v="franciscomirandavargas@gmail.com"/>
    <m/>
    <m/>
    <m/>
    <n v="988366154"/>
    <m/>
    <s v="No"/>
    <n v="0"/>
    <s v="No"/>
    <s v="No definido"/>
    <s v="Si"/>
    <n v="130"/>
    <d v="2024-04-01T14:41:00"/>
    <s v="Activo"/>
    <d v="2024-04-01T14:40:00"/>
    <d v="2024-04-01T14:41:00"/>
    <x v="0"/>
    <m/>
    <m/>
    <m/>
    <m/>
    <m/>
    <m/>
  </r>
  <r>
    <s v="Persona"/>
    <s v="No"/>
    <s v="21520980-6"/>
    <x v="385"/>
    <s v="Sasso"/>
    <s v="Ignacio Sasso"/>
    <s v="Sin Giro"/>
    <s v="ignaciosasso@gmail.com"/>
    <m/>
    <m/>
    <m/>
    <n v="977651103"/>
    <m/>
    <s v="No"/>
    <n v="0"/>
    <s v="No"/>
    <s v="No definido"/>
    <s v="Si"/>
    <n v="130"/>
    <d v="2024-04-01T15:20:00"/>
    <s v="Activo"/>
    <d v="2024-04-01T15:18:00"/>
    <d v="2024-04-01T15:20:00"/>
    <x v="0"/>
    <m/>
    <m/>
    <m/>
    <m/>
    <m/>
    <m/>
  </r>
  <r>
    <s v="Persona"/>
    <s v="No"/>
    <s v="22205002-2"/>
    <x v="98"/>
    <s v="Ibañez"/>
    <s v="Antonia Ibañez"/>
    <s v="Sin Giro"/>
    <s v="antoniaibanez027@gmail.com"/>
    <m/>
    <m/>
    <m/>
    <m/>
    <m/>
    <s v="No"/>
    <n v="0"/>
    <s v="No"/>
    <s v="No definido"/>
    <s v="Si"/>
    <n v="130"/>
    <d v="2024-04-01T16:40:00"/>
    <s v="Activo"/>
    <d v="2024-04-01T16:39:00"/>
    <d v="2024-04-01T16:40:00"/>
    <x v="168"/>
    <m/>
    <m/>
    <m/>
    <m/>
    <m/>
    <m/>
  </r>
  <r>
    <s v="Persona"/>
    <s v="No"/>
    <s v="16657705-5"/>
    <x v="12"/>
    <s v="Alarcón Zuñiga"/>
    <s v="Natalia Alarcón Zuñiga"/>
    <s v="Sin Giro"/>
    <s v="nalarcon@ecrgroup.cl"/>
    <m/>
    <m/>
    <m/>
    <m/>
    <m/>
    <s v="No"/>
    <n v="0"/>
    <s v="No"/>
    <s v="No definido"/>
    <s v="Si"/>
    <n v="300"/>
    <d v="2024-04-01T16:48:00"/>
    <s v="Activo"/>
    <d v="2024-04-01T16:42:00"/>
    <d v="2024-04-01T16:48:00"/>
    <x v="233"/>
    <m/>
    <m/>
    <m/>
    <m/>
    <m/>
    <m/>
  </r>
  <r>
    <s v="Persona"/>
    <s v="No"/>
    <s v="19925175-9"/>
    <x v="311"/>
    <s v="Duarte"/>
    <s v="Mauricio Duarte"/>
    <s v="Sin Giro"/>
    <s v="mau.duarte@icloud.com"/>
    <m/>
    <m/>
    <m/>
    <m/>
    <m/>
    <s v="No"/>
    <n v="0"/>
    <s v="No"/>
    <s v="No definido"/>
    <s v="Si"/>
    <n v="180"/>
    <d v="2024-04-04T13:43:00"/>
    <s v="Activo"/>
    <d v="2024-04-02T11:54:00"/>
    <d v="2024-04-04T13:43:00"/>
    <x v="234"/>
    <m/>
    <m/>
    <m/>
    <m/>
    <m/>
    <m/>
  </r>
  <r>
    <s v="Persona"/>
    <s v="No"/>
    <s v="16176694-1"/>
    <x v="249"/>
    <s v="Ferretti"/>
    <s v="Luis Ferretti"/>
    <s v="Sin Giro"/>
    <s v="luisferreti@gmail.com"/>
    <m/>
    <m/>
    <m/>
    <m/>
    <m/>
    <s v="No"/>
    <n v="0"/>
    <s v="No"/>
    <s v="No definido"/>
    <s v="Si"/>
    <n v="360"/>
    <d v="2024-04-15T14:47:00"/>
    <s v="Activo"/>
    <d v="2024-04-02T12:36:00"/>
    <d v="2024-04-15T14:47:00"/>
    <x v="235"/>
    <m/>
    <m/>
    <m/>
    <m/>
    <m/>
    <m/>
  </r>
  <r>
    <s v="Persona"/>
    <s v="No"/>
    <s v="14319630-5"/>
    <x v="260"/>
    <s v="Reyes Caro"/>
    <s v="David Reyes Caro"/>
    <s v="Sin Giro"/>
    <s v="david.reyescaro@gmail.com"/>
    <m/>
    <m/>
    <m/>
    <m/>
    <m/>
    <s v="No"/>
    <n v="0"/>
    <s v="No"/>
    <s v="No definido"/>
    <s v="Si"/>
    <n v="245"/>
    <d v="2024-04-02T12:40:00"/>
    <s v="Activo"/>
    <d v="2024-04-02T12:39:00"/>
    <d v="2024-04-02T12:40:00"/>
    <x v="236"/>
    <m/>
    <m/>
    <m/>
    <m/>
    <m/>
    <m/>
  </r>
  <r>
    <s v="Persona"/>
    <s v="No"/>
    <s v="16429643-1"/>
    <x v="101"/>
    <s v="Pizarro"/>
    <s v="Daniel Pizarro"/>
    <s v="Sin Giro"/>
    <s v="danielpizarro@gmail.com"/>
    <m/>
    <m/>
    <m/>
    <m/>
    <m/>
    <s v="No"/>
    <n v="0"/>
    <s v="No"/>
    <s v="No definido"/>
    <s v="Si"/>
    <n v="115"/>
    <d v="2024-04-02T12:43:00"/>
    <s v="Activo"/>
    <d v="2024-04-02T12:42:00"/>
    <d v="2024-04-02T12:43:00"/>
    <x v="237"/>
    <m/>
    <m/>
    <m/>
    <m/>
    <m/>
    <m/>
  </r>
  <r>
    <s v="Persona"/>
    <s v="No"/>
    <s v="21268438-4"/>
    <x v="386"/>
    <s v="Hernández Pérez"/>
    <s v="Nelson Alejandro Hernández Pérez"/>
    <s v="Sin Giro"/>
    <s v="nelsonhp2005@gmail.com"/>
    <m/>
    <m/>
    <m/>
    <m/>
    <m/>
    <s v="No"/>
    <n v="0"/>
    <s v="No"/>
    <s v="No definido"/>
    <s v="Si"/>
    <n v="265"/>
    <d v="2024-04-02T13:38:00"/>
    <s v="Activo"/>
    <d v="2024-04-02T13:36:00"/>
    <d v="2024-04-02T13:38:00"/>
    <x v="238"/>
    <m/>
    <m/>
    <m/>
    <m/>
    <m/>
    <m/>
  </r>
  <r>
    <s v="Persona"/>
    <s v="No"/>
    <s v="26266203-9"/>
    <x v="6"/>
    <s v="Laroche"/>
    <s v="Gabriel Laroche"/>
    <s v="Sin Giro"/>
    <s v="glaroche151@gmail.com"/>
    <m/>
    <m/>
    <m/>
    <m/>
    <m/>
    <s v="No"/>
    <n v="0"/>
    <s v="No"/>
    <s v="No definido"/>
    <s v="Si"/>
    <n v="45"/>
    <d v="2024-04-02T14:32:00"/>
    <s v="Activo"/>
    <d v="2024-04-02T14:32:00"/>
    <d v="2024-04-02T14:32:00"/>
    <x v="239"/>
    <m/>
    <m/>
    <m/>
    <m/>
    <m/>
    <m/>
  </r>
  <r>
    <s v="Persona"/>
    <s v="No"/>
    <s v="16639317-5"/>
    <x v="169"/>
    <s v="Aceituno"/>
    <s v="Patricia Aceituno"/>
    <s v="Sin Giro"/>
    <s v="alonsogabriel.lm@gmail.com"/>
    <m/>
    <m/>
    <m/>
    <m/>
    <m/>
    <s v="No"/>
    <n v="0"/>
    <s v="No"/>
    <s v="No definido"/>
    <s v="Si"/>
    <n v="115"/>
    <d v="2024-04-02T16:08:00"/>
    <s v="Activo"/>
    <d v="2024-04-02T16:07:00"/>
    <d v="2024-04-02T16:08:00"/>
    <x v="240"/>
    <m/>
    <m/>
    <m/>
    <m/>
    <m/>
    <m/>
  </r>
  <r>
    <s v="Persona"/>
    <s v="No"/>
    <s v="17390760-5"/>
    <x v="387"/>
    <s v="Carcasson Echeverria"/>
    <s v="Poulette Fernanda Carcasson Echeverria"/>
    <s v="Sin Giro"/>
    <s v="fda@gmail.com"/>
    <m/>
    <m/>
    <m/>
    <m/>
    <m/>
    <s v="No"/>
    <n v="0"/>
    <s v="No"/>
    <s v="No definido"/>
    <s v="Si"/>
    <n v="115"/>
    <d v="2024-04-02T16:29:00"/>
    <s v="Activo"/>
    <d v="2024-04-02T16:28:00"/>
    <d v="2024-04-02T16:29:00"/>
    <x v="241"/>
    <m/>
    <m/>
    <m/>
    <m/>
    <m/>
    <m/>
  </r>
  <r>
    <s v="Persona"/>
    <s v="No"/>
    <s v="8734479-7"/>
    <x v="388"/>
    <s v="Fernandez"/>
    <s v="María Fernandez"/>
    <s v="Sin Giro"/>
    <s v="criverosf@hotmail.com"/>
    <s v="Blumell 0251 Pb Playa Blanca"/>
    <s v="Antofagasta"/>
    <m/>
    <m/>
    <m/>
    <s v="No"/>
    <n v="0"/>
    <s v="No"/>
    <s v="No definido"/>
    <s v="Si"/>
    <n v="115"/>
    <d v="2024-04-02T18:02:00"/>
    <s v="Activo"/>
    <d v="2024-04-02T18:02:00"/>
    <d v="2024-04-02T18:02:00"/>
    <x v="0"/>
    <m/>
    <m/>
    <m/>
    <m/>
    <m/>
    <m/>
  </r>
  <r>
    <s v="Persona"/>
    <s v="No"/>
    <s v="10473692-0"/>
    <x v="54"/>
    <s v="Guerrero"/>
    <s v="Rodrigo Guerrero"/>
    <s v="Sin Giro"/>
    <s v="rguerrero@tars.cl"/>
    <s v="El Golf 125 Piso 5"/>
    <s v="Santiago"/>
    <s v="El Golf"/>
    <m/>
    <m/>
    <s v="No"/>
    <n v="0"/>
    <s v="No"/>
    <s v="No definido"/>
    <s v="Si"/>
    <n v="45"/>
    <d v="2024-04-02T19:25:00"/>
    <s v="Activo"/>
    <d v="2024-04-02T19:24:00"/>
    <d v="2024-04-02T19:25:00"/>
    <x v="0"/>
    <m/>
    <m/>
    <m/>
    <m/>
    <m/>
    <m/>
  </r>
  <r>
    <s v="Persona"/>
    <s v="No"/>
    <s v="16520573-1"/>
    <x v="389"/>
    <s v="Rubilar"/>
    <s v="Sebastián Rubilar"/>
    <s v="Sin Giro"/>
    <s v="rubilar.sebastian@gmail.com"/>
    <s v="Eca De Queiroz 7968"/>
    <s v="Santiago"/>
    <s v="Cerro Navia"/>
    <m/>
    <m/>
    <s v="No"/>
    <n v="0"/>
    <s v="No"/>
    <s v="No definido"/>
    <s v="Si"/>
    <n v="130"/>
    <d v="2024-04-03T14:07:00"/>
    <s v="Activo"/>
    <d v="2024-04-03T14:06:00"/>
    <d v="2024-04-03T14:07:00"/>
    <x v="242"/>
    <m/>
    <m/>
    <m/>
    <m/>
    <m/>
    <m/>
  </r>
  <r>
    <s v="Persona"/>
    <s v="No"/>
    <s v="18954344-1"/>
    <x v="116"/>
    <s v="Palma"/>
    <s v="Diego Palma"/>
    <s v="Sin Giro"/>
    <s v="diepalpin@gmail.com"/>
    <s v="Pje.maria Jose 1377 V.padre Hurtado"/>
    <s v="Santiago"/>
    <s v="Maipu"/>
    <m/>
    <m/>
    <s v="No"/>
    <n v="0"/>
    <s v="No"/>
    <s v="No definido"/>
    <s v="Si"/>
    <n v="260"/>
    <d v="2024-04-03T15:55:00"/>
    <s v="Activo"/>
    <d v="2024-04-03T15:54:00"/>
    <d v="2024-04-03T15:55:00"/>
    <x v="243"/>
    <m/>
    <m/>
    <m/>
    <m/>
    <m/>
    <m/>
  </r>
  <r>
    <s v="Persona"/>
    <s v="No"/>
    <s v="15376239-2"/>
    <x v="135"/>
    <s v="Solar"/>
    <s v="Ricardo Solar"/>
    <s v="Sin Giro"/>
    <s v="an.solarg@gmail.com"/>
    <s v="Crisantemos 764 Dpto 505"/>
    <s v="Santiago"/>
    <s v="Providencia"/>
    <m/>
    <m/>
    <s v="No"/>
    <n v="0"/>
    <s v="No"/>
    <s v="No definido"/>
    <s v="Si"/>
    <n v="130"/>
    <d v="2024-04-03T16:39:00"/>
    <s v="Activo"/>
    <d v="2024-04-03T16:38:00"/>
    <d v="2024-04-03T16:39:00"/>
    <x v="244"/>
    <m/>
    <m/>
    <m/>
    <m/>
    <m/>
    <m/>
  </r>
  <r>
    <s v="Persona"/>
    <s v="No"/>
    <s v="17305060-7"/>
    <x v="390"/>
    <s v="Garcia"/>
    <s v="Krish Garcia"/>
    <s v="Sin Giro"/>
    <s v="krish.garcia@gmail.com"/>
    <s v="Vicuña Mackenna 2585 1501b"/>
    <s v="Santiago"/>
    <s v="San Joaquin"/>
    <m/>
    <m/>
    <s v="No"/>
    <n v="0"/>
    <s v="No"/>
    <s v="No definido"/>
    <s v="Si"/>
    <n v="260"/>
    <d v="2024-04-03T17:02:00"/>
    <s v="Activo"/>
    <d v="2024-04-03T17:01:00"/>
    <d v="2024-04-03T17:02:00"/>
    <x v="243"/>
    <m/>
    <m/>
    <m/>
    <m/>
    <m/>
    <m/>
  </r>
  <r>
    <s v="Persona"/>
    <s v="No"/>
    <s v="18461659-9"/>
    <x v="391"/>
    <s v="Horzella"/>
    <s v="Claudio Horzella"/>
    <s v="Sin Giro"/>
    <s v="chorzella@gmail.com"/>
    <s v="Villaseca 70 Dp 54-a"/>
    <s v="Santiago"/>
    <s v="Ñuñoa"/>
    <m/>
    <m/>
    <s v="No"/>
    <n v="0"/>
    <s v="No"/>
    <s v="No definido"/>
    <s v="Si"/>
    <n v="130"/>
    <d v="2024-04-03T17:47:00"/>
    <s v="Activo"/>
    <d v="2024-04-03T17:46:00"/>
    <d v="2024-04-03T17:47:00"/>
    <x v="0"/>
    <m/>
    <m/>
    <m/>
    <m/>
    <m/>
    <m/>
  </r>
  <r>
    <s v="Persona"/>
    <s v="No"/>
    <s v="19634142-0"/>
    <x v="392"/>
    <s v="Alvarez"/>
    <s v="Genady Alvarez"/>
    <s v="Sin Giro"/>
    <s v="galvarez@gimlogistic.cl"/>
    <m/>
    <m/>
    <m/>
    <n v="56972786369"/>
    <m/>
    <s v="No"/>
    <n v="0"/>
    <s v="No"/>
    <s v="No definido"/>
    <s v="Si"/>
    <n v="115"/>
    <d v="2024-04-03T19:10:00"/>
    <s v="Activo"/>
    <d v="2024-04-03T19:10:00"/>
    <d v="2024-04-03T19:10:00"/>
    <x v="245"/>
    <m/>
    <m/>
    <m/>
    <m/>
    <m/>
    <m/>
  </r>
  <r>
    <s v="Persona"/>
    <s v="No"/>
    <s v="17661621-0"/>
    <x v="393"/>
    <s v="Martinez"/>
    <s v="Mackarena Paz Martinez"/>
    <s v="Sin Giro"/>
    <s v="mckaaymartinez@gmail.com"/>
    <s v="_x0009_Callejon Pedro De Valdivia Psje. Monaco 3348 Manuel Antonio"/>
    <s v="Copiapo"/>
    <m/>
    <m/>
    <m/>
    <s v="No"/>
    <n v="0"/>
    <s v="No"/>
    <s v="No definido"/>
    <s v="Si"/>
    <n v="355"/>
    <d v="2024-04-03T19:40:00"/>
    <s v="Activo"/>
    <d v="2024-04-03T19:40:00"/>
    <d v="2024-04-03T19:40:00"/>
    <x v="246"/>
    <m/>
    <m/>
    <m/>
    <m/>
    <m/>
    <m/>
  </r>
  <r>
    <s v="Persona"/>
    <s v="No"/>
    <s v="12677511-3"/>
    <x v="324"/>
    <s v="Fernández"/>
    <s v="Raúl Fernández"/>
    <s v="Sin Giro"/>
    <s v="bybeanto79@gmail.com"/>
    <m/>
    <m/>
    <m/>
    <m/>
    <m/>
    <s v="No"/>
    <n v="0"/>
    <s v="No"/>
    <s v="No definido"/>
    <s v="Si"/>
    <n v="160"/>
    <d v="2024-04-03T21:19:00"/>
    <s v="Activo"/>
    <d v="2024-04-03T21:19:00"/>
    <d v="2024-04-03T21:19:00"/>
    <x v="247"/>
    <m/>
    <m/>
    <m/>
    <m/>
    <m/>
    <m/>
  </r>
  <r>
    <s v="Persona"/>
    <s v="No"/>
    <s v="15284989-3"/>
    <x v="26"/>
    <s v="Holvoet"/>
    <s v="Eduardo Holvoet"/>
    <s v="Sin Giro"/>
    <s v="eholvoet@gmail.com"/>
    <s v="Panamericana Sur S N"/>
    <s v="Ancud"/>
    <m/>
    <m/>
    <m/>
    <s v="No"/>
    <n v="0"/>
    <s v="No"/>
    <s v="No definido"/>
    <s v="Si"/>
    <n v="115"/>
    <d v="2024-04-04T12:15:00"/>
    <s v="Activo"/>
    <d v="2024-04-04T12:14:00"/>
    <d v="2024-04-04T12:15:00"/>
    <x v="0"/>
    <m/>
    <m/>
    <m/>
    <m/>
    <m/>
    <m/>
  </r>
  <r>
    <s v="Persona"/>
    <s v="No"/>
    <s v="10139049-7"/>
    <x v="394"/>
    <s v="Isla"/>
    <s v="Maria Soledad Isla"/>
    <s v="Sin Giro"/>
    <s v="mariasoledadisla@gmail.com"/>
    <s v="Zurich Sur 0789 789"/>
    <s v="Santiago"/>
    <s v="La Cisterna"/>
    <m/>
    <m/>
    <s v="No"/>
    <n v="0"/>
    <s v="No"/>
    <s v="No definido"/>
    <s v="Si"/>
    <n v="260"/>
    <d v="2024-04-04T14:16:00"/>
    <s v="Activo"/>
    <d v="2024-04-04T14:15:00"/>
    <d v="2024-04-04T14:16:00"/>
    <x v="248"/>
    <m/>
    <m/>
    <m/>
    <m/>
    <m/>
    <m/>
  </r>
  <r>
    <s v="Persona"/>
    <s v="No"/>
    <s v="19811871-0"/>
    <x v="255"/>
    <s v="Sepulveda"/>
    <s v="Franco Sepulveda"/>
    <s v="Sin Giro"/>
    <s v="fassdelc@gmail.com"/>
    <s v="Jose Domingo Cañas 2277 Dpto 706"/>
    <s v="Santiago"/>
    <s v="Ñuñoa"/>
    <m/>
    <m/>
    <s v="No"/>
    <n v="0"/>
    <s v="No"/>
    <s v="No definido"/>
    <s v="Si"/>
    <n v="130"/>
    <d v="2024-04-04T15:46:00"/>
    <s v="Activo"/>
    <d v="2024-04-04T15:45:00"/>
    <d v="2024-04-04T15:46:00"/>
    <x v="0"/>
    <m/>
    <m/>
    <m/>
    <m/>
    <m/>
    <m/>
  </r>
  <r>
    <s v="Persona"/>
    <s v="No"/>
    <s v="20262252-6"/>
    <x v="395"/>
    <s v="Oldenampsen"/>
    <s v="Chantal Oldenampsen"/>
    <s v="Sin Giro"/>
    <s v="ch.oldenampsen@gmail.com"/>
    <s v="Los Alerces 3330 Depto 1107 Torre B ñuñoa Stgo"/>
    <s v="Santiago"/>
    <s v="Ñuñoa"/>
    <m/>
    <m/>
    <s v="No"/>
    <n v="0"/>
    <s v="No"/>
    <s v="No definido"/>
    <s v="Si"/>
    <n v="130"/>
    <d v="2024-04-04T18:31:00"/>
    <s v="Activo"/>
    <d v="2024-04-04T18:30:00"/>
    <d v="2024-04-04T18:31:00"/>
    <x v="0"/>
    <m/>
    <m/>
    <m/>
    <m/>
    <m/>
    <m/>
  </r>
  <r>
    <s v="Persona"/>
    <s v="No"/>
    <s v="17212028-8"/>
    <x v="396"/>
    <s v="Soto"/>
    <s v="Hector Soto"/>
    <s v="Sin Giro"/>
    <s v="deemito.mcsoto@gmail.com"/>
    <m/>
    <m/>
    <m/>
    <m/>
    <m/>
    <s v="No"/>
    <n v="0"/>
    <s v="No"/>
    <s v="No definido"/>
    <s v="Si"/>
    <n v="115"/>
    <d v="2024-04-04T19:24:00"/>
    <s v="Activo"/>
    <d v="2024-04-04T19:23:00"/>
    <d v="2024-04-04T19:24:00"/>
    <x v="0"/>
    <m/>
    <m/>
    <m/>
    <m/>
    <m/>
    <m/>
  </r>
  <r>
    <s v="Persona"/>
    <s v="No"/>
    <s v="16397926-8"/>
    <x v="397"/>
    <s v="WERNER"/>
    <s v="BRENDA WERNER"/>
    <s v="Sin Giro"/>
    <s v="brendawerner@gmail.com"/>
    <s v="JUAN SOLER MANFREDINI 11"/>
    <s v="PMON"/>
    <s v="LOS LAGOS"/>
    <n v="981821680"/>
    <m/>
    <s v="No"/>
    <n v="0"/>
    <s v="No"/>
    <s v="No definido"/>
    <s v="Si"/>
    <n v="230"/>
    <d v="2024-04-04T23:43:00"/>
    <s v="Activo"/>
    <d v="2024-04-04T23:42:00"/>
    <d v="2024-04-05T10:44:00"/>
    <x v="0"/>
    <m/>
    <m/>
    <m/>
    <m/>
    <m/>
    <m/>
  </r>
  <r>
    <s v="Persona"/>
    <s v="No"/>
    <s v="10618732-0"/>
    <x v="72"/>
    <s v="Leguer"/>
    <s v="Cristian Leguer"/>
    <s v="Sin Giro"/>
    <s v="clntecnologiadental@msn.com"/>
    <m/>
    <m/>
    <m/>
    <m/>
    <m/>
    <s v="No"/>
    <n v="0"/>
    <s v="No"/>
    <s v="No definido"/>
    <s v="Si"/>
    <n v="230"/>
    <d v="2024-04-05T11:38:00"/>
    <s v="Activo"/>
    <d v="2024-04-05T11:38:00"/>
    <d v="2024-04-05T11:38:00"/>
    <x v="249"/>
    <m/>
    <m/>
    <m/>
    <m/>
    <m/>
    <m/>
  </r>
  <r>
    <s v="Persona"/>
    <s v="No"/>
    <s v="16091429-7"/>
    <x v="283"/>
    <s v="Lillo"/>
    <s v="Fabiola Lillo"/>
    <s v="Sin Giro"/>
    <s v="fabylillo@gmail.com"/>
    <s v="Los Andes 4645"/>
    <s v="Santiago"/>
    <s v="Quinta Normal"/>
    <m/>
    <m/>
    <s v="No"/>
    <n v="0"/>
    <s v="No"/>
    <s v="No definido"/>
    <s v="Si"/>
    <n v="130"/>
    <d v="2024-04-05T14:43:00"/>
    <s v="Activo"/>
    <d v="2024-04-05T14:43:00"/>
    <d v="2024-04-05T14:43:00"/>
    <x v="0"/>
    <m/>
    <m/>
    <m/>
    <m/>
    <m/>
    <m/>
  </r>
  <r>
    <s v="Persona"/>
    <s v="No"/>
    <s v="19985327-9"/>
    <x v="389"/>
    <s v="Aguirre"/>
    <s v="Sebastián Aguirre"/>
    <s v="Sin Giro"/>
    <s v="saguirre@ieee.org"/>
    <s v="Miraflores 1228"/>
    <s v="Santiago"/>
    <s v="Peñaflor"/>
    <m/>
    <m/>
    <s v="No"/>
    <n v="0"/>
    <s v="No"/>
    <s v="No definido"/>
    <s v="Si"/>
    <n v="130"/>
    <d v="2024-04-05T15:50:00"/>
    <s v="Activo"/>
    <d v="2024-04-05T15:50:00"/>
    <d v="2024-04-05T15:50:00"/>
    <x v="0"/>
    <m/>
    <m/>
    <m/>
    <m/>
    <m/>
    <m/>
  </r>
  <r>
    <s v="Persona"/>
    <s v="No"/>
    <s v="19671815-K"/>
    <x v="250"/>
    <s v="Canales"/>
    <s v="Fernanda Canales"/>
    <s v="Sin Giro"/>
    <s v="fcanalesy@gmail.com"/>
    <s v="Francisco Valdes Subercaseaux 4705"/>
    <s v="Santiago"/>
    <s v="Macul"/>
    <m/>
    <m/>
    <s v="No"/>
    <n v="0"/>
    <s v="No"/>
    <s v="No definido"/>
    <s v="Si"/>
    <n v="130"/>
    <d v="2024-04-05T17:46:00"/>
    <s v="Activo"/>
    <d v="2024-04-05T17:45:00"/>
    <d v="2024-04-05T17:46:00"/>
    <x v="0"/>
    <m/>
    <m/>
    <m/>
    <m/>
    <m/>
    <m/>
  </r>
  <r>
    <s v="Persona"/>
    <s v="No"/>
    <s v="20289603-0"/>
    <x v="55"/>
    <s v="Monroy"/>
    <s v="Francisca Monroy"/>
    <s v="Sin Giro"/>
    <s v="francisca.monroy@uc.cl"/>
    <m/>
    <m/>
    <m/>
    <m/>
    <m/>
    <s v="No"/>
    <n v="0"/>
    <s v="No"/>
    <s v="No definido"/>
    <s v="Si"/>
    <n v="130"/>
    <d v="2024-04-05T18:01:00"/>
    <s v="Activo"/>
    <d v="2024-04-05T17:58:00"/>
    <d v="2024-04-05T18:01:00"/>
    <x v="0"/>
    <m/>
    <m/>
    <m/>
    <m/>
    <m/>
    <m/>
  </r>
  <r>
    <s v="Persona"/>
    <s v="No"/>
    <s v="9672308-3"/>
    <x v="311"/>
    <s v="Perello"/>
    <s v="Mauricio Perello"/>
    <s v="Sin Giro"/>
    <s v="mperello@imagina.cl"/>
    <m/>
    <m/>
    <m/>
    <m/>
    <m/>
    <s v="No"/>
    <n v="0"/>
    <s v="No"/>
    <s v="No definido"/>
    <s v="Si"/>
    <n v="115"/>
    <d v="2024-04-05T19:07:00"/>
    <s v="Activo"/>
    <d v="2024-04-05T19:05:00"/>
    <d v="2024-04-05T19:07:00"/>
    <x v="0"/>
    <m/>
    <m/>
    <m/>
    <m/>
    <m/>
    <m/>
  </r>
  <r>
    <s v="Persona"/>
    <s v="No"/>
    <s v="20677261-1"/>
    <x v="329"/>
    <s v="García"/>
    <s v="María José García"/>
    <s v="Sin Giro"/>
    <s v="coteselena@gmail.com"/>
    <m/>
    <m/>
    <m/>
    <m/>
    <m/>
    <s v="No"/>
    <n v="0"/>
    <s v="No"/>
    <s v="No definido"/>
    <s v="Si"/>
    <n v="260"/>
    <d v="2024-04-06T14:54:00"/>
    <s v="Activo"/>
    <d v="2024-04-06T14:54:00"/>
    <d v="2024-04-06T14:54:00"/>
    <x v="0"/>
    <m/>
    <m/>
    <m/>
    <m/>
    <m/>
    <m/>
  </r>
  <r>
    <s v="Persona"/>
    <s v="No"/>
    <s v="23185638-2"/>
    <x v="88"/>
    <s v="Camaran"/>
    <s v="Gabriela Camaran"/>
    <s v="Sin Giro"/>
    <s v="camarangabriela3@gmail.com"/>
    <m/>
    <m/>
    <m/>
    <m/>
    <m/>
    <s v="No"/>
    <n v="0"/>
    <s v="No"/>
    <s v="No definido"/>
    <s v="Si"/>
    <n v="130"/>
    <d v="2024-04-06T19:58:00"/>
    <s v="Activo"/>
    <d v="2024-04-06T19:57:00"/>
    <d v="2024-04-06T19:58:00"/>
    <x v="250"/>
    <m/>
    <m/>
    <m/>
    <m/>
    <m/>
    <m/>
  </r>
  <r>
    <s v="Persona"/>
    <s v="No"/>
    <s v="13904948-9"/>
    <x v="398"/>
    <s v="Pino"/>
    <s v="Roberto Pino"/>
    <s v="Sin Giro"/>
    <s v="roberto.pino@being.cl"/>
    <s v="Juan de Dios Vial Correa 4220"/>
    <s v="PLOL"/>
    <s v="METROPOLITANA DE SANTIAGO"/>
    <n v="979883625"/>
    <m/>
    <s v="No"/>
    <n v="0"/>
    <s v="No"/>
    <s v="No definido"/>
    <s v="Si"/>
    <n v="920"/>
    <d v="2024-04-08T00:39:00"/>
    <s v="Activo"/>
    <d v="2024-04-08T00:39:00"/>
    <d v="2024-04-08T00:39:00"/>
    <x v="0"/>
    <m/>
    <m/>
    <m/>
    <m/>
    <m/>
    <m/>
  </r>
  <r>
    <s v="Persona"/>
    <s v="No"/>
    <s v="21909721-2"/>
    <x v="191"/>
    <s v="VC"/>
    <s v="Ignacia VC"/>
    <s v="Sin Giro"/>
    <s v="nachavc5@gmail.com"/>
    <m/>
    <m/>
    <m/>
    <m/>
    <m/>
    <s v="No"/>
    <n v="0"/>
    <s v="No"/>
    <s v="No definido"/>
    <s v="Si"/>
    <n v="130"/>
    <d v="2024-04-08T11:02:00"/>
    <s v="Activo"/>
    <d v="2024-04-08T11:01:00"/>
    <d v="2024-04-08T11:02:00"/>
    <x v="0"/>
    <m/>
    <m/>
    <m/>
    <m/>
    <m/>
    <m/>
  </r>
  <r>
    <s v="Persona"/>
    <s v="No"/>
    <s v="20501879-4"/>
    <x v="12"/>
    <s v="Dides"/>
    <s v="Natalia Dides"/>
    <s v="Sin Giro"/>
    <s v="natalia.dides@gmail.com"/>
    <m/>
    <m/>
    <m/>
    <m/>
    <m/>
    <s v="No"/>
    <n v="0"/>
    <s v="No"/>
    <s v="No definido"/>
    <s v="Si"/>
    <n v="45"/>
    <d v="2024-04-08T12:28:00"/>
    <s v="Activo"/>
    <d v="2024-04-08T12:28:00"/>
    <d v="2024-04-08T12:28:00"/>
    <x v="0"/>
    <m/>
    <m/>
    <m/>
    <m/>
    <m/>
    <m/>
  </r>
  <r>
    <s v="Persona"/>
    <s v="No"/>
    <s v="19645003-3"/>
    <x v="385"/>
    <s v="Sepulveda"/>
    <s v="Ignacio Sepulveda"/>
    <s v="Sin Giro"/>
    <s v="ignacioasc@live.cl"/>
    <m/>
    <m/>
    <m/>
    <m/>
    <m/>
    <s v="No"/>
    <n v="0"/>
    <s v="No"/>
    <s v="No definido"/>
    <s v="Si"/>
    <n v="0"/>
    <d v="2024-04-17T20:44:00"/>
    <s v="Activo"/>
    <d v="2024-04-08T20:03:00"/>
    <d v="2024-04-08T20:03:00"/>
    <x v="0"/>
    <m/>
    <m/>
    <m/>
    <m/>
    <m/>
    <m/>
  </r>
  <r>
    <s v="Persona"/>
    <s v="No"/>
    <s v="7931347-5"/>
    <x v="29"/>
    <s v="Colodro"/>
    <s v="Daniela Colodro"/>
    <s v="Sin Giro"/>
    <s v="dcolodro@yahoo.com"/>
    <s v="Los gladiolos 10262"/>
    <s v="LCON"/>
    <s v="METROPOLITANA DE SANTIAGO"/>
    <n v="981389764"/>
    <m/>
    <s v="No"/>
    <n v="0"/>
    <s v="No"/>
    <s v="No definido"/>
    <s v="Si"/>
    <n v="460"/>
    <d v="2024-04-08T20:55:00"/>
    <s v="Activo"/>
    <d v="2024-04-08T20:55:00"/>
    <d v="2024-04-08T20:55:00"/>
    <x v="0"/>
    <m/>
    <m/>
    <m/>
    <m/>
    <m/>
    <m/>
  </r>
  <r>
    <s v="Persona"/>
    <s v="No"/>
    <s v="19307612-2"/>
    <x v="14"/>
    <s v="Quijada"/>
    <s v="Benjamin Quijada"/>
    <s v="Sin Giro"/>
    <s v="bquijadaf@gmail.com"/>
    <m/>
    <m/>
    <m/>
    <m/>
    <m/>
    <s v="No"/>
    <n v="0"/>
    <s v="No"/>
    <s v="No definido"/>
    <s v="Si"/>
    <n v="45"/>
    <d v="2024-04-09T12:06:00"/>
    <s v="Activo"/>
    <d v="2024-04-09T12:05:00"/>
    <d v="2024-04-09T12:06:00"/>
    <x v="0"/>
    <m/>
    <m/>
    <m/>
    <m/>
    <m/>
    <m/>
  </r>
  <r>
    <s v="Persona"/>
    <s v="No"/>
    <s v="16098837-1"/>
    <x v="55"/>
    <s v="Gonzalez"/>
    <s v="Francisca Gonzalez"/>
    <s v="Sin Giro"/>
    <s v="fgonzalezfigueroa@hotmail.com"/>
    <m/>
    <m/>
    <m/>
    <m/>
    <m/>
    <s v="No"/>
    <n v="0"/>
    <s v="No"/>
    <s v="No definido"/>
    <s v="Si"/>
    <n v="90"/>
    <d v="2024-04-09T13:14:00"/>
    <s v="Activo"/>
    <d v="2024-04-09T13:13:00"/>
    <d v="2024-04-09T13:14:00"/>
    <x v="0"/>
    <m/>
    <m/>
    <m/>
    <m/>
    <m/>
    <m/>
  </r>
  <r>
    <s v="Persona"/>
    <s v="No"/>
    <s v="13456950-6"/>
    <x v="6"/>
    <s v="Beghelli"/>
    <s v="Gabriel Beghelli"/>
    <s v="Sin Giro"/>
    <s v="gabeghelli@gmail.com"/>
    <m/>
    <m/>
    <m/>
    <m/>
    <m/>
    <s v="No"/>
    <n v="0"/>
    <s v="No"/>
    <s v="No definido"/>
    <s v="Si"/>
    <n v="45"/>
    <d v="2024-04-09T13:25:00"/>
    <s v="Activo"/>
    <d v="2024-04-09T13:25:00"/>
    <d v="2024-04-09T13:25:00"/>
    <x v="0"/>
    <m/>
    <m/>
    <m/>
    <m/>
    <m/>
    <m/>
  </r>
  <r>
    <s v="Persona"/>
    <s v="No"/>
    <s v="18866124-6"/>
    <x v="399"/>
    <s v="Zuñiga"/>
    <s v="Ivette Zuñiga"/>
    <s v="Sin Giro"/>
    <s v="ivettezunigasoto96@gmail.com"/>
    <m/>
    <m/>
    <m/>
    <m/>
    <m/>
    <s v="No"/>
    <n v="0"/>
    <s v="No"/>
    <s v="No definido"/>
    <s v="Si"/>
    <n v="130"/>
    <d v="2024-04-09T16:38:00"/>
    <s v="Activo"/>
    <d v="2024-04-09T16:37:00"/>
    <d v="2024-04-09T16:38:00"/>
    <x v="0"/>
    <m/>
    <m/>
    <m/>
    <m/>
    <m/>
    <m/>
  </r>
  <r>
    <s v="Persona"/>
    <s v="No"/>
    <s v="7192868-3"/>
    <x v="1"/>
    <s v="Yorio"/>
    <s v="Cecilia Yorio"/>
    <s v="Sin Giro"/>
    <s v="ceciliayorio@gmail.com"/>
    <m/>
    <m/>
    <m/>
    <m/>
    <m/>
    <s v="No"/>
    <n v="0"/>
    <s v="No"/>
    <s v="No definido"/>
    <s v="Si"/>
    <n v="260"/>
    <d v="2024-04-09T16:42:00"/>
    <s v="Activo"/>
    <d v="2024-04-09T16:40:00"/>
    <d v="2024-04-09T16:42:00"/>
    <x v="0"/>
    <m/>
    <m/>
    <m/>
    <m/>
    <m/>
    <m/>
  </r>
  <r>
    <s v="Persona"/>
    <s v="No"/>
    <s v="19830980-K"/>
    <x v="93"/>
    <s v="Vargas"/>
    <s v="Juan Vargas"/>
    <s v="Sin Giro"/>
    <s v="ignacio262816@gmail.com"/>
    <m/>
    <m/>
    <m/>
    <m/>
    <m/>
    <s v="No"/>
    <n v="0"/>
    <s v="No"/>
    <s v="No definido"/>
    <s v="Si"/>
    <n v="0"/>
    <d v="2024-04-17T20:44:00"/>
    <s v="Activo"/>
    <d v="2024-04-09T18:05:00"/>
    <d v="2024-04-09T18:05:00"/>
    <x v="0"/>
    <m/>
    <m/>
    <m/>
    <m/>
    <m/>
    <m/>
  </r>
  <r>
    <s v="Persona"/>
    <s v="No"/>
    <s v="13951653-2"/>
    <x v="4"/>
    <s v="Cerda"/>
    <s v="Jose Cerda"/>
    <s v="Sin Giro"/>
    <s v="jcerda@gmail.com"/>
    <m/>
    <m/>
    <m/>
    <m/>
    <m/>
    <s v="No"/>
    <n v="0"/>
    <s v="No"/>
    <s v="No definido"/>
    <s v="Si"/>
    <n v="230"/>
    <d v="2024-04-09T19:18:00"/>
    <s v="Activo"/>
    <d v="2024-04-09T19:17:00"/>
    <d v="2024-04-09T19:18:00"/>
    <x v="251"/>
    <m/>
    <m/>
    <m/>
    <m/>
    <m/>
    <m/>
  </r>
  <r>
    <s v="Persona"/>
    <s v="Si"/>
    <s v="674454011"/>
    <x v="400"/>
    <s v="Conley"/>
    <s v="Owen Conley"/>
    <s v="Sin Giro"/>
    <s v="owenconley17@gmail.com"/>
    <m/>
    <m/>
    <m/>
    <m/>
    <m/>
    <s v="No"/>
    <n v="0"/>
    <s v="No"/>
    <s v="No definido"/>
    <s v="Si"/>
    <n v="230"/>
    <d v="2024-04-09T19:21:00"/>
    <s v="Activo"/>
    <d v="2024-04-09T19:20:00"/>
    <d v="2024-04-09T19:21:00"/>
    <x v="0"/>
    <m/>
    <m/>
    <m/>
    <m/>
    <m/>
    <m/>
  </r>
  <r>
    <s v="Persona"/>
    <s v="Si"/>
    <s v="253044780"/>
    <x v="54"/>
    <s v="Fuchs"/>
    <s v="Rodrigo Fuchs"/>
    <s v="Sin Giro"/>
    <s v="rofuchs@gmail.com"/>
    <m/>
    <m/>
    <m/>
    <m/>
    <m/>
    <s v="No"/>
    <n v="0"/>
    <s v="No"/>
    <s v="No definido"/>
    <s v="Si"/>
    <n v="115"/>
    <d v="2024-04-10T11:47:00"/>
    <s v="Activo"/>
    <d v="2024-04-10T11:47:00"/>
    <d v="2024-04-10T11:47:00"/>
    <x v="0"/>
    <m/>
    <m/>
    <m/>
    <m/>
    <m/>
    <m/>
  </r>
  <r>
    <s v="Persona"/>
    <s v="Si"/>
    <s v="262866319"/>
    <x v="4"/>
    <s v="Vivas"/>
    <s v="Jose Vivas"/>
    <s v="Sin Giro"/>
    <s v="joseandresvivas@gmail.com"/>
    <m/>
    <m/>
    <m/>
    <m/>
    <m/>
    <s v="No"/>
    <n v="0"/>
    <s v="No"/>
    <s v="No definido"/>
    <s v="Si"/>
    <n v="130"/>
    <d v="2024-04-10T13:16:00"/>
    <s v="Activo"/>
    <d v="2024-04-10T13:15:00"/>
    <d v="2024-04-10T13:16:00"/>
    <x v="252"/>
    <m/>
    <m/>
    <m/>
    <m/>
    <m/>
    <m/>
  </r>
  <r>
    <s v="Persona"/>
    <s v="No"/>
    <s v="19062107-3"/>
    <x v="55"/>
    <s v="Mallea"/>
    <s v="Francisca Mallea"/>
    <s v="Sin Giro"/>
    <s v="fmalleasalazar@gmail.com"/>
    <m/>
    <m/>
    <m/>
    <m/>
    <m/>
    <s v="No"/>
    <n v="0"/>
    <s v="No"/>
    <s v="No definido"/>
    <s v="Si"/>
    <n v="130"/>
    <d v="2024-04-10T14:09:00"/>
    <s v="Activo"/>
    <d v="2024-04-10T14:09:00"/>
    <d v="2024-04-10T14:09:00"/>
    <x v="0"/>
    <m/>
    <m/>
    <m/>
    <m/>
    <m/>
    <m/>
  </r>
  <r>
    <s v="Persona"/>
    <s v="No"/>
    <s v="9973373-K"/>
    <x v="36"/>
    <s v="Yelpi"/>
    <s v="Marcelo Yelpi"/>
    <s v="Sin Giro"/>
    <s v="marceloyelpi@hotmail.com"/>
    <m/>
    <m/>
    <m/>
    <m/>
    <m/>
    <s v="No"/>
    <n v="0"/>
    <s v="No"/>
    <s v="No definido"/>
    <s v="Si"/>
    <n v="110"/>
    <d v="2024-04-10T17:38:00"/>
    <s v="Activo"/>
    <d v="2024-04-10T17:38:00"/>
    <d v="2024-04-10T17:38:00"/>
    <x v="0"/>
    <m/>
    <m/>
    <m/>
    <m/>
    <m/>
    <m/>
  </r>
  <r>
    <s v="Persona"/>
    <s v="No"/>
    <s v="19962651-5"/>
    <x v="200"/>
    <s v="Vargas"/>
    <s v="Maria Jesus Vargas"/>
    <s v="Sin Giro"/>
    <s v="jechuvt@gmail.com"/>
    <m/>
    <m/>
    <m/>
    <m/>
    <m/>
    <s v="No"/>
    <n v="0"/>
    <s v="No"/>
    <s v="No definido"/>
    <s v="Si"/>
    <n v="115"/>
    <d v="2024-04-10T18:14:00"/>
    <s v="Activo"/>
    <d v="2024-04-10T18:13:00"/>
    <d v="2024-04-10T18:14:00"/>
    <x v="0"/>
    <m/>
    <m/>
    <m/>
    <m/>
    <m/>
    <m/>
  </r>
  <r>
    <s v="Persona"/>
    <s v="No"/>
    <s v="20214965-0"/>
    <x v="175"/>
    <s v="Ponce"/>
    <s v="Catalina Ponce"/>
    <s v="Sin Giro"/>
    <s v="catalinaponce55@gmail.com"/>
    <m/>
    <m/>
    <m/>
    <m/>
    <m/>
    <s v="No"/>
    <n v="0"/>
    <s v="No"/>
    <s v="No definido"/>
    <s v="Si"/>
    <n v="115"/>
    <d v="2024-04-10T18:39:00"/>
    <s v="Activo"/>
    <d v="2024-04-10T18:39:00"/>
    <d v="2024-04-10T18:39:00"/>
    <x v="0"/>
    <m/>
    <m/>
    <m/>
    <m/>
    <m/>
    <m/>
  </r>
  <r>
    <s v="Persona"/>
    <s v="Si"/>
    <s v="26882149k"/>
    <x v="401"/>
    <s v="Sbarra"/>
    <s v="Gianfranco Sbarra"/>
    <s v="Sin Giro"/>
    <s v="domenicosb@gmail.com"/>
    <m/>
    <m/>
    <m/>
    <m/>
    <m/>
    <s v="No"/>
    <n v="0"/>
    <s v="No"/>
    <s v="No definido"/>
    <s v="Si"/>
    <n v="90"/>
    <d v="2024-04-10T18:42:00"/>
    <s v="Activo"/>
    <d v="2024-04-10T18:41:00"/>
    <d v="2024-04-10T18:42:00"/>
    <x v="253"/>
    <m/>
    <m/>
    <m/>
    <m/>
    <m/>
    <m/>
  </r>
  <r>
    <s v="Persona"/>
    <s v="No"/>
    <s v="27760688-7"/>
    <x v="402"/>
    <s v="Liendo"/>
    <s v="Nicole  Liendo"/>
    <s v="Sin Giro"/>
    <s v="nicoleliendo202@gmail.com"/>
    <m/>
    <m/>
    <m/>
    <m/>
    <m/>
    <s v="No"/>
    <n v="0"/>
    <s v="No"/>
    <s v="No definido"/>
    <s v="Si"/>
    <n v="75"/>
    <d v="2024-04-10T21:34:00"/>
    <s v="Activo"/>
    <d v="2024-04-10T21:34:00"/>
    <d v="2024-04-10T21:34:00"/>
    <x v="254"/>
    <m/>
    <m/>
    <m/>
    <m/>
    <m/>
    <m/>
  </r>
  <r>
    <s v="Persona"/>
    <s v="No"/>
    <s v="15754296-6"/>
    <x v="44"/>
    <s v="Ibañez"/>
    <s v="Yasna Ibañez"/>
    <s v="Sin Giro"/>
    <s v="yasnasfeir@gmail.com"/>
    <m/>
    <m/>
    <m/>
    <m/>
    <m/>
    <s v="No"/>
    <n v="0"/>
    <s v="No"/>
    <s v="No definido"/>
    <s v="Si"/>
    <n v="115"/>
    <d v="2024-04-11T13:31:00"/>
    <s v="Activo"/>
    <d v="2024-04-11T13:31:00"/>
    <d v="2024-04-11T13:31:00"/>
    <x v="0"/>
    <m/>
    <m/>
    <m/>
    <m/>
    <m/>
    <m/>
  </r>
  <r>
    <s v="Persona"/>
    <s v="No"/>
    <s v="21071637-8"/>
    <x v="403"/>
    <s v="Vega"/>
    <s v="Annais Vega"/>
    <s v="Sin Giro"/>
    <s v="annaisvegaa01@gmail.com"/>
    <m/>
    <m/>
    <m/>
    <m/>
    <m/>
    <s v="No"/>
    <n v="0"/>
    <s v="No"/>
    <s v="No definido"/>
    <s v="Si"/>
    <n v="130"/>
    <d v="2024-04-11T15:46:00"/>
    <s v="Activo"/>
    <d v="2024-04-11T15:46:00"/>
    <d v="2024-04-11T15:46:00"/>
    <x v="0"/>
    <m/>
    <m/>
    <m/>
    <m/>
    <m/>
    <m/>
  </r>
  <r>
    <s v="Persona"/>
    <s v="Si"/>
    <s v="272305455"/>
    <x v="404"/>
    <s v="Duque"/>
    <s v="Leonardo Duque"/>
    <s v="Sin Giro"/>
    <s v="duquescalante@gmail.com"/>
    <m/>
    <m/>
    <m/>
    <m/>
    <m/>
    <s v="No"/>
    <n v="0"/>
    <s v="No"/>
    <s v="No definido"/>
    <s v="Si"/>
    <n v="75"/>
    <d v="2024-04-11T16:09:00"/>
    <s v="Activo"/>
    <d v="2024-04-11T16:08:00"/>
    <d v="2024-04-11T16:09:00"/>
    <x v="255"/>
    <m/>
    <m/>
    <m/>
    <m/>
    <m/>
    <m/>
  </r>
  <r>
    <s v="Persona"/>
    <s v="No"/>
    <s v="13672622-6"/>
    <x v="405"/>
    <s v="Rifo"/>
    <s v="Erick Rifo"/>
    <s v="Sin Giro"/>
    <s v="rifoerick@gmail.com"/>
    <m/>
    <m/>
    <m/>
    <m/>
    <m/>
    <s v="No"/>
    <n v="0"/>
    <s v="No"/>
    <s v="No definido"/>
    <s v="Si"/>
    <n v="115"/>
    <d v="2024-04-11T17:07:00"/>
    <s v="Activo"/>
    <d v="2024-04-11T17:07:00"/>
    <d v="2024-04-11T17:07:00"/>
    <x v="0"/>
    <m/>
    <m/>
    <m/>
    <m/>
    <m/>
    <m/>
  </r>
  <r>
    <s v="Persona"/>
    <s v="No"/>
    <s v="20482611-0"/>
    <x v="107"/>
    <s v="Torres"/>
    <s v="Valentina Torres"/>
    <s v="Sin Giro"/>
    <s v="vtorresc@uc.cl"/>
    <m/>
    <m/>
    <m/>
    <m/>
    <m/>
    <s v="No"/>
    <n v="0"/>
    <s v="No"/>
    <s v="No definido"/>
    <s v="Si"/>
    <n v="115"/>
    <d v="2024-04-11T17:43:00"/>
    <s v="Activo"/>
    <d v="2024-04-11T17:43:00"/>
    <d v="2024-04-11T17:43:00"/>
    <x v="0"/>
    <m/>
    <m/>
    <m/>
    <m/>
    <m/>
    <m/>
  </r>
  <r>
    <s v="Persona"/>
    <s v="No"/>
    <s v="20556993-6"/>
    <x v="132"/>
    <s v="Abraham"/>
    <s v="Alvaro Abraham"/>
    <s v="Sin Giro"/>
    <s v="alvaroabraham1707@gmail.com"/>
    <m/>
    <m/>
    <m/>
    <m/>
    <m/>
    <s v="No"/>
    <n v="0"/>
    <s v="No"/>
    <s v="No definido"/>
    <s v="Si"/>
    <n v="45"/>
    <d v="2024-04-11T18:34:00"/>
    <s v="Activo"/>
    <d v="2024-04-11T18:33:00"/>
    <d v="2024-04-11T18:34:00"/>
    <x v="0"/>
    <m/>
    <m/>
    <m/>
    <m/>
    <m/>
    <m/>
  </r>
  <r>
    <s v="Persona"/>
    <s v="No"/>
    <s v="17737442-3"/>
    <x v="50"/>
    <s v="Muñoz"/>
    <s v="Nicolas Muñoz"/>
    <s v="Sin Giro"/>
    <s v="nmunozv13@gmail.com"/>
    <m/>
    <m/>
    <m/>
    <m/>
    <m/>
    <s v="No"/>
    <n v="0"/>
    <s v="No"/>
    <s v="No definido"/>
    <s v="Si"/>
    <n v="130"/>
    <d v="2024-04-12T11:59:00"/>
    <s v="Activo"/>
    <d v="2024-04-12T11:58:00"/>
    <d v="2024-04-12T11:59:00"/>
    <x v="256"/>
    <m/>
    <m/>
    <m/>
    <m/>
    <m/>
    <m/>
  </r>
  <r>
    <s v="Persona"/>
    <s v="No"/>
    <s v="13471957-5"/>
    <x v="406"/>
    <s v="Zamorano"/>
    <s v="Tatiana Zamorano"/>
    <s v="Sin Giro"/>
    <s v="tzamoranoh@gmail.com"/>
    <m/>
    <m/>
    <m/>
    <m/>
    <m/>
    <s v="No"/>
    <n v="0"/>
    <s v="No"/>
    <s v="No definido"/>
    <s v="Si"/>
    <n v="115"/>
    <d v="2024-04-12T12:01:00"/>
    <s v="Activo"/>
    <d v="2024-04-12T12:01:00"/>
    <d v="2024-04-12T12:01:00"/>
    <x v="257"/>
    <m/>
    <m/>
    <m/>
    <m/>
    <m/>
    <m/>
  </r>
  <r>
    <s v="Persona"/>
    <s v="No"/>
    <s v="15962694-6"/>
    <x v="407"/>
    <s v="Barrera"/>
    <s v="Gerardo Barrera"/>
    <s v="Sin Giro"/>
    <s v="gbarreracardonne@gmail.com"/>
    <m/>
    <m/>
    <m/>
    <m/>
    <m/>
    <s v="No"/>
    <n v="0"/>
    <s v="No"/>
    <s v="No definido"/>
    <s v="Si"/>
    <n v="230"/>
    <d v="2024-04-15T16:54:00"/>
    <s v="Activo"/>
    <d v="2024-04-12T12:02:00"/>
    <d v="2024-04-15T16:54:00"/>
    <x v="258"/>
    <m/>
    <m/>
    <m/>
    <m/>
    <m/>
    <m/>
  </r>
  <r>
    <s v="Persona"/>
    <s v="No"/>
    <s v="13699238-4"/>
    <x v="273"/>
    <s v="Maldonado"/>
    <s v="Maria Jose Maldonado"/>
    <s v="Sin Giro"/>
    <s v="cotemaldonado@gmail.com"/>
    <m/>
    <m/>
    <m/>
    <m/>
    <m/>
    <s v="No"/>
    <n v="0"/>
    <s v="No"/>
    <s v="No definido"/>
    <s v="Si"/>
    <n v="245"/>
    <d v="2024-04-12T13:23:00"/>
    <s v="Activo"/>
    <d v="2024-04-12T13:23:00"/>
    <d v="2024-04-12T13:23:00"/>
    <x v="0"/>
    <m/>
    <m/>
    <m/>
    <m/>
    <m/>
    <m/>
  </r>
  <r>
    <s v="Persona"/>
    <s v="No"/>
    <s v="15339310-9"/>
    <x v="29"/>
    <s v="Parodi"/>
    <s v="Daniela Parodi"/>
    <s v="Sin Giro"/>
    <s v="d.parodi.sosa@gmail.com"/>
    <m/>
    <m/>
    <m/>
    <m/>
    <m/>
    <s v="No"/>
    <n v="0"/>
    <s v="No"/>
    <s v="No definido"/>
    <s v="Si"/>
    <n v="115"/>
    <d v="2024-04-12T13:28:00"/>
    <s v="Activo"/>
    <d v="2024-04-12T13:28:00"/>
    <d v="2024-04-12T13:28:00"/>
    <x v="0"/>
    <m/>
    <m/>
    <m/>
    <m/>
    <m/>
    <m/>
  </r>
  <r>
    <s v="Persona"/>
    <s v="No"/>
    <s v="21553437-5"/>
    <x v="408"/>
    <s v="DMF"/>
    <s v="Lenny DMF"/>
    <s v="Sin Giro"/>
    <s v="lennydmf@gmail.com"/>
    <m/>
    <m/>
    <m/>
    <m/>
    <m/>
    <s v="No"/>
    <n v="0"/>
    <s v="No"/>
    <s v="No definido"/>
    <s v="Si"/>
    <n v="130"/>
    <d v="2024-04-12T15:53:00"/>
    <s v="Activo"/>
    <d v="2024-04-12T14:00:00"/>
    <d v="2024-04-12T15:53:00"/>
    <x v="0"/>
    <m/>
    <m/>
    <m/>
    <m/>
    <m/>
    <m/>
  </r>
  <r>
    <s v="Persona"/>
    <s v="No"/>
    <s v="13550038-0"/>
    <x v="409"/>
    <s v="Torres"/>
    <s v="Rossmery Torres"/>
    <s v="Sin Giro"/>
    <s v="rossmerytorres@gmail.com"/>
    <m/>
    <m/>
    <m/>
    <m/>
    <m/>
    <s v="No"/>
    <n v="0"/>
    <s v="No"/>
    <s v="No definido"/>
    <s v="Si"/>
    <n v="115"/>
    <d v="2024-04-12T15:54:00"/>
    <s v="Activo"/>
    <d v="2024-04-12T15:53:00"/>
    <d v="2024-04-12T15:54:00"/>
    <x v="0"/>
    <m/>
    <m/>
    <m/>
    <m/>
    <m/>
    <m/>
  </r>
  <r>
    <s v="Persona"/>
    <s v="No"/>
    <s v="10639649-3"/>
    <x v="86"/>
    <s v="Agregar Apellido"/>
    <s v="Mariano Agregar Apellido"/>
    <s v="Sin Giro"/>
    <s v="mariano@imagenempresarial.cl"/>
    <m/>
    <m/>
    <m/>
    <m/>
    <m/>
    <s v="No"/>
    <n v="0"/>
    <s v="No"/>
    <s v="No definido"/>
    <s v="Si"/>
    <n v="115"/>
    <d v="2024-04-12T16:03:00"/>
    <s v="Activo"/>
    <d v="2024-04-12T16:03:00"/>
    <d v="2024-04-12T16:03:00"/>
    <x v="259"/>
    <m/>
    <m/>
    <m/>
    <m/>
    <m/>
    <m/>
  </r>
  <r>
    <s v="Persona"/>
    <s v="No"/>
    <s v="19051389-0"/>
    <x v="61"/>
    <s v="Ortiz"/>
    <s v="Sebastian Ortiz"/>
    <s v="Sin Giro"/>
    <s v="sebaortizsm@gmail.com"/>
    <m/>
    <m/>
    <m/>
    <m/>
    <m/>
    <s v="No"/>
    <n v="0"/>
    <s v="No"/>
    <s v="No definido"/>
    <s v="Si"/>
    <n v="130"/>
    <d v="2024-04-12T16:53:00"/>
    <s v="Activo"/>
    <d v="2024-04-12T16:52:00"/>
    <d v="2024-04-12T16:53:00"/>
    <x v="0"/>
    <m/>
    <m/>
    <m/>
    <m/>
    <m/>
    <m/>
  </r>
  <r>
    <s v="Persona"/>
    <s v="No"/>
    <s v="13834531-9"/>
    <x v="410"/>
    <s v="Salazar"/>
    <s v="Estefany Salazar"/>
    <s v="Sin Giro"/>
    <s v="esalazarcorrea@gmail.com"/>
    <m/>
    <m/>
    <m/>
    <m/>
    <m/>
    <s v="No"/>
    <n v="0"/>
    <s v="No"/>
    <s v="No definido"/>
    <s v="Si"/>
    <n v="130"/>
    <d v="2024-04-12T16:55:00"/>
    <s v="Activo"/>
    <d v="2024-04-12T16:55:00"/>
    <d v="2024-04-12T16:55:00"/>
    <x v="260"/>
    <m/>
    <m/>
    <m/>
    <m/>
    <m/>
    <m/>
  </r>
  <r>
    <s v="Persona"/>
    <s v="No"/>
    <s v="13895100-6"/>
    <x v="42"/>
    <s v="Miranda"/>
    <s v="Andres Miranda"/>
    <s v="Sin Giro"/>
    <s v="andmirandaa@hotmail.com"/>
    <m/>
    <m/>
    <m/>
    <m/>
    <m/>
    <s v="No"/>
    <n v="0"/>
    <s v="No"/>
    <s v="No definido"/>
    <s v="Si"/>
    <n v="130"/>
    <d v="2024-04-12T17:54:00"/>
    <s v="Activo"/>
    <d v="2024-04-12T17:53:00"/>
    <d v="2024-04-12T17:54:00"/>
    <x v="0"/>
    <m/>
    <m/>
    <m/>
    <m/>
    <m/>
    <m/>
  </r>
  <r>
    <s v="Persona"/>
    <s v="No"/>
    <s v="15800280-9"/>
    <x v="12"/>
    <s v="Martinez"/>
    <s v="Natalia Martinez"/>
    <s v="Sin Giro"/>
    <s v="nmartinez@grupogcr.cl"/>
    <s v="Camino de cintura 8030"/>
    <s v="HUEC"/>
    <s v="METROPOLITANA DE SANTIAGO"/>
    <n v="998730205"/>
    <m/>
    <s v="No"/>
    <n v="0"/>
    <s v="No"/>
    <s v="No definido"/>
    <s v="Si"/>
    <n v="115"/>
    <d v="2024-04-13T15:55:00"/>
    <s v="Activo"/>
    <d v="2024-04-13T15:55:00"/>
    <d v="2024-04-13T15:55:00"/>
    <x v="0"/>
    <m/>
    <m/>
    <m/>
    <m/>
    <m/>
    <m/>
  </r>
  <r>
    <s v="Persona"/>
    <s v="No"/>
    <s v="12558426-8"/>
    <x v="411"/>
    <s v="SANDOVAL"/>
    <s v="MARIA ALICIA SANDOVAL"/>
    <s v="Sin Giro"/>
    <s v="ichasandoval@gmail.com"/>
    <s v="Freire 379"/>
    <s v="LANG"/>
    <s v="BIOBIO"/>
    <n v="956791892"/>
    <m/>
    <s v="No"/>
    <n v="0"/>
    <s v="No"/>
    <s v="No definido"/>
    <s v="Si"/>
    <n v="115"/>
    <d v="2024-04-13T18:12:00"/>
    <s v="Activo"/>
    <d v="2024-04-13T18:12:00"/>
    <d v="2024-04-13T18:12:00"/>
    <x v="0"/>
    <m/>
    <m/>
    <m/>
    <m/>
    <m/>
    <m/>
  </r>
  <r>
    <s v="Persona"/>
    <s v="No"/>
    <s v="16174771-8"/>
    <x v="266"/>
    <s v="Patiño"/>
    <s v="Alexis Patiño"/>
    <s v="Sin Giro"/>
    <s v="alexis.patino@gmail.com"/>
    <m/>
    <m/>
    <m/>
    <m/>
    <m/>
    <s v="No"/>
    <n v="0"/>
    <s v="No"/>
    <s v="No definido"/>
    <s v="Si"/>
    <n v="45"/>
    <d v="2024-04-13T18:41:00"/>
    <s v="Activo"/>
    <d v="2024-04-13T18:41:00"/>
    <d v="2024-04-13T18:41:00"/>
    <x v="261"/>
    <m/>
    <m/>
    <m/>
    <m/>
    <m/>
    <m/>
  </r>
  <r>
    <s v="Persona"/>
    <s v="No"/>
    <s v="20008618-K"/>
    <x v="139"/>
    <s v="Diaz"/>
    <s v="Tomas Diaz"/>
    <s v="Sin Giro"/>
    <s v="tomas.diazferrada@gmail.com"/>
    <m/>
    <m/>
    <m/>
    <m/>
    <m/>
    <s v="No"/>
    <n v="0"/>
    <s v="No"/>
    <s v="No definido"/>
    <s v="Si"/>
    <n v="115"/>
    <d v="2024-04-13T18:45:00"/>
    <s v="Activo"/>
    <d v="2024-04-13T18:45:00"/>
    <d v="2024-04-13T18:45:00"/>
    <x v="0"/>
    <m/>
    <m/>
    <m/>
    <m/>
    <m/>
    <m/>
  </r>
  <r>
    <s v="Persona"/>
    <s v="No"/>
    <s v="16477153-9"/>
    <x v="133"/>
    <s v="Cueto"/>
    <s v="Gustavo Cueto"/>
    <s v="Sin Giro"/>
    <s v="cuetobenavides@gmail.com"/>
    <m/>
    <m/>
    <m/>
    <m/>
    <m/>
    <s v="No"/>
    <n v="0"/>
    <s v="No"/>
    <s v="No definido"/>
    <s v="Si"/>
    <n v="45"/>
    <d v="2024-04-13T19:43:00"/>
    <s v="Activo"/>
    <d v="2024-04-13T19:43:00"/>
    <d v="2024-04-13T19:43:00"/>
    <x v="262"/>
    <m/>
    <m/>
    <m/>
    <m/>
    <m/>
    <m/>
  </r>
  <r>
    <s v="Persona"/>
    <s v="No"/>
    <s v="21122332-4"/>
    <x v="63"/>
    <s v="Chavez"/>
    <s v="Amparo Chavez"/>
    <s v="Sin Giro"/>
    <s v="amparo.chavez@uc.cl"/>
    <m/>
    <m/>
    <m/>
    <m/>
    <m/>
    <s v="No"/>
    <n v="0"/>
    <s v="No"/>
    <s v="No definido"/>
    <s v="Si"/>
    <n v="115"/>
    <d v="2024-04-15T11:43:00"/>
    <s v="Activo"/>
    <d v="2024-04-15T11:42:00"/>
    <d v="2024-04-15T11:43:00"/>
    <x v="0"/>
    <m/>
    <m/>
    <m/>
    <m/>
    <m/>
    <m/>
  </r>
  <r>
    <s v="Persona"/>
    <s v="No"/>
    <s v="17179300-9"/>
    <x v="190"/>
    <s v="Castagnoli"/>
    <s v="Valeria Castagnoli"/>
    <s v="Sin Giro"/>
    <s v="valeriacastagnoli@gmail.com"/>
    <m/>
    <m/>
    <m/>
    <m/>
    <m/>
    <s v="No"/>
    <n v="0"/>
    <s v="No"/>
    <s v="No definido"/>
    <s v="Si"/>
    <n v="130"/>
    <d v="2024-04-15T15:14:00"/>
    <s v="Activo"/>
    <d v="2024-04-15T15:14:00"/>
    <d v="2024-04-15T15:14:00"/>
    <x v="0"/>
    <m/>
    <m/>
    <m/>
    <m/>
    <m/>
    <m/>
  </r>
  <r>
    <s v="Persona"/>
    <s v="No"/>
    <s v="20525813-2"/>
    <x v="412"/>
    <s v="Araya"/>
    <s v="Cooper Araya"/>
    <s v="Sin Giro"/>
    <s v="cooper.2araya@gmail.com"/>
    <m/>
    <m/>
    <m/>
    <m/>
    <m/>
    <s v="No"/>
    <n v="0"/>
    <s v="No"/>
    <s v="No definido"/>
    <s v="Si"/>
    <n v="45"/>
    <d v="2024-04-15T16:31:00"/>
    <s v="Activo"/>
    <d v="2024-04-15T16:30:00"/>
    <d v="2024-04-15T16:31:00"/>
    <x v="263"/>
    <m/>
    <m/>
    <m/>
    <m/>
    <m/>
    <m/>
  </r>
  <r>
    <s v="Persona"/>
    <s v="No"/>
    <s v="20419520-K"/>
    <x v="175"/>
    <s v="Mancilla"/>
    <s v="Catalina Mancilla"/>
    <s v="Sin Giro"/>
    <s v="catalinabelen.me2000@gmail.com"/>
    <m/>
    <m/>
    <m/>
    <m/>
    <m/>
    <s v="No"/>
    <n v="0"/>
    <s v="No"/>
    <s v="No definido"/>
    <s v="Si"/>
    <n v="45"/>
    <d v="2024-04-15T19:30:00"/>
    <s v="Activo"/>
    <d v="2024-04-15T19:29:00"/>
    <d v="2024-04-15T19:30:00"/>
    <x v="264"/>
    <m/>
    <m/>
    <m/>
    <m/>
    <m/>
    <m/>
  </r>
  <r>
    <s v="Persona"/>
    <s v="No"/>
    <s v="18858507-8"/>
    <x v="121"/>
    <s v="Gormaz"/>
    <s v="Paula Gormaz"/>
    <s v="Sin Giro"/>
    <s v="gormazpaula@gmail.com"/>
    <m/>
    <m/>
    <m/>
    <m/>
    <m/>
    <s v="No"/>
    <n v="0"/>
    <s v="No"/>
    <s v="No definido"/>
    <s v="Si"/>
    <n v="45"/>
    <d v="2024-04-15T21:10:00"/>
    <s v="Activo"/>
    <d v="2024-04-15T21:10:00"/>
    <d v="2024-04-15T21:10:00"/>
    <x v="265"/>
    <m/>
    <m/>
    <m/>
    <m/>
    <m/>
    <m/>
  </r>
  <r>
    <s v="Persona"/>
    <s v="No"/>
    <s v="20001670-K"/>
    <x v="311"/>
    <s v="Sazo"/>
    <s v="Mauricio Sazo"/>
    <s v="Sin Giro"/>
    <s v="mauri_krs1@outlook.es"/>
    <m/>
    <m/>
    <m/>
    <m/>
    <m/>
    <s v="No"/>
    <n v="0"/>
    <s v="No"/>
    <s v="No definido"/>
    <s v="Si"/>
    <n v="0"/>
    <d v="2024-04-17T20:44:00"/>
    <s v="Activo"/>
    <d v="2024-04-15T21:37:00"/>
    <d v="2024-04-15T21:37:00"/>
    <x v="266"/>
    <m/>
    <m/>
    <m/>
    <m/>
    <m/>
    <m/>
  </r>
  <r>
    <s v="Persona"/>
    <s v="No"/>
    <s v="14313895-K"/>
    <x v="398"/>
    <s v="Pasten"/>
    <s v="Roberto Pasten"/>
    <s v="Sin Giro"/>
    <s v="robertopasten@gmail.com"/>
    <m/>
    <m/>
    <m/>
    <m/>
    <m/>
    <s v="No"/>
    <n v="0"/>
    <s v="No"/>
    <s v="No definido"/>
    <s v="Si"/>
    <n v="110"/>
    <d v="2024-04-16T14:08:00"/>
    <s v="Activo"/>
    <d v="2024-04-16T14:08:00"/>
    <d v="2024-04-16T14:08:00"/>
    <x v="267"/>
    <m/>
    <m/>
    <m/>
    <m/>
    <m/>
    <m/>
  </r>
  <r>
    <s v="Persona"/>
    <s v="No"/>
    <s v="13027690-3"/>
    <x v="413"/>
    <s v="Vera"/>
    <s v="Lisette Vera"/>
    <s v="Sin Giro"/>
    <s v="lisettevera321@gmail.com"/>
    <m/>
    <m/>
    <m/>
    <m/>
    <m/>
    <s v="No"/>
    <n v="0"/>
    <s v="No"/>
    <s v="No definido"/>
    <s v="Si"/>
    <n v="130"/>
    <d v="2024-04-16T14:10:00"/>
    <s v="Activo"/>
    <d v="2024-04-16T14:09:00"/>
    <d v="2024-04-16T14:10:00"/>
    <x v="0"/>
    <m/>
    <m/>
    <m/>
    <m/>
    <m/>
    <m/>
  </r>
  <r>
    <s v="Persona"/>
    <s v="No"/>
    <s v="20159597-5"/>
    <x v="50"/>
    <s v="Zepeda"/>
    <s v="Nicolas Zepeda"/>
    <s v="Sin Giro"/>
    <s v="nicolas.zepeda2@gmail.com"/>
    <m/>
    <m/>
    <m/>
    <m/>
    <m/>
    <s v="No"/>
    <n v="0"/>
    <s v="No"/>
    <s v="No definido"/>
    <s v="Si"/>
    <n v="175"/>
    <d v="2024-04-16T15:38:00"/>
    <s v="Activo"/>
    <d v="2024-04-16T15:35:00"/>
    <d v="2024-04-16T15:38:00"/>
    <x v="0"/>
    <m/>
    <m/>
    <m/>
    <m/>
    <m/>
    <m/>
  </r>
  <r>
    <s v="Persona"/>
    <s v="No"/>
    <s v="16343711-2"/>
    <x v="104"/>
    <s v="Poblete"/>
    <s v="Felipe Poblete"/>
    <s v="Sin Giro"/>
    <s v="fpoblete.9103@gmail.com"/>
    <m/>
    <m/>
    <m/>
    <m/>
    <m/>
    <s v="No"/>
    <n v="0"/>
    <s v="No"/>
    <s v="No definido"/>
    <s v="Si"/>
    <n v="115"/>
    <d v="2024-04-16T16:51:00"/>
    <s v="Activo"/>
    <d v="2024-04-16T16:50:00"/>
    <d v="2024-04-16T16:51:00"/>
    <x v="0"/>
    <m/>
    <m/>
    <m/>
    <m/>
    <m/>
    <m/>
  </r>
  <r>
    <s v="Persona"/>
    <s v="No"/>
    <s v="15783678-1"/>
    <x v="117"/>
    <s v="Vargas"/>
    <s v="Mariela Vargas"/>
    <s v="Sin Giro"/>
    <s v="mvaracena@gmail.com"/>
    <m/>
    <m/>
    <m/>
    <m/>
    <m/>
    <s v="No"/>
    <n v="0"/>
    <s v="No"/>
    <s v="No definido"/>
    <s v="Si"/>
    <n v="130"/>
    <d v="2024-04-16T18:20:00"/>
    <s v="Activo"/>
    <d v="2024-04-16T18:20:00"/>
    <d v="2024-04-16T18:20:00"/>
    <x v="268"/>
    <m/>
    <m/>
    <m/>
    <m/>
    <m/>
    <m/>
  </r>
  <r>
    <s v="Persona"/>
    <s v="No"/>
    <s v="14228617-3"/>
    <x v="127"/>
    <s v="Barria flores"/>
    <s v="Victor Barria flores"/>
    <s v="Sin Giro"/>
    <s v="joselyn.inyaco@gmail.com"/>
    <s v="del arriero 05600"/>
    <s v="PUNT"/>
    <s v="MAGALLANES Y LA ANTARTICA CHILENA"/>
    <n v="9974965774"/>
    <m/>
    <s v="No"/>
    <n v="0"/>
    <s v="No"/>
    <s v="No definido"/>
    <s v="Si"/>
    <n v="115"/>
    <d v="2024-04-17T14:23:00"/>
    <s v="Activo"/>
    <d v="2024-04-17T14:23:00"/>
    <d v="2024-04-17T14:23:00"/>
    <x v="0"/>
    <m/>
    <m/>
    <m/>
    <m/>
    <m/>
    <m/>
  </r>
  <r>
    <s v="Persona"/>
    <s v="No"/>
    <s v="7327900-3"/>
    <x v="179"/>
    <s v="Corral"/>
    <s v="Pablo Corral"/>
    <s v="Sin Giro"/>
    <s v="pcorral@gmail.com"/>
    <m/>
    <m/>
    <m/>
    <m/>
    <m/>
    <s v="No"/>
    <n v="0"/>
    <s v="No"/>
    <s v="No definido"/>
    <s v="Si"/>
    <n v="130"/>
    <d v="2024-04-17T15:55:00"/>
    <s v="Activo"/>
    <d v="2024-04-17T15:55:00"/>
    <d v="2024-04-17T15:55:00"/>
    <x v="269"/>
    <m/>
    <m/>
    <m/>
    <m/>
    <m/>
    <m/>
  </r>
  <r>
    <s v="Persona"/>
    <s v="No"/>
    <s v="18303660-2"/>
    <x v="103"/>
    <s v="Bustos"/>
    <s v="Sergio Bustos"/>
    <s v="Sin Giro"/>
    <s v="sergiobustosv@gmail.com"/>
    <m/>
    <m/>
    <m/>
    <m/>
    <m/>
    <s v="No"/>
    <n v="0"/>
    <s v="No"/>
    <s v="No definido"/>
    <s v="Si"/>
    <n v="130"/>
    <d v="2024-04-17T19:45:00"/>
    <s v="Activo"/>
    <d v="2024-04-17T19:45:00"/>
    <d v="2024-04-17T19:45:00"/>
    <x v="0"/>
    <m/>
    <m/>
    <m/>
    <m/>
    <m/>
    <m/>
  </r>
  <r>
    <s v="Persona"/>
    <s v="No"/>
    <s v="19896826-9"/>
    <x v="130"/>
    <s v="Balboa"/>
    <s v="Alejandra Balboa"/>
    <s v="Sin Giro"/>
    <s v="alejandrabalboac@gmail.com"/>
    <m/>
    <m/>
    <m/>
    <m/>
    <m/>
    <s v="No"/>
    <n v="0"/>
    <s v="No"/>
    <s v="No definido"/>
    <s v="Si"/>
    <n v="115"/>
    <d v="2024-04-17T20:17:00"/>
    <s v="Activo"/>
    <d v="2024-04-17T20:17:00"/>
    <d v="2024-04-17T20:17:00"/>
    <x v="0"/>
    <m/>
    <m/>
    <m/>
    <m/>
    <m/>
    <m/>
  </r>
  <r>
    <s v="Persona"/>
    <s v="No"/>
    <s v="19954843-3"/>
    <x v="244"/>
    <s v="M"/>
    <s v="Elias M"/>
    <s v="Sin Giro"/>
    <s v="eliasm987@gmail.com"/>
    <m/>
    <m/>
    <m/>
    <m/>
    <m/>
    <s v="No"/>
    <n v="0"/>
    <s v="No"/>
    <s v="No definido"/>
    <s v="Si"/>
    <n v="90"/>
    <d v="2024-04-17T20:36:00"/>
    <s v="Activo"/>
    <d v="2024-04-17T20:35:00"/>
    <d v="2024-04-17T20:36:0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18" firstHeaderRow="1" firstDataRow="1" firstDataCol="1" rowPageCount="1" colPageCount="1"/>
  <pivotFields count="30">
    <pivotField showAll="0"/>
    <pivotField showAll="0"/>
    <pivotField showAll="0"/>
    <pivotField axis="axisRow" showAll="0">
      <items count="415">
        <item x="317"/>
        <item x="282"/>
        <item x="299"/>
        <item x="100"/>
        <item x="315"/>
        <item x="65"/>
        <item x="297"/>
        <item x="286"/>
        <item x="287"/>
        <item x="9"/>
        <item x="213"/>
        <item x="327"/>
        <item x="130"/>
        <item x="163"/>
        <item x="125"/>
        <item x="60"/>
        <item x="266"/>
        <item x="202"/>
        <item x="205"/>
        <item x="222"/>
        <item x="240"/>
        <item x="56"/>
        <item x="264"/>
        <item x="132"/>
        <item x="268"/>
        <item x="178"/>
        <item x="361"/>
        <item x="63"/>
        <item x="82"/>
        <item x="186"/>
        <item x="303"/>
        <item x="39"/>
        <item x="42"/>
        <item x="372"/>
        <item x="233"/>
        <item x="345"/>
        <item x="113"/>
        <item x="377"/>
        <item x="403"/>
        <item x="98"/>
        <item x="231"/>
        <item x="224"/>
        <item x="34"/>
        <item x="235"/>
        <item x="239"/>
        <item x="59"/>
        <item x="115"/>
        <item x="14"/>
        <item x="37"/>
        <item x="308"/>
        <item x="144"/>
        <item x="397"/>
        <item x="120"/>
        <item x="253"/>
        <item x="352"/>
        <item x="221"/>
        <item x="24"/>
        <item x="160"/>
        <item x="45"/>
        <item x="43"/>
        <item x="73"/>
        <item x="19"/>
        <item x="342"/>
        <item x="375"/>
        <item x="175"/>
        <item x="316"/>
        <item x="1"/>
        <item x="292"/>
        <item x="395"/>
        <item x="214"/>
        <item x="336"/>
        <item x="218"/>
        <item x="198"/>
        <item x="351"/>
        <item x="74"/>
        <item x="325"/>
        <item x="391"/>
        <item x="109"/>
        <item x="412"/>
        <item x="155"/>
        <item x="72"/>
        <item x="78"/>
        <item x="223"/>
        <item x="290"/>
        <item x="126"/>
        <item x="370"/>
        <item x="101"/>
        <item x="228"/>
        <item x="29"/>
        <item x="216"/>
        <item x="285"/>
        <item x="148"/>
        <item x="260"/>
        <item x="348"/>
        <item x="28"/>
        <item x="291"/>
        <item x="137"/>
        <item x="328"/>
        <item x="116"/>
        <item x="346"/>
        <item x="310"/>
        <item x="322"/>
        <item x="58"/>
        <item x="27"/>
        <item x="201"/>
        <item x="26"/>
        <item x="189"/>
        <item x="244"/>
        <item x="219"/>
        <item x="226"/>
        <item x="94"/>
        <item x="143"/>
        <item x="358"/>
        <item x="288"/>
        <item x="159"/>
        <item x="62"/>
        <item x="405"/>
        <item x="83"/>
        <item x="51"/>
        <item x="67"/>
        <item x="410"/>
        <item x="276"/>
        <item x="283"/>
        <item x="104"/>
        <item x="188"/>
        <item x="46"/>
        <item x="250"/>
        <item x="274"/>
        <item x="128"/>
        <item x="48"/>
        <item x="338"/>
        <item x="35"/>
        <item x="99"/>
        <item x="55"/>
        <item x="265"/>
        <item x="111"/>
        <item x="255"/>
        <item x="309"/>
        <item x="6"/>
        <item x="47"/>
        <item x="88"/>
        <item x="165"/>
        <item x="392"/>
        <item x="124"/>
        <item x="407"/>
        <item x="373"/>
        <item x="401"/>
        <item x="156"/>
        <item x="33"/>
        <item x="123"/>
        <item x="321"/>
        <item x="105"/>
        <item x="199"/>
        <item x="13"/>
        <item x="208"/>
        <item x="367"/>
        <item x="133"/>
        <item x="112"/>
        <item x="396"/>
        <item x="30"/>
        <item x="382"/>
        <item x="150"/>
        <item x="277"/>
        <item x="191"/>
        <item x="385"/>
        <item x="271"/>
        <item x="131"/>
        <item x="0"/>
        <item x="341"/>
        <item x="306"/>
        <item x="313"/>
        <item x="293"/>
        <item x="95"/>
        <item x="384"/>
        <item x="49"/>
        <item x="207"/>
        <item x="399"/>
        <item x="281"/>
        <item x="68"/>
        <item x="85"/>
        <item x="97"/>
        <item x="371"/>
        <item x="84"/>
        <item x="106"/>
        <item x="353"/>
        <item x="108"/>
        <item x="356"/>
        <item x="378"/>
        <item x="383"/>
        <item x="246"/>
        <item x="166"/>
        <item x="259"/>
        <item x="21"/>
        <item x="376"/>
        <item x="209"/>
        <item x="64"/>
        <item x="5"/>
        <item x="4"/>
        <item x="18"/>
        <item x="380"/>
        <item x="92"/>
        <item x="314"/>
        <item x="245"/>
        <item x="275"/>
        <item x="93"/>
        <item x="194"/>
        <item x="192"/>
        <item x="96"/>
        <item x="279"/>
        <item x="157"/>
        <item x="184"/>
        <item x="349"/>
        <item x="57"/>
        <item x="91"/>
        <item x="25"/>
        <item x="181"/>
        <item x="31"/>
        <item x="331"/>
        <item x="390"/>
        <item x="294"/>
        <item x="369"/>
        <item x="408"/>
        <item x="404"/>
        <item x="210"/>
        <item x="347"/>
        <item x="217"/>
        <item x="280"/>
        <item x="326"/>
        <item x="261"/>
        <item x="242"/>
        <item x="413"/>
        <item x="32"/>
        <item x="153"/>
        <item x="262"/>
        <item x="8"/>
        <item x="249"/>
        <item x="10"/>
        <item x="263"/>
        <item x="145"/>
        <item x="79"/>
        <item x="393"/>
        <item x="40"/>
        <item x="136"/>
        <item x="232"/>
        <item x="170"/>
        <item x="269"/>
        <item x="41"/>
        <item x="36"/>
        <item x="3"/>
        <item x="110"/>
        <item x="379"/>
        <item x="388"/>
        <item x="257"/>
        <item x="411"/>
        <item x="337"/>
        <item x="252"/>
        <item x="251"/>
        <item x="200"/>
        <item x="272"/>
        <item x="273"/>
        <item x="329"/>
        <item x="320"/>
        <item x="394"/>
        <item x="183"/>
        <item x="158"/>
        <item x="211"/>
        <item x="86"/>
        <item x="117"/>
        <item x="185"/>
        <item x="176"/>
        <item x="140"/>
        <item x="70"/>
        <item x="339"/>
        <item x="354"/>
        <item x="220"/>
        <item x="138"/>
        <item x="236"/>
        <item x="81"/>
        <item x="311"/>
        <item x="193"/>
        <item x="215"/>
        <item x="168"/>
        <item x="241"/>
        <item x="162"/>
        <item x="225"/>
        <item x="374"/>
        <item x="151"/>
        <item x="357"/>
        <item x="319"/>
        <item x="119"/>
        <item x="334"/>
        <item x="53"/>
        <item x="11"/>
        <item x="173"/>
        <item x="164"/>
        <item x="335"/>
        <item x="330"/>
        <item x="298"/>
        <item x="12"/>
        <item x="366"/>
        <item x="20"/>
        <item x="386"/>
        <item x="296"/>
        <item x="50"/>
        <item x="267"/>
        <item x="359"/>
        <item x="332"/>
        <item x="87"/>
        <item x="402"/>
        <item x="80"/>
        <item x="212"/>
        <item x="289"/>
        <item x="400"/>
        <item x="179"/>
        <item x="17"/>
        <item x="206"/>
        <item x="90"/>
        <item x="75"/>
        <item x="152"/>
        <item x="169"/>
        <item x="69"/>
        <item x="344"/>
        <item x="195"/>
        <item x="312"/>
        <item x="121"/>
        <item x="22"/>
        <item x="343"/>
        <item x="102"/>
        <item x="227"/>
        <item x="66"/>
        <item x="284"/>
        <item x="180"/>
        <item x="365"/>
        <item x="122"/>
        <item x="387"/>
        <item x="52"/>
        <item x="304"/>
        <item x="254"/>
        <item x="38"/>
        <item x="16"/>
        <item x="324"/>
        <item x="135"/>
        <item x="15"/>
        <item x="258"/>
        <item x="398"/>
        <item x="174"/>
        <item x="54"/>
        <item x="2"/>
        <item x="203"/>
        <item x="182"/>
        <item x="161"/>
        <item x="238"/>
        <item x="409"/>
        <item x="187"/>
        <item x="129"/>
        <item x="76"/>
        <item x="302"/>
        <item x="61"/>
        <item x="389"/>
        <item x="172"/>
        <item x="360"/>
        <item x="355"/>
        <item x="103"/>
        <item x="197"/>
        <item x="149"/>
        <item x="146"/>
        <item x="134"/>
        <item x="305"/>
        <item x="154"/>
        <item x="77"/>
        <item x="364"/>
        <item x="300"/>
        <item x="256"/>
        <item x="89"/>
        <item x="234"/>
        <item x="142"/>
        <item x="237"/>
        <item x="301"/>
        <item x="381"/>
        <item x="406"/>
        <item x="323"/>
        <item x="23"/>
        <item x="139"/>
        <item x="333"/>
        <item x="71"/>
        <item x="141"/>
        <item x="7"/>
        <item x="107"/>
        <item x="350"/>
        <item x="190"/>
        <item x="171"/>
        <item x="278"/>
        <item x="318"/>
        <item x="248"/>
        <item x="229"/>
        <item x="204"/>
        <item x="368"/>
        <item x="177"/>
        <item x="127"/>
        <item x="114"/>
        <item x="230"/>
        <item x="295"/>
        <item x="307"/>
        <item x="167"/>
        <item x="243"/>
        <item x="196"/>
        <item x="340"/>
        <item x="147"/>
        <item x="363"/>
        <item x="362"/>
        <item x="44"/>
        <item x="247"/>
        <item x="118"/>
        <item x="2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axis="axisPage" showAll="0">
      <items count="271">
        <item x="115"/>
        <item x="236"/>
        <item x="212"/>
        <item x="171"/>
        <item x="246"/>
        <item x="240"/>
        <item x="234"/>
        <item x="163"/>
        <item x="247"/>
        <item x="196"/>
        <item x="193"/>
        <item x="235"/>
        <item x="201"/>
        <item x="195"/>
        <item x="268"/>
        <item x="213"/>
        <item x="116"/>
        <item x="204"/>
        <item x="118"/>
        <item x="154"/>
        <item x="91"/>
        <item x="253"/>
        <item x="149"/>
        <item x="27"/>
        <item x="28"/>
        <item x="47"/>
        <item x="14"/>
        <item x="10"/>
        <item x="29"/>
        <item x="38"/>
        <item x="143"/>
        <item x="17"/>
        <item x="117"/>
        <item x="35"/>
        <item x="1"/>
        <item x="3"/>
        <item x="53"/>
        <item x="92"/>
        <item x="8"/>
        <item x="9"/>
        <item x="68"/>
        <item x="76"/>
        <item x="94"/>
        <item x="180"/>
        <item x="78"/>
        <item x="25"/>
        <item x="15"/>
        <item x="73"/>
        <item x="77"/>
        <item x="147"/>
        <item x="56"/>
        <item x="80"/>
        <item x="86"/>
        <item x="50"/>
        <item x="150"/>
        <item x="248"/>
        <item x="93"/>
        <item x="33"/>
        <item x="75"/>
        <item x="148"/>
        <item x="64"/>
        <item x="128"/>
        <item x="134"/>
        <item x="16"/>
        <item x="66"/>
        <item x="54"/>
        <item x="249"/>
        <item x="58"/>
        <item x="153"/>
        <item x="41"/>
        <item x="239"/>
        <item x="13"/>
        <item x="145"/>
        <item x="164"/>
        <item x="241"/>
        <item x="218"/>
        <item x="259"/>
        <item x="187"/>
        <item x="242"/>
        <item x="165"/>
        <item x="215"/>
        <item x="269"/>
        <item x="230"/>
        <item x="255"/>
        <item x="208"/>
        <item x="264"/>
        <item x="258"/>
        <item x="228"/>
        <item x="146"/>
        <item x="257"/>
        <item x="267"/>
        <item x="209"/>
        <item x="252"/>
        <item x="244"/>
        <item x="256"/>
        <item x="243"/>
        <item x="251"/>
        <item x="214"/>
        <item x="2"/>
        <item x="106"/>
        <item x="136"/>
        <item x="182"/>
        <item x="262"/>
        <item x="198"/>
        <item x="190"/>
        <item x="192"/>
        <item x="169"/>
        <item x="216"/>
        <item x="219"/>
        <item x="222"/>
        <item x="237"/>
        <item x="5"/>
        <item x="207"/>
        <item x="52"/>
        <item x="4"/>
        <item x="217"/>
        <item x="67"/>
        <item x="111"/>
        <item x="184"/>
        <item x="155"/>
        <item x="174"/>
        <item x="189"/>
        <item x="197"/>
        <item x="186"/>
        <item x="265"/>
        <item x="119"/>
        <item x="183"/>
        <item x="24"/>
        <item x="7"/>
        <item x="37"/>
        <item x="98"/>
        <item x="11"/>
        <item x="21"/>
        <item x="20"/>
        <item x="254"/>
        <item x="30"/>
        <item x="231"/>
        <item x="232"/>
        <item x="112"/>
        <item x="158"/>
        <item x="125"/>
        <item x="89"/>
        <item x="173"/>
        <item x="229"/>
        <item x="199"/>
        <item x="71"/>
        <item x="162"/>
        <item x="6"/>
        <item x="40"/>
        <item x="42"/>
        <item x="200"/>
        <item x="100"/>
        <item x="96"/>
        <item x="137"/>
        <item x="36"/>
        <item x="151"/>
        <item x="233"/>
        <item x="170"/>
        <item x="12"/>
        <item x="108"/>
        <item x="141"/>
        <item x="126"/>
        <item x="49"/>
        <item x="34"/>
        <item x="131"/>
        <item x="32"/>
        <item x="101"/>
        <item x="95"/>
        <item x="74"/>
        <item x="127"/>
        <item x="65"/>
        <item x="135"/>
        <item x="202"/>
        <item x="63"/>
        <item x="72"/>
        <item x="61"/>
        <item x="48"/>
        <item x="51"/>
        <item x="102"/>
        <item x="45"/>
        <item x="104"/>
        <item x="133"/>
        <item x="261"/>
        <item x="138"/>
        <item x="70"/>
        <item x="18"/>
        <item x="43"/>
        <item x="87"/>
        <item x="238"/>
        <item x="129"/>
        <item x="19"/>
        <item x="23"/>
        <item x="97"/>
        <item x="85"/>
        <item x="142"/>
        <item x="90"/>
        <item x="110"/>
        <item x="121"/>
        <item x="123"/>
        <item x="124"/>
        <item x="120"/>
        <item x="122"/>
        <item x="144"/>
        <item x="140"/>
        <item x="105"/>
        <item x="139"/>
        <item x="88"/>
        <item x="132"/>
        <item x="113"/>
        <item x="263"/>
        <item x="266"/>
        <item x="260"/>
        <item x="130"/>
        <item x="109"/>
        <item x="156"/>
        <item x="81"/>
        <item x="103"/>
        <item x="191"/>
        <item x="84"/>
        <item x="114"/>
        <item x="44"/>
        <item x="227"/>
        <item x="22"/>
        <item x="39"/>
        <item x="31"/>
        <item x="55"/>
        <item x="60"/>
        <item x="99"/>
        <item x="69"/>
        <item x="46"/>
        <item x="57"/>
        <item x="205"/>
        <item x="62"/>
        <item x="157"/>
        <item x="225"/>
        <item x="221"/>
        <item x="168"/>
        <item x="172"/>
        <item x="250"/>
        <item x="175"/>
        <item x="226"/>
        <item x="176"/>
        <item x="166"/>
        <item x="82"/>
        <item x="203"/>
        <item x="26"/>
        <item x="211"/>
        <item x="185"/>
        <item x="210"/>
        <item x="179"/>
        <item x="178"/>
        <item x="107"/>
        <item x="194"/>
        <item x="188"/>
        <item x="83"/>
        <item x="160"/>
        <item x="167"/>
        <item x="159"/>
        <item x="177"/>
        <item x="79"/>
        <item x="206"/>
        <item x="181"/>
        <item x="223"/>
        <item x="224"/>
        <item x="220"/>
        <item x="245"/>
        <item x="161"/>
        <item x="152"/>
        <item x="59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pageFields count="1">
    <pageField fld="2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8"/>
  <sheetViews>
    <sheetView workbookViewId="0">
      <selection activeCell="A3" sqref="A3"/>
    </sheetView>
  </sheetViews>
  <sheetFormatPr baseColWidth="10" defaultRowHeight="14.5" x14ac:dyDescent="0.35"/>
  <cols>
    <col min="1" max="1" width="21.36328125" bestFit="1" customWidth="1"/>
    <col min="2" max="2" width="9.1796875" bestFit="1" customWidth="1"/>
  </cols>
  <sheetData>
    <row r="1" spans="1:2" x14ac:dyDescent="0.35">
      <c r="A1" s="2" t="s">
        <v>7</v>
      </c>
      <c r="B1" t="s">
        <v>2032</v>
      </c>
    </row>
    <row r="3" spans="1:2" x14ac:dyDescent="0.35">
      <c r="A3" s="2" t="s">
        <v>2030</v>
      </c>
    </row>
    <row r="4" spans="1:2" x14ac:dyDescent="0.35">
      <c r="A4" s="3" t="s">
        <v>1414</v>
      </c>
    </row>
    <row r="5" spans="1:2" x14ac:dyDescent="0.35">
      <c r="A5" s="3" t="s">
        <v>1239</v>
      </c>
    </row>
    <row r="6" spans="1:2" x14ac:dyDescent="0.35">
      <c r="A6" s="3" t="s">
        <v>1306</v>
      </c>
    </row>
    <row r="7" spans="1:2" x14ac:dyDescent="0.35">
      <c r="A7" s="3" t="s">
        <v>374</v>
      </c>
    </row>
    <row r="8" spans="1:2" x14ac:dyDescent="0.35">
      <c r="A8" s="3" t="s">
        <v>1389</v>
      </c>
    </row>
    <row r="9" spans="1:2" x14ac:dyDescent="0.35">
      <c r="A9" s="3" t="s">
        <v>244</v>
      </c>
    </row>
    <row r="10" spans="1:2" x14ac:dyDescent="0.35">
      <c r="A10" s="3" t="s">
        <v>1294</v>
      </c>
    </row>
    <row r="11" spans="1:2" x14ac:dyDescent="0.35">
      <c r="A11" s="3" t="s">
        <v>1254</v>
      </c>
    </row>
    <row r="12" spans="1:2" x14ac:dyDescent="0.35">
      <c r="A12" s="3" t="s">
        <v>1258</v>
      </c>
    </row>
    <row r="13" spans="1:2" x14ac:dyDescent="0.35">
      <c r="A13" s="3" t="s">
        <v>39</v>
      </c>
    </row>
    <row r="14" spans="1:2" x14ac:dyDescent="0.35">
      <c r="A14" s="3" t="s">
        <v>850</v>
      </c>
    </row>
    <row r="15" spans="1:2" x14ac:dyDescent="0.35">
      <c r="A15" s="3" t="s">
        <v>1465</v>
      </c>
    </row>
    <row r="16" spans="1:2" x14ac:dyDescent="0.35">
      <c r="A16" s="3" t="s">
        <v>493</v>
      </c>
    </row>
    <row r="17" spans="1:1" x14ac:dyDescent="0.35">
      <c r="A17" s="3" t="s">
        <v>623</v>
      </c>
    </row>
    <row r="18" spans="1:1" x14ac:dyDescent="0.35">
      <c r="A18" s="3" t="s">
        <v>470</v>
      </c>
    </row>
    <row r="19" spans="1:1" x14ac:dyDescent="0.35">
      <c r="A19" s="3" t="s">
        <v>227</v>
      </c>
    </row>
    <row r="20" spans="1:1" x14ac:dyDescent="0.35">
      <c r="A20" s="3" t="s">
        <v>1146</v>
      </c>
    </row>
    <row r="21" spans="1:1" x14ac:dyDescent="0.35">
      <c r="A21" s="3" t="s">
        <v>799</v>
      </c>
    </row>
    <row r="22" spans="1:1" x14ac:dyDescent="0.35">
      <c r="A22" s="3" t="s">
        <v>808</v>
      </c>
    </row>
    <row r="23" spans="1:1" x14ac:dyDescent="0.35">
      <c r="A23" s="3" t="s">
        <v>903</v>
      </c>
    </row>
    <row r="24" spans="1:1" x14ac:dyDescent="0.35">
      <c r="A24" s="3" t="s">
        <v>1004</v>
      </c>
    </row>
    <row r="25" spans="1:1" x14ac:dyDescent="0.35">
      <c r="A25" s="3" t="s">
        <v>212</v>
      </c>
    </row>
    <row r="26" spans="1:1" x14ac:dyDescent="0.35">
      <c r="A26" s="3" t="s">
        <v>1133</v>
      </c>
    </row>
    <row r="27" spans="1:1" x14ac:dyDescent="0.35">
      <c r="A27" s="3" t="s">
        <v>503</v>
      </c>
    </row>
    <row r="28" spans="1:1" x14ac:dyDescent="0.35">
      <c r="A28" s="3" t="s">
        <v>1157</v>
      </c>
    </row>
    <row r="29" spans="1:1" x14ac:dyDescent="0.35">
      <c r="A29" s="3" t="s">
        <v>697</v>
      </c>
    </row>
    <row r="30" spans="1:1" x14ac:dyDescent="0.35">
      <c r="A30" s="3" t="s">
        <v>1666</v>
      </c>
    </row>
    <row r="31" spans="1:1" x14ac:dyDescent="0.35">
      <c r="A31" s="3" t="s">
        <v>236</v>
      </c>
    </row>
    <row r="32" spans="1:1" x14ac:dyDescent="0.35">
      <c r="A32" s="3" t="s">
        <v>310</v>
      </c>
    </row>
    <row r="33" spans="1:1" x14ac:dyDescent="0.35">
      <c r="A33" s="3" t="s">
        <v>723</v>
      </c>
    </row>
    <row r="34" spans="1:1" x14ac:dyDescent="0.35">
      <c r="A34" s="3" t="s">
        <v>1321</v>
      </c>
    </row>
    <row r="35" spans="1:1" x14ac:dyDescent="0.35">
      <c r="A35" s="3" t="s">
        <v>152</v>
      </c>
    </row>
    <row r="36" spans="1:1" x14ac:dyDescent="0.35">
      <c r="A36" s="3" t="s">
        <v>164</v>
      </c>
    </row>
    <row r="37" spans="1:1" x14ac:dyDescent="0.35">
      <c r="A37" s="3" t="s">
        <v>1729</v>
      </c>
    </row>
    <row r="38" spans="1:1" x14ac:dyDescent="0.35">
      <c r="A38" s="3" t="s">
        <v>975</v>
      </c>
    </row>
    <row r="39" spans="1:1" x14ac:dyDescent="0.35">
      <c r="A39" s="3" t="s">
        <v>1574</v>
      </c>
    </row>
    <row r="40" spans="1:1" x14ac:dyDescent="0.35">
      <c r="A40" s="3" t="s">
        <v>429</v>
      </c>
    </row>
    <row r="41" spans="1:1" x14ac:dyDescent="0.35">
      <c r="A41" s="3" t="s">
        <v>1749</v>
      </c>
    </row>
    <row r="42" spans="1:1" x14ac:dyDescent="0.35">
      <c r="A42" s="3" t="s">
        <v>1943</v>
      </c>
    </row>
    <row r="43" spans="1:1" x14ac:dyDescent="0.35">
      <c r="A43" s="3" t="s">
        <v>368</v>
      </c>
    </row>
    <row r="44" spans="1:1" x14ac:dyDescent="0.35">
      <c r="A44" s="3" t="s">
        <v>967</v>
      </c>
    </row>
    <row r="45" spans="1:1" x14ac:dyDescent="0.35">
      <c r="A45" s="3" t="s">
        <v>919</v>
      </c>
    </row>
    <row r="46" spans="1:1" x14ac:dyDescent="0.35">
      <c r="A46" s="3" t="s">
        <v>132</v>
      </c>
    </row>
    <row r="47" spans="1:1" x14ac:dyDescent="0.35">
      <c r="A47" s="3" t="s">
        <v>982</v>
      </c>
    </row>
    <row r="48" spans="1:1" x14ac:dyDescent="0.35">
      <c r="A48" s="3" t="s">
        <v>1001</v>
      </c>
    </row>
    <row r="49" spans="1:1" x14ac:dyDescent="0.35">
      <c r="A49" s="3" t="s">
        <v>224</v>
      </c>
    </row>
    <row r="50" spans="1:1" x14ac:dyDescent="0.35">
      <c r="A50" s="3" t="s">
        <v>435</v>
      </c>
    </row>
    <row r="51" spans="1:1" x14ac:dyDescent="0.35">
      <c r="A51" s="3" t="s">
        <v>54</v>
      </c>
    </row>
    <row r="52" spans="1:1" x14ac:dyDescent="0.35">
      <c r="A52" s="3" t="s">
        <v>144</v>
      </c>
    </row>
    <row r="53" spans="1:1" x14ac:dyDescent="0.35">
      <c r="A53" s="3" t="s">
        <v>1355</v>
      </c>
    </row>
    <row r="54" spans="1:1" x14ac:dyDescent="0.35">
      <c r="A54" s="3" t="s">
        <v>543</v>
      </c>
    </row>
    <row r="55" spans="1:1" x14ac:dyDescent="0.35">
      <c r="A55" s="3" t="s">
        <v>1870</v>
      </c>
    </row>
    <row r="56" spans="1:1" x14ac:dyDescent="0.35">
      <c r="A56" s="3" t="s">
        <v>453</v>
      </c>
    </row>
    <row r="57" spans="1:1" x14ac:dyDescent="0.35">
      <c r="A57" s="3" t="s">
        <v>1069</v>
      </c>
    </row>
    <row r="58" spans="1:1" x14ac:dyDescent="0.35">
      <c r="A58" s="3" t="s">
        <v>1610</v>
      </c>
    </row>
    <row r="59" spans="1:1" x14ac:dyDescent="0.35">
      <c r="A59" s="3" t="s">
        <v>900</v>
      </c>
    </row>
    <row r="60" spans="1:1" x14ac:dyDescent="0.35">
      <c r="A60" s="3" t="s">
        <v>94</v>
      </c>
    </row>
    <row r="61" spans="1:1" x14ac:dyDescent="0.35">
      <c r="A61" s="3" t="s">
        <v>608</v>
      </c>
    </row>
    <row r="62" spans="1:1" x14ac:dyDescent="0.35">
      <c r="A62" s="3" t="s">
        <v>175</v>
      </c>
    </row>
    <row r="63" spans="1:1" x14ac:dyDescent="0.35">
      <c r="A63" s="3" t="s">
        <v>167</v>
      </c>
    </row>
    <row r="64" spans="1:1" x14ac:dyDescent="0.35">
      <c r="A64" s="3" t="s">
        <v>274</v>
      </c>
    </row>
    <row r="65" spans="1:1" x14ac:dyDescent="0.35">
      <c r="A65" s="3" t="s">
        <v>71</v>
      </c>
    </row>
    <row r="66" spans="1:1" x14ac:dyDescent="0.35">
      <c r="A66" s="3" t="s">
        <v>1560</v>
      </c>
    </row>
    <row r="67" spans="1:1" x14ac:dyDescent="0.35">
      <c r="A67" s="3" t="s">
        <v>1741</v>
      </c>
    </row>
    <row r="68" spans="1:1" x14ac:dyDescent="0.35">
      <c r="A68" s="3" t="s">
        <v>690</v>
      </c>
    </row>
    <row r="69" spans="1:1" x14ac:dyDescent="0.35">
      <c r="A69" s="3" t="s">
        <v>1405</v>
      </c>
    </row>
    <row r="70" spans="1:1" x14ac:dyDescent="0.35">
      <c r="A70" s="3" t="s">
        <v>12</v>
      </c>
    </row>
    <row r="71" spans="1:1" x14ac:dyDescent="0.35">
      <c r="A71" s="3" t="s">
        <v>1273</v>
      </c>
    </row>
    <row r="72" spans="1:1" x14ac:dyDescent="0.35">
      <c r="A72" s="3" t="s">
        <v>1864</v>
      </c>
    </row>
    <row r="73" spans="1:1" x14ac:dyDescent="0.35">
      <c r="A73" s="3" t="s">
        <v>857</v>
      </c>
    </row>
    <row r="74" spans="1:1" x14ac:dyDescent="0.35">
      <c r="A74" s="3" t="s">
        <v>1524</v>
      </c>
    </row>
    <row r="75" spans="1:1" x14ac:dyDescent="0.35">
      <c r="A75" s="3" t="s">
        <v>881</v>
      </c>
    </row>
    <row r="76" spans="1:1" x14ac:dyDescent="0.35">
      <c r="A76" s="3" t="s">
        <v>788</v>
      </c>
    </row>
    <row r="77" spans="1:1" x14ac:dyDescent="0.35">
      <c r="A77" s="3" t="s">
        <v>1606</v>
      </c>
    </row>
    <row r="78" spans="1:1" x14ac:dyDescent="0.35">
      <c r="A78" s="3" t="s">
        <v>281</v>
      </c>
    </row>
    <row r="79" spans="1:1" x14ac:dyDescent="0.35">
      <c r="A79" s="3" t="s">
        <v>1455</v>
      </c>
    </row>
    <row r="80" spans="1:1" x14ac:dyDescent="0.35">
      <c r="A80" s="3" t="s">
        <v>1841</v>
      </c>
    </row>
    <row r="81" spans="1:1" x14ac:dyDescent="0.35">
      <c r="A81" s="3" t="s">
        <v>408</v>
      </c>
    </row>
    <row r="82" spans="1:1" x14ac:dyDescent="0.35">
      <c r="A82" s="3" t="s">
        <v>1996</v>
      </c>
    </row>
    <row r="83" spans="1:1" x14ac:dyDescent="0.35">
      <c r="A83" s="3" t="s">
        <v>575</v>
      </c>
    </row>
    <row r="84" spans="1:1" x14ac:dyDescent="0.35">
      <c r="A84" s="3" t="s">
        <v>269</v>
      </c>
    </row>
    <row r="85" spans="1:1" x14ac:dyDescent="0.35">
      <c r="A85" s="3" t="s">
        <v>295</v>
      </c>
    </row>
    <row r="86" spans="1:1" x14ac:dyDescent="0.35">
      <c r="A86" s="3" t="s">
        <v>912</v>
      </c>
    </row>
    <row r="87" spans="1:1" x14ac:dyDescent="0.35">
      <c r="A87" s="3" t="s">
        <v>1267</v>
      </c>
    </row>
    <row r="88" spans="1:1" x14ac:dyDescent="0.35">
      <c r="A88" s="3" t="s">
        <v>475</v>
      </c>
    </row>
    <row r="89" spans="1:1" x14ac:dyDescent="0.35">
      <c r="A89" s="3" t="s">
        <v>1720</v>
      </c>
    </row>
    <row r="90" spans="1:1" x14ac:dyDescent="0.35">
      <c r="A90" s="3" t="s">
        <v>379</v>
      </c>
    </row>
    <row r="91" spans="1:1" x14ac:dyDescent="0.35">
      <c r="A91" s="3" t="s">
        <v>950</v>
      </c>
    </row>
    <row r="92" spans="1:1" x14ac:dyDescent="0.35">
      <c r="A92" s="3" t="s">
        <v>111</v>
      </c>
    </row>
    <row r="93" spans="1:1" x14ac:dyDescent="0.35">
      <c r="A93" s="3" t="s">
        <v>870</v>
      </c>
    </row>
    <row r="94" spans="1:1" x14ac:dyDescent="0.35">
      <c r="A94" s="3" t="s">
        <v>1252</v>
      </c>
    </row>
    <row r="95" spans="1:1" x14ac:dyDescent="0.35">
      <c r="A95" s="3" t="s">
        <v>555</v>
      </c>
    </row>
    <row r="96" spans="1:1" x14ac:dyDescent="0.35">
      <c r="A96" s="3" t="s">
        <v>951</v>
      </c>
    </row>
    <row r="97" spans="1:1" x14ac:dyDescent="0.35">
      <c r="A97" s="3" t="s">
        <v>1592</v>
      </c>
    </row>
    <row r="98" spans="1:1" x14ac:dyDescent="0.35">
      <c r="A98" s="3" t="s">
        <v>108</v>
      </c>
    </row>
    <row r="99" spans="1:1" x14ac:dyDescent="0.35">
      <c r="A99" s="3" t="s">
        <v>1271</v>
      </c>
    </row>
    <row r="100" spans="1:1" x14ac:dyDescent="0.35">
      <c r="A100" s="3" t="s">
        <v>520</v>
      </c>
    </row>
    <row r="101" spans="1:1" x14ac:dyDescent="0.35">
      <c r="A101" s="3" t="s">
        <v>1477</v>
      </c>
    </row>
    <row r="102" spans="1:1" x14ac:dyDescent="0.35">
      <c r="A102" s="3" t="s">
        <v>439</v>
      </c>
    </row>
    <row r="103" spans="1:1" x14ac:dyDescent="0.35">
      <c r="A103" s="3" t="s">
        <v>1580</v>
      </c>
    </row>
    <row r="104" spans="1:1" x14ac:dyDescent="0.35">
      <c r="A104" s="3" t="s">
        <v>1363</v>
      </c>
    </row>
    <row r="105" spans="1:1" x14ac:dyDescent="0.35">
      <c r="A105" s="3" t="s">
        <v>1436</v>
      </c>
    </row>
    <row r="106" spans="1:1" x14ac:dyDescent="0.35">
      <c r="A106" s="3" t="s">
        <v>220</v>
      </c>
    </row>
    <row r="107" spans="1:1" x14ac:dyDescent="0.35">
      <c r="A107" s="3" t="s">
        <v>105</v>
      </c>
    </row>
    <row r="108" spans="1:1" x14ac:dyDescent="0.35">
      <c r="A108" s="3" t="s">
        <v>796</v>
      </c>
    </row>
    <row r="109" spans="1:1" x14ac:dyDescent="0.35">
      <c r="A109" s="3" t="s">
        <v>101</v>
      </c>
    </row>
    <row r="110" spans="1:1" x14ac:dyDescent="0.35">
      <c r="A110" s="3" t="s">
        <v>739</v>
      </c>
    </row>
    <row r="111" spans="1:1" x14ac:dyDescent="0.35">
      <c r="A111" s="3" t="s">
        <v>1025</v>
      </c>
    </row>
    <row r="112" spans="1:1" x14ac:dyDescent="0.35">
      <c r="A112" s="3" t="s">
        <v>888</v>
      </c>
    </row>
    <row r="113" spans="1:1" x14ac:dyDescent="0.35">
      <c r="A113" s="3" t="s">
        <v>930</v>
      </c>
    </row>
    <row r="114" spans="1:1" x14ac:dyDescent="0.35">
      <c r="A114" s="3" t="s">
        <v>356</v>
      </c>
    </row>
    <row r="115" spans="1:1" x14ac:dyDescent="0.35">
      <c r="A115" s="3" t="s">
        <v>540</v>
      </c>
    </row>
    <row r="116" spans="1:1" x14ac:dyDescent="0.35">
      <c r="A116" s="3" t="s">
        <v>1655</v>
      </c>
    </row>
    <row r="117" spans="1:1" x14ac:dyDescent="0.35">
      <c r="A117" s="3" t="s">
        <v>1262</v>
      </c>
    </row>
    <row r="118" spans="1:1" x14ac:dyDescent="0.35">
      <c r="A118" s="3" t="s">
        <v>602</v>
      </c>
    </row>
    <row r="119" spans="1:1" x14ac:dyDescent="0.35">
      <c r="A119" s="3" t="s">
        <v>233</v>
      </c>
    </row>
    <row r="120" spans="1:1" x14ac:dyDescent="0.35">
      <c r="A120" s="3" t="s">
        <v>1949</v>
      </c>
    </row>
    <row r="121" spans="1:1" x14ac:dyDescent="0.35">
      <c r="A121" s="3" t="s">
        <v>315</v>
      </c>
    </row>
    <row r="122" spans="1:1" x14ac:dyDescent="0.35">
      <c r="A122" s="3" t="s">
        <v>193</v>
      </c>
    </row>
    <row r="123" spans="1:1" x14ac:dyDescent="0.35">
      <c r="A123" s="3" t="s">
        <v>249</v>
      </c>
    </row>
    <row r="124" spans="1:1" x14ac:dyDescent="0.35">
      <c r="A124" s="3" t="s">
        <v>1975</v>
      </c>
    </row>
    <row r="125" spans="1:1" x14ac:dyDescent="0.35">
      <c r="A125" s="3" t="s">
        <v>1201</v>
      </c>
    </row>
    <row r="126" spans="1:1" x14ac:dyDescent="0.35">
      <c r="A126" s="3" t="s">
        <v>1242</v>
      </c>
    </row>
    <row r="127" spans="1:1" x14ac:dyDescent="0.35">
      <c r="A127" s="3" t="s">
        <v>392</v>
      </c>
    </row>
    <row r="128" spans="1:1" x14ac:dyDescent="0.35">
      <c r="A128" s="3" t="s">
        <v>729</v>
      </c>
    </row>
    <row r="129" spans="1:1" x14ac:dyDescent="0.35">
      <c r="A129" s="3" t="s">
        <v>178</v>
      </c>
    </row>
    <row r="130" spans="1:1" x14ac:dyDescent="0.35">
      <c r="A130" s="3" t="s">
        <v>1046</v>
      </c>
    </row>
    <row r="131" spans="1:1" x14ac:dyDescent="0.35">
      <c r="A131" s="3" t="s">
        <v>1192</v>
      </c>
    </row>
    <row r="132" spans="1:1" x14ac:dyDescent="0.35">
      <c r="A132" s="3" t="s">
        <v>481</v>
      </c>
    </row>
    <row r="133" spans="1:1" x14ac:dyDescent="0.35">
      <c r="A133" s="3" t="s">
        <v>184</v>
      </c>
    </row>
    <row r="134" spans="1:1" x14ac:dyDescent="0.35">
      <c r="A134" s="3" t="s">
        <v>1542</v>
      </c>
    </row>
    <row r="135" spans="1:1" x14ac:dyDescent="0.35">
      <c r="A135" s="3" t="s">
        <v>136</v>
      </c>
    </row>
    <row r="136" spans="1:1" x14ac:dyDescent="0.35">
      <c r="A136" s="3" t="s">
        <v>372</v>
      </c>
    </row>
    <row r="137" spans="1:1" x14ac:dyDescent="0.35">
      <c r="A137" s="3" t="s">
        <v>207</v>
      </c>
    </row>
    <row r="138" spans="1:1" x14ac:dyDescent="0.35">
      <c r="A138" s="3" t="s">
        <v>1144</v>
      </c>
    </row>
    <row r="139" spans="1:1" x14ac:dyDescent="0.35">
      <c r="A139" s="3" t="s">
        <v>421</v>
      </c>
    </row>
    <row r="140" spans="1:1" x14ac:dyDescent="0.35">
      <c r="A140" s="3" t="s">
        <v>1081</v>
      </c>
    </row>
    <row r="141" spans="1:1" x14ac:dyDescent="0.35">
      <c r="A141" s="3" t="s">
        <v>1358</v>
      </c>
    </row>
    <row r="142" spans="1:1" x14ac:dyDescent="0.35">
      <c r="A142" s="3" t="s">
        <v>30</v>
      </c>
    </row>
    <row r="143" spans="1:1" x14ac:dyDescent="0.35">
      <c r="A143" s="3" t="s">
        <v>181</v>
      </c>
    </row>
    <row r="144" spans="1:1" x14ac:dyDescent="0.35">
      <c r="A144" s="3" t="s">
        <v>333</v>
      </c>
    </row>
    <row r="145" spans="1:1" x14ac:dyDescent="0.35">
      <c r="A145" s="3" t="s">
        <v>645</v>
      </c>
    </row>
    <row r="146" spans="1:1" x14ac:dyDescent="0.35">
      <c r="A146" s="3" t="s">
        <v>1845</v>
      </c>
    </row>
    <row r="147" spans="1:1" x14ac:dyDescent="0.35">
      <c r="A147" s="3" t="s">
        <v>467</v>
      </c>
    </row>
    <row r="148" spans="1:1" x14ac:dyDescent="0.35">
      <c r="A148" s="3" t="s">
        <v>1959</v>
      </c>
    </row>
    <row r="149" spans="1:1" x14ac:dyDescent="0.35">
      <c r="A149" s="3" t="s">
        <v>1733</v>
      </c>
    </row>
    <row r="150" spans="1:1" x14ac:dyDescent="0.35">
      <c r="A150" s="3" t="s">
        <v>1934</v>
      </c>
    </row>
    <row r="151" spans="1:1" x14ac:dyDescent="0.35">
      <c r="A151" s="3" t="s">
        <v>584</v>
      </c>
    </row>
    <row r="152" spans="1:1" x14ac:dyDescent="0.35">
      <c r="A152" s="3" t="s">
        <v>125</v>
      </c>
    </row>
    <row r="153" spans="1:1" x14ac:dyDescent="0.35">
      <c r="A153" s="3" t="s">
        <v>462</v>
      </c>
    </row>
    <row r="154" spans="1:1" x14ac:dyDescent="0.35">
      <c r="A154" s="3" t="s">
        <v>1429</v>
      </c>
    </row>
    <row r="155" spans="1:1" x14ac:dyDescent="0.35">
      <c r="A155" s="3" t="s">
        <v>396</v>
      </c>
    </row>
    <row r="156" spans="1:1" x14ac:dyDescent="0.35">
      <c r="A156" s="3" t="s">
        <v>789</v>
      </c>
    </row>
    <row r="157" spans="1:1" x14ac:dyDescent="0.35">
      <c r="A157" s="3" t="s">
        <v>51</v>
      </c>
    </row>
    <row r="158" spans="1:1" x14ac:dyDescent="0.35">
      <c r="A158" s="3" t="s">
        <v>829</v>
      </c>
    </row>
    <row r="159" spans="1:1" x14ac:dyDescent="0.35">
      <c r="A159" s="3" t="s">
        <v>1708</v>
      </c>
    </row>
    <row r="160" spans="1:1" x14ac:dyDescent="0.35">
      <c r="A160" s="3" t="s">
        <v>507</v>
      </c>
    </row>
    <row r="161" spans="1:1" x14ac:dyDescent="0.35">
      <c r="A161" s="3" t="s">
        <v>425</v>
      </c>
    </row>
    <row r="162" spans="1:1" x14ac:dyDescent="0.35">
      <c r="A162" s="3" t="s">
        <v>1868</v>
      </c>
    </row>
    <row r="163" spans="1:1" x14ac:dyDescent="0.35">
      <c r="A163" s="3" t="s">
        <v>114</v>
      </c>
    </row>
    <row r="164" spans="1:1" x14ac:dyDescent="0.35">
      <c r="A164" s="3" t="s">
        <v>1774</v>
      </c>
    </row>
    <row r="165" spans="1:1" x14ac:dyDescent="0.35">
      <c r="A165" s="3" t="s">
        <v>561</v>
      </c>
    </row>
    <row r="166" spans="1:1" x14ac:dyDescent="0.35">
      <c r="A166" s="3" t="s">
        <v>1207</v>
      </c>
    </row>
    <row r="167" spans="1:1" x14ac:dyDescent="0.35">
      <c r="A167" s="3" t="s">
        <v>751</v>
      </c>
    </row>
    <row r="168" spans="1:1" x14ac:dyDescent="0.35">
      <c r="A168" s="3" t="s">
        <v>1789</v>
      </c>
    </row>
    <row r="169" spans="1:1" x14ac:dyDescent="0.35">
      <c r="A169" s="3" t="s">
        <v>1169</v>
      </c>
    </row>
    <row r="170" spans="1:1" x14ac:dyDescent="0.35">
      <c r="A170" s="3" t="s">
        <v>499</v>
      </c>
    </row>
    <row r="171" spans="1:1" x14ac:dyDescent="0.35">
      <c r="A171" s="3" t="s">
        <v>9</v>
      </c>
    </row>
    <row r="172" spans="1:1" x14ac:dyDescent="0.35">
      <c r="A172" s="3" t="s">
        <v>1556</v>
      </c>
    </row>
    <row r="173" spans="1:1" x14ac:dyDescent="0.35">
      <c r="A173" s="3" t="s">
        <v>1340</v>
      </c>
    </row>
    <row r="174" spans="1:1" x14ac:dyDescent="0.35">
      <c r="A174" s="3" t="s">
        <v>1376</v>
      </c>
    </row>
    <row r="175" spans="1:1" x14ac:dyDescent="0.35">
      <c r="A175" s="3" t="s">
        <v>1277</v>
      </c>
    </row>
    <row r="176" spans="1:1" x14ac:dyDescent="0.35">
      <c r="A176" s="3" t="s">
        <v>359</v>
      </c>
    </row>
    <row r="177" spans="1:1" x14ac:dyDescent="0.35">
      <c r="A177" s="3" t="s">
        <v>1785</v>
      </c>
    </row>
    <row r="178" spans="1:1" x14ac:dyDescent="0.35">
      <c r="A178" s="3" t="s">
        <v>187</v>
      </c>
    </row>
    <row r="179" spans="1:1" x14ac:dyDescent="0.35">
      <c r="A179" s="3" t="s">
        <v>822</v>
      </c>
    </row>
    <row r="180" spans="1:1" x14ac:dyDescent="0.35">
      <c r="A180" s="3" t="s">
        <v>1911</v>
      </c>
    </row>
    <row r="181" spans="1:1" x14ac:dyDescent="0.35">
      <c r="A181" s="3" t="s">
        <v>1233</v>
      </c>
    </row>
    <row r="182" spans="1:1" x14ac:dyDescent="0.35">
      <c r="A182" s="3" t="s">
        <v>253</v>
      </c>
    </row>
    <row r="183" spans="1:1" x14ac:dyDescent="0.35">
      <c r="A183" s="3" t="s">
        <v>321</v>
      </c>
    </row>
    <row r="184" spans="1:1" x14ac:dyDescent="0.35">
      <c r="A184" s="3" t="s">
        <v>365</v>
      </c>
    </row>
    <row r="185" spans="1:1" x14ac:dyDescent="0.35">
      <c r="A185" s="3" t="s">
        <v>1725</v>
      </c>
    </row>
    <row r="186" spans="1:1" x14ac:dyDescent="0.35">
      <c r="A186" s="3" t="s">
        <v>318</v>
      </c>
    </row>
    <row r="187" spans="1:1" x14ac:dyDescent="0.35">
      <c r="A187" s="3" t="s">
        <v>399</v>
      </c>
    </row>
    <row r="188" spans="1:1" x14ac:dyDescent="0.35">
      <c r="A188" s="3" t="s">
        <v>1614</v>
      </c>
    </row>
    <row r="189" spans="1:1" x14ac:dyDescent="0.35">
      <c r="A189" s="3" t="s">
        <v>405</v>
      </c>
    </row>
    <row r="190" spans="1:1" x14ac:dyDescent="0.35">
      <c r="A190" s="3" t="s">
        <v>1629</v>
      </c>
    </row>
    <row r="191" spans="1:1" x14ac:dyDescent="0.35">
      <c r="A191" s="3" t="s">
        <v>1753</v>
      </c>
    </row>
    <row r="192" spans="1:1" x14ac:dyDescent="0.35">
      <c r="A192" s="3" t="s">
        <v>1779</v>
      </c>
    </row>
    <row r="193" spans="1:1" x14ac:dyDescent="0.35">
      <c r="A193" s="3" t="s">
        <v>1031</v>
      </c>
    </row>
    <row r="194" spans="1:1" x14ac:dyDescent="0.35">
      <c r="A194" s="3" t="s">
        <v>652</v>
      </c>
    </row>
    <row r="195" spans="1:1" x14ac:dyDescent="0.35">
      <c r="A195" s="3" t="s">
        <v>1103</v>
      </c>
    </row>
    <row r="196" spans="1:1" x14ac:dyDescent="0.35">
      <c r="A196" s="3" t="s">
        <v>79</v>
      </c>
    </row>
    <row r="197" spans="1:1" x14ac:dyDescent="0.35">
      <c r="A197" s="3" t="s">
        <v>1745</v>
      </c>
    </row>
    <row r="198" spans="1:1" x14ac:dyDescent="0.35">
      <c r="A198" s="3" t="s">
        <v>833</v>
      </c>
    </row>
    <row r="199" spans="1:1" x14ac:dyDescent="0.35">
      <c r="A199" s="3" t="s">
        <v>239</v>
      </c>
    </row>
    <row r="200" spans="1:1" x14ac:dyDescent="0.35">
      <c r="A200" s="3" t="s">
        <v>26</v>
      </c>
    </row>
    <row r="201" spans="1:1" x14ac:dyDescent="0.35">
      <c r="A201" s="3" t="s">
        <v>22</v>
      </c>
    </row>
    <row r="202" spans="1:1" x14ac:dyDescent="0.35">
      <c r="A202" s="3" t="s">
        <v>67</v>
      </c>
    </row>
    <row r="203" spans="1:1" x14ac:dyDescent="0.35">
      <c r="A203" s="3" t="s">
        <v>1766</v>
      </c>
    </row>
    <row r="204" spans="1:1" x14ac:dyDescent="0.35">
      <c r="A204" s="3" t="s">
        <v>346</v>
      </c>
    </row>
    <row r="205" spans="1:1" x14ac:dyDescent="0.35">
      <c r="A205" s="3" t="s">
        <v>1379</v>
      </c>
    </row>
    <row r="206" spans="1:1" x14ac:dyDescent="0.35">
      <c r="A206" s="3" t="s">
        <v>1028</v>
      </c>
    </row>
    <row r="207" spans="1:1" x14ac:dyDescent="0.35">
      <c r="A207" s="3" t="s">
        <v>1196</v>
      </c>
    </row>
    <row r="208" spans="1:1" x14ac:dyDescent="0.35">
      <c r="A208" s="3" t="s">
        <v>349</v>
      </c>
    </row>
    <row r="209" spans="1:1" x14ac:dyDescent="0.35">
      <c r="A209" s="3" t="s">
        <v>774</v>
      </c>
    </row>
    <row r="210" spans="1:1" x14ac:dyDescent="0.35">
      <c r="A210" s="3" t="s">
        <v>757</v>
      </c>
    </row>
    <row r="211" spans="1:1" x14ac:dyDescent="0.35">
      <c r="A211" s="3" t="s">
        <v>362</v>
      </c>
    </row>
    <row r="212" spans="1:1" x14ac:dyDescent="0.35">
      <c r="A212" s="3" t="s">
        <v>1218</v>
      </c>
    </row>
    <row r="213" spans="1:1" x14ac:dyDescent="0.35">
      <c r="A213" s="3" t="s">
        <v>588</v>
      </c>
    </row>
    <row r="214" spans="1:1" x14ac:dyDescent="0.35">
      <c r="A214" s="3" t="s">
        <v>718</v>
      </c>
    </row>
    <row r="215" spans="1:1" x14ac:dyDescent="0.35">
      <c r="A215" s="3" t="s">
        <v>1599</v>
      </c>
    </row>
    <row r="216" spans="1:1" x14ac:dyDescent="0.35">
      <c r="A216" s="3" t="s">
        <v>216</v>
      </c>
    </row>
    <row r="217" spans="1:1" x14ac:dyDescent="0.35">
      <c r="A217" s="3" t="s">
        <v>344</v>
      </c>
    </row>
    <row r="218" spans="1:1" x14ac:dyDescent="0.35">
      <c r="A218" s="3" t="s">
        <v>97</v>
      </c>
    </row>
    <row r="219" spans="1:1" x14ac:dyDescent="0.35">
      <c r="A219" s="3" t="s">
        <v>706</v>
      </c>
    </row>
    <row r="220" spans="1:1" x14ac:dyDescent="0.35">
      <c r="A220" s="3" t="s">
        <v>118</v>
      </c>
    </row>
    <row r="221" spans="1:1" x14ac:dyDescent="0.35">
      <c r="A221" s="3" t="s">
        <v>1499</v>
      </c>
    </row>
    <row r="222" spans="1:1" x14ac:dyDescent="0.35">
      <c r="A222" s="3" t="s">
        <v>1838</v>
      </c>
    </row>
    <row r="223" spans="1:1" x14ac:dyDescent="0.35">
      <c r="A223" s="3" t="s">
        <v>1285</v>
      </c>
    </row>
    <row r="224" spans="1:1" x14ac:dyDescent="0.35">
      <c r="A224" s="3" t="s">
        <v>1717</v>
      </c>
    </row>
    <row r="225" spans="1:1" x14ac:dyDescent="0.35">
      <c r="A225" s="3" t="s">
        <v>1966</v>
      </c>
    </row>
    <row r="226" spans="1:1" x14ac:dyDescent="0.35">
      <c r="A226" s="3" t="s">
        <v>1945</v>
      </c>
    </row>
    <row r="227" spans="1:1" x14ac:dyDescent="0.35">
      <c r="A227" s="3" t="s">
        <v>840</v>
      </c>
    </row>
    <row r="228" spans="1:1" x14ac:dyDescent="0.35">
      <c r="A228" s="3" t="s">
        <v>1586</v>
      </c>
    </row>
    <row r="229" spans="1:1" x14ac:dyDescent="0.35">
      <c r="A229" s="3" t="s">
        <v>873</v>
      </c>
    </row>
    <row r="230" spans="1:1" x14ac:dyDescent="0.35">
      <c r="A230" s="3" t="s">
        <v>1224</v>
      </c>
    </row>
    <row r="231" spans="1:1" x14ac:dyDescent="0.35">
      <c r="A231" s="3" t="s">
        <v>1461</v>
      </c>
    </row>
    <row r="232" spans="1:1" x14ac:dyDescent="0.35">
      <c r="A232" s="3" t="s">
        <v>1111</v>
      </c>
    </row>
    <row r="233" spans="1:1" x14ac:dyDescent="0.35">
      <c r="A233" s="3" t="s">
        <v>1010</v>
      </c>
    </row>
    <row r="234" spans="1:1" x14ac:dyDescent="0.35">
      <c r="A234" s="3" t="s">
        <v>2011</v>
      </c>
    </row>
    <row r="235" spans="1:1" x14ac:dyDescent="0.35">
      <c r="A235" s="3" t="s">
        <v>121</v>
      </c>
    </row>
    <row r="236" spans="1:1" x14ac:dyDescent="0.35">
      <c r="A236" s="3" t="s">
        <v>570</v>
      </c>
    </row>
    <row r="237" spans="1:1" x14ac:dyDescent="0.35">
      <c r="A237" s="3" t="s">
        <v>1116</v>
      </c>
    </row>
    <row r="238" spans="1:1" x14ac:dyDescent="0.35">
      <c r="A238" s="3" t="s">
        <v>36</v>
      </c>
    </row>
    <row r="239" spans="1:1" x14ac:dyDescent="0.35">
      <c r="A239" s="3" t="s">
        <v>1042</v>
      </c>
    </row>
    <row r="240" spans="1:1" x14ac:dyDescent="0.35">
      <c r="A240" s="3" t="s">
        <v>42</v>
      </c>
    </row>
    <row r="241" spans="1:1" x14ac:dyDescent="0.35">
      <c r="A241" s="3" t="s">
        <v>1121</v>
      </c>
    </row>
    <row r="242" spans="1:1" x14ac:dyDescent="0.35">
      <c r="A242" s="3" t="s">
        <v>546</v>
      </c>
    </row>
    <row r="243" spans="1:1" x14ac:dyDescent="0.35">
      <c r="A243" s="3" t="s">
        <v>299</v>
      </c>
    </row>
    <row r="244" spans="1:1" x14ac:dyDescent="0.35">
      <c r="A244" s="3" t="s">
        <v>1848</v>
      </c>
    </row>
    <row r="245" spans="1:1" x14ac:dyDescent="0.35">
      <c r="A245" s="3" t="s">
        <v>156</v>
      </c>
    </row>
    <row r="246" spans="1:1" x14ac:dyDescent="0.35">
      <c r="A246" s="3" t="s">
        <v>517</v>
      </c>
    </row>
    <row r="247" spans="1:1" x14ac:dyDescent="0.35">
      <c r="A247" s="3" t="s">
        <v>972</v>
      </c>
    </row>
    <row r="248" spans="1:1" x14ac:dyDescent="0.35">
      <c r="A248" s="3" t="s">
        <v>667</v>
      </c>
    </row>
    <row r="249" spans="1:1" x14ac:dyDescent="0.35">
      <c r="A249" s="3" t="s">
        <v>1160</v>
      </c>
    </row>
    <row r="250" spans="1:1" x14ac:dyDescent="0.35">
      <c r="A250" s="3" t="s">
        <v>160</v>
      </c>
    </row>
    <row r="251" spans="1:1" x14ac:dyDescent="0.35">
      <c r="A251" s="3" t="s">
        <v>140</v>
      </c>
    </row>
    <row r="252" spans="1:1" x14ac:dyDescent="0.35">
      <c r="A252" s="3" t="s">
        <v>19</v>
      </c>
    </row>
    <row r="253" spans="1:1" x14ac:dyDescent="0.35">
      <c r="A253" s="3" t="s">
        <v>412</v>
      </c>
    </row>
    <row r="254" spans="1:1" x14ac:dyDescent="0.35">
      <c r="A254" s="3" t="s">
        <v>1761</v>
      </c>
    </row>
    <row r="255" spans="1:1" x14ac:dyDescent="0.35">
      <c r="A255" s="3" t="s">
        <v>1822</v>
      </c>
    </row>
    <row r="256" spans="1:1" x14ac:dyDescent="0.35">
      <c r="A256" s="3" t="s">
        <v>1092</v>
      </c>
    </row>
    <row r="257" spans="1:1" x14ac:dyDescent="0.35">
      <c r="A257" s="3" t="s">
        <v>1981</v>
      </c>
    </row>
    <row r="258" spans="1:1" x14ac:dyDescent="0.35">
      <c r="A258" s="3" t="s">
        <v>1532</v>
      </c>
    </row>
    <row r="259" spans="1:1" x14ac:dyDescent="0.35">
      <c r="A259" s="3" t="s">
        <v>1060</v>
      </c>
    </row>
    <row r="260" spans="1:1" x14ac:dyDescent="0.35">
      <c r="A260" s="3" t="s">
        <v>1054</v>
      </c>
    </row>
    <row r="261" spans="1:1" x14ac:dyDescent="0.35">
      <c r="A261" s="3" t="s">
        <v>794</v>
      </c>
    </row>
    <row r="262" spans="1:1" x14ac:dyDescent="0.35">
      <c r="A262" s="3" t="s">
        <v>1176</v>
      </c>
    </row>
    <row r="263" spans="1:1" x14ac:dyDescent="0.35">
      <c r="A263" s="3" t="s">
        <v>1189</v>
      </c>
    </row>
    <row r="264" spans="1:1" x14ac:dyDescent="0.35">
      <c r="A264" s="3" t="s">
        <v>1487</v>
      </c>
    </row>
    <row r="265" spans="1:1" x14ac:dyDescent="0.35">
      <c r="A265" s="3" t="s">
        <v>1424</v>
      </c>
    </row>
    <row r="266" spans="1:1" x14ac:dyDescent="0.35">
      <c r="A266" s="3" t="s">
        <v>1857</v>
      </c>
    </row>
    <row r="267" spans="1:1" x14ac:dyDescent="0.35">
      <c r="A267" s="3" t="s">
        <v>716</v>
      </c>
    </row>
    <row r="268" spans="1:1" x14ac:dyDescent="0.35">
      <c r="A268" s="3" t="s">
        <v>591</v>
      </c>
    </row>
    <row r="269" spans="1:1" x14ac:dyDescent="0.35">
      <c r="A269" s="3" t="s">
        <v>844</v>
      </c>
    </row>
    <row r="270" spans="1:1" x14ac:dyDescent="0.35">
      <c r="A270" s="3" t="s">
        <v>324</v>
      </c>
    </row>
    <row r="271" spans="1:1" x14ac:dyDescent="0.35">
      <c r="A271" s="3" t="s">
        <v>441</v>
      </c>
    </row>
    <row r="272" spans="1:1" x14ac:dyDescent="0.35">
      <c r="A272" s="3" t="s">
        <v>720</v>
      </c>
    </row>
    <row r="273" spans="1:1" x14ac:dyDescent="0.35">
      <c r="A273" s="3" t="s">
        <v>692</v>
      </c>
    </row>
    <row r="274" spans="1:1" x14ac:dyDescent="0.35">
      <c r="A274" s="3" t="s">
        <v>530</v>
      </c>
    </row>
    <row r="275" spans="1:1" x14ac:dyDescent="0.35">
      <c r="A275" s="3" t="s">
        <v>261</v>
      </c>
    </row>
    <row r="276" spans="1:1" x14ac:dyDescent="0.35">
      <c r="A276" s="3" t="s">
        <v>1547</v>
      </c>
    </row>
    <row r="277" spans="1:1" x14ac:dyDescent="0.35">
      <c r="A277" s="3" t="s">
        <v>1618</v>
      </c>
    </row>
    <row r="278" spans="1:1" x14ac:dyDescent="0.35">
      <c r="A278" s="3" t="s">
        <v>896</v>
      </c>
    </row>
    <row r="279" spans="1:1" x14ac:dyDescent="0.35">
      <c r="A279" s="3" t="s">
        <v>523</v>
      </c>
    </row>
    <row r="280" spans="1:1" x14ac:dyDescent="0.35">
      <c r="A280" s="3" t="s">
        <v>985</v>
      </c>
    </row>
    <row r="281" spans="1:1" x14ac:dyDescent="0.35">
      <c r="A281" s="3" t="s">
        <v>307</v>
      </c>
    </row>
    <row r="282" spans="1:1" x14ac:dyDescent="0.35">
      <c r="A282" s="3" t="s">
        <v>1368</v>
      </c>
    </row>
    <row r="283" spans="1:1" x14ac:dyDescent="0.35">
      <c r="A283" s="3" t="s">
        <v>771</v>
      </c>
    </row>
    <row r="284" spans="1:1" x14ac:dyDescent="0.35">
      <c r="A284" s="3" t="s">
        <v>866</v>
      </c>
    </row>
    <row r="285" spans="1:1" x14ac:dyDescent="0.35">
      <c r="A285" s="3" t="s">
        <v>659</v>
      </c>
    </row>
    <row r="286" spans="1:1" x14ac:dyDescent="0.35">
      <c r="A286" s="3" t="s">
        <v>1007</v>
      </c>
    </row>
    <row r="287" spans="1:1" x14ac:dyDescent="0.35">
      <c r="A287" s="3" t="s">
        <v>616</v>
      </c>
    </row>
    <row r="288" spans="1:1" x14ac:dyDescent="0.35">
      <c r="A288" s="3" t="s">
        <v>922</v>
      </c>
    </row>
    <row r="289" spans="1:1" x14ac:dyDescent="0.35">
      <c r="A289" s="3" t="s">
        <v>1737</v>
      </c>
    </row>
    <row r="290" spans="1:1" x14ac:dyDescent="0.35">
      <c r="A290" s="3" t="s">
        <v>564</v>
      </c>
    </row>
    <row r="291" spans="1:1" x14ac:dyDescent="0.35">
      <c r="A291" s="3" t="s">
        <v>1647</v>
      </c>
    </row>
    <row r="292" spans="1:1" x14ac:dyDescent="0.35">
      <c r="A292" s="3" t="s">
        <v>1422</v>
      </c>
    </row>
    <row r="293" spans="1:1" x14ac:dyDescent="0.35">
      <c r="A293" s="3" t="s">
        <v>446</v>
      </c>
    </row>
    <row r="294" spans="1:1" x14ac:dyDescent="0.35">
      <c r="A294" s="3" t="s">
        <v>1515</v>
      </c>
    </row>
    <row r="295" spans="1:1" x14ac:dyDescent="0.35">
      <c r="A295" s="3" t="s">
        <v>200</v>
      </c>
    </row>
    <row r="296" spans="1:1" x14ac:dyDescent="0.35">
      <c r="A296" s="3" t="s">
        <v>45</v>
      </c>
    </row>
    <row r="297" spans="1:1" x14ac:dyDescent="0.35">
      <c r="A297" s="3" t="s">
        <v>678</v>
      </c>
    </row>
    <row r="298" spans="1:1" x14ac:dyDescent="0.35">
      <c r="A298" s="3" t="s">
        <v>641</v>
      </c>
    </row>
    <row r="299" spans="1:1" x14ac:dyDescent="0.35">
      <c r="A299" s="3" t="s">
        <v>1520</v>
      </c>
    </row>
    <row r="300" spans="1:1" x14ac:dyDescent="0.35">
      <c r="A300" s="3" t="s">
        <v>1494</v>
      </c>
    </row>
    <row r="301" spans="1:1" x14ac:dyDescent="0.35">
      <c r="A301" s="3" t="s">
        <v>1301</v>
      </c>
    </row>
    <row r="302" spans="1:1" x14ac:dyDescent="0.35">
      <c r="A302" s="3" t="s">
        <v>48</v>
      </c>
    </row>
    <row r="303" spans="1:1" x14ac:dyDescent="0.35">
      <c r="A303" s="3" t="s">
        <v>1705</v>
      </c>
    </row>
    <row r="304" spans="1:1" x14ac:dyDescent="0.35">
      <c r="A304" s="3" t="s">
        <v>75</v>
      </c>
    </row>
    <row r="305" spans="1:1" x14ac:dyDescent="0.35">
      <c r="A305" s="3" t="s">
        <v>1808</v>
      </c>
    </row>
    <row r="306" spans="1:1" x14ac:dyDescent="0.35">
      <c r="A306" s="3" t="s">
        <v>1291</v>
      </c>
    </row>
    <row r="307" spans="1:1" x14ac:dyDescent="0.35">
      <c r="A307" s="3" t="s">
        <v>190</v>
      </c>
    </row>
    <row r="308" spans="1:1" x14ac:dyDescent="0.35">
      <c r="A308" s="3" t="s">
        <v>1149</v>
      </c>
    </row>
    <row r="309" spans="1:1" x14ac:dyDescent="0.35">
      <c r="A309" s="3" t="s">
        <v>1658</v>
      </c>
    </row>
    <row r="310" spans="1:1" x14ac:dyDescent="0.35">
      <c r="A310" s="3" t="s">
        <v>1506</v>
      </c>
    </row>
    <row r="311" spans="1:1" x14ac:dyDescent="0.35">
      <c r="A311" s="3" t="s">
        <v>327</v>
      </c>
    </row>
    <row r="312" spans="1:1" x14ac:dyDescent="0.35">
      <c r="A312" s="3" t="s">
        <v>1938</v>
      </c>
    </row>
    <row r="313" spans="1:1" x14ac:dyDescent="0.35">
      <c r="A313" s="3" t="s">
        <v>304</v>
      </c>
    </row>
    <row r="314" spans="1:1" x14ac:dyDescent="0.35">
      <c r="A314" s="3" t="s">
        <v>847</v>
      </c>
    </row>
    <row r="315" spans="1:1" x14ac:dyDescent="0.35">
      <c r="A315" s="3" t="s">
        <v>1264</v>
      </c>
    </row>
    <row r="316" spans="1:1" x14ac:dyDescent="0.35">
      <c r="A316" s="3" t="s">
        <v>1919</v>
      </c>
    </row>
    <row r="317" spans="1:1" x14ac:dyDescent="0.35">
      <c r="A317" s="3" t="s">
        <v>700</v>
      </c>
    </row>
    <row r="318" spans="1:1" x14ac:dyDescent="0.35">
      <c r="A318" s="3" t="s">
        <v>64</v>
      </c>
    </row>
    <row r="319" spans="1:1" x14ac:dyDescent="0.35">
      <c r="A319" s="3" t="s">
        <v>814</v>
      </c>
    </row>
    <row r="320" spans="1:1" x14ac:dyDescent="0.35">
      <c r="A320" s="3" t="s">
        <v>339</v>
      </c>
    </row>
    <row r="321" spans="1:1" x14ac:dyDescent="0.35">
      <c r="A321" s="3" t="s">
        <v>285</v>
      </c>
    </row>
    <row r="322" spans="1:1" x14ac:dyDescent="0.35">
      <c r="A322" s="3" t="s">
        <v>567</v>
      </c>
    </row>
    <row r="323" spans="1:1" x14ac:dyDescent="0.35">
      <c r="A323" s="3" t="s">
        <v>663</v>
      </c>
    </row>
    <row r="324" spans="1:1" x14ac:dyDescent="0.35">
      <c r="A324" s="3" t="s">
        <v>257</v>
      </c>
    </row>
    <row r="325" spans="1:1" x14ac:dyDescent="0.35">
      <c r="A325" s="3" t="s">
        <v>1569</v>
      </c>
    </row>
    <row r="326" spans="1:1" x14ac:dyDescent="0.35">
      <c r="A326" s="3" t="s">
        <v>777</v>
      </c>
    </row>
    <row r="327" spans="1:1" x14ac:dyDescent="0.35">
      <c r="A327" s="3" t="s">
        <v>1370</v>
      </c>
    </row>
    <row r="328" spans="1:1" x14ac:dyDescent="0.35">
      <c r="A328" s="3" t="s">
        <v>456</v>
      </c>
    </row>
    <row r="329" spans="1:1" x14ac:dyDescent="0.35">
      <c r="A329" s="3" t="s">
        <v>83</v>
      </c>
    </row>
    <row r="330" spans="1:1" x14ac:dyDescent="0.35">
      <c r="A330" s="3" t="s">
        <v>1565</v>
      </c>
    </row>
    <row r="331" spans="1:1" x14ac:dyDescent="0.35">
      <c r="A331" s="3" t="s">
        <v>383</v>
      </c>
    </row>
    <row r="332" spans="1:1" x14ac:dyDescent="0.35">
      <c r="A332" s="3" t="s">
        <v>947</v>
      </c>
    </row>
    <row r="333" spans="1:1" x14ac:dyDescent="0.35">
      <c r="A333" s="3" t="s">
        <v>191</v>
      </c>
    </row>
    <row r="334" spans="1:1" x14ac:dyDescent="0.35">
      <c r="A334" s="3" t="s">
        <v>1248</v>
      </c>
    </row>
    <row r="335" spans="1:1" x14ac:dyDescent="0.35">
      <c r="A335" s="3" t="s">
        <v>703</v>
      </c>
    </row>
    <row r="336" spans="1:1" x14ac:dyDescent="0.35">
      <c r="A336" s="3" t="s">
        <v>1700</v>
      </c>
    </row>
    <row r="337" spans="1:1" x14ac:dyDescent="0.35">
      <c r="A337" s="3" t="s">
        <v>459</v>
      </c>
    </row>
    <row r="338" spans="1:1" x14ac:dyDescent="0.35">
      <c r="A338" s="3" t="s">
        <v>1818</v>
      </c>
    </row>
    <row r="339" spans="1:1" x14ac:dyDescent="0.35">
      <c r="A339" s="3" t="s">
        <v>196</v>
      </c>
    </row>
    <row r="340" spans="1:1" x14ac:dyDescent="0.35">
      <c r="A340" s="3" t="s">
        <v>1331</v>
      </c>
    </row>
    <row r="341" spans="1:1" x14ac:dyDescent="0.35">
      <c r="A341" s="3" t="s">
        <v>1072</v>
      </c>
    </row>
    <row r="342" spans="1:1" x14ac:dyDescent="0.35">
      <c r="A342" s="3" t="s">
        <v>148</v>
      </c>
    </row>
    <row r="343" spans="1:1" x14ac:dyDescent="0.35">
      <c r="A343" s="3" t="s">
        <v>60</v>
      </c>
    </row>
    <row r="344" spans="1:1" x14ac:dyDescent="0.35">
      <c r="A344" s="3" t="s">
        <v>1449</v>
      </c>
    </row>
    <row r="345" spans="1:1" x14ac:dyDescent="0.35">
      <c r="A345" s="3" t="s">
        <v>513</v>
      </c>
    </row>
    <row r="346" spans="1:1" x14ac:dyDescent="0.35">
      <c r="A346" s="3" t="s">
        <v>57</v>
      </c>
    </row>
    <row r="347" spans="1:1" x14ac:dyDescent="0.35">
      <c r="A347" s="3" t="s">
        <v>1099</v>
      </c>
    </row>
    <row r="348" spans="1:1" x14ac:dyDescent="0.35">
      <c r="A348" s="3" t="s">
        <v>1893</v>
      </c>
    </row>
    <row r="349" spans="1:1" x14ac:dyDescent="0.35">
      <c r="A349" s="3" t="s">
        <v>684</v>
      </c>
    </row>
    <row r="350" spans="1:1" x14ac:dyDescent="0.35">
      <c r="A350" s="3" t="s">
        <v>203</v>
      </c>
    </row>
    <row r="351" spans="1:1" x14ac:dyDescent="0.35">
      <c r="A351" s="3" t="s">
        <v>16</v>
      </c>
    </row>
    <row r="352" spans="1:1" x14ac:dyDescent="0.35">
      <c r="A352" s="3" t="s">
        <v>802</v>
      </c>
    </row>
    <row r="353" spans="1:1" x14ac:dyDescent="0.35">
      <c r="A353" s="3" t="s">
        <v>709</v>
      </c>
    </row>
    <row r="354" spans="1:1" x14ac:dyDescent="0.35">
      <c r="A354" s="3" t="s">
        <v>613</v>
      </c>
    </row>
    <row r="355" spans="1:1" x14ac:dyDescent="0.35">
      <c r="A355" s="3" t="s">
        <v>994</v>
      </c>
    </row>
    <row r="356" spans="1:1" x14ac:dyDescent="0.35">
      <c r="A356" s="3" t="s">
        <v>1969</v>
      </c>
    </row>
    <row r="357" spans="1:1" x14ac:dyDescent="0.35">
      <c r="A357" s="3" t="s">
        <v>726</v>
      </c>
    </row>
    <row r="358" spans="1:1" x14ac:dyDescent="0.35">
      <c r="A358" s="3" t="s">
        <v>490</v>
      </c>
    </row>
    <row r="359" spans="1:1" x14ac:dyDescent="0.35">
      <c r="A359" s="3" t="s">
        <v>289</v>
      </c>
    </row>
    <row r="360" spans="1:1" x14ac:dyDescent="0.35">
      <c r="A360" s="3" t="s">
        <v>1318</v>
      </c>
    </row>
    <row r="361" spans="1:1" x14ac:dyDescent="0.35">
      <c r="A361" s="3" t="s">
        <v>230</v>
      </c>
    </row>
    <row r="362" spans="1:1" x14ac:dyDescent="0.35">
      <c r="A362" s="3" t="s">
        <v>1827</v>
      </c>
    </row>
    <row r="363" spans="1:1" x14ac:dyDescent="0.35">
      <c r="A363" s="3" t="s">
        <v>675</v>
      </c>
    </row>
    <row r="364" spans="1:1" x14ac:dyDescent="0.35">
      <c r="A364" s="3" t="s">
        <v>1662</v>
      </c>
    </row>
    <row r="365" spans="1:1" x14ac:dyDescent="0.35">
      <c r="A365" s="3" t="s">
        <v>1625</v>
      </c>
    </row>
    <row r="366" spans="1:1" x14ac:dyDescent="0.35">
      <c r="A366" s="3" t="s">
        <v>386</v>
      </c>
    </row>
    <row r="367" spans="1:1" x14ac:dyDescent="0.35">
      <c r="A367" s="3" t="s">
        <v>784</v>
      </c>
    </row>
    <row r="368" spans="1:1" x14ac:dyDescent="0.35">
      <c r="A368" s="3" t="s">
        <v>558</v>
      </c>
    </row>
    <row r="369" spans="1:1" x14ac:dyDescent="0.35">
      <c r="A369" s="3" t="s">
        <v>549</v>
      </c>
    </row>
    <row r="370" spans="1:1" x14ac:dyDescent="0.35">
      <c r="A370" s="3" t="s">
        <v>510</v>
      </c>
    </row>
    <row r="371" spans="1:1" x14ac:dyDescent="0.35">
      <c r="A371" s="3" t="s">
        <v>1335</v>
      </c>
    </row>
    <row r="372" spans="1:1" x14ac:dyDescent="0.35">
      <c r="A372" s="3" t="s">
        <v>573</v>
      </c>
    </row>
    <row r="373" spans="1:1" x14ac:dyDescent="0.35">
      <c r="A373" s="3" t="s">
        <v>292</v>
      </c>
    </row>
    <row r="374" spans="1:1" x14ac:dyDescent="0.35">
      <c r="A374" s="3" t="s">
        <v>1683</v>
      </c>
    </row>
    <row r="375" spans="1:1" x14ac:dyDescent="0.35">
      <c r="A375" s="3" t="s">
        <v>1310</v>
      </c>
    </row>
    <row r="376" spans="1:1" x14ac:dyDescent="0.35">
      <c r="A376" s="3" t="s">
        <v>1087</v>
      </c>
    </row>
    <row r="377" spans="1:1" x14ac:dyDescent="0.35">
      <c r="A377" s="3" t="s">
        <v>336</v>
      </c>
    </row>
    <row r="378" spans="1:1" x14ac:dyDescent="0.35">
      <c r="A378" s="3" t="s">
        <v>979</v>
      </c>
    </row>
    <row r="379" spans="1:1" x14ac:dyDescent="0.35">
      <c r="A379" s="3" t="s">
        <v>536</v>
      </c>
    </row>
    <row r="380" spans="1:1" x14ac:dyDescent="0.35">
      <c r="A380" s="3" t="s">
        <v>991</v>
      </c>
    </row>
    <row r="381" spans="1:1" x14ac:dyDescent="0.35">
      <c r="A381" s="3" t="s">
        <v>1313</v>
      </c>
    </row>
    <row r="382" spans="1:1" x14ac:dyDescent="0.35">
      <c r="A382" s="3" t="s">
        <v>1771</v>
      </c>
    </row>
    <row r="383" spans="1:1" x14ac:dyDescent="0.35">
      <c r="A383" s="3" t="s">
        <v>1956</v>
      </c>
    </row>
    <row r="384" spans="1:1" x14ac:dyDescent="0.35">
      <c r="A384" s="3" t="s">
        <v>1442</v>
      </c>
    </row>
    <row r="385" spans="1:1" x14ac:dyDescent="0.35">
      <c r="A385" s="3" t="s">
        <v>87</v>
      </c>
    </row>
    <row r="386" spans="1:1" x14ac:dyDescent="0.35">
      <c r="A386" s="3" t="s">
        <v>527</v>
      </c>
    </row>
    <row r="387" spans="1:1" x14ac:dyDescent="0.35">
      <c r="A387" s="3" t="s">
        <v>1510</v>
      </c>
    </row>
    <row r="388" spans="1:1" x14ac:dyDescent="0.35">
      <c r="A388" s="3" t="s">
        <v>263</v>
      </c>
    </row>
    <row r="389" spans="1:1" x14ac:dyDescent="0.35">
      <c r="A389" s="3" t="s">
        <v>534</v>
      </c>
    </row>
    <row r="390" spans="1:1" x14ac:dyDescent="0.35">
      <c r="A390" s="3" t="s">
        <v>33</v>
      </c>
    </row>
    <row r="391" spans="1:1" x14ac:dyDescent="0.35">
      <c r="A391" s="3" t="s">
        <v>402</v>
      </c>
    </row>
    <row r="392" spans="1:1" x14ac:dyDescent="0.35">
      <c r="A392" s="3" t="s">
        <v>1602</v>
      </c>
    </row>
    <row r="393" spans="1:1" x14ac:dyDescent="0.35">
      <c r="A393" s="3" t="s">
        <v>746</v>
      </c>
    </row>
    <row r="394" spans="1:1" x14ac:dyDescent="0.35">
      <c r="A394" s="3" t="s">
        <v>671</v>
      </c>
    </row>
    <row r="395" spans="1:1" x14ac:dyDescent="0.35">
      <c r="A395" s="3" t="s">
        <v>1215</v>
      </c>
    </row>
    <row r="396" spans="1:1" x14ac:dyDescent="0.35">
      <c r="A396" s="3" t="s">
        <v>1420</v>
      </c>
    </row>
    <row r="397" spans="1:1" x14ac:dyDescent="0.35">
      <c r="A397" s="3" t="s">
        <v>1038</v>
      </c>
    </row>
    <row r="398" spans="1:1" x14ac:dyDescent="0.35">
      <c r="A398" s="3" t="s">
        <v>958</v>
      </c>
    </row>
    <row r="399" spans="1:1" x14ac:dyDescent="0.35">
      <c r="A399" s="3" t="s">
        <v>805</v>
      </c>
    </row>
    <row r="400" spans="1:1" x14ac:dyDescent="0.35">
      <c r="A400" s="3" t="s">
        <v>1711</v>
      </c>
    </row>
    <row r="401" spans="1:1" x14ac:dyDescent="0.35">
      <c r="A401" s="3" t="s">
        <v>694</v>
      </c>
    </row>
    <row r="402" spans="1:1" x14ac:dyDescent="0.35">
      <c r="A402" s="3" t="s">
        <v>478</v>
      </c>
    </row>
    <row r="403" spans="1:1" x14ac:dyDescent="0.35">
      <c r="A403" s="3" t="s">
        <v>433</v>
      </c>
    </row>
    <row r="404" spans="1:1" x14ac:dyDescent="0.35">
      <c r="A404" s="3" t="s">
        <v>961</v>
      </c>
    </row>
    <row r="405" spans="1:1" x14ac:dyDescent="0.35">
      <c r="A405" s="3" t="s">
        <v>1288</v>
      </c>
    </row>
    <row r="406" spans="1:1" x14ac:dyDescent="0.35">
      <c r="A406" s="3" t="s">
        <v>1352</v>
      </c>
    </row>
    <row r="407" spans="1:1" x14ac:dyDescent="0.35">
      <c r="A407" s="3" t="s">
        <v>655</v>
      </c>
    </row>
    <row r="408" spans="1:1" x14ac:dyDescent="0.35">
      <c r="A408" s="3" t="s">
        <v>1016</v>
      </c>
    </row>
    <row r="409" spans="1:1" x14ac:dyDescent="0.35">
      <c r="A409" s="3" t="s">
        <v>782</v>
      </c>
    </row>
    <row r="410" spans="1:1" x14ac:dyDescent="0.35">
      <c r="A410" s="3" t="s">
        <v>1551</v>
      </c>
    </row>
    <row r="411" spans="1:1" x14ac:dyDescent="0.35">
      <c r="A411" s="3" t="s">
        <v>552</v>
      </c>
    </row>
    <row r="412" spans="1:1" x14ac:dyDescent="0.35">
      <c r="A412" s="3" t="s">
        <v>1675</v>
      </c>
    </row>
    <row r="413" spans="1:1" x14ac:dyDescent="0.35">
      <c r="A413" s="3" t="s">
        <v>1672</v>
      </c>
    </row>
    <row r="414" spans="1:1" x14ac:dyDescent="0.35">
      <c r="A414" s="3" t="s">
        <v>171</v>
      </c>
    </row>
    <row r="415" spans="1:1" x14ac:dyDescent="0.35">
      <c r="A415" s="3" t="s">
        <v>1036</v>
      </c>
    </row>
    <row r="416" spans="1:1" x14ac:dyDescent="0.35">
      <c r="A416" s="3" t="s">
        <v>443</v>
      </c>
    </row>
    <row r="417" spans="1:1" x14ac:dyDescent="0.35">
      <c r="A417" s="3" t="s">
        <v>1163</v>
      </c>
    </row>
    <row r="418" spans="1:1" x14ac:dyDescent="0.35">
      <c r="A418" s="3" t="s">
        <v>2031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37"/>
  <sheetViews>
    <sheetView tabSelected="1" zoomScale="70" zoomScaleNormal="70" workbookViewId="0">
      <selection activeCell="I22" sqref="I22"/>
    </sheetView>
  </sheetViews>
  <sheetFormatPr baseColWidth="10" defaultRowHeight="14.5" x14ac:dyDescent="0.35"/>
  <cols>
    <col min="2" max="2" width="37.81640625" customWidth="1"/>
    <col min="3" max="3" width="39.08984375" customWidth="1"/>
    <col min="4" max="4" width="38.54296875" customWidth="1"/>
    <col min="5" max="5" width="36.90625" hidden="1" customWidth="1"/>
    <col min="6" max="6" width="17.90625" bestFit="1" customWidth="1"/>
    <col min="7" max="7" width="21.81640625" bestFit="1" customWidth="1"/>
    <col min="8" max="8" width="21.6328125" customWidth="1"/>
    <col min="9" max="9" width="31.08984375" customWidth="1"/>
    <col min="11" max="11" width="54.81640625" customWidth="1"/>
    <col min="12" max="12" width="26.4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2034</v>
      </c>
      <c r="J1" t="s">
        <v>2033</v>
      </c>
      <c r="K1" t="s">
        <v>2555</v>
      </c>
      <c r="L1" t="s">
        <v>2557</v>
      </c>
      <c r="M1" t="s">
        <v>2558</v>
      </c>
      <c r="N1" t="s">
        <v>2559</v>
      </c>
      <c r="O1" t="s">
        <v>2560</v>
      </c>
    </row>
    <row r="2" spans="1:15" x14ac:dyDescent="0.35">
      <c r="A2" t="str">
        <f>"7814686-9"</f>
        <v>7814686-9</v>
      </c>
      <c r="B2" t="s">
        <v>167</v>
      </c>
      <c r="C2" t="s">
        <v>168</v>
      </c>
      <c r="D2" t="s">
        <v>169</v>
      </c>
      <c r="F2" s="1">
        <v>45253.823611111111</v>
      </c>
      <c r="G2" s="1">
        <v>45371.809027777781</v>
      </c>
      <c r="H2" t="s">
        <v>170</v>
      </c>
      <c r="I2" t="s">
        <v>11</v>
      </c>
      <c r="J2">
        <v>3</v>
      </c>
    </row>
    <row r="3" spans="1:15" x14ac:dyDescent="0.35">
      <c r="A3" t="str">
        <f>"17960359-4"</f>
        <v>17960359-4</v>
      </c>
      <c r="B3" t="s">
        <v>187</v>
      </c>
      <c r="C3" t="s">
        <v>188</v>
      </c>
      <c r="D3" t="s">
        <v>189</v>
      </c>
      <c r="F3" s="1">
        <v>45258.70416666667</v>
      </c>
      <c r="G3" s="1">
        <v>45398.71597222222</v>
      </c>
    </row>
    <row r="4" spans="1:15" x14ac:dyDescent="0.35">
      <c r="A4" t="str">
        <f>"16202031-5"</f>
        <v>16202031-5</v>
      </c>
      <c r="B4" t="s">
        <v>152</v>
      </c>
      <c r="C4" t="s">
        <v>153</v>
      </c>
      <c r="D4" t="s">
        <v>154</v>
      </c>
      <c r="F4" s="1">
        <v>45253.625</v>
      </c>
      <c r="G4" s="1">
        <v>45394.559027777781</v>
      </c>
      <c r="H4" t="s">
        <v>155</v>
      </c>
    </row>
    <row r="5" spans="1:15" x14ac:dyDescent="0.35">
      <c r="A5" t="str">
        <f>"15970145-K"</f>
        <v>15970145-K</v>
      </c>
      <c r="B5" t="s">
        <v>1189</v>
      </c>
      <c r="C5" t="s">
        <v>1190</v>
      </c>
      <c r="D5" t="s">
        <v>1191</v>
      </c>
      <c r="F5" s="1">
        <v>45343.556250000001</v>
      </c>
      <c r="G5" s="1">
        <v>45378.636111111111</v>
      </c>
    </row>
    <row r="6" spans="1:15" x14ac:dyDescent="0.35">
      <c r="A6" t="str">
        <f>"13299020-4"</f>
        <v>13299020-4</v>
      </c>
      <c r="B6" t="s">
        <v>140</v>
      </c>
      <c r="C6" t="s">
        <v>1472</v>
      </c>
      <c r="D6" t="s">
        <v>2216</v>
      </c>
      <c r="F6" s="1">
        <v>45411.519444444442</v>
      </c>
      <c r="G6" s="1">
        <v>45411.520138888889</v>
      </c>
      <c r="H6" t="s">
        <v>2217</v>
      </c>
      <c r="I6" t="s">
        <v>11</v>
      </c>
      <c r="J6">
        <v>2</v>
      </c>
    </row>
    <row r="7" spans="1:15" x14ac:dyDescent="0.35">
      <c r="A7" t="str">
        <f>"13904948-9"</f>
        <v>13904948-9</v>
      </c>
      <c r="B7" t="s">
        <v>1893</v>
      </c>
      <c r="C7" t="s">
        <v>1894</v>
      </c>
      <c r="D7" t="s">
        <v>1895</v>
      </c>
      <c r="E7" t="s">
        <v>1896</v>
      </c>
      <c r="F7" s="1">
        <v>45390.027083333334</v>
      </c>
      <c r="G7" s="1">
        <v>45390.027083333334</v>
      </c>
    </row>
    <row r="8" spans="1:15" x14ac:dyDescent="0.35">
      <c r="A8" t="str">
        <f>"16534099-K"</f>
        <v>16534099-K</v>
      </c>
      <c r="B8" t="s">
        <v>1532</v>
      </c>
      <c r="C8" t="s">
        <v>1533</v>
      </c>
      <c r="D8" t="s">
        <v>1534</v>
      </c>
      <c r="E8" t="s">
        <v>1535</v>
      </c>
      <c r="F8" s="1">
        <v>45371.625694444447</v>
      </c>
      <c r="G8" s="1">
        <v>45373.652083333334</v>
      </c>
      <c r="H8" t="s">
        <v>1536</v>
      </c>
      <c r="I8" t="s">
        <v>11</v>
      </c>
      <c r="J8">
        <v>2</v>
      </c>
    </row>
    <row r="9" spans="1:15" x14ac:dyDescent="0.35">
      <c r="A9" t="str">
        <f>"16778534-4"</f>
        <v>16778534-4</v>
      </c>
      <c r="B9" t="s">
        <v>1042</v>
      </c>
      <c r="C9" t="s">
        <v>934</v>
      </c>
      <c r="D9" t="s">
        <v>1644</v>
      </c>
      <c r="E9" t="s">
        <v>1645</v>
      </c>
      <c r="F9" s="1">
        <v>45376.719444444447</v>
      </c>
      <c r="G9" s="1">
        <v>45376.720138888886</v>
      </c>
      <c r="H9" t="s">
        <v>1646</v>
      </c>
      <c r="I9" t="s">
        <v>11</v>
      </c>
      <c r="J9">
        <v>2</v>
      </c>
    </row>
    <row r="10" spans="1:15" x14ac:dyDescent="0.35">
      <c r="A10" t="str">
        <f>"25326393-8"</f>
        <v>25326393-8</v>
      </c>
      <c r="B10" t="s">
        <v>2183</v>
      </c>
      <c r="C10" t="s">
        <v>2184</v>
      </c>
      <c r="D10" t="s">
        <v>2185</v>
      </c>
      <c r="F10" s="1">
        <v>45408.717361111114</v>
      </c>
      <c r="G10" s="1">
        <v>45408.718055555553</v>
      </c>
      <c r="H10" t="s">
        <v>2186</v>
      </c>
      <c r="I10" t="s">
        <v>11</v>
      </c>
      <c r="J10">
        <v>2</v>
      </c>
    </row>
    <row r="11" spans="1:15" x14ac:dyDescent="0.35">
      <c r="A11" t="str">
        <f>"18794054-0"</f>
        <v>18794054-0</v>
      </c>
      <c r="B11" t="s">
        <v>1146</v>
      </c>
      <c r="C11" t="s">
        <v>1147</v>
      </c>
      <c r="D11" t="s">
        <v>1148</v>
      </c>
      <c r="F11" s="1">
        <v>45337.817361111112</v>
      </c>
      <c r="G11" s="1">
        <v>45387.566666666666</v>
      </c>
    </row>
    <row r="12" spans="1:15" x14ac:dyDescent="0.35">
      <c r="A12" t="str">
        <f>"13465628-K"</f>
        <v>13465628-K</v>
      </c>
      <c r="B12" t="s">
        <v>520</v>
      </c>
      <c r="C12" t="s">
        <v>250</v>
      </c>
      <c r="D12" t="s">
        <v>521</v>
      </c>
      <c r="F12" s="1">
        <v>45287.789583333331</v>
      </c>
      <c r="G12" s="1">
        <v>45359.477083333331</v>
      </c>
      <c r="H12" t="s">
        <v>522</v>
      </c>
    </row>
    <row r="13" spans="1:15" x14ac:dyDescent="0.35">
      <c r="A13" t="str">
        <f>"17519604-8"</f>
        <v>17519604-8</v>
      </c>
      <c r="B13" t="s">
        <v>216</v>
      </c>
      <c r="C13" t="s">
        <v>217</v>
      </c>
      <c r="D13" t="s">
        <v>218</v>
      </c>
      <c r="F13" s="1">
        <v>45264.763194444444</v>
      </c>
      <c r="G13" s="1">
        <v>45356.819444444445</v>
      </c>
      <c r="H13" t="s">
        <v>219</v>
      </c>
    </row>
    <row r="14" spans="1:15" x14ac:dyDescent="0.35">
      <c r="A14" t="str">
        <f>"20072797-5"</f>
        <v>20072797-5</v>
      </c>
      <c r="B14" t="s">
        <v>1103</v>
      </c>
      <c r="C14" t="s">
        <v>1104</v>
      </c>
      <c r="D14" t="s">
        <v>1105</v>
      </c>
      <c r="E14" t="s">
        <v>1106</v>
      </c>
      <c r="F14" s="1">
        <v>45335.869444444441</v>
      </c>
      <c r="G14" s="1">
        <v>45377.645138888889</v>
      </c>
    </row>
    <row r="15" spans="1:15" x14ac:dyDescent="0.35">
      <c r="A15" t="str">
        <f>"20419520-K"</f>
        <v>20419520-K</v>
      </c>
      <c r="B15" t="s">
        <v>690</v>
      </c>
      <c r="C15" t="s">
        <v>1999</v>
      </c>
      <c r="D15" t="s">
        <v>2000</v>
      </c>
      <c r="F15" s="1">
        <v>45397.811805555553</v>
      </c>
      <c r="G15" s="1">
        <v>45397.8125</v>
      </c>
      <c r="H15" t="s">
        <v>2001</v>
      </c>
      <c r="I15" t="s">
        <v>11</v>
      </c>
      <c r="J15">
        <v>2</v>
      </c>
    </row>
    <row r="16" spans="1:15" x14ac:dyDescent="0.35">
      <c r="A16" t="str">
        <f>"9523591-3"</f>
        <v>9523591-3</v>
      </c>
      <c r="B16" t="s">
        <v>60</v>
      </c>
      <c r="C16" t="s">
        <v>61</v>
      </c>
      <c r="D16" t="s">
        <v>62</v>
      </c>
      <c r="F16" s="1">
        <v>45244.848611111112</v>
      </c>
      <c r="G16" s="1">
        <v>45399.831944444442</v>
      </c>
      <c r="H16" t="s">
        <v>63</v>
      </c>
      <c r="I16" t="s">
        <v>11</v>
      </c>
      <c r="J16">
        <v>2</v>
      </c>
    </row>
    <row r="17" spans="1:10" x14ac:dyDescent="0.35">
      <c r="A17" t="str">
        <f>"17740694-5"</f>
        <v>17740694-5</v>
      </c>
      <c r="B17" t="s">
        <v>1310</v>
      </c>
      <c r="C17" t="s">
        <v>1295</v>
      </c>
      <c r="D17" t="s">
        <v>1311</v>
      </c>
      <c r="F17" s="1">
        <v>45356.506249999999</v>
      </c>
      <c r="G17" s="1">
        <v>45395.838194444441</v>
      </c>
      <c r="H17" t="s">
        <v>1312</v>
      </c>
    </row>
    <row r="18" spans="1:10" x14ac:dyDescent="0.35">
      <c r="A18" t="str">
        <f>"17110877-2"</f>
        <v>17110877-2</v>
      </c>
      <c r="B18" t="s">
        <v>467</v>
      </c>
      <c r="C18" t="s">
        <v>468</v>
      </c>
      <c r="D18" t="s">
        <v>469</v>
      </c>
      <c r="F18" s="1">
        <v>45283.618750000001</v>
      </c>
      <c r="G18" s="1">
        <v>45384.773611111108</v>
      </c>
    </row>
    <row r="19" spans="1:10" x14ac:dyDescent="0.35">
      <c r="A19" t="str">
        <f>"13665466-7"</f>
        <v>13665466-7</v>
      </c>
      <c r="B19" t="s">
        <v>48</v>
      </c>
      <c r="C19" t="s">
        <v>49</v>
      </c>
      <c r="D19" t="s">
        <v>50</v>
      </c>
      <c r="F19" s="1">
        <v>45244.499305555553</v>
      </c>
      <c r="G19" s="1">
        <v>45378.698611111111</v>
      </c>
    </row>
    <row r="20" spans="1:10" x14ac:dyDescent="0.35">
      <c r="A20" t="str">
        <f>"6852872-0"</f>
        <v>6852872-0</v>
      </c>
      <c r="B20" t="s">
        <v>982</v>
      </c>
      <c r="C20" t="s">
        <v>1475</v>
      </c>
      <c r="D20" t="s">
        <v>1476</v>
      </c>
      <c r="F20" s="1">
        <v>45369.581250000003</v>
      </c>
      <c r="G20" s="1">
        <v>45391.470833333333</v>
      </c>
    </row>
    <row r="21" spans="1:10" x14ac:dyDescent="0.35">
      <c r="A21" t="str">
        <f>"17188533-7"</f>
        <v>17188533-7</v>
      </c>
      <c r="B21" t="s">
        <v>1524</v>
      </c>
      <c r="C21" t="s">
        <v>1525</v>
      </c>
      <c r="D21" t="s">
        <v>1526</v>
      </c>
      <c r="E21" t="s">
        <v>1527</v>
      </c>
      <c r="F21" s="1">
        <v>45371.59097222222</v>
      </c>
      <c r="G21" s="1">
        <v>45371.591666666667</v>
      </c>
      <c r="H21" t="s">
        <v>1528</v>
      </c>
      <c r="I21" t="s">
        <v>11</v>
      </c>
      <c r="J21">
        <v>1.5</v>
      </c>
    </row>
    <row r="22" spans="1:10" x14ac:dyDescent="0.35">
      <c r="A22" t="str">
        <f>"18372543-2"</f>
        <v>18372543-2</v>
      </c>
      <c r="B22" t="s">
        <v>1841</v>
      </c>
      <c r="C22" t="s">
        <v>2111</v>
      </c>
      <c r="D22" t="s">
        <v>2112</v>
      </c>
      <c r="F22" s="1">
        <v>45405.679861111108</v>
      </c>
      <c r="G22" s="1">
        <v>45411.597222222219</v>
      </c>
      <c r="H22" t="s">
        <v>2113</v>
      </c>
      <c r="I22" t="s">
        <v>11</v>
      </c>
      <c r="J22">
        <v>1.5</v>
      </c>
    </row>
    <row r="23" spans="1:10" x14ac:dyDescent="0.35">
      <c r="A23" t="str">
        <f>"14319630-5"</f>
        <v>14319630-5</v>
      </c>
      <c r="B23" t="s">
        <v>951</v>
      </c>
      <c r="C23" t="s">
        <v>1803</v>
      </c>
      <c r="D23" t="s">
        <v>1804</v>
      </c>
      <c r="F23" s="1">
        <v>45384.527083333334</v>
      </c>
      <c r="G23" s="1">
        <v>45384.527777777781</v>
      </c>
      <c r="H23" t="s">
        <v>1805</v>
      </c>
      <c r="I23" t="s">
        <v>11</v>
      </c>
      <c r="J23">
        <v>1.5</v>
      </c>
    </row>
    <row r="24" spans="1:10" x14ac:dyDescent="0.35">
      <c r="A24" t="str">
        <f>"28173902-6"</f>
        <v>28173902-6</v>
      </c>
      <c r="B24" t="s">
        <v>623</v>
      </c>
      <c r="C24" t="s">
        <v>1687</v>
      </c>
      <c r="D24" t="s">
        <v>1688</v>
      </c>
      <c r="F24" s="1">
        <v>45377.834722222222</v>
      </c>
      <c r="G24" s="1">
        <v>45377.835416666669</v>
      </c>
      <c r="H24" t="s">
        <v>1689</v>
      </c>
      <c r="I24" t="s">
        <v>11</v>
      </c>
      <c r="J24">
        <v>1.5</v>
      </c>
    </row>
    <row r="25" spans="1:10" x14ac:dyDescent="0.35">
      <c r="A25" t="str">
        <f>"20784436-5"</f>
        <v>20784436-5</v>
      </c>
      <c r="B25" t="s">
        <v>402</v>
      </c>
      <c r="C25" t="s">
        <v>1063</v>
      </c>
      <c r="D25" t="s">
        <v>1064</v>
      </c>
      <c r="F25" s="1">
        <v>45329.784722222219</v>
      </c>
      <c r="G25" s="1">
        <v>45363.549305555556</v>
      </c>
    </row>
    <row r="26" spans="1:10" x14ac:dyDescent="0.35">
      <c r="A26" t="str">
        <f>"12472427-9"</f>
        <v>12472427-9</v>
      </c>
      <c r="B26" t="s">
        <v>121</v>
      </c>
      <c r="C26" t="s">
        <v>627</v>
      </c>
      <c r="D26" t="s">
        <v>628</v>
      </c>
      <c r="F26" s="1">
        <v>45295.429861111108</v>
      </c>
      <c r="G26" s="1">
        <v>45386.600694444445</v>
      </c>
      <c r="H26" t="s">
        <v>629</v>
      </c>
    </row>
    <row r="27" spans="1:10" x14ac:dyDescent="0.35">
      <c r="A27" t="str">
        <f>"12165962-K"</f>
        <v>12165962-K</v>
      </c>
      <c r="B27" t="s">
        <v>121</v>
      </c>
      <c r="C27" t="s">
        <v>122</v>
      </c>
      <c r="D27" t="s">
        <v>123</v>
      </c>
      <c r="F27" s="1">
        <v>45251.606944444444</v>
      </c>
      <c r="G27" s="1">
        <v>45378.597916666666</v>
      </c>
      <c r="H27" t="s">
        <v>124</v>
      </c>
    </row>
    <row r="28" spans="1:10" x14ac:dyDescent="0.35">
      <c r="A28" t="str">
        <f>"12019635-9"</f>
        <v>12019635-9</v>
      </c>
      <c r="B28" t="s">
        <v>292</v>
      </c>
      <c r="C28" t="s">
        <v>2061</v>
      </c>
      <c r="E28" t="s">
        <v>2062</v>
      </c>
      <c r="F28" s="1">
        <v>45401.707638888889</v>
      </c>
      <c r="G28" s="1">
        <v>45401.707638888889</v>
      </c>
    </row>
    <row r="29" spans="1:10" x14ac:dyDescent="0.35">
      <c r="A29" t="str">
        <f>"13882618-K"</f>
        <v>13882618-K</v>
      </c>
      <c r="B29" t="s">
        <v>111</v>
      </c>
      <c r="C29" t="s">
        <v>1228</v>
      </c>
      <c r="D29" t="s">
        <v>1229</v>
      </c>
      <c r="F29" s="1">
        <v>45346.65625</v>
      </c>
      <c r="G29" s="1">
        <v>45379.599305555559</v>
      </c>
      <c r="H29" t="s">
        <v>1230</v>
      </c>
    </row>
    <row r="30" spans="1:10" x14ac:dyDescent="0.35">
      <c r="A30" t="str">
        <f>"8220642-6"</f>
        <v>8220642-6</v>
      </c>
      <c r="B30" t="s">
        <v>289</v>
      </c>
      <c r="C30" t="s">
        <v>290</v>
      </c>
      <c r="D30" t="s">
        <v>291</v>
      </c>
      <c r="F30" s="1">
        <v>45272.704861111109</v>
      </c>
      <c r="G30" s="1">
        <v>45356.53125</v>
      </c>
    </row>
    <row r="31" spans="1:10" x14ac:dyDescent="0.35">
      <c r="A31" t="str">
        <f>"10639649-3"</f>
        <v>10639649-3</v>
      </c>
      <c r="B31" t="s">
        <v>324</v>
      </c>
      <c r="C31" t="s">
        <v>1971</v>
      </c>
      <c r="D31" t="s">
        <v>1972</v>
      </c>
      <c r="F31" s="1">
        <v>45394.668749999997</v>
      </c>
      <c r="G31" s="1">
        <v>45394.668749999997</v>
      </c>
      <c r="H31" t="s">
        <v>1973</v>
      </c>
      <c r="I31" t="s">
        <v>11</v>
      </c>
      <c r="J31">
        <v>1.5</v>
      </c>
    </row>
    <row r="32" spans="1:10" x14ac:dyDescent="0.35">
      <c r="A32" t="str">
        <f>"16176694-1"</f>
        <v>16176694-1</v>
      </c>
      <c r="B32" t="s">
        <v>1042</v>
      </c>
      <c r="C32" t="s">
        <v>1800</v>
      </c>
      <c r="D32" t="s">
        <v>1801</v>
      </c>
      <c r="F32" s="1">
        <v>45384.525000000001</v>
      </c>
      <c r="G32" s="1">
        <v>45397.615972222222</v>
      </c>
      <c r="H32" t="s">
        <v>1802</v>
      </c>
      <c r="I32" t="s">
        <v>11</v>
      </c>
      <c r="J32">
        <v>1</v>
      </c>
    </row>
    <row r="33" spans="1:10" x14ac:dyDescent="0.35">
      <c r="A33" t="str">
        <f>"7931347-5"</f>
        <v>7931347-5</v>
      </c>
      <c r="B33" t="s">
        <v>111</v>
      </c>
      <c r="C33" t="s">
        <v>1903</v>
      </c>
      <c r="D33" t="s">
        <v>1904</v>
      </c>
      <c r="E33" t="s">
        <v>1905</v>
      </c>
      <c r="F33" s="1">
        <v>45390.871527777781</v>
      </c>
      <c r="G33" s="1">
        <v>45390.871527777781</v>
      </c>
    </row>
    <row r="34" spans="1:10" x14ac:dyDescent="0.35">
      <c r="A34" t="str">
        <f>"18139446-3"</f>
        <v>18139446-3</v>
      </c>
      <c r="B34" t="s">
        <v>292</v>
      </c>
      <c r="C34" t="s">
        <v>2046</v>
      </c>
      <c r="D34" t="s">
        <v>2047</v>
      </c>
      <c r="E34" t="s">
        <v>2048</v>
      </c>
      <c r="F34" s="1">
        <v>45400.560416666667</v>
      </c>
      <c r="G34" s="1">
        <v>45400.560416666667</v>
      </c>
    </row>
    <row r="35" spans="1:10" x14ac:dyDescent="0.35">
      <c r="A35" t="str">
        <f>"19171884-4"</f>
        <v>19171884-4</v>
      </c>
      <c r="B35" t="s">
        <v>900</v>
      </c>
      <c r="C35" t="s">
        <v>2111</v>
      </c>
      <c r="D35" t="s">
        <v>2188</v>
      </c>
      <c r="F35" s="1">
        <v>45408.726388888892</v>
      </c>
      <c r="G35" s="1">
        <v>45408.727083333331</v>
      </c>
      <c r="H35" t="s">
        <v>2189</v>
      </c>
      <c r="I35" t="s">
        <v>11</v>
      </c>
      <c r="J35">
        <v>1</v>
      </c>
    </row>
    <row r="36" spans="1:10" x14ac:dyDescent="0.35">
      <c r="A36" t="str">
        <f>"22009553-3"</f>
        <v>22009553-3</v>
      </c>
      <c r="B36" t="s">
        <v>181</v>
      </c>
      <c r="C36" t="s">
        <v>182</v>
      </c>
      <c r="D36" t="s">
        <v>183</v>
      </c>
      <c r="F36" s="1">
        <v>45258.577777777777</v>
      </c>
      <c r="G36" s="1">
        <v>45390.570138888892</v>
      </c>
    </row>
    <row r="37" spans="1:10" x14ac:dyDescent="0.35">
      <c r="A37" t="str">
        <f>"8659882-5"</f>
        <v>8659882-5</v>
      </c>
      <c r="B37" t="s">
        <v>663</v>
      </c>
      <c r="C37" t="s">
        <v>1075</v>
      </c>
      <c r="D37" t="s">
        <v>1076</v>
      </c>
      <c r="F37" s="1">
        <v>45331.624305555553</v>
      </c>
      <c r="G37" s="1">
        <v>45348.833333333336</v>
      </c>
    </row>
    <row r="38" spans="1:10" x14ac:dyDescent="0.35">
      <c r="A38" t="str">
        <f>"14210427-K"</f>
        <v>14210427-K</v>
      </c>
      <c r="B38" t="s">
        <v>493</v>
      </c>
      <c r="C38" t="s">
        <v>494</v>
      </c>
      <c r="D38" t="s">
        <v>495</v>
      </c>
      <c r="F38" s="1">
        <v>45286.652083333334</v>
      </c>
      <c r="G38" s="1">
        <v>45376.698611111111</v>
      </c>
    </row>
    <row r="39" spans="1:10" x14ac:dyDescent="0.35">
      <c r="A39" t="str">
        <f>"8823343-3"</f>
        <v>8823343-3</v>
      </c>
      <c r="B39" t="s">
        <v>774</v>
      </c>
      <c r="C39" t="s">
        <v>775</v>
      </c>
      <c r="D39" t="s">
        <v>776</v>
      </c>
      <c r="F39" s="1">
        <v>45302.586111111108</v>
      </c>
      <c r="G39" s="1">
        <v>45380.816666666666</v>
      </c>
    </row>
    <row r="40" spans="1:10" x14ac:dyDescent="0.35">
      <c r="A40" t="str">
        <f>"12182604-6"</f>
        <v>12182604-6</v>
      </c>
      <c r="B40" t="s">
        <v>175</v>
      </c>
      <c r="C40" t="s">
        <v>43</v>
      </c>
      <c r="D40" t="s">
        <v>2541</v>
      </c>
      <c r="F40" s="1">
        <v>45441.811805555553</v>
      </c>
      <c r="G40" s="1">
        <v>45441.813194444447</v>
      </c>
      <c r="H40" t="s">
        <v>2542</v>
      </c>
      <c r="I40" t="s">
        <v>11</v>
      </c>
      <c r="J40">
        <v>1</v>
      </c>
    </row>
    <row r="41" spans="1:10" x14ac:dyDescent="0.35">
      <c r="A41" t="str">
        <f>"19124841-4"</f>
        <v>19124841-4</v>
      </c>
      <c r="B41" t="s">
        <v>207</v>
      </c>
      <c r="C41" t="s">
        <v>208</v>
      </c>
      <c r="D41" t="s">
        <v>209</v>
      </c>
      <c r="E41" t="s">
        <v>210</v>
      </c>
      <c r="F41" s="1">
        <v>45259.848611111112</v>
      </c>
      <c r="G41" s="1">
        <v>45289.896527777775</v>
      </c>
      <c r="H41" t="s">
        <v>211</v>
      </c>
    </row>
    <row r="42" spans="1:10" x14ac:dyDescent="0.35">
      <c r="A42" t="str">
        <f>"21268438-4"</f>
        <v>21268438-4</v>
      </c>
      <c r="B42" t="s">
        <v>1808</v>
      </c>
      <c r="C42" t="s">
        <v>1809</v>
      </c>
      <c r="D42" t="s">
        <v>1810</v>
      </c>
      <c r="F42" s="1">
        <v>45384.566666666666</v>
      </c>
      <c r="G42" s="1">
        <v>45384.568055555559</v>
      </c>
      <c r="H42" t="s">
        <v>1811</v>
      </c>
      <c r="I42" t="s">
        <v>11</v>
      </c>
      <c r="J42">
        <v>1</v>
      </c>
    </row>
    <row r="43" spans="1:10" x14ac:dyDescent="0.35">
      <c r="A43" t="str">
        <f>"21945390-6"</f>
        <v>21945390-6</v>
      </c>
      <c r="B43" t="s">
        <v>694</v>
      </c>
      <c r="C43" t="s">
        <v>1303</v>
      </c>
      <c r="D43" t="s">
        <v>1304</v>
      </c>
      <c r="F43" s="1">
        <v>45355.822222222225</v>
      </c>
      <c r="G43" s="1">
        <v>45394.741666666669</v>
      </c>
      <c r="H43" t="s">
        <v>1305</v>
      </c>
    </row>
    <row r="44" spans="1:10" x14ac:dyDescent="0.35">
      <c r="A44" t="str">
        <f>"12495391-K"</f>
        <v>12495391-K</v>
      </c>
      <c r="B44" t="s">
        <v>1700</v>
      </c>
      <c r="C44" t="s">
        <v>1701</v>
      </c>
      <c r="D44" t="s">
        <v>1702</v>
      </c>
      <c r="E44" t="s">
        <v>1703</v>
      </c>
      <c r="F44" s="1">
        <v>45378.572916666664</v>
      </c>
      <c r="G44" s="1">
        <v>45378.574305555558</v>
      </c>
      <c r="H44" t="s">
        <v>1704</v>
      </c>
      <c r="I44" t="s">
        <v>11</v>
      </c>
      <c r="J44">
        <v>1</v>
      </c>
    </row>
    <row r="45" spans="1:10" x14ac:dyDescent="0.35">
      <c r="A45" t="str">
        <f>"15525748-2"</f>
        <v>15525748-2</v>
      </c>
      <c r="B45" t="s">
        <v>1379</v>
      </c>
      <c r="C45" t="s">
        <v>1380</v>
      </c>
      <c r="D45" t="s">
        <v>1381</v>
      </c>
      <c r="F45" s="1">
        <v>45362.609027777777</v>
      </c>
      <c r="G45" s="1">
        <v>45383.779166666667</v>
      </c>
      <c r="H45" t="s">
        <v>1382</v>
      </c>
    </row>
    <row r="46" spans="1:10" x14ac:dyDescent="0.35">
      <c r="A46" t="str">
        <f>"17264468-6"</f>
        <v>17264468-6</v>
      </c>
      <c r="B46" t="s">
        <v>1455</v>
      </c>
      <c r="C46" t="s">
        <v>1456</v>
      </c>
      <c r="D46" t="s">
        <v>1457</v>
      </c>
      <c r="E46" t="s">
        <v>1458</v>
      </c>
      <c r="F46" s="1">
        <v>45367.598611111112</v>
      </c>
      <c r="G46" s="1">
        <v>45386.689583333333</v>
      </c>
    </row>
    <row r="47" spans="1:10" x14ac:dyDescent="0.35">
      <c r="A47" t="str">
        <f>"10689145-1"</f>
        <v>10689145-1</v>
      </c>
      <c r="B47" t="s">
        <v>253</v>
      </c>
      <c r="C47" t="s">
        <v>43</v>
      </c>
      <c r="D47" t="s">
        <v>2322</v>
      </c>
      <c r="F47" s="1">
        <v>45418.813888888886</v>
      </c>
      <c r="G47" s="1">
        <v>45418.813888888886</v>
      </c>
      <c r="H47" t="s">
        <v>2323</v>
      </c>
      <c r="I47" t="s">
        <v>11</v>
      </c>
      <c r="J47">
        <v>1</v>
      </c>
    </row>
    <row r="48" spans="1:10" x14ac:dyDescent="0.35">
      <c r="A48" t="str">
        <f>"26030064-4"</f>
        <v>26030064-4</v>
      </c>
      <c r="B48" t="s">
        <v>26</v>
      </c>
      <c r="C48" t="s">
        <v>27</v>
      </c>
      <c r="D48" t="s">
        <v>28</v>
      </c>
      <c r="F48" s="1">
        <v>45239.620138888888</v>
      </c>
      <c r="G48" s="1">
        <v>45276.845833333333</v>
      </c>
      <c r="H48" t="s">
        <v>29</v>
      </c>
      <c r="I48" t="s">
        <v>8</v>
      </c>
    </row>
    <row r="49" spans="1:10" x14ac:dyDescent="0.35">
      <c r="A49" t="str">
        <f>"18013383-6"</f>
        <v>18013383-6</v>
      </c>
      <c r="B49" t="s">
        <v>230</v>
      </c>
      <c r="C49" t="s">
        <v>571</v>
      </c>
      <c r="D49" t="s">
        <v>946</v>
      </c>
      <c r="F49" s="1">
        <v>45318.686805555553</v>
      </c>
      <c r="G49" s="1">
        <v>45388.561111111114</v>
      </c>
    </row>
    <row r="50" spans="1:10" x14ac:dyDescent="0.35">
      <c r="A50" t="str">
        <f>"12129489-3"</f>
        <v>12129489-3</v>
      </c>
      <c r="B50" t="s">
        <v>239</v>
      </c>
      <c r="C50" t="s">
        <v>231</v>
      </c>
      <c r="D50" t="s">
        <v>1107</v>
      </c>
      <c r="F50" s="1">
        <v>45336.431250000001</v>
      </c>
      <c r="G50" s="1">
        <v>45377.524305555555</v>
      </c>
    </row>
    <row r="51" spans="1:10" x14ac:dyDescent="0.35">
      <c r="A51" t="str">
        <f>"20680358-4"</f>
        <v>20680358-4</v>
      </c>
      <c r="B51" t="s">
        <v>1602</v>
      </c>
      <c r="C51" t="s">
        <v>1603</v>
      </c>
      <c r="D51" t="s">
        <v>1604</v>
      </c>
      <c r="E51" t="s">
        <v>1605</v>
      </c>
      <c r="F51" s="1">
        <v>45373.654861111114</v>
      </c>
      <c r="G51" s="1">
        <v>45399.664583333331</v>
      </c>
    </row>
    <row r="52" spans="1:10" x14ac:dyDescent="0.35">
      <c r="A52" t="str">
        <f>"18300161-2"</f>
        <v>18300161-2</v>
      </c>
      <c r="B52" t="s">
        <v>2176</v>
      </c>
      <c r="C52" t="s">
        <v>2177</v>
      </c>
      <c r="D52" t="s">
        <v>2178</v>
      </c>
      <c r="F52" s="1">
        <v>45408.644444444442</v>
      </c>
      <c r="G52" s="1">
        <v>45414.643055555556</v>
      </c>
    </row>
    <row r="53" spans="1:10" x14ac:dyDescent="0.35">
      <c r="A53" t="str">
        <f>"13013288-K"</f>
        <v>13013288-K</v>
      </c>
      <c r="B53" t="s">
        <v>140</v>
      </c>
      <c r="C53" t="s">
        <v>1402</v>
      </c>
      <c r="D53" t="s">
        <v>1403</v>
      </c>
      <c r="F53" s="1">
        <v>45364.607638888891</v>
      </c>
      <c r="G53" s="1">
        <v>45364.60833333333</v>
      </c>
      <c r="H53" t="s">
        <v>1404</v>
      </c>
      <c r="I53" t="s">
        <v>11</v>
      </c>
      <c r="J53">
        <v>1</v>
      </c>
    </row>
    <row r="54" spans="1:10" x14ac:dyDescent="0.35">
      <c r="A54" t="str">
        <f>"15634589-K"</f>
        <v>15634589-K</v>
      </c>
      <c r="B54" t="s">
        <v>2407</v>
      </c>
      <c r="C54" t="s">
        <v>2408</v>
      </c>
      <c r="D54" t="s">
        <v>2409</v>
      </c>
      <c r="E54" t="s">
        <v>2410</v>
      </c>
      <c r="F54" s="1">
        <v>45427.475694444445</v>
      </c>
      <c r="G54" s="1">
        <v>45427.475694444445</v>
      </c>
    </row>
    <row r="55" spans="1:10" x14ac:dyDescent="0.35">
      <c r="A55" t="str">
        <f>"10724529-4"</f>
        <v>10724529-4</v>
      </c>
      <c r="B55" t="s">
        <v>1368</v>
      </c>
      <c r="C55" t="s">
        <v>1583</v>
      </c>
      <c r="D55" t="s">
        <v>1584</v>
      </c>
      <c r="F55" s="1">
        <v>45372.82916666667</v>
      </c>
      <c r="G55" s="1">
        <v>45372.82916666667</v>
      </c>
      <c r="H55" t="s">
        <v>1585</v>
      </c>
      <c r="I55" t="s">
        <v>11</v>
      </c>
      <c r="J55">
        <v>1</v>
      </c>
    </row>
    <row r="56" spans="1:10" x14ac:dyDescent="0.35">
      <c r="A56" t="str">
        <f>"13893538-8"</f>
        <v>13893538-8</v>
      </c>
      <c r="B56" t="s">
        <v>2179</v>
      </c>
      <c r="C56" t="s">
        <v>2180</v>
      </c>
      <c r="D56" t="s">
        <v>2181</v>
      </c>
      <c r="F56" s="1">
        <v>45408.647222222222</v>
      </c>
      <c r="G56" s="1">
        <v>45408.650694444441</v>
      </c>
      <c r="H56" t="s">
        <v>2182</v>
      </c>
      <c r="I56" t="s">
        <v>11</v>
      </c>
      <c r="J56">
        <v>1</v>
      </c>
    </row>
    <row r="57" spans="1:10" x14ac:dyDescent="0.35">
      <c r="A57" t="str">
        <f>"13671484-8"</f>
        <v>13671484-8</v>
      </c>
      <c r="B57" t="s">
        <v>1560</v>
      </c>
      <c r="C57" t="s">
        <v>1561</v>
      </c>
      <c r="D57" t="s">
        <v>1562</v>
      </c>
      <c r="E57" t="s">
        <v>1563</v>
      </c>
      <c r="F57" s="1">
        <v>45372.62777777778</v>
      </c>
      <c r="G57" s="1">
        <v>45372.62777777778</v>
      </c>
      <c r="H57" t="s">
        <v>1564</v>
      </c>
      <c r="I57" t="s">
        <v>11</v>
      </c>
      <c r="J57">
        <v>1</v>
      </c>
    </row>
    <row r="58" spans="1:10" x14ac:dyDescent="0.35">
      <c r="A58" t="str">
        <f>"21175030-8"</f>
        <v>21175030-8</v>
      </c>
      <c r="B58" t="s">
        <v>690</v>
      </c>
      <c r="C58" t="s">
        <v>149</v>
      </c>
      <c r="D58" t="s">
        <v>2439</v>
      </c>
      <c r="F58" s="1">
        <v>45429.709722222222</v>
      </c>
      <c r="G58" s="1">
        <v>45435.750694444447</v>
      </c>
    </row>
    <row r="59" spans="1:10" x14ac:dyDescent="0.35">
      <c r="A59" t="str">
        <f>"12677511-3"</f>
        <v>12677511-3</v>
      </c>
      <c r="B59" t="s">
        <v>1449</v>
      </c>
      <c r="C59" t="s">
        <v>157</v>
      </c>
      <c r="D59" t="s">
        <v>1852</v>
      </c>
      <c r="F59" s="1">
        <v>45385.888194444444</v>
      </c>
      <c r="G59" s="1">
        <v>45385.888194444444</v>
      </c>
      <c r="H59" t="s">
        <v>1853</v>
      </c>
      <c r="I59" t="s">
        <v>11</v>
      </c>
      <c r="J59">
        <v>1</v>
      </c>
    </row>
    <row r="60" spans="1:10" x14ac:dyDescent="0.35">
      <c r="A60" t="str">
        <f>"19185177-3"</f>
        <v>19185177-3</v>
      </c>
      <c r="B60" t="s">
        <v>239</v>
      </c>
      <c r="C60" t="s">
        <v>258</v>
      </c>
      <c r="D60" t="s">
        <v>893</v>
      </c>
      <c r="F60" s="1">
        <v>45310.887499999997</v>
      </c>
      <c r="G60" s="1">
        <v>45378.828472222223</v>
      </c>
    </row>
    <row r="61" spans="1:10" x14ac:dyDescent="0.35">
      <c r="A61" t="str">
        <f>"55555555-5"</f>
        <v>55555555-5</v>
      </c>
      <c r="B61" t="s">
        <v>263</v>
      </c>
      <c r="C61" t="s">
        <v>264</v>
      </c>
      <c r="D61" t="s">
        <v>265</v>
      </c>
      <c r="F61" s="1">
        <v>45271.519444444442</v>
      </c>
      <c r="G61" s="1">
        <v>45379.568055555559</v>
      </c>
    </row>
    <row r="62" spans="1:10" x14ac:dyDescent="0.35">
      <c r="A62" t="str">
        <f>"16945613-5"</f>
        <v>16945613-5</v>
      </c>
      <c r="B62" t="s">
        <v>1157</v>
      </c>
      <c r="C62" t="s">
        <v>1158</v>
      </c>
      <c r="D62" t="s">
        <v>1159</v>
      </c>
      <c r="F62" s="1">
        <v>45338.777777777781</v>
      </c>
      <c r="G62" s="1">
        <v>45350.574305555558</v>
      </c>
    </row>
    <row r="63" spans="1:10" x14ac:dyDescent="0.35">
      <c r="A63" t="str">
        <f>"13472502-8"</f>
        <v>13472502-8</v>
      </c>
      <c r="B63" t="s">
        <v>564</v>
      </c>
      <c r="C63" t="s">
        <v>2381</v>
      </c>
      <c r="D63" t="s">
        <v>2382</v>
      </c>
      <c r="F63" s="1">
        <v>45422.580555555556</v>
      </c>
      <c r="G63" s="1">
        <v>45422.580555555556</v>
      </c>
      <c r="H63" t="s">
        <v>2096</v>
      </c>
      <c r="I63" t="s">
        <v>11</v>
      </c>
      <c r="J63">
        <v>1</v>
      </c>
    </row>
    <row r="64" spans="1:10" x14ac:dyDescent="0.35">
      <c r="A64" t="str">
        <f>"22102679-9"</f>
        <v>22102679-9</v>
      </c>
      <c r="B64" t="s">
        <v>1436</v>
      </c>
      <c r="C64" t="s">
        <v>1437</v>
      </c>
      <c r="D64" t="s">
        <v>1438</v>
      </c>
      <c r="F64" s="1">
        <v>45365.740277777775</v>
      </c>
      <c r="G64" s="1">
        <v>45365.740972222222</v>
      </c>
    </row>
    <row r="65" spans="1:10" x14ac:dyDescent="0.35">
      <c r="A65" t="str">
        <f>"17149080-4"</f>
        <v>17149080-4</v>
      </c>
      <c r="B65" t="s">
        <v>1510</v>
      </c>
      <c r="C65" t="s">
        <v>1511</v>
      </c>
      <c r="D65" t="s">
        <v>1512</v>
      </c>
      <c r="E65" t="s">
        <v>1513</v>
      </c>
      <c r="F65" s="1">
        <v>45371.536111111112</v>
      </c>
      <c r="G65" s="1">
        <v>45371.537499999999</v>
      </c>
      <c r="H65" t="s">
        <v>1514</v>
      </c>
    </row>
    <row r="66" spans="1:10" x14ac:dyDescent="0.35">
      <c r="A66" t="str">
        <f>"14046146-6"</f>
        <v>14046146-6</v>
      </c>
      <c r="B66" t="s">
        <v>2039</v>
      </c>
      <c r="C66" t="s">
        <v>2040</v>
      </c>
      <c r="D66" t="s">
        <v>2041</v>
      </c>
      <c r="F66" s="1">
        <v>45400.490972222222</v>
      </c>
      <c r="G66" s="1">
        <v>45400.491666666669</v>
      </c>
    </row>
    <row r="67" spans="1:10" x14ac:dyDescent="0.35">
      <c r="A67" t="str">
        <f>"19078432-0"</f>
        <v>19078432-0</v>
      </c>
      <c r="B67" t="s">
        <v>453</v>
      </c>
      <c r="C67" t="s">
        <v>610</v>
      </c>
      <c r="D67" t="s">
        <v>611</v>
      </c>
      <c r="F67" s="1">
        <v>45294.644444444442</v>
      </c>
      <c r="G67" s="1">
        <v>45388.55</v>
      </c>
      <c r="H67" t="s">
        <v>612</v>
      </c>
    </row>
    <row r="68" spans="1:10" x14ac:dyDescent="0.35">
      <c r="A68" t="str">
        <f>"15376209-0"</f>
        <v>15376209-0</v>
      </c>
      <c r="B68" t="s">
        <v>281</v>
      </c>
      <c r="C68" t="s">
        <v>1136</v>
      </c>
      <c r="D68" t="s">
        <v>1137</v>
      </c>
      <c r="F68" s="1">
        <v>45337.538888888892</v>
      </c>
      <c r="G68" s="1">
        <v>45358.70208333333</v>
      </c>
    </row>
    <row r="69" spans="1:10" x14ac:dyDescent="0.35">
      <c r="A69" t="str">
        <f>"12241396-9"</f>
        <v>12241396-9</v>
      </c>
      <c r="B69" t="s">
        <v>1321</v>
      </c>
      <c r="C69" t="s">
        <v>1322</v>
      </c>
      <c r="D69" t="s">
        <v>1323</v>
      </c>
      <c r="F69" s="1">
        <v>45357.695833333331</v>
      </c>
      <c r="G69" s="1">
        <v>45357.696527777778</v>
      </c>
      <c r="H69" t="s">
        <v>1324</v>
      </c>
      <c r="I69" t="s">
        <v>11</v>
      </c>
      <c r="J69">
        <v>1</v>
      </c>
    </row>
    <row r="70" spans="1:10" x14ac:dyDescent="0.35">
      <c r="A70" t="str">
        <f>"21080933-3"</f>
        <v>21080933-3</v>
      </c>
      <c r="B70" t="s">
        <v>402</v>
      </c>
      <c r="C70" t="s">
        <v>250</v>
      </c>
      <c r="D70" t="s">
        <v>1183</v>
      </c>
      <c r="F70" s="1">
        <v>45342.785416666666</v>
      </c>
      <c r="G70" s="1">
        <v>45388.849305555559</v>
      </c>
    </row>
    <row r="71" spans="1:10" x14ac:dyDescent="0.35">
      <c r="A71" t="str">
        <f>"20299274-9"</f>
        <v>20299274-9</v>
      </c>
      <c r="B71" t="s">
        <v>602</v>
      </c>
      <c r="C71" t="s">
        <v>603</v>
      </c>
      <c r="D71" t="s">
        <v>604</v>
      </c>
      <c r="F71" s="1">
        <v>45293.744444444441</v>
      </c>
      <c r="G71" s="1">
        <v>45341.734722222223</v>
      </c>
    </row>
    <row r="72" spans="1:10" x14ac:dyDescent="0.35">
      <c r="A72" t="str">
        <f>"20107803-2"</f>
        <v>20107803-2</v>
      </c>
      <c r="B72" t="s">
        <v>659</v>
      </c>
      <c r="C72" t="s">
        <v>660</v>
      </c>
      <c r="D72" t="s">
        <v>661</v>
      </c>
      <c r="F72" s="1">
        <v>45296.619444444441</v>
      </c>
      <c r="G72" s="1">
        <v>45336.696527777778</v>
      </c>
      <c r="H72" t="s">
        <v>662</v>
      </c>
    </row>
    <row r="73" spans="1:10" x14ac:dyDescent="0.35">
      <c r="A73" t="str">
        <f>"17390760-5"</f>
        <v>17390760-5</v>
      </c>
      <c r="B73" t="s">
        <v>1818</v>
      </c>
      <c r="C73" t="s">
        <v>1819</v>
      </c>
      <c r="D73" t="s">
        <v>1820</v>
      </c>
      <c r="F73" s="1">
        <v>45384.686111111114</v>
      </c>
      <c r="G73" s="1">
        <v>45384.686805555553</v>
      </c>
      <c r="H73" t="s">
        <v>1821</v>
      </c>
      <c r="I73" t="s">
        <v>11</v>
      </c>
      <c r="J73">
        <v>1</v>
      </c>
    </row>
    <row r="74" spans="1:10" x14ac:dyDescent="0.35">
      <c r="A74" t="str">
        <f>"13481832-8"</f>
        <v>13481832-8</v>
      </c>
      <c r="B74" t="s">
        <v>1224</v>
      </c>
      <c r="C74" t="s">
        <v>1225</v>
      </c>
      <c r="D74" t="s">
        <v>1226</v>
      </c>
      <c r="F74" s="1">
        <v>45346.5625</v>
      </c>
      <c r="G74" s="1">
        <v>45383.652777777781</v>
      </c>
      <c r="H74" t="s">
        <v>1227</v>
      </c>
    </row>
    <row r="75" spans="1:10" x14ac:dyDescent="0.35">
      <c r="A75" t="str">
        <f>"12608490-0"</f>
        <v>12608490-0</v>
      </c>
      <c r="B75" t="s">
        <v>51</v>
      </c>
      <c r="C75" t="s">
        <v>52</v>
      </c>
      <c r="D75" t="s">
        <v>53</v>
      </c>
      <c r="F75" s="1">
        <v>45244.584027777775</v>
      </c>
      <c r="G75" s="1">
        <v>45332.644444444442</v>
      </c>
    </row>
    <row r="76" spans="1:10" x14ac:dyDescent="0.35">
      <c r="A76" t="str">
        <f>"19136695-6"</f>
        <v>19136695-6</v>
      </c>
      <c r="B76" t="s">
        <v>2094</v>
      </c>
      <c r="C76" t="s">
        <v>1364</v>
      </c>
      <c r="D76" t="s">
        <v>2095</v>
      </c>
      <c r="F76" s="1">
        <v>45404.695138888892</v>
      </c>
      <c r="G76" s="1">
        <v>45404.695833333331</v>
      </c>
      <c r="H76" t="s">
        <v>2096</v>
      </c>
      <c r="I76" t="s">
        <v>11</v>
      </c>
      <c r="J76">
        <v>1</v>
      </c>
    </row>
    <row r="77" spans="1:10" x14ac:dyDescent="0.35">
      <c r="A77" t="str">
        <f>"15366425-0"</f>
        <v>15366425-0</v>
      </c>
      <c r="B77" t="s">
        <v>125</v>
      </c>
      <c r="C77" t="s">
        <v>126</v>
      </c>
      <c r="D77" t="s">
        <v>127</v>
      </c>
      <c r="F77" s="1">
        <v>45252.480555555558</v>
      </c>
      <c r="G77" s="1">
        <v>45293.444444444445</v>
      </c>
      <c r="H77" t="s">
        <v>128</v>
      </c>
    </row>
    <row r="78" spans="1:10" x14ac:dyDescent="0.35">
      <c r="A78" t="str">
        <f>"14122448-4"</f>
        <v>14122448-4</v>
      </c>
      <c r="B78" t="s">
        <v>2531</v>
      </c>
      <c r="C78" t="s">
        <v>2532</v>
      </c>
      <c r="D78" t="s">
        <v>2533</v>
      </c>
      <c r="F78" s="1">
        <v>45441.676388888889</v>
      </c>
      <c r="G78" s="1">
        <v>45441.676388888889</v>
      </c>
      <c r="H78" t="s">
        <v>2534</v>
      </c>
      <c r="I78" t="s">
        <v>11</v>
      </c>
      <c r="J78">
        <v>1</v>
      </c>
    </row>
    <row r="79" spans="1:10" x14ac:dyDescent="0.35">
      <c r="A79" t="str">
        <f>"7958364-2"</f>
        <v>7958364-2</v>
      </c>
      <c r="B79" t="s">
        <v>1761</v>
      </c>
      <c r="C79" t="s">
        <v>1762</v>
      </c>
      <c r="D79" t="s">
        <v>1763</v>
      </c>
      <c r="E79" t="s">
        <v>1764</v>
      </c>
      <c r="F79" s="1">
        <v>45380.552083333336</v>
      </c>
      <c r="G79" s="1">
        <v>45380.552777777775</v>
      </c>
      <c r="H79" t="s">
        <v>1765</v>
      </c>
      <c r="I79" t="s">
        <v>11</v>
      </c>
      <c r="J79">
        <v>1</v>
      </c>
    </row>
    <row r="80" spans="1:10" x14ac:dyDescent="0.35">
      <c r="A80" t="str">
        <f>"18877381-8"</f>
        <v>18877381-8</v>
      </c>
      <c r="B80" t="s">
        <v>991</v>
      </c>
      <c r="C80" t="s">
        <v>137</v>
      </c>
      <c r="F80" s="1">
        <v>45322.689583333333</v>
      </c>
      <c r="G80" s="1">
        <v>45322.69027777778</v>
      </c>
    </row>
    <row r="81" spans="1:10" x14ac:dyDescent="0.35">
      <c r="A81" t="str">
        <f>"7016261-K"</f>
        <v>7016261-K</v>
      </c>
      <c r="B81" t="s">
        <v>663</v>
      </c>
      <c r="C81" t="s">
        <v>827</v>
      </c>
      <c r="D81" t="s">
        <v>828</v>
      </c>
      <c r="F81" s="1">
        <v>45306.776388888888</v>
      </c>
      <c r="G81" s="1">
        <v>45311.582638888889</v>
      </c>
    </row>
    <row r="82" spans="1:10" x14ac:dyDescent="0.35">
      <c r="A82" t="str">
        <f>"21481938-4"</f>
        <v>21481938-4</v>
      </c>
      <c r="B82" t="s">
        <v>690</v>
      </c>
      <c r="C82" t="s">
        <v>494</v>
      </c>
      <c r="D82" t="s">
        <v>1143</v>
      </c>
      <c r="F82" s="1">
        <v>45337.717361111114</v>
      </c>
      <c r="G82" s="1">
        <v>45359.716666666667</v>
      </c>
    </row>
    <row r="83" spans="1:10" x14ac:dyDescent="0.35">
      <c r="A83" t="str">
        <f>"10392222-4"</f>
        <v>10392222-4</v>
      </c>
      <c r="B83" t="s">
        <v>175</v>
      </c>
      <c r="C83" t="s">
        <v>1096</v>
      </c>
      <c r="D83" t="s">
        <v>1097</v>
      </c>
      <c r="F83" s="1">
        <v>45335.431250000001</v>
      </c>
      <c r="G83" s="1">
        <v>45335.431250000001</v>
      </c>
      <c r="H83" t="s">
        <v>1098</v>
      </c>
      <c r="I83" t="s">
        <v>11</v>
      </c>
      <c r="J83">
        <v>1</v>
      </c>
    </row>
    <row r="84" spans="1:10" x14ac:dyDescent="0.35">
      <c r="A84" t="str">
        <f>"26815363-2"</f>
        <v>26815363-2</v>
      </c>
      <c r="B84" t="s">
        <v>985</v>
      </c>
      <c r="C84" t="s">
        <v>2443</v>
      </c>
      <c r="D84" t="s">
        <v>2444</v>
      </c>
      <c r="F84" s="1">
        <v>45430.713888888888</v>
      </c>
      <c r="G84" s="1">
        <v>45430.713888888888</v>
      </c>
      <c r="H84" t="s">
        <v>2445</v>
      </c>
    </row>
    <row r="85" spans="1:10" x14ac:dyDescent="0.35">
      <c r="A85" t="str">
        <f>"20317104-8"</f>
        <v>20317104-8</v>
      </c>
      <c r="B85" t="s">
        <v>794</v>
      </c>
      <c r="C85" t="s">
        <v>2460</v>
      </c>
      <c r="D85" t="s">
        <v>2461</v>
      </c>
      <c r="F85" s="1">
        <v>45434.827777777777</v>
      </c>
      <c r="G85" s="1">
        <v>45434.827777777777</v>
      </c>
    </row>
    <row r="86" spans="1:10" x14ac:dyDescent="0.35">
      <c r="A86" t="str">
        <f>"8657387-3"</f>
        <v>8657387-3</v>
      </c>
      <c r="B86" t="s">
        <v>339</v>
      </c>
      <c r="C86" t="s">
        <v>1386</v>
      </c>
      <c r="D86" t="s">
        <v>1387</v>
      </c>
      <c r="F86" s="1">
        <v>45362.786805555559</v>
      </c>
      <c r="G86" s="1">
        <v>45362.786805555559</v>
      </c>
      <c r="H86" t="s">
        <v>1388</v>
      </c>
      <c r="I86" t="s">
        <v>11</v>
      </c>
      <c r="J86">
        <v>1</v>
      </c>
    </row>
    <row r="87" spans="1:10" x14ac:dyDescent="0.35">
      <c r="A87" t="str">
        <f>"20646282-5"</f>
        <v>20646282-5</v>
      </c>
      <c r="B87" t="s">
        <v>709</v>
      </c>
      <c r="C87" t="s">
        <v>1136</v>
      </c>
      <c r="D87" t="s">
        <v>2155</v>
      </c>
      <c r="F87" s="1">
        <v>45407.861805555556</v>
      </c>
      <c r="G87" s="1">
        <v>45407.862500000003</v>
      </c>
    </row>
    <row r="88" spans="1:10" x14ac:dyDescent="0.35">
      <c r="A88" t="str">
        <f>"16472880-3"</f>
        <v>16472880-3</v>
      </c>
      <c r="B88" t="s">
        <v>19</v>
      </c>
      <c r="C88" t="s">
        <v>2446</v>
      </c>
      <c r="D88" t="s">
        <v>2447</v>
      </c>
      <c r="F88" s="1">
        <v>45430.753472222219</v>
      </c>
      <c r="G88" s="1">
        <v>45430.754166666666</v>
      </c>
    </row>
    <row r="89" spans="1:10" x14ac:dyDescent="0.35">
      <c r="A89" t="str">
        <f>"12827058-2"</f>
        <v>12827058-2</v>
      </c>
      <c r="B89" t="s">
        <v>692</v>
      </c>
      <c r="C89" t="s">
        <v>145</v>
      </c>
      <c r="D89" t="s">
        <v>693</v>
      </c>
      <c r="F89" s="1">
        <v>45297.690972222219</v>
      </c>
      <c r="G89" s="1">
        <v>45318.826388888891</v>
      </c>
    </row>
    <row r="90" spans="1:10" x14ac:dyDescent="0.35">
      <c r="A90" t="str">
        <f>"20109901-3"</f>
        <v>20109901-3</v>
      </c>
      <c r="B90" t="s">
        <v>136</v>
      </c>
      <c r="C90" t="s">
        <v>137</v>
      </c>
      <c r="D90" t="s">
        <v>138</v>
      </c>
      <c r="F90" s="1">
        <v>45252.760416666664</v>
      </c>
      <c r="G90" s="1">
        <v>45367.810416666667</v>
      </c>
      <c r="H90" t="s">
        <v>139</v>
      </c>
    </row>
    <row r="91" spans="1:10" x14ac:dyDescent="0.35">
      <c r="A91" t="str">
        <f>"10139049-7"</f>
        <v>10139049-7</v>
      </c>
      <c r="B91" t="s">
        <v>1857</v>
      </c>
      <c r="C91" t="s">
        <v>1858</v>
      </c>
      <c r="D91" t="s">
        <v>1859</v>
      </c>
      <c r="E91" t="s">
        <v>1860</v>
      </c>
      <c r="F91" s="1">
        <v>45386.59375</v>
      </c>
      <c r="G91" s="1">
        <v>45386.594444444447</v>
      </c>
      <c r="H91" t="s">
        <v>1861</v>
      </c>
      <c r="I91" t="s">
        <v>11</v>
      </c>
      <c r="J91">
        <v>0.75</v>
      </c>
    </row>
    <row r="92" spans="1:10" x14ac:dyDescent="0.35">
      <c r="A92" t="str">
        <f>"15431092-4"</f>
        <v>15431092-4</v>
      </c>
      <c r="B92" t="s">
        <v>2145</v>
      </c>
      <c r="C92" t="s">
        <v>72</v>
      </c>
      <c r="D92" t="s">
        <v>2146</v>
      </c>
      <c r="F92" s="1">
        <v>45407.743750000001</v>
      </c>
      <c r="G92" s="1">
        <v>45407.744444444441</v>
      </c>
      <c r="H92" t="s">
        <v>2147</v>
      </c>
      <c r="I92" t="s">
        <v>11</v>
      </c>
      <c r="J92">
        <v>0.75</v>
      </c>
    </row>
    <row r="93" spans="1:10" x14ac:dyDescent="0.35">
      <c r="A93" t="str">
        <f>"17860759-6"</f>
        <v>17860759-6</v>
      </c>
      <c r="B93" t="s">
        <v>955</v>
      </c>
      <c r="C93" t="s">
        <v>956</v>
      </c>
      <c r="E93" t="s">
        <v>957</v>
      </c>
      <c r="F93" s="1">
        <v>45319.574305555558</v>
      </c>
      <c r="G93" s="1">
        <v>45381.86041666667</v>
      </c>
    </row>
    <row r="94" spans="1:10" x14ac:dyDescent="0.35">
      <c r="A94" t="str">
        <f>"13315107-9"</f>
        <v>13315107-9</v>
      </c>
      <c r="B94" t="s">
        <v>392</v>
      </c>
      <c r="C94" t="s">
        <v>2370</v>
      </c>
      <c r="D94" t="s">
        <v>2371</v>
      </c>
      <c r="F94" s="1">
        <v>45422.477083333331</v>
      </c>
      <c r="G94" s="1">
        <v>45422.477777777778</v>
      </c>
    </row>
    <row r="95" spans="1:10" x14ac:dyDescent="0.35">
      <c r="A95" t="str">
        <f>""</f>
        <v/>
      </c>
      <c r="B95" t="s">
        <v>1368</v>
      </c>
      <c r="C95" t="s">
        <v>240</v>
      </c>
      <c r="D95" t="s">
        <v>1369</v>
      </c>
      <c r="F95" s="1">
        <v>45360.874305555553</v>
      </c>
      <c r="G95" s="1">
        <v>45367.833333333336</v>
      </c>
    </row>
    <row r="96" spans="1:10" x14ac:dyDescent="0.35">
      <c r="A96" t="str">
        <f>"13913549-0"</f>
        <v>13913549-0</v>
      </c>
      <c r="B96" t="s">
        <v>2301</v>
      </c>
      <c r="C96" t="s">
        <v>2302</v>
      </c>
      <c r="D96" t="s">
        <v>2303</v>
      </c>
      <c r="F96" s="1">
        <v>45416.526388888888</v>
      </c>
      <c r="G96" s="1">
        <v>45416.527083333334</v>
      </c>
      <c r="H96" t="s">
        <v>2304</v>
      </c>
      <c r="I96" t="s">
        <v>11</v>
      </c>
      <c r="J96">
        <v>0.75</v>
      </c>
    </row>
    <row r="97" spans="1:10" x14ac:dyDescent="0.35">
      <c r="A97" t="str">
        <f>"12867648-1"</f>
        <v>12867648-1</v>
      </c>
      <c r="B97" t="s">
        <v>269</v>
      </c>
      <c r="C97" t="s">
        <v>102</v>
      </c>
      <c r="D97" t="s">
        <v>2432</v>
      </c>
      <c r="F97" s="1">
        <v>45429.5625</v>
      </c>
      <c r="G97" s="1">
        <v>45429.563194444447</v>
      </c>
      <c r="H97" t="s">
        <v>2433</v>
      </c>
      <c r="I97" t="s">
        <v>11</v>
      </c>
      <c r="J97">
        <v>0.75</v>
      </c>
    </row>
    <row r="98" spans="1:10" x14ac:dyDescent="0.35">
      <c r="A98" t="str">
        <f>"19374735-3"</f>
        <v>19374735-3</v>
      </c>
      <c r="B98" t="s">
        <v>2352</v>
      </c>
      <c r="C98" t="s">
        <v>2353</v>
      </c>
      <c r="D98" t="s">
        <v>2354</v>
      </c>
      <c r="F98" s="1">
        <v>45421.752083333333</v>
      </c>
      <c r="G98" s="1">
        <v>45421.75277777778</v>
      </c>
      <c r="H98" t="s">
        <v>2355</v>
      </c>
      <c r="I98" t="s">
        <v>11</v>
      </c>
      <c r="J98">
        <v>0.6</v>
      </c>
    </row>
    <row r="99" spans="1:10" x14ac:dyDescent="0.35">
      <c r="A99" t="str">
        <f>"7327900-3"</f>
        <v>7327900-3</v>
      </c>
      <c r="B99" t="s">
        <v>955</v>
      </c>
      <c r="C99" t="s">
        <v>2022</v>
      </c>
      <c r="D99" t="s">
        <v>2023</v>
      </c>
      <c r="F99" s="1">
        <v>45399.663194444445</v>
      </c>
      <c r="G99" s="1">
        <v>45399.663194444445</v>
      </c>
      <c r="H99" t="s">
        <v>2024</v>
      </c>
      <c r="I99" t="s">
        <v>11</v>
      </c>
      <c r="J99">
        <v>0.6</v>
      </c>
    </row>
    <row r="100" spans="1:10" x14ac:dyDescent="0.35">
      <c r="A100" t="str">
        <f>"11755921-1"</f>
        <v>11755921-1</v>
      </c>
      <c r="B100" t="s">
        <v>2422</v>
      </c>
      <c r="C100" t="s">
        <v>633</v>
      </c>
      <c r="D100" t="s">
        <v>2423</v>
      </c>
      <c r="F100" s="1">
        <v>45428.499305555553</v>
      </c>
      <c r="G100" s="1">
        <v>45428.499305555553</v>
      </c>
      <c r="H100" t="s">
        <v>2424</v>
      </c>
      <c r="I100" t="s">
        <v>11</v>
      </c>
      <c r="J100">
        <v>0.6</v>
      </c>
    </row>
    <row r="101" spans="1:10" x14ac:dyDescent="0.35">
      <c r="A101" t="str">
        <f>"16011094-5"</f>
        <v>16011094-5</v>
      </c>
      <c r="B101" t="s">
        <v>2078</v>
      </c>
      <c r="C101" t="s">
        <v>400</v>
      </c>
      <c r="D101" t="s">
        <v>2079</v>
      </c>
      <c r="F101" s="1">
        <v>45403.713194444441</v>
      </c>
      <c r="G101" s="1">
        <v>45403.713194444441</v>
      </c>
      <c r="H101" t="s">
        <v>2080</v>
      </c>
      <c r="I101" t="s">
        <v>11</v>
      </c>
      <c r="J101">
        <v>0.6</v>
      </c>
    </row>
    <row r="102" spans="1:10" x14ac:dyDescent="0.35">
      <c r="A102" t="str">
        <f>"17661621-0"</f>
        <v>17661621-0</v>
      </c>
      <c r="B102" t="s">
        <v>1848</v>
      </c>
      <c r="C102" t="s">
        <v>447</v>
      </c>
      <c r="D102" t="s">
        <v>1849</v>
      </c>
      <c r="E102" t="s">
        <v>1850</v>
      </c>
      <c r="F102" s="1">
        <v>45385.819444444445</v>
      </c>
      <c r="G102" s="1">
        <v>45385.819444444445</v>
      </c>
      <c r="H102" t="s">
        <v>1851</v>
      </c>
      <c r="I102" t="s">
        <v>11</v>
      </c>
      <c r="J102">
        <v>0.5</v>
      </c>
    </row>
    <row r="103" spans="1:10" x14ac:dyDescent="0.35">
      <c r="A103" t="str">
        <f>"21679960-7"</f>
        <v>21679960-7</v>
      </c>
      <c r="B103" t="s">
        <v>1149</v>
      </c>
      <c r="C103" t="s">
        <v>1228</v>
      </c>
      <c r="D103" t="s">
        <v>2341</v>
      </c>
      <c r="F103" s="1">
        <v>45420.859027777777</v>
      </c>
      <c r="G103" s="1">
        <v>45435.627083333333</v>
      </c>
      <c r="H103" t="s">
        <v>2342</v>
      </c>
      <c r="I103" t="s">
        <v>11</v>
      </c>
      <c r="J103">
        <v>0.5</v>
      </c>
    </row>
    <row r="104" spans="1:10" x14ac:dyDescent="0.35">
      <c r="A104" t="str">
        <f>"16657705-5"</f>
        <v>16657705-5</v>
      </c>
      <c r="B104" t="s">
        <v>48</v>
      </c>
      <c r="C104" t="s">
        <v>1794</v>
      </c>
      <c r="D104" t="s">
        <v>1795</v>
      </c>
      <c r="F104" s="1">
        <v>45383.695833333331</v>
      </c>
      <c r="G104" s="1">
        <v>45383.7</v>
      </c>
      <c r="H104" t="s">
        <v>1796</v>
      </c>
      <c r="I104" t="s">
        <v>11</v>
      </c>
      <c r="J104">
        <v>0.5</v>
      </c>
    </row>
    <row r="105" spans="1:10" x14ac:dyDescent="0.35">
      <c r="A105" t="str">
        <f>"17958673-8"</f>
        <v>17958673-8</v>
      </c>
      <c r="B105" t="s">
        <v>1599</v>
      </c>
      <c r="C105" t="s">
        <v>2468</v>
      </c>
      <c r="D105" t="s">
        <v>2469</v>
      </c>
      <c r="F105" s="1">
        <v>45435.815972222219</v>
      </c>
      <c r="G105" s="1">
        <v>45435.816666666666</v>
      </c>
      <c r="H105" t="s">
        <v>2470</v>
      </c>
      <c r="I105" t="s">
        <v>11</v>
      </c>
      <c r="J105">
        <v>0.5</v>
      </c>
    </row>
    <row r="106" spans="1:10" x14ac:dyDescent="0.35">
      <c r="A106" t="str">
        <f>"17628807-8"</f>
        <v>17628807-8</v>
      </c>
      <c r="B106" t="s">
        <v>386</v>
      </c>
      <c r="C106" t="s">
        <v>1153</v>
      </c>
      <c r="D106" t="s">
        <v>1154</v>
      </c>
      <c r="F106" s="1">
        <v>45338.620833333334</v>
      </c>
      <c r="G106" s="1">
        <v>45349.579861111109</v>
      </c>
    </row>
    <row r="107" spans="1:10" x14ac:dyDescent="0.35">
      <c r="A107" t="str">
        <f>"20237496-4"</f>
        <v>20237496-4</v>
      </c>
      <c r="B107" t="s">
        <v>54</v>
      </c>
      <c r="C107" t="s">
        <v>204</v>
      </c>
      <c r="D107" t="s">
        <v>1327</v>
      </c>
      <c r="F107" s="1">
        <v>45358.703472222223</v>
      </c>
      <c r="G107" s="1">
        <v>45358.703472222223</v>
      </c>
      <c r="H107" t="s">
        <v>1328</v>
      </c>
    </row>
    <row r="108" spans="1:10" x14ac:dyDescent="0.35">
      <c r="A108" t="str">
        <f>"10065442-3"</f>
        <v>10065442-3</v>
      </c>
      <c r="B108" t="s">
        <v>919</v>
      </c>
      <c r="C108" t="s">
        <v>1383</v>
      </c>
      <c r="D108" t="s">
        <v>1384</v>
      </c>
      <c r="F108" s="1">
        <v>45362.78402777778</v>
      </c>
      <c r="G108" s="1">
        <v>45383.8</v>
      </c>
      <c r="H108" t="s">
        <v>1385</v>
      </c>
    </row>
    <row r="109" spans="1:10" x14ac:dyDescent="0.35">
      <c r="A109" t="str">
        <f>"13687083-1"</f>
        <v>13687083-1</v>
      </c>
      <c r="B109" t="s">
        <v>1072</v>
      </c>
      <c r="C109" t="s">
        <v>1637</v>
      </c>
      <c r="D109" t="s">
        <v>1638</v>
      </c>
      <c r="F109" s="1">
        <v>45374.604861111111</v>
      </c>
      <c r="G109" s="1">
        <v>45374.604861111111</v>
      </c>
    </row>
    <row r="110" spans="1:10" x14ac:dyDescent="0.35">
      <c r="A110" t="str">
        <f>"20677261-1"</f>
        <v>20677261-1</v>
      </c>
      <c r="B110" t="s">
        <v>1487</v>
      </c>
      <c r="C110" t="s">
        <v>1888</v>
      </c>
      <c r="D110" t="s">
        <v>1889</v>
      </c>
      <c r="F110" s="1">
        <v>45388.620833333334</v>
      </c>
      <c r="G110" s="1">
        <v>45388.620833333334</v>
      </c>
    </row>
    <row r="111" spans="1:10" x14ac:dyDescent="0.35">
      <c r="A111" t="str">
        <f>"7192868-3"</f>
        <v>7192868-3</v>
      </c>
      <c r="B111" t="s">
        <v>12</v>
      </c>
      <c r="C111" t="s">
        <v>1913</v>
      </c>
      <c r="D111" t="s">
        <v>1914</v>
      </c>
      <c r="F111" s="1">
        <v>45391.694444444445</v>
      </c>
      <c r="G111" s="1">
        <v>45391.695833333331</v>
      </c>
    </row>
    <row r="112" spans="1:10" x14ac:dyDescent="0.35">
      <c r="A112" t="str">
        <f>"16777041-K"</f>
        <v>16777041-K</v>
      </c>
      <c r="B112" t="s">
        <v>2207</v>
      </c>
      <c r="C112" t="s">
        <v>2208</v>
      </c>
      <c r="D112" t="s">
        <v>2209</v>
      </c>
      <c r="F112" s="1">
        <v>45409.819444444445</v>
      </c>
      <c r="G112" s="1">
        <v>45409.821527777778</v>
      </c>
    </row>
    <row r="113" spans="1:10" x14ac:dyDescent="0.35">
      <c r="A113" t="str">
        <f>"18275250-9"</f>
        <v>18275250-9</v>
      </c>
      <c r="B113" t="s">
        <v>2233</v>
      </c>
      <c r="C113" t="s">
        <v>2234</v>
      </c>
      <c r="D113" t="s">
        <v>2235</v>
      </c>
      <c r="F113" s="1">
        <v>45412.501388888886</v>
      </c>
      <c r="G113" s="1">
        <v>45412.502083333333</v>
      </c>
    </row>
    <row r="114" spans="1:10" x14ac:dyDescent="0.35">
      <c r="A114" t="str">
        <f>""</f>
        <v/>
      </c>
      <c r="B114" t="s">
        <v>318</v>
      </c>
      <c r="C114" t="s">
        <v>2307</v>
      </c>
      <c r="D114" t="s">
        <v>2308</v>
      </c>
      <c r="F114" s="1">
        <v>45416.677083333336</v>
      </c>
      <c r="G114" s="1">
        <v>45418.523611111108</v>
      </c>
    </row>
    <row r="115" spans="1:10" x14ac:dyDescent="0.35">
      <c r="A115" t="str">
        <f>"19054558-K"</f>
        <v>19054558-K</v>
      </c>
      <c r="B115" t="s">
        <v>439</v>
      </c>
      <c r="C115" t="s">
        <v>2390</v>
      </c>
      <c r="F115" s="1">
        <v>45423.88958333333</v>
      </c>
      <c r="G115" s="1">
        <v>45423.890277777777</v>
      </c>
    </row>
    <row r="116" spans="1:10" x14ac:dyDescent="0.35">
      <c r="A116" t="str">
        <f>"23108345-6"</f>
        <v>23108345-6</v>
      </c>
      <c r="B116" t="s">
        <v>2440</v>
      </c>
      <c r="C116" t="s">
        <v>2441</v>
      </c>
      <c r="D116" t="s">
        <v>2442</v>
      </c>
      <c r="F116" s="1">
        <v>45430.552777777775</v>
      </c>
      <c r="G116" s="1">
        <v>45430.553472222222</v>
      </c>
    </row>
    <row r="117" spans="1:10" x14ac:dyDescent="0.35">
      <c r="A117" t="str">
        <f>"19418001-2"</f>
        <v>19418001-2</v>
      </c>
      <c r="B117" t="s">
        <v>1614</v>
      </c>
      <c r="C117" t="s">
        <v>1615</v>
      </c>
      <c r="D117" t="s">
        <v>1616</v>
      </c>
      <c r="F117" s="1">
        <v>45373.763194444444</v>
      </c>
      <c r="G117" s="1">
        <v>45373.763888888891</v>
      </c>
      <c r="H117" t="s">
        <v>1617</v>
      </c>
      <c r="I117" t="s">
        <v>11</v>
      </c>
      <c r="J117">
        <v>0.5</v>
      </c>
    </row>
    <row r="118" spans="1:10" x14ac:dyDescent="0.35">
      <c r="A118" t="str">
        <f>"9972477-3"</f>
        <v>9972477-3</v>
      </c>
      <c r="B118" t="s">
        <v>1666</v>
      </c>
      <c r="C118" t="s">
        <v>58</v>
      </c>
      <c r="D118" t="s">
        <v>1667</v>
      </c>
      <c r="E118" t="s">
        <v>1668</v>
      </c>
      <c r="F118" s="1">
        <v>45377.708333333336</v>
      </c>
      <c r="G118" s="1">
        <v>45377.710416666669</v>
      </c>
      <c r="H118" t="s">
        <v>1669</v>
      </c>
      <c r="I118" t="s">
        <v>11</v>
      </c>
      <c r="J118">
        <v>0.5</v>
      </c>
    </row>
    <row r="119" spans="1:10" x14ac:dyDescent="0.35">
      <c r="A119" t="str">
        <f>"16345753-9"</f>
        <v>16345753-9</v>
      </c>
      <c r="B119" t="s">
        <v>1331</v>
      </c>
      <c r="C119" t="s">
        <v>1332</v>
      </c>
      <c r="D119" t="s">
        <v>1333</v>
      </c>
      <c r="F119" s="1">
        <v>45358.706250000003</v>
      </c>
      <c r="G119" s="1">
        <v>45374.568055555559</v>
      </c>
      <c r="H119" t="s">
        <v>1334</v>
      </c>
    </row>
    <row r="120" spans="1:10" x14ac:dyDescent="0.35">
      <c r="A120" t="str">
        <f>"265068783"</f>
        <v>265068783</v>
      </c>
      <c r="B120" t="s">
        <v>2118</v>
      </c>
      <c r="C120" t="s">
        <v>1452</v>
      </c>
      <c r="D120" t="s">
        <v>2119</v>
      </c>
      <c r="F120" s="1">
        <v>45406.533333333333</v>
      </c>
      <c r="G120" s="1">
        <v>45406.53402777778</v>
      </c>
    </row>
    <row r="121" spans="1:10" x14ac:dyDescent="0.35">
      <c r="A121" t="str">
        <f>"15641176-0"</f>
        <v>15641176-0</v>
      </c>
      <c r="B121" t="s">
        <v>1766</v>
      </c>
      <c r="C121" t="s">
        <v>1767</v>
      </c>
      <c r="D121" t="s">
        <v>1768</v>
      </c>
      <c r="F121" s="1">
        <v>45380.554166666669</v>
      </c>
      <c r="G121" s="1">
        <v>45383.776388888888</v>
      </c>
      <c r="H121" t="s">
        <v>1769</v>
      </c>
      <c r="I121" t="s">
        <v>11</v>
      </c>
      <c r="J121">
        <v>0.5</v>
      </c>
    </row>
    <row r="122" spans="1:10" x14ac:dyDescent="0.35">
      <c r="A122" t="str">
        <f>"10618732-0"</f>
        <v>10618732-0</v>
      </c>
      <c r="B122" t="s">
        <v>269</v>
      </c>
      <c r="C122" t="s">
        <v>1874</v>
      </c>
      <c r="D122" t="s">
        <v>1875</v>
      </c>
      <c r="F122" s="1">
        <v>45387.484722222223</v>
      </c>
      <c r="G122" s="1">
        <v>45387.484722222223</v>
      </c>
      <c r="H122" t="s">
        <v>1876</v>
      </c>
      <c r="I122" t="s">
        <v>11</v>
      </c>
      <c r="J122">
        <v>0.5</v>
      </c>
    </row>
    <row r="123" spans="1:10" x14ac:dyDescent="0.35">
      <c r="A123" t="str">
        <f>"7034644-3"</f>
        <v>7034644-3</v>
      </c>
      <c r="B123" t="s">
        <v>1389</v>
      </c>
      <c r="C123" t="s">
        <v>1390</v>
      </c>
      <c r="D123" t="s">
        <v>1391</v>
      </c>
      <c r="F123" s="1">
        <v>45363.511805555558</v>
      </c>
      <c r="G123" s="1">
        <v>45363.511805555558</v>
      </c>
      <c r="H123" t="s">
        <v>1392</v>
      </c>
      <c r="I123" t="s">
        <v>11</v>
      </c>
      <c r="J123">
        <v>0.5</v>
      </c>
    </row>
    <row r="124" spans="1:10" x14ac:dyDescent="0.35">
      <c r="A124" t="str">
        <f>"18766764-K"</f>
        <v>18766764-K</v>
      </c>
      <c r="B124" t="s">
        <v>2236</v>
      </c>
      <c r="C124" t="s">
        <v>1648</v>
      </c>
      <c r="D124" t="s">
        <v>2237</v>
      </c>
      <c r="F124" s="1">
        <v>45412.638194444444</v>
      </c>
      <c r="G124" s="1">
        <v>45412.638194444444</v>
      </c>
      <c r="H124" t="s">
        <v>2238</v>
      </c>
      <c r="I124" t="s">
        <v>11</v>
      </c>
      <c r="J124">
        <v>0.5</v>
      </c>
    </row>
    <row r="125" spans="1:10" x14ac:dyDescent="0.35">
      <c r="A125" t="str">
        <f>"10042381-2"</f>
        <v>10042381-2</v>
      </c>
      <c r="B125" t="s">
        <v>2335</v>
      </c>
      <c r="C125" t="s">
        <v>2336</v>
      </c>
      <c r="D125" t="s">
        <v>2337</v>
      </c>
      <c r="F125" s="1">
        <v>45420.737500000003</v>
      </c>
      <c r="G125" s="1">
        <v>45420.737500000003</v>
      </c>
      <c r="H125" t="s">
        <v>2338</v>
      </c>
      <c r="I125" t="s">
        <v>11</v>
      </c>
      <c r="J125">
        <v>0.5</v>
      </c>
    </row>
    <row r="126" spans="1:10" x14ac:dyDescent="0.35">
      <c r="A126" t="str">
        <f>"21291085-6"</f>
        <v>21291085-6</v>
      </c>
      <c r="B126" t="s">
        <v>1376</v>
      </c>
      <c r="C126" t="s">
        <v>1377</v>
      </c>
      <c r="D126" t="s">
        <v>1378</v>
      </c>
      <c r="F126" s="1">
        <v>45362.560416666667</v>
      </c>
      <c r="G126" s="1">
        <v>45378.829861111109</v>
      </c>
    </row>
    <row r="127" spans="1:10" x14ac:dyDescent="0.35">
      <c r="A127" t="str">
        <f>"18899637-K"</f>
        <v>18899637-K</v>
      </c>
      <c r="B127" t="s">
        <v>327</v>
      </c>
      <c r="C127" t="s">
        <v>1692</v>
      </c>
      <c r="D127" t="s">
        <v>1693</v>
      </c>
      <c r="E127" t="s">
        <v>1694</v>
      </c>
      <c r="F127" s="1">
        <v>45378.543749999997</v>
      </c>
      <c r="G127" s="1">
        <v>45378.544444444444</v>
      </c>
    </row>
    <row r="128" spans="1:10" x14ac:dyDescent="0.35">
      <c r="A128" t="str">
        <f>"15667110-K"</f>
        <v>15667110-K</v>
      </c>
      <c r="B128" t="s">
        <v>481</v>
      </c>
      <c r="C128" t="s">
        <v>322</v>
      </c>
      <c r="D128" t="s">
        <v>2507</v>
      </c>
      <c r="F128" s="1">
        <v>45440.486805555556</v>
      </c>
      <c r="G128" s="1">
        <v>45440.486805555556</v>
      </c>
      <c r="H128" t="s">
        <v>2508</v>
      </c>
      <c r="I128" t="s">
        <v>11</v>
      </c>
      <c r="J128">
        <v>0.5</v>
      </c>
    </row>
    <row r="129" spans="1:10" x14ac:dyDescent="0.35">
      <c r="A129" t="str">
        <f>"13699238-4"</f>
        <v>13699238-4</v>
      </c>
      <c r="B129" t="s">
        <v>1189</v>
      </c>
      <c r="C129" t="s">
        <v>1962</v>
      </c>
      <c r="D129" t="s">
        <v>1963</v>
      </c>
      <c r="F129" s="1">
        <v>45394.557638888888</v>
      </c>
      <c r="G129" s="1">
        <v>45394.557638888888</v>
      </c>
    </row>
    <row r="130" spans="1:10" x14ac:dyDescent="0.35">
      <c r="A130" t="str">
        <f>"12722932-5"</f>
        <v>12722932-5</v>
      </c>
      <c r="B130" t="s">
        <v>456</v>
      </c>
      <c r="C130" t="s">
        <v>2543</v>
      </c>
      <c r="D130" t="s">
        <v>2544</v>
      </c>
      <c r="F130" s="1">
        <v>45442.506249999999</v>
      </c>
      <c r="G130" s="1">
        <v>45442.506249999999</v>
      </c>
      <c r="H130" t="s">
        <v>2545</v>
      </c>
      <c r="I130" t="s">
        <v>11</v>
      </c>
      <c r="J130">
        <v>0.5</v>
      </c>
    </row>
    <row r="131" spans="1:10" x14ac:dyDescent="0.35">
      <c r="A131" t="str">
        <f>"15333138-3"</f>
        <v>15333138-3</v>
      </c>
      <c r="B131" t="s">
        <v>160</v>
      </c>
      <c r="C131" t="s">
        <v>1231</v>
      </c>
      <c r="D131" t="s">
        <v>1232</v>
      </c>
      <c r="F131" s="1">
        <v>45346.711805555555</v>
      </c>
      <c r="G131" s="1">
        <v>45360.688194444447</v>
      </c>
    </row>
    <row r="132" spans="1:10" x14ac:dyDescent="0.35">
      <c r="A132" t="str">
        <f>"15028742-1"</f>
        <v>15028742-1</v>
      </c>
      <c r="B132" t="s">
        <v>220</v>
      </c>
      <c r="C132" t="s">
        <v>2546</v>
      </c>
      <c r="D132" t="s">
        <v>2547</v>
      </c>
      <c r="F132" s="1">
        <v>45442.530555555553</v>
      </c>
      <c r="G132" s="1">
        <v>45442.53125</v>
      </c>
      <c r="H132" t="s">
        <v>2548</v>
      </c>
      <c r="I132" t="s">
        <v>11</v>
      </c>
      <c r="J132">
        <v>0.5</v>
      </c>
    </row>
    <row r="133" spans="1:10" x14ac:dyDescent="0.35">
      <c r="A133" t="str">
        <f>"12662701-7"</f>
        <v>12662701-7</v>
      </c>
      <c r="B133" t="s">
        <v>443</v>
      </c>
      <c r="C133" t="s">
        <v>444</v>
      </c>
      <c r="D133" t="s">
        <v>445</v>
      </c>
      <c r="F133" s="1">
        <v>45282.57916666667</v>
      </c>
      <c r="G133" s="1">
        <v>45282.581250000003</v>
      </c>
    </row>
    <row r="134" spans="1:10" x14ac:dyDescent="0.35">
      <c r="A134" t="str">
        <f>"19671050-7"</f>
        <v>19671050-7</v>
      </c>
      <c r="B134" t="s">
        <v>2164</v>
      </c>
      <c r="C134" t="s">
        <v>2066</v>
      </c>
      <c r="D134" t="s">
        <v>2165</v>
      </c>
      <c r="F134" s="1">
        <v>45408.587500000001</v>
      </c>
      <c r="G134" s="1">
        <v>45408.587500000001</v>
      </c>
      <c r="H134" t="s">
        <v>2166</v>
      </c>
      <c r="I134" t="s">
        <v>11</v>
      </c>
      <c r="J134">
        <v>0.5</v>
      </c>
    </row>
    <row r="135" spans="1:10" x14ac:dyDescent="0.35">
      <c r="A135" t="str">
        <f>"12882669-6"</f>
        <v>12882669-6</v>
      </c>
      <c r="B135" t="s">
        <v>339</v>
      </c>
      <c r="C135" t="s">
        <v>165</v>
      </c>
      <c r="D135" t="s">
        <v>1195</v>
      </c>
      <c r="F135" s="1">
        <v>45343.695833333331</v>
      </c>
      <c r="G135" s="1">
        <v>45343.696527777778</v>
      </c>
    </row>
    <row r="136" spans="1:10" x14ac:dyDescent="0.35">
      <c r="A136" t="str">
        <f>"17339434-9"</f>
        <v>17339434-9</v>
      </c>
      <c r="B136" t="s">
        <v>652</v>
      </c>
      <c r="C136" t="s">
        <v>845</v>
      </c>
      <c r="D136" t="s">
        <v>1395</v>
      </c>
      <c r="F136" s="1">
        <v>45363.800694444442</v>
      </c>
      <c r="G136" s="1">
        <v>45363.800694444442</v>
      </c>
    </row>
    <row r="137" spans="1:10" x14ac:dyDescent="0.35">
      <c r="A137" t="str">
        <f>"17506896-1"</f>
        <v>17506896-1</v>
      </c>
      <c r="B137" t="s">
        <v>175</v>
      </c>
      <c r="C137" t="s">
        <v>331</v>
      </c>
      <c r="D137" t="s">
        <v>332</v>
      </c>
      <c r="F137" s="1">
        <v>45276.549305555556</v>
      </c>
      <c r="G137" s="1">
        <v>45304.640972222223</v>
      </c>
    </row>
    <row r="138" spans="1:10" x14ac:dyDescent="0.35">
      <c r="A138" t="str">
        <f>"7141352-7"</f>
        <v>7141352-7</v>
      </c>
      <c r="B138" t="s">
        <v>1424</v>
      </c>
      <c r="C138" t="s">
        <v>1425</v>
      </c>
      <c r="D138" t="s">
        <v>1426</v>
      </c>
      <c r="E138" t="s">
        <v>1427</v>
      </c>
      <c r="F138" s="1">
        <v>45365.57708333333</v>
      </c>
      <c r="G138" s="1">
        <v>45365.577777777777</v>
      </c>
      <c r="H138" t="s">
        <v>1428</v>
      </c>
      <c r="I138" t="s">
        <v>11</v>
      </c>
      <c r="J138">
        <v>0.5</v>
      </c>
    </row>
    <row r="139" spans="1:10" x14ac:dyDescent="0.35">
      <c r="A139" t="str">
        <f>"15445635-K"</f>
        <v>15445635-K</v>
      </c>
      <c r="B139" t="s">
        <v>1599</v>
      </c>
      <c r="C139" t="s">
        <v>1390</v>
      </c>
      <c r="D139" t="s">
        <v>1600</v>
      </c>
      <c r="F139" s="1">
        <v>45373.65</v>
      </c>
      <c r="G139" s="1">
        <v>45373.650694444441</v>
      </c>
      <c r="H139" t="s">
        <v>1601</v>
      </c>
      <c r="I139" t="s">
        <v>11</v>
      </c>
      <c r="J139">
        <v>0.5</v>
      </c>
    </row>
    <row r="140" spans="1:10" x14ac:dyDescent="0.35">
      <c r="A140" t="str">
        <f>"16639317-5"</f>
        <v>16639317-5</v>
      </c>
      <c r="B140" t="s">
        <v>663</v>
      </c>
      <c r="C140" t="s">
        <v>1815</v>
      </c>
      <c r="D140" t="s">
        <v>1816</v>
      </c>
      <c r="F140" s="1">
        <v>45384.671527777777</v>
      </c>
      <c r="G140" s="1">
        <v>45384.672222222223</v>
      </c>
      <c r="H140" t="s">
        <v>1817</v>
      </c>
      <c r="I140" t="s">
        <v>11</v>
      </c>
      <c r="J140">
        <v>0.5</v>
      </c>
    </row>
    <row r="141" spans="1:10" x14ac:dyDescent="0.35">
      <c r="A141" t="str">
        <f>"16711858-5"</f>
        <v>16711858-5</v>
      </c>
      <c r="B141" t="s">
        <v>709</v>
      </c>
      <c r="C141" t="s">
        <v>2329</v>
      </c>
      <c r="D141" t="s">
        <v>2330</v>
      </c>
      <c r="F141" s="1">
        <v>45419.659722222219</v>
      </c>
      <c r="G141" s="1">
        <v>45419.660416666666</v>
      </c>
      <c r="H141" t="s">
        <v>2331</v>
      </c>
      <c r="I141" t="s">
        <v>11</v>
      </c>
      <c r="J141">
        <v>0.5</v>
      </c>
    </row>
    <row r="142" spans="1:10" x14ac:dyDescent="0.35">
      <c r="A142" t="str">
        <f>"10450655-0"</f>
        <v>10450655-0</v>
      </c>
      <c r="B142" t="s">
        <v>1683</v>
      </c>
      <c r="C142" t="s">
        <v>55</v>
      </c>
      <c r="D142" t="s">
        <v>1684</v>
      </c>
      <c r="E142" t="s">
        <v>1685</v>
      </c>
      <c r="F142" s="1">
        <v>45377.796527777777</v>
      </c>
      <c r="G142" s="1">
        <v>45377.796527777777</v>
      </c>
      <c r="H142" t="s">
        <v>1686</v>
      </c>
      <c r="I142" t="s">
        <v>11</v>
      </c>
      <c r="J142">
        <v>0.5</v>
      </c>
    </row>
    <row r="143" spans="1:10" x14ac:dyDescent="0.35">
      <c r="A143" t="str">
        <f>"18639298-1"</f>
        <v>18639298-1</v>
      </c>
      <c r="B143" t="s">
        <v>2141</v>
      </c>
      <c r="C143" t="s">
        <v>2142</v>
      </c>
      <c r="D143" t="s">
        <v>2143</v>
      </c>
      <c r="F143" s="1">
        <v>45407.705555555556</v>
      </c>
      <c r="G143" s="1">
        <v>45407.705555555556</v>
      </c>
      <c r="H143" t="s">
        <v>2144</v>
      </c>
      <c r="I143" t="s">
        <v>11</v>
      </c>
      <c r="J143">
        <v>0.5</v>
      </c>
    </row>
    <row r="144" spans="1:10" x14ac:dyDescent="0.35">
      <c r="A144" t="str">
        <f>"18250234-0"</f>
        <v>18250234-0</v>
      </c>
      <c r="B144" t="s">
        <v>1285</v>
      </c>
      <c r="C144" t="s">
        <v>282</v>
      </c>
      <c r="D144" t="s">
        <v>1286</v>
      </c>
      <c r="F144" s="1">
        <v>45351.828472222223</v>
      </c>
      <c r="G144" s="1">
        <v>45397.572916666664</v>
      </c>
      <c r="H144" t="s">
        <v>1287</v>
      </c>
      <c r="I144" t="s">
        <v>11</v>
      </c>
      <c r="J144">
        <v>0.4</v>
      </c>
    </row>
    <row r="145" spans="1:10" x14ac:dyDescent="0.35">
      <c r="A145" t="str">
        <f>"12458054-4"</f>
        <v>12458054-4</v>
      </c>
      <c r="B145" t="s">
        <v>365</v>
      </c>
      <c r="C145" t="s">
        <v>800</v>
      </c>
      <c r="D145" t="s">
        <v>1680</v>
      </c>
      <c r="E145" t="s">
        <v>1681</v>
      </c>
      <c r="F145" s="1">
        <v>45377.793749999997</v>
      </c>
      <c r="G145" s="1">
        <v>45377.795138888891</v>
      </c>
      <c r="H145" t="s">
        <v>1682</v>
      </c>
      <c r="I145" t="s">
        <v>11</v>
      </c>
      <c r="J145">
        <v>0.4</v>
      </c>
    </row>
    <row r="146" spans="1:10" x14ac:dyDescent="0.35">
      <c r="A146" t="str">
        <f>"26187346K"</f>
        <v>26187346K</v>
      </c>
      <c r="B146" t="s">
        <v>2167</v>
      </c>
      <c r="C146" t="s">
        <v>2168</v>
      </c>
      <c r="D146" t="s">
        <v>2169</v>
      </c>
      <c r="F146" s="1">
        <v>45408.623611111114</v>
      </c>
      <c r="G146" s="1">
        <v>45408.623611111114</v>
      </c>
      <c r="H146" t="s">
        <v>2170</v>
      </c>
      <c r="I146" t="s">
        <v>11</v>
      </c>
      <c r="J146">
        <v>0.4</v>
      </c>
    </row>
    <row r="147" spans="1:10" x14ac:dyDescent="0.35">
      <c r="A147" t="str">
        <f>"13951653-2"</f>
        <v>13951653-2</v>
      </c>
      <c r="B147" t="s">
        <v>22</v>
      </c>
      <c r="C147" t="s">
        <v>1916</v>
      </c>
      <c r="D147" t="s">
        <v>1917</v>
      </c>
      <c r="F147" s="1">
        <v>45391.803472222222</v>
      </c>
      <c r="G147" s="1">
        <v>45391.804166666669</v>
      </c>
      <c r="H147" t="s">
        <v>1918</v>
      </c>
      <c r="I147" t="s">
        <v>11</v>
      </c>
      <c r="J147">
        <v>0.4</v>
      </c>
    </row>
    <row r="148" spans="1:10" x14ac:dyDescent="0.35">
      <c r="A148" t="str">
        <f>"15342990-1"</f>
        <v>15342990-1</v>
      </c>
      <c r="B148" t="s">
        <v>239</v>
      </c>
      <c r="C148" t="s">
        <v>768</v>
      </c>
      <c r="D148" t="s">
        <v>769</v>
      </c>
      <c r="F148" s="1">
        <v>45302.556250000001</v>
      </c>
      <c r="G148" s="1">
        <v>45302.557638888888</v>
      </c>
      <c r="H148" t="s">
        <v>770</v>
      </c>
    </row>
    <row r="149" spans="1:10" x14ac:dyDescent="0.35">
      <c r="A149" t="str">
        <f>"21765797-0"</f>
        <v>21765797-0</v>
      </c>
      <c r="B149" t="s">
        <v>2476</v>
      </c>
      <c r="C149" t="s">
        <v>2477</v>
      </c>
      <c r="D149" t="s">
        <v>2478</v>
      </c>
      <c r="F149" s="1">
        <v>45436.631249999999</v>
      </c>
      <c r="G149" s="1">
        <v>45436.631944444445</v>
      </c>
      <c r="H149" t="s">
        <v>2479</v>
      </c>
      <c r="I149" t="s">
        <v>11</v>
      </c>
      <c r="J149">
        <v>0.4</v>
      </c>
    </row>
    <row r="150" spans="1:10" x14ac:dyDescent="0.35">
      <c r="A150" t="str">
        <f>"15439414-1"</f>
        <v>15439414-1</v>
      </c>
      <c r="B150" t="s">
        <v>1487</v>
      </c>
      <c r="C150" t="s">
        <v>1488</v>
      </c>
      <c r="D150" t="s">
        <v>1489</v>
      </c>
      <c r="E150" t="s">
        <v>1490</v>
      </c>
      <c r="F150" s="1">
        <v>45369.602083333331</v>
      </c>
      <c r="G150" s="1">
        <v>45369.602083333331</v>
      </c>
      <c r="H150" t="s">
        <v>1491</v>
      </c>
    </row>
    <row r="151" spans="1:10" x14ac:dyDescent="0.35">
      <c r="A151" t="str">
        <f>"17375323-3"</f>
        <v>17375323-3</v>
      </c>
      <c r="B151" t="s">
        <v>1556</v>
      </c>
      <c r="C151" t="s">
        <v>1557</v>
      </c>
      <c r="D151" t="s">
        <v>1558</v>
      </c>
      <c r="E151" t="s">
        <v>1559</v>
      </c>
      <c r="F151" s="1">
        <v>45372.625</v>
      </c>
      <c r="G151" s="1">
        <v>45372.625</v>
      </c>
    </row>
    <row r="152" spans="1:10" x14ac:dyDescent="0.35">
      <c r="A152" t="str">
        <f>"15442666-3"</f>
        <v>15442666-3</v>
      </c>
      <c r="B152" t="s">
        <v>203</v>
      </c>
      <c r="C152" t="s">
        <v>1596</v>
      </c>
      <c r="D152" t="s">
        <v>1597</v>
      </c>
      <c r="F152" s="1">
        <v>45373.581944444442</v>
      </c>
      <c r="G152" s="1">
        <v>45373.582638888889</v>
      </c>
      <c r="H152" t="s">
        <v>1598</v>
      </c>
    </row>
    <row r="153" spans="1:10" x14ac:dyDescent="0.35">
      <c r="A153" t="str">
        <f>"16654815-2"</f>
        <v>16654815-2</v>
      </c>
      <c r="B153" t="s">
        <v>1675</v>
      </c>
      <c r="C153" t="s">
        <v>1676</v>
      </c>
      <c r="D153" t="s">
        <v>1677</v>
      </c>
      <c r="E153" t="s">
        <v>1678</v>
      </c>
      <c r="F153" s="1">
        <v>45377.739583333336</v>
      </c>
      <c r="G153" s="1">
        <v>45378.760416666664</v>
      </c>
      <c r="H153" t="s">
        <v>1679</v>
      </c>
    </row>
    <row r="154" spans="1:10" x14ac:dyDescent="0.35">
      <c r="A154" t="str">
        <f>"16397926-8"</f>
        <v>16397926-8</v>
      </c>
      <c r="B154" t="s">
        <v>1870</v>
      </c>
      <c r="C154" t="s">
        <v>1871</v>
      </c>
      <c r="D154" t="s">
        <v>1872</v>
      </c>
      <c r="E154" t="s">
        <v>1873</v>
      </c>
      <c r="F154" s="1">
        <v>45386.987500000003</v>
      </c>
      <c r="G154" s="1">
        <v>45387.447222222225</v>
      </c>
    </row>
    <row r="155" spans="1:10" x14ac:dyDescent="0.35">
      <c r="A155" t="str">
        <f>"674454011"</f>
        <v>674454011</v>
      </c>
      <c r="B155" t="s">
        <v>1919</v>
      </c>
      <c r="C155" t="s">
        <v>1920</v>
      </c>
      <c r="D155" t="s">
        <v>1921</v>
      </c>
      <c r="F155" s="1">
        <v>45391.805555555555</v>
      </c>
      <c r="G155" s="1">
        <v>45391.806250000001</v>
      </c>
    </row>
    <row r="156" spans="1:10" x14ac:dyDescent="0.35">
      <c r="A156" t="str">
        <f>"9805085-K"</f>
        <v>9805085-K</v>
      </c>
      <c r="B156" t="s">
        <v>2068</v>
      </c>
      <c r="C156" t="s">
        <v>2069</v>
      </c>
      <c r="D156" t="s">
        <v>2070</v>
      </c>
      <c r="F156" s="1">
        <v>45401.71875</v>
      </c>
      <c r="G156" s="1">
        <v>45401.719444444447</v>
      </c>
    </row>
    <row r="157" spans="1:10" x14ac:dyDescent="0.35">
      <c r="A157" t="str">
        <f>"20063957-K"</f>
        <v>20063957-K</v>
      </c>
      <c r="B157" t="s">
        <v>453</v>
      </c>
      <c r="C157" t="s">
        <v>1950</v>
      </c>
      <c r="D157" t="s">
        <v>2187</v>
      </c>
      <c r="F157" s="1">
        <v>45408.724305555559</v>
      </c>
      <c r="G157" s="1">
        <v>45409.849305555559</v>
      </c>
    </row>
    <row r="158" spans="1:10" x14ac:dyDescent="0.35">
      <c r="A158" t="str">
        <f>"19239304-3"</f>
        <v>19239304-3</v>
      </c>
      <c r="B158" t="s">
        <v>2210</v>
      </c>
      <c r="C158" t="s">
        <v>2211</v>
      </c>
      <c r="D158" t="s">
        <v>2212</v>
      </c>
      <c r="F158" s="1">
        <v>45409.863888888889</v>
      </c>
      <c r="G158" s="1">
        <v>45409.863888888889</v>
      </c>
      <c r="H158" t="s">
        <v>674</v>
      </c>
    </row>
    <row r="159" spans="1:10" x14ac:dyDescent="0.35">
      <c r="A159" t="str">
        <f>"9002406-K"</f>
        <v>9002406-K</v>
      </c>
      <c r="B159" t="s">
        <v>1586</v>
      </c>
      <c r="C159" t="s">
        <v>254</v>
      </c>
      <c r="D159" t="s">
        <v>1587</v>
      </c>
      <c r="F159" s="1">
        <v>45372.832638888889</v>
      </c>
      <c r="G159" s="1">
        <v>45372.833333333336</v>
      </c>
      <c r="H159" t="s">
        <v>1588</v>
      </c>
      <c r="I159" t="s">
        <v>11</v>
      </c>
      <c r="J159">
        <v>0.4</v>
      </c>
    </row>
    <row r="160" spans="1:10" x14ac:dyDescent="0.35">
      <c r="A160" t="str">
        <f>"6839552-6"</f>
        <v>6839552-6</v>
      </c>
      <c r="B160" t="s">
        <v>510</v>
      </c>
      <c r="C160" t="s">
        <v>1331</v>
      </c>
      <c r="D160" t="s">
        <v>2305</v>
      </c>
      <c r="F160" s="1">
        <v>45416.634722222225</v>
      </c>
      <c r="G160" s="1">
        <v>45416.635416666664</v>
      </c>
      <c r="H160" t="s">
        <v>2306</v>
      </c>
    </row>
    <row r="161" spans="1:10" x14ac:dyDescent="0.35">
      <c r="A161" t="str">
        <f>"10322675-9"</f>
        <v>10322675-9</v>
      </c>
      <c r="B161" t="s">
        <v>2385</v>
      </c>
      <c r="C161" t="s">
        <v>2386</v>
      </c>
      <c r="D161" t="s">
        <v>2387</v>
      </c>
      <c r="F161" s="1">
        <v>45422.647222222222</v>
      </c>
      <c r="G161" s="1">
        <v>45422.647222222222</v>
      </c>
    </row>
    <row r="162" spans="1:10" x14ac:dyDescent="0.35">
      <c r="A162" t="str">
        <f>"11594064-3"</f>
        <v>11594064-3</v>
      </c>
      <c r="B162" t="s">
        <v>1038</v>
      </c>
      <c r="C162" t="s">
        <v>2372</v>
      </c>
      <c r="D162" t="s">
        <v>2373</v>
      </c>
      <c r="F162" s="1">
        <v>45422.518055555556</v>
      </c>
      <c r="G162" s="1">
        <v>45422.518750000003</v>
      </c>
      <c r="H162" t="s">
        <v>2374</v>
      </c>
      <c r="I162" t="s">
        <v>11</v>
      </c>
      <c r="J162">
        <v>0.4</v>
      </c>
    </row>
    <row r="163" spans="1:10" x14ac:dyDescent="0.35">
      <c r="A163" t="str">
        <f>"8082479-3"</f>
        <v>8082479-3</v>
      </c>
      <c r="B163" t="s">
        <v>2375</v>
      </c>
      <c r="C163" t="s">
        <v>2376</v>
      </c>
      <c r="D163" t="s">
        <v>2377</v>
      </c>
      <c r="F163" s="1">
        <v>45422.519444444442</v>
      </c>
      <c r="G163" s="1">
        <v>45422.519444444442</v>
      </c>
      <c r="H163" t="s">
        <v>2378</v>
      </c>
      <c r="I163" t="s">
        <v>11</v>
      </c>
      <c r="J163">
        <v>0.4</v>
      </c>
    </row>
    <row r="164" spans="1:10" x14ac:dyDescent="0.35">
      <c r="A164" t="str">
        <f>"13452887-7"</f>
        <v>13452887-7</v>
      </c>
      <c r="B164" t="s">
        <v>1092</v>
      </c>
      <c r="C164" t="s">
        <v>1093</v>
      </c>
      <c r="D164" t="s">
        <v>1094</v>
      </c>
      <c r="F164" s="1">
        <v>45335.427777777775</v>
      </c>
      <c r="G164" s="1">
        <v>45335.470138888886</v>
      </c>
      <c r="H164" t="s">
        <v>1095</v>
      </c>
      <c r="I164" t="s">
        <v>11</v>
      </c>
      <c r="J164">
        <v>0.4</v>
      </c>
    </row>
    <row r="165" spans="1:10" x14ac:dyDescent="0.35">
      <c r="A165" t="str">
        <f>"20048630-7"</f>
        <v>20048630-7</v>
      </c>
      <c r="B165" t="s">
        <v>690</v>
      </c>
      <c r="C165" t="s">
        <v>1077</v>
      </c>
      <c r="D165" t="s">
        <v>2489</v>
      </c>
      <c r="F165" s="1">
        <v>45437.849305555559</v>
      </c>
      <c r="G165" s="1">
        <v>45437.849305555559</v>
      </c>
      <c r="H165" t="s">
        <v>2490</v>
      </c>
      <c r="I165" t="s">
        <v>11</v>
      </c>
      <c r="J165">
        <v>0.4</v>
      </c>
    </row>
    <row r="166" spans="1:10" x14ac:dyDescent="0.35">
      <c r="A166" t="str">
        <f>"18119985-7"</f>
        <v>18119985-7</v>
      </c>
      <c r="B166" t="s">
        <v>203</v>
      </c>
      <c r="C166" t="s">
        <v>633</v>
      </c>
      <c r="D166" t="s">
        <v>1492</v>
      </c>
      <c r="F166" s="1">
        <v>45369.624305555553</v>
      </c>
      <c r="G166" s="1">
        <v>45369.624305555553</v>
      </c>
      <c r="H166" t="s">
        <v>1493</v>
      </c>
      <c r="I166" t="s">
        <v>11</v>
      </c>
      <c r="J166">
        <v>0.35</v>
      </c>
    </row>
    <row r="167" spans="1:10" x14ac:dyDescent="0.35">
      <c r="A167" t="str">
        <f>"16623609-6"</f>
        <v>16623609-6</v>
      </c>
      <c r="B167" t="s">
        <v>1506</v>
      </c>
      <c r="C167" t="s">
        <v>1507</v>
      </c>
      <c r="D167" t="s">
        <v>1508</v>
      </c>
      <c r="E167" t="s">
        <v>1509</v>
      </c>
      <c r="F167" s="1">
        <v>45371.489583333336</v>
      </c>
      <c r="G167" s="1">
        <v>45371.489583333336</v>
      </c>
    </row>
    <row r="168" spans="1:10" x14ac:dyDescent="0.35">
      <c r="A168" t="str">
        <f>"20296121-5"</f>
        <v>20296121-5</v>
      </c>
      <c r="B168" t="s">
        <v>588</v>
      </c>
      <c r="C168" t="s">
        <v>589</v>
      </c>
      <c r="D168" t="s">
        <v>590</v>
      </c>
      <c r="F168" s="1">
        <v>45293.61041666667</v>
      </c>
      <c r="G168" s="1">
        <v>45325.882638888892</v>
      </c>
    </row>
    <row r="169" spans="1:10" x14ac:dyDescent="0.35">
      <c r="A169" t="str">
        <f>"17599496-3"</f>
        <v>17599496-3</v>
      </c>
      <c r="B169" t="s">
        <v>30</v>
      </c>
      <c r="C169" t="s">
        <v>2055</v>
      </c>
      <c r="D169" t="s">
        <v>2056</v>
      </c>
      <c r="F169" s="1">
        <v>45401.599999999999</v>
      </c>
      <c r="G169" s="1">
        <v>45401.599999999999</v>
      </c>
      <c r="H169" t="s">
        <v>2057</v>
      </c>
      <c r="I169" t="s">
        <v>11</v>
      </c>
      <c r="J169">
        <v>0.35</v>
      </c>
    </row>
    <row r="170" spans="1:10" x14ac:dyDescent="0.35">
      <c r="A170" t="str">
        <f>"18954344-1"</f>
        <v>18954344-1</v>
      </c>
      <c r="B170" t="s">
        <v>439</v>
      </c>
      <c r="C170" t="s">
        <v>562</v>
      </c>
      <c r="D170" t="s">
        <v>1832</v>
      </c>
      <c r="E170" t="s">
        <v>1833</v>
      </c>
      <c r="F170" s="1">
        <v>45385.662499999999</v>
      </c>
      <c r="G170" s="1">
        <v>45385.663194444445</v>
      </c>
      <c r="H170" t="s">
        <v>1834</v>
      </c>
      <c r="I170" t="s">
        <v>11</v>
      </c>
      <c r="J170">
        <v>0.3</v>
      </c>
    </row>
    <row r="171" spans="1:10" x14ac:dyDescent="0.35">
      <c r="A171" t="str">
        <f>"19241601-9"</f>
        <v>19241601-9</v>
      </c>
      <c r="B171" t="s">
        <v>681</v>
      </c>
      <c r="C171" t="s">
        <v>682</v>
      </c>
      <c r="D171" t="s">
        <v>683</v>
      </c>
      <c r="F171" s="1">
        <v>45296.82708333333</v>
      </c>
      <c r="G171" s="1">
        <v>45385.601388888892</v>
      </c>
    </row>
    <row r="172" spans="1:10" x14ac:dyDescent="0.35">
      <c r="A172" t="str">
        <f>"16747848-4"</f>
        <v>16747848-4</v>
      </c>
      <c r="B172" t="s">
        <v>1016</v>
      </c>
      <c r="C172" t="s">
        <v>1017</v>
      </c>
      <c r="D172" t="s">
        <v>1018</v>
      </c>
      <c r="F172" s="1">
        <v>45324.731944444444</v>
      </c>
      <c r="G172" s="1">
        <v>45358.667361111111</v>
      </c>
    </row>
    <row r="173" spans="1:10" x14ac:dyDescent="0.35">
      <c r="A173" t="str">
        <f>"17305060-7"</f>
        <v>17305060-7</v>
      </c>
      <c r="B173" t="s">
        <v>1838</v>
      </c>
      <c r="C173" t="s">
        <v>1364</v>
      </c>
      <c r="D173" t="s">
        <v>1839</v>
      </c>
      <c r="E173" t="s">
        <v>1840</v>
      </c>
      <c r="F173" s="1">
        <v>45385.709027777775</v>
      </c>
      <c r="G173" s="1">
        <v>45385.709722222222</v>
      </c>
      <c r="H173" t="s">
        <v>1834</v>
      </c>
      <c r="I173" t="s">
        <v>11</v>
      </c>
      <c r="J173">
        <v>0.3</v>
      </c>
    </row>
    <row r="174" spans="1:10" x14ac:dyDescent="0.35">
      <c r="A174" t="str">
        <f>"55555555-5"</f>
        <v>55555555-5</v>
      </c>
      <c r="B174" t="s">
        <v>1258</v>
      </c>
      <c r="C174" t="s">
        <v>1259</v>
      </c>
      <c r="D174" t="s">
        <v>1260</v>
      </c>
      <c r="F174" s="1">
        <v>45350.742361111108</v>
      </c>
      <c r="G174" s="1">
        <v>45362.605555555558</v>
      </c>
      <c r="H174" t="s">
        <v>1261</v>
      </c>
    </row>
    <row r="175" spans="1:10" x14ac:dyDescent="0.35">
      <c r="A175" t="str">
        <f>"16417824-2"</f>
        <v>16417824-2</v>
      </c>
      <c r="B175" t="s">
        <v>1288</v>
      </c>
      <c r="C175" t="s">
        <v>1289</v>
      </c>
      <c r="D175" t="s">
        <v>1290</v>
      </c>
      <c r="F175" s="1">
        <v>45351.888888888891</v>
      </c>
      <c r="G175" s="1">
        <v>45387.822916666664</v>
      </c>
    </row>
    <row r="176" spans="1:10" x14ac:dyDescent="0.35">
      <c r="A176" t="str">
        <f>"20988017-2"</f>
        <v>20988017-2</v>
      </c>
      <c r="B176" t="s">
        <v>2356</v>
      </c>
      <c r="C176" t="s">
        <v>2357</v>
      </c>
      <c r="D176" t="s">
        <v>2358</v>
      </c>
      <c r="F176" s="1">
        <v>45421.756249999999</v>
      </c>
      <c r="G176" s="1">
        <v>45421.756944444445</v>
      </c>
      <c r="H176" t="s">
        <v>2359</v>
      </c>
      <c r="I176" t="s">
        <v>11</v>
      </c>
      <c r="J176">
        <v>0.3</v>
      </c>
    </row>
    <row r="177" spans="1:10" x14ac:dyDescent="0.35">
      <c r="A177" t="str">
        <f>"19648519-8"</f>
        <v>19648519-8</v>
      </c>
      <c r="B177" t="s">
        <v>453</v>
      </c>
      <c r="C177" t="s">
        <v>400</v>
      </c>
      <c r="D177" t="s">
        <v>605</v>
      </c>
      <c r="F177" s="1">
        <v>45293.859027777777</v>
      </c>
      <c r="G177" s="1">
        <v>45357.772916666669</v>
      </c>
    </row>
    <row r="178" spans="1:10" x14ac:dyDescent="0.35">
      <c r="A178" t="str">
        <f>"18127471-9"</f>
        <v>18127471-9</v>
      </c>
      <c r="B178" t="s">
        <v>684</v>
      </c>
      <c r="C178" t="s">
        <v>685</v>
      </c>
      <c r="D178" t="s">
        <v>686</v>
      </c>
      <c r="F178" s="1">
        <v>45296.834027777775</v>
      </c>
      <c r="G178" s="1">
        <v>45367.70416666667</v>
      </c>
    </row>
    <row r="179" spans="1:10" x14ac:dyDescent="0.35">
      <c r="A179" t="str">
        <f>"19255082-3"</f>
        <v>19255082-3</v>
      </c>
      <c r="B179" t="s">
        <v>1146</v>
      </c>
      <c r="C179" t="s">
        <v>1537</v>
      </c>
      <c r="D179" t="s">
        <v>1538</v>
      </c>
      <c r="F179" s="1">
        <v>45371.65</v>
      </c>
      <c r="G179" s="1">
        <v>45371.65</v>
      </c>
      <c r="H179" t="s">
        <v>1539</v>
      </c>
      <c r="I179" t="s">
        <v>11</v>
      </c>
      <c r="J179">
        <v>0.3</v>
      </c>
    </row>
    <row r="180" spans="1:10" x14ac:dyDescent="0.35">
      <c r="A180" t="str">
        <f>"18168365-1"</f>
        <v>18168365-1</v>
      </c>
      <c r="B180" t="s">
        <v>667</v>
      </c>
      <c r="C180" t="s">
        <v>668</v>
      </c>
      <c r="D180" t="s">
        <v>669</v>
      </c>
      <c r="F180" s="1">
        <v>45296.761111111111</v>
      </c>
      <c r="G180" s="1">
        <v>45296.762499999997</v>
      </c>
      <c r="H180" t="s">
        <v>670</v>
      </c>
    </row>
    <row r="181" spans="1:10" x14ac:dyDescent="0.35">
      <c r="A181" t="str">
        <f>"15064413-5"</f>
        <v>15064413-5</v>
      </c>
      <c r="B181" t="s">
        <v>2128</v>
      </c>
      <c r="C181" t="s">
        <v>254</v>
      </c>
      <c r="D181" t="s">
        <v>2129</v>
      </c>
      <c r="F181" s="1">
        <v>45407.540972222225</v>
      </c>
      <c r="G181" s="1">
        <v>45407.540972222225</v>
      </c>
      <c r="H181" t="s">
        <v>2130</v>
      </c>
      <c r="I181" t="s">
        <v>11</v>
      </c>
      <c r="J181">
        <v>0.26</v>
      </c>
    </row>
    <row r="182" spans="1:10" x14ac:dyDescent="0.35">
      <c r="A182" t="str">
        <f>"13466689-7"</f>
        <v>13466689-7</v>
      </c>
      <c r="B182" t="s">
        <v>1321</v>
      </c>
      <c r="C182" t="s">
        <v>2502</v>
      </c>
      <c r="D182" t="s">
        <v>2503</v>
      </c>
      <c r="F182" s="1">
        <v>45439.830555555556</v>
      </c>
      <c r="G182" s="1">
        <v>45439.830555555556</v>
      </c>
      <c r="H182" t="s">
        <v>2504</v>
      </c>
      <c r="I182" t="s">
        <v>11</v>
      </c>
      <c r="J182">
        <v>0.25</v>
      </c>
    </row>
    <row r="183" spans="1:10" x14ac:dyDescent="0.35">
      <c r="A183" t="str">
        <f>"13926597-1"</f>
        <v>13926597-1</v>
      </c>
      <c r="B183" t="s">
        <v>1647</v>
      </c>
      <c r="C183" t="s">
        <v>1648</v>
      </c>
      <c r="D183" t="s">
        <v>1649</v>
      </c>
      <c r="E183" t="s">
        <v>1650</v>
      </c>
      <c r="F183" s="1">
        <v>45376.759027777778</v>
      </c>
      <c r="G183" s="1">
        <v>45376.759722222225</v>
      </c>
      <c r="H183" t="s">
        <v>1651</v>
      </c>
      <c r="I183" t="s">
        <v>11</v>
      </c>
      <c r="J183">
        <v>0.25</v>
      </c>
    </row>
    <row r="184" spans="1:10" x14ac:dyDescent="0.35">
      <c r="A184" t="str">
        <f>"16878075-3"</f>
        <v>16878075-3</v>
      </c>
      <c r="B184" t="s">
        <v>392</v>
      </c>
      <c r="C184" t="s">
        <v>2052</v>
      </c>
      <c r="D184" t="s">
        <v>2116</v>
      </c>
      <c r="F184" s="1">
        <v>45406.490277777775</v>
      </c>
      <c r="G184" s="1">
        <v>45406.490277777775</v>
      </c>
      <c r="H184" t="s">
        <v>2117</v>
      </c>
      <c r="I184" t="s">
        <v>11</v>
      </c>
      <c r="J184">
        <v>0.25</v>
      </c>
    </row>
    <row r="185" spans="1:10" x14ac:dyDescent="0.35">
      <c r="A185" t="str">
        <f>"16658615-1"</f>
        <v>16658615-1</v>
      </c>
      <c r="B185" t="s">
        <v>327</v>
      </c>
      <c r="C185" t="s">
        <v>925</v>
      </c>
      <c r="D185" t="s">
        <v>926</v>
      </c>
      <c r="F185" s="1">
        <v>45314.740972222222</v>
      </c>
      <c r="G185" s="1">
        <v>45390.780555555553</v>
      </c>
      <c r="H185" t="s">
        <v>927</v>
      </c>
    </row>
    <row r="186" spans="1:10" x14ac:dyDescent="0.35">
      <c r="A186" t="str">
        <f>"17556530-2"</f>
        <v>17556530-2</v>
      </c>
      <c r="B186" t="s">
        <v>517</v>
      </c>
      <c r="C186" t="s">
        <v>2514</v>
      </c>
      <c r="D186" t="s">
        <v>2515</v>
      </c>
      <c r="F186" s="1">
        <v>45440.661111111112</v>
      </c>
      <c r="G186" s="1">
        <v>45440.661111111112</v>
      </c>
      <c r="H186" t="s">
        <v>2516</v>
      </c>
      <c r="I186" t="s">
        <v>11</v>
      </c>
      <c r="J186">
        <v>0.25</v>
      </c>
    </row>
    <row r="187" spans="1:10" x14ac:dyDescent="0.35">
      <c r="A187" t="str">
        <f>"19471725-3"</f>
        <v>19471725-3</v>
      </c>
      <c r="B187" t="s">
        <v>421</v>
      </c>
      <c r="C187" t="s">
        <v>2535</v>
      </c>
      <c r="D187" t="s">
        <v>2536</v>
      </c>
      <c r="F187" s="1">
        <v>45441.745138888888</v>
      </c>
      <c r="G187" s="1">
        <v>45441.745138888888</v>
      </c>
    </row>
    <row r="188" spans="1:10" x14ac:dyDescent="0.35">
      <c r="A188" t="str">
        <f>"12496141-6"</f>
        <v>12496141-6</v>
      </c>
      <c r="B188" t="s">
        <v>281</v>
      </c>
      <c r="C188" t="s">
        <v>1554</v>
      </c>
      <c r="D188" t="s">
        <v>1555</v>
      </c>
      <c r="F188" s="1">
        <v>45371.836111111108</v>
      </c>
      <c r="G188" s="1">
        <v>45371.838194444441</v>
      </c>
    </row>
    <row r="189" spans="1:10" x14ac:dyDescent="0.35">
      <c r="A189" t="str">
        <f>"13692124-K"</f>
        <v>13692124-K</v>
      </c>
      <c r="B189" t="s">
        <v>1606</v>
      </c>
      <c r="C189" t="s">
        <v>1607</v>
      </c>
      <c r="D189" t="s">
        <v>1608</v>
      </c>
      <c r="E189" t="s">
        <v>1609</v>
      </c>
      <c r="F189" s="1">
        <v>45373.664583333331</v>
      </c>
      <c r="G189" s="1">
        <v>45376.631249999999</v>
      </c>
    </row>
    <row r="190" spans="1:10" x14ac:dyDescent="0.35">
      <c r="A190" t="str">
        <f>"17004716-8"</f>
        <v>17004716-8</v>
      </c>
      <c r="B190" t="s">
        <v>1215</v>
      </c>
      <c r="C190" t="s">
        <v>1692</v>
      </c>
      <c r="D190" t="s">
        <v>2230</v>
      </c>
      <c r="F190" s="1">
        <v>45412.47152777778</v>
      </c>
      <c r="G190" s="1">
        <v>45412.472222222219</v>
      </c>
      <c r="H190" t="s">
        <v>1955</v>
      </c>
      <c r="I190" t="s">
        <v>11</v>
      </c>
      <c r="J190">
        <v>0.25</v>
      </c>
    </row>
    <row r="191" spans="1:10" x14ac:dyDescent="0.35">
      <c r="A191" t="str">
        <f>"16174143-4"</f>
        <v>16174143-4</v>
      </c>
      <c r="B191" t="s">
        <v>690</v>
      </c>
      <c r="C191" t="s">
        <v>286</v>
      </c>
      <c r="D191" t="s">
        <v>2491</v>
      </c>
      <c r="F191" s="1">
        <v>45439.612500000003</v>
      </c>
      <c r="G191" s="1">
        <v>45439.613194444442</v>
      </c>
    </row>
    <row r="192" spans="1:10" x14ac:dyDescent="0.35">
      <c r="A192" t="str">
        <f>"13298366-6"</f>
        <v>13298366-6</v>
      </c>
      <c r="B192" t="s">
        <v>2517</v>
      </c>
      <c r="C192" t="s">
        <v>2518</v>
      </c>
      <c r="D192" t="s">
        <v>2519</v>
      </c>
      <c r="F192" s="1">
        <v>45440.729861111111</v>
      </c>
      <c r="G192" s="1">
        <v>45440.730555555558</v>
      </c>
      <c r="H192" t="s">
        <v>2520</v>
      </c>
      <c r="I192" t="s">
        <v>11</v>
      </c>
      <c r="J192">
        <v>0.25</v>
      </c>
    </row>
    <row r="193" spans="1:10" x14ac:dyDescent="0.35">
      <c r="A193" t="str">
        <f>"8342113-4"</f>
        <v>8342113-4</v>
      </c>
      <c r="B193" t="s">
        <v>530</v>
      </c>
      <c r="C193" t="s">
        <v>1446</v>
      </c>
      <c r="D193" t="s">
        <v>1447</v>
      </c>
      <c r="F193" s="1">
        <v>45367.490277777775</v>
      </c>
      <c r="G193" s="1">
        <v>45367.490972222222</v>
      </c>
      <c r="H193" t="s">
        <v>1448</v>
      </c>
      <c r="I193" t="s">
        <v>11</v>
      </c>
      <c r="J193">
        <v>0.25</v>
      </c>
    </row>
    <row r="194" spans="1:10" x14ac:dyDescent="0.35">
      <c r="A194" t="str">
        <f>"18622753-0"</f>
        <v>18622753-0</v>
      </c>
      <c r="B194" t="s">
        <v>1618</v>
      </c>
      <c r="C194" t="s">
        <v>1619</v>
      </c>
      <c r="D194" t="s">
        <v>1620</v>
      </c>
      <c r="F194" s="1">
        <v>45373.765972222223</v>
      </c>
      <c r="G194" s="1">
        <v>45373.765972222223</v>
      </c>
      <c r="H194" t="s">
        <v>1621</v>
      </c>
    </row>
    <row r="195" spans="1:10" x14ac:dyDescent="0.35">
      <c r="A195" t="str">
        <f>"20296622-5"</f>
        <v>20296622-5</v>
      </c>
      <c r="B195" t="s">
        <v>1625</v>
      </c>
      <c r="C195" t="s">
        <v>1626</v>
      </c>
      <c r="D195" t="s">
        <v>1627</v>
      </c>
      <c r="E195" t="s">
        <v>1628</v>
      </c>
      <c r="F195" s="1">
        <v>45373.806250000001</v>
      </c>
      <c r="G195" s="1">
        <v>45373.806250000001</v>
      </c>
    </row>
    <row r="196" spans="1:10" x14ac:dyDescent="0.35">
      <c r="A196" t="str">
        <f>"20159597-5"</f>
        <v>20159597-5</v>
      </c>
      <c r="B196" t="s">
        <v>190</v>
      </c>
      <c r="C196" t="s">
        <v>2014</v>
      </c>
      <c r="D196" t="s">
        <v>2015</v>
      </c>
      <c r="F196" s="1">
        <v>45398.649305555555</v>
      </c>
      <c r="G196" s="1">
        <v>45398.651388888888</v>
      </c>
    </row>
    <row r="197" spans="1:10" x14ac:dyDescent="0.35">
      <c r="A197" t="str">
        <f>"17050758-4"</f>
        <v>17050758-4</v>
      </c>
      <c r="B197" t="s">
        <v>307</v>
      </c>
      <c r="C197" t="s">
        <v>308</v>
      </c>
      <c r="D197" t="s">
        <v>309</v>
      </c>
      <c r="F197" s="1">
        <v>45275.699305555558</v>
      </c>
      <c r="G197" s="1">
        <v>45310.679166666669</v>
      </c>
    </row>
    <row r="198" spans="1:10" x14ac:dyDescent="0.35">
      <c r="A198" t="str">
        <f>"17860534-8"</f>
        <v>17860534-8</v>
      </c>
      <c r="B198" t="s">
        <v>392</v>
      </c>
      <c r="C198" t="s">
        <v>488</v>
      </c>
      <c r="D198" t="s">
        <v>489</v>
      </c>
      <c r="F198" s="1">
        <v>45284.619444444441</v>
      </c>
      <c r="G198" s="1">
        <v>45284.64166666667</v>
      </c>
    </row>
    <row r="199" spans="1:10" x14ac:dyDescent="0.35">
      <c r="A199" t="str">
        <f>"20079645-4"</f>
        <v>20079645-4</v>
      </c>
      <c r="B199" t="s">
        <v>1184</v>
      </c>
      <c r="C199" t="s">
        <v>1185</v>
      </c>
      <c r="D199" t="s">
        <v>1186</v>
      </c>
      <c r="F199" s="1">
        <v>45342.859722222223</v>
      </c>
      <c r="G199" s="1">
        <v>45352.722916666666</v>
      </c>
    </row>
    <row r="200" spans="1:10" x14ac:dyDescent="0.35">
      <c r="A200" t="str">
        <f>"15376239-2"</f>
        <v>15376239-2</v>
      </c>
      <c r="B200" t="s">
        <v>513</v>
      </c>
      <c r="C200" t="s">
        <v>962</v>
      </c>
      <c r="D200" t="s">
        <v>1835</v>
      </c>
      <c r="E200" t="s">
        <v>1836</v>
      </c>
      <c r="F200" s="1">
        <v>45385.693055555559</v>
      </c>
      <c r="G200" s="1">
        <v>45385.693749999999</v>
      </c>
      <c r="H200" t="s">
        <v>1837</v>
      </c>
      <c r="I200" t="s">
        <v>11</v>
      </c>
      <c r="J200" s="4">
        <v>0.25</v>
      </c>
    </row>
    <row r="201" spans="1:10" x14ac:dyDescent="0.35">
      <c r="A201" t="str">
        <f>"13740706-K"</f>
        <v>13740706-K</v>
      </c>
      <c r="B201" t="s">
        <v>203</v>
      </c>
      <c r="C201" t="s">
        <v>451</v>
      </c>
      <c r="D201" t="s">
        <v>452</v>
      </c>
      <c r="F201" s="1">
        <v>45282.604166666664</v>
      </c>
      <c r="G201" s="1">
        <v>45282.605555555558</v>
      </c>
    </row>
    <row r="202" spans="1:10" x14ac:dyDescent="0.35">
      <c r="A202" t="str">
        <f>"18926016-4"</f>
        <v>18926016-4</v>
      </c>
      <c r="B202" t="s">
        <v>595</v>
      </c>
      <c r="C202" t="s">
        <v>953</v>
      </c>
      <c r="D202" t="s">
        <v>954</v>
      </c>
      <c r="F202" s="1">
        <v>45318.898611111108</v>
      </c>
      <c r="G202" s="1">
        <v>45318.899305555555</v>
      </c>
    </row>
    <row r="203" spans="1:10" x14ac:dyDescent="0.35">
      <c r="A203" t="str">
        <f>"262866319"</f>
        <v>262866319</v>
      </c>
      <c r="B203" t="s">
        <v>22</v>
      </c>
      <c r="C203" t="s">
        <v>1924</v>
      </c>
      <c r="D203" t="s">
        <v>1925</v>
      </c>
      <c r="F203" s="1">
        <v>45392.552083333336</v>
      </c>
      <c r="G203" s="1">
        <v>45392.552777777775</v>
      </c>
      <c r="H203" t="s">
        <v>1926</v>
      </c>
      <c r="I203" t="s">
        <v>11</v>
      </c>
      <c r="J203">
        <v>0.25</v>
      </c>
    </row>
    <row r="204" spans="1:10" x14ac:dyDescent="0.35">
      <c r="A204" t="str">
        <f>"17737442-3"</f>
        <v>17737442-3</v>
      </c>
      <c r="B204" t="s">
        <v>190</v>
      </c>
      <c r="C204" t="s">
        <v>250</v>
      </c>
      <c r="D204" t="s">
        <v>1954</v>
      </c>
      <c r="F204" s="1">
        <v>45394.498611111114</v>
      </c>
      <c r="G204" s="1">
        <v>45394.499305555553</v>
      </c>
      <c r="H204" t="s">
        <v>1955</v>
      </c>
      <c r="I204" t="s">
        <v>11</v>
      </c>
      <c r="J204">
        <v>0.25</v>
      </c>
    </row>
    <row r="205" spans="1:10" x14ac:dyDescent="0.35">
      <c r="A205" t="str">
        <f>"19871549-2"</f>
        <v>19871549-2</v>
      </c>
      <c r="B205" t="s">
        <v>1046</v>
      </c>
      <c r="C205" t="s">
        <v>1067</v>
      </c>
      <c r="D205" t="s">
        <v>1068</v>
      </c>
      <c r="F205" s="1">
        <v>45329.813194444447</v>
      </c>
      <c r="G205" s="1">
        <v>45329.813888888886</v>
      </c>
    </row>
    <row r="206" spans="1:10" x14ac:dyDescent="0.35">
      <c r="A206" t="str">
        <f>"16174034-9"</f>
        <v>16174034-9</v>
      </c>
      <c r="B206" t="s">
        <v>1196</v>
      </c>
      <c r="C206" t="s">
        <v>1197</v>
      </c>
      <c r="D206" t="s">
        <v>1198</v>
      </c>
      <c r="F206" s="1">
        <v>45343.806944444441</v>
      </c>
      <c r="G206" s="1">
        <v>45343.807638888888</v>
      </c>
    </row>
    <row r="207" spans="1:10" x14ac:dyDescent="0.35">
      <c r="A207" t="str">
        <f>"17027073-8"</f>
        <v>17027073-8</v>
      </c>
      <c r="B207" t="s">
        <v>951</v>
      </c>
      <c r="C207" t="s">
        <v>1199</v>
      </c>
      <c r="D207" t="s">
        <v>1200</v>
      </c>
      <c r="F207" s="1">
        <v>45343.872916666667</v>
      </c>
      <c r="G207" s="1">
        <v>45343.872916666667</v>
      </c>
    </row>
    <row r="208" spans="1:10" x14ac:dyDescent="0.35">
      <c r="A208" t="str">
        <f>"15783678-1"</f>
        <v>15783678-1</v>
      </c>
      <c r="B208" t="s">
        <v>441</v>
      </c>
      <c r="C208" t="s">
        <v>1259</v>
      </c>
      <c r="D208" t="s">
        <v>2017</v>
      </c>
      <c r="F208" s="1">
        <v>45398.763888888891</v>
      </c>
      <c r="G208" s="1">
        <v>45398.763888888891</v>
      </c>
      <c r="H208" t="s">
        <v>2018</v>
      </c>
      <c r="I208" t="s">
        <v>11</v>
      </c>
      <c r="J208">
        <v>0.25</v>
      </c>
    </row>
    <row r="209" spans="1:10" x14ac:dyDescent="0.35">
      <c r="A209" t="str">
        <f>"13067856-4"</f>
        <v>13067856-4</v>
      </c>
      <c r="B209" t="s">
        <v>623</v>
      </c>
      <c r="C209" t="s">
        <v>334</v>
      </c>
      <c r="D209" t="s">
        <v>1257</v>
      </c>
      <c r="F209" s="1">
        <v>45350.607638888891</v>
      </c>
      <c r="G209" s="1">
        <v>45350.60833333333</v>
      </c>
    </row>
    <row r="210" spans="1:10" x14ac:dyDescent="0.35">
      <c r="A210" t="str">
        <f>"18456154-9"</f>
        <v>18456154-9</v>
      </c>
      <c r="B210" t="s">
        <v>1267</v>
      </c>
      <c r="C210" t="s">
        <v>1268</v>
      </c>
      <c r="D210" t="s">
        <v>1269</v>
      </c>
      <c r="F210" s="1">
        <v>45350.788194444445</v>
      </c>
      <c r="G210" s="1">
        <v>45350.788194444445</v>
      </c>
    </row>
    <row r="211" spans="1:10" x14ac:dyDescent="0.35">
      <c r="A211" t="str">
        <f>"14041158-2"</f>
        <v>14041158-2</v>
      </c>
      <c r="B211" t="s">
        <v>1298</v>
      </c>
      <c r="C211" t="s">
        <v>1299</v>
      </c>
      <c r="D211" t="s">
        <v>1300</v>
      </c>
      <c r="F211" s="1">
        <v>45353.572916666664</v>
      </c>
      <c r="G211" s="1">
        <v>45353.575694444444</v>
      </c>
    </row>
    <row r="212" spans="1:10" x14ac:dyDescent="0.35">
      <c r="A212" t="str">
        <f>"19133781-6"</f>
        <v>19133781-6</v>
      </c>
      <c r="B212" t="s">
        <v>36</v>
      </c>
      <c r="C212" t="s">
        <v>37</v>
      </c>
      <c r="D212" t="s">
        <v>38</v>
      </c>
      <c r="F212" s="1">
        <v>45239.804861111108</v>
      </c>
      <c r="G212" s="1">
        <v>45379.859722222223</v>
      </c>
    </row>
    <row r="213" spans="1:10" x14ac:dyDescent="0.35">
      <c r="A213" t="str">
        <f>"22802568-2"</f>
        <v>22802568-2</v>
      </c>
      <c r="B213" t="s">
        <v>71</v>
      </c>
      <c r="C213" t="s">
        <v>313</v>
      </c>
      <c r="D213" t="s">
        <v>314</v>
      </c>
      <c r="F213" s="1">
        <v>45275.722222222219</v>
      </c>
      <c r="G213" s="1">
        <v>45300.767361111109</v>
      </c>
    </row>
    <row r="214" spans="1:10" x14ac:dyDescent="0.35">
      <c r="A214" t="str">
        <f>"23573050-2"</f>
        <v>23573050-2</v>
      </c>
      <c r="B214" t="s">
        <v>470</v>
      </c>
      <c r="C214" t="s">
        <v>471</v>
      </c>
      <c r="D214" t="s">
        <v>472</v>
      </c>
      <c r="F214" s="1">
        <v>45283.658333333333</v>
      </c>
      <c r="G214" s="1">
        <v>45348.606249999997</v>
      </c>
    </row>
    <row r="215" spans="1:10" x14ac:dyDescent="0.35">
      <c r="A215" t="str">
        <f>"16643783-0"</f>
        <v>16643783-0</v>
      </c>
      <c r="B215" t="s">
        <v>1038</v>
      </c>
      <c r="C215" t="s">
        <v>2379</v>
      </c>
      <c r="D215" t="s">
        <v>2380</v>
      </c>
      <c r="F215" s="1">
        <v>45422.57916666667</v>
      </c>
      <c r="G215" s="1">
        <v>45422.57916666667</v>
      </c>
      <c r="H215" t="s">
        <v>1955</v>
      </c>
      <c r="I215" t="s">
        <v>11</v>
      </c>
      <c r="J215">
        <v>0.25</v>
      </c>
    </row>
    <row r="216" spans="1:10" x14ac:dyDescent="0.35">
      <c r="A216" t="str">
        <f>"17678628-0"</f>
        <v>17678628-0</v>
      </c>
      <c r="B216" t="s">
        <v>1761</v>
      </c>
      <c r="C216" t="s">
        <v>65</v>
      </c>
      <c r="D216" t="s">
        <v>2391</v>
      </c>
      <c r="F216" s="1">
        <v>45425.505555555559</v>
      </c>
      <c r="G216" s="1">
        <v>45425.506249999999</v>
      </c>
      <c r="H216" t="s">
        <v>2392</v>
      </c>
      <c r="I216" t="s">
        <v>11</v>
      </c>
      <c r="J216">
        <v>0.25</v>
      </c>
    </row>
    <row r="217" spans="1:10" x14ac:dyDescent="0.35">
      <c r="A217" t="str">
        <f>"16654991-4"</f>
        <v>16654991-4</v>
      </c>
      <c r="B217" t="s">
        <v>930</v>
      </c>
      <c r="C217" t="s">
        <v>835</v>
      </c>
      <c r="D217" t="s">
        <v>931</v>
      </c>
      <c r="F217" s="1">
        <v>45315.731944444444</v>
      </c>
      <c r="G217" s="1">
        <v>45341.706250000003</v>
      </c>
    </row>
    <row r="218" spans="1:10" x14ac:dyDescent="0.35">
      <c r="A218" t="str">
        <f>"19541221-9"</f>
        <v>19541221-9</v>
      </c>
      <c r="B218" t="s">
        <v>1099</v>
      </c>
      <c r="C218" t="s">
        <v>1100</v>
      </c>
      <c r="D218" t="s">
        <v>1101</v>
      </c>
      <c r="F218" s="1">
        <v>45335.65902777778</v>
      </c>
      <c r="G218" s="1">
        <v>45335.668749999997</v>
      </c>
      <c r="H218" t="s">
        <v>1102</v>
      </c>
      <c r="I218" t="s">
        <v>11</v>
      </c>
      <c r="J218">
        <v>0.25</v>
      </c>
    </row>
    <row r="219" spans="1:10" x14ac:dyDescent="0.35">
      <c r="A219" t="str">
        <f>"10780686-5"</f>
        <v>10780686-5</v>
      </c>
      <c r="B219" t="s">
        <v>386</v>
      </c>
      <c r="C219" t="s">
        <v>1113</v>
      </c>
      <c r="D219" t="s">
        <v>1114</v>
      </c>
      <c r="F219" s="1">
        <v>45336.586805555555</v>
      </c>
      <c r="G219" s="1">
        <v>45336.588194444441</v>
      </c>
      <c r="H219" t="s">
        <v>1115</v>
      </c>
      <c r="I219" t="s">
        <v>11</v>
      </c>
      <c r="J219">
        <v>0.25</v>
      </c>
    </row>
    <row r="220" spans="1:10" x14ac:dyDescent="0.35">
      <c r="A220" t="str">
        <f>"272305455"</f>
        <v>272305455</v>
      </c>
      <c r="B220" t="s">
        <v>1945</v>
      </c>
      <c r="C220" t="s">
        <v>1946</v>
      </c>
      <c r="D220" t="s">
        <v>1947</v>
      </c>
      <c r="F220" s="1">
        <v>45393.672222222223</v>
      </c>
      <c r="G220" s="1">
        <v>45393.67291666667</v>
      </c>
      <c r="H220" t="s">
        <v>1948</v>
      </c>
      <c r="I220" t="s">
        <v>11</v>
      </c>
      <c r="J220">
        <v>0.25</v>
      </c>
    </row>
    <row r="221" spans="1:10" x14ac:dyDescent="0.35">
      <c r="A221" t="str">
        <f>"24319369-9"</f>
        <v>24319369-9</v>
      </c>
      <c r="B221" t="s">
        <v>623</v>
      </c>
      <c r="C221" t="s">
        <v>1155</v>
      </c>
      <c r="D221" t="s">
        <v>1156</v>
      </c>
      <c r="F221" s="1">
        <v>45338.724305555559</v>
      </c>
      <c r="G221" s="1">
        <v>45356.531944444447</v>
      </c>
    </row>
    <row r="222" spans="1:10" x14ac:dyDescent="0.35">
      <c r="A222" t="str">
        <f>"16627928-3"</f>
        <v>16627928-3</v>
      </c>
      <c r="B222" t="s">
        <v>327</v>
      </c>
      <c r="C222" t="s">
        <v>328</v>
      </c>
      <c r="D222" t="s">
        <v>329</v>
      </c>
      <c r="F222" s="1">
        <v>45275.82708333333</v>
      </c>
      <c r="G222" s="1">
        <v>45276.845833333333</v>
      </c>
    </row>
    <row r="223" spans="1:10" x14ac:dyDescent="0.35">
      <c r="A223" t="str">
        <f>"19640253-5"</f>
        <v>19640253-5</v>
      </c>
      <c r="B223" t="s">
        <v>481</v>
      </c>
      <c r="C223" t="s">
        <v>290</v>
      </c>
      <c r="D223" t="s">
        <v>482</v>
      </c>
      <c r="E223" t="s">
        <v>483</v>
      </c>
      <c r="F223" s="1">
        <v>45284.553472222222</v>
      </c>
      <c r="G223" s="1">
        <v>45284.581250000003</v>
      </c>
    </row>
    <row r="224" spans="1:10" x14ac:dyDescent="0.35">
      <c r="A224" t="str">
        <f>"13694879-2"</f>
        <v>13694879-2</v>
      </c>
      <c r="B224" t="s">
        <v>485</v>
      </c>
      <c r="C224" t="s">
        <v>486</v>
      </c>
      <c r="D224" t="s">
        <v>487</v>
      </c>
      <c r="F224" s="1">
        <v>45284.586805555555</v>
      </c>
      <c r="G224" s="1">
        <v>45284.587500000001</v>
      </c>
    </row>
    <row r="225" spans="1:10" x14ac:dyDescent="0.35">
      <c r="A225" t="str">
        <f>"19960630-1"</f>
        <v>19960630-1</v>
      </c>
      <c r="B225" t="s">
        <v>616</v>
      </c>
      <c r="C225" t="s">
        <v>617</v>
      </c>
      <c r="D225" t="s">
        <v>618</v>
      </c>
      <c r="F225" s="1">
        <v>45294.782638888886</v>
      </c>
      <c r="G225" s="1">
        <v>45358.819444444445</v>
      </c>
    </row>
    <row r="226" spans="1:10" x14ac:dyDescent="0.35">
      <c r="A226" t="str">
        <f>"17022279-2"</f>
        <v>17022279-2</v>
      </c>
      <c r="B226" t="s">
        <v>408</v>
      </c>
      <c r="C226" t="s">
        <v>258</v>
      </c>
      <c r="D226" t="s">
        <v>2505</v>
      </c>
      <c r="F226" s="1">
        <v>45439.831944444442</v>
      </c>
      <c r="G226" s="1">
        <v>45439.831944444442</v>
      </c>
      <c r="H226" t="s">
        <v>2506</v>
      </c>
      <c r="I226" t="s">
        <v>11</v>
      </c>
      <c r="J226">
        <v>0.25</v>
      </c>
    </row>
    <row r="227" spans="1:10" x14ac:dyDescent="0.35">
      <c r="A227" t="str">
        <f>"10228219-1"</f>
        <v>10228219-1</v>
      </c>
      <c r="B227" t="s">
        <v>567</v>
      </c>
      <c r="C227" t="s">
        <v>735</v>
      </c>
      <c r="D227" t="s">
        <v>2512</v>
      </c>
      <c r="F227" s="1">
        <v>45440.511805555558</v>
      </c>
      <c r="G227" s="1">
        <v>45440.512499999997</v>
      </c>
      <c r="H227" t="s">
        <v>2513</v>
      </c>
      <c r="I227" t="s">
        <v>11</v>
      </c>
      <c r="J227">
        <v>0.2</v>
      </c>
    </row>
    <row r="228" spans="1:10" x14ac:dyDescent="0.35">
      <c r="A228" t="str">
        <f>"17697400-1"</f>
        <v>17697400-1</v>
      </c>
      <c r="B228" t="s">
        <v>421</v>
      </c>
      <c r="C228" t="s">
        <v>347</v>
      </c>
      <c r="D228" t="s">
        <v>1065</v>
      </c>
      <c r="F228" s="1">
        <v>45329.790972222225</v>
      </c>
      <c r="G228" s="1">
        <v>45329.791666666664</v>
      </c>
      <c r="H228" t="s">
        <v>1066</v>
      </c>
    </row>
    <row r="229" spans="1:10" x14ac:dyDescent="0.35">
      <c r="A229" t="str">
        <f>"13544360-3"</f>
        <v>13544360-3</v>
      </c>
      <c r="B229" t="s">
        <v>1144</v>
      </c>
      <c r="C229" t="s">
        <v>261</v>
      </c>
      <c r="D229" t="s">
        <v>1145</v>
      </c>
      <c r="F229" s="1">
        <v>45337.794444444444</v>
      </c>
      <c r="G229" s="1">
        <v>45337.795138888891</v>
      </c>
    </row>
    <row r="230" spans="1:10" x14ac:dyDescent="0.35">
      <c r="A230" t="str">
        <f>"13471957-5"</f>
        <v>13471957-5</v>
      </c>
      <c r="B230" t="s">
        <v>1956</v>
      </c>
      <c r="C230" t="s">
        <v>1119</v>
      </c>
      <c r="D230" t="s">
        <v>1957</v>
      </c>
      <c r="F230" s="1">
        <v>45394.500694444447</v>
      </c>
      <c r="G230" s="1">
        <v>45394.500694444447</v>
      </c>
      <c r="H230" t="s">
        <v>1958</v>
      </c>
      <c r="I230" t="s">
        <v>11</v>
      </c>
      <c r="J230">
        <v>0.2</v>
      </c>
    </row>
    <row r="231" spans="1:10" x14ac:dyDescent="0.35">
      <c r="A231" t="str">
        <f>"13371634-3"</f>
        <v>13371634-3</v>
      </c>
      <c r="B231" t="s">
        <v>1215</v>
      </c>
      <c r="C231" t="s">
        <v>153</v>
      </c>
      <c r="D231" t="s">
        <v>1216</v>
      </c>
      <c r="F231" s="1">
        <v>45345.720138888886</v>
      </c>
      <c r="G231" s="1">
        <v>45345.720833333333</v>
      </c>
    </row>
    <row r="232" spans="1:10" x14ac:dyDescent="0.35">
      <c r="A232" t="str">
        <f>"20796182-5"</f>
        <v>20796182-5</v>
      </c>
      <c r="B232" t="s">
        <v>439</v>
      </c>
      <c r="C232" t="s">
        <v>65</v>
      </c>
      <c r="D232" t="s">
        <v>2430</v>
      </c>
      <c r="F232" s="1">
        <v>45428.836111111108</v>
      </c>
      <c r="G232" s="1">
        <v>45428.836805555555</v>
      </c>
      <c r="H232" t="s">
        <v>2431</v>
      </c>
      <c r="I232" t="s">
        <v>11</v>
      </c>
      <c r="J232">
        <v>0.2</v>
      </c>
    </row>
    <row r="233" spans="1:10" x14ac:dyDescent="0.35">
      <c r="A233" t="str">
        <f>"13472283-5"</f>
        <v>13472283-5</v>
      </c>
      <c r="B233" t="s">
        <v>2383</v>
      </c>
      <c r="C233" t="s">
        <v>2052</v>
      </c>
      <c r="D233" t="s">
        <v>2384</v>
      </c>
      <c r="F233" s="1">
        <v>45422.645833333336</v>
      </c>
      <c r="G233" s="1">
        <v>45422.646527777775</v>
      </c>
    </row>
    <row r="234" spans="1:10" x14ac:dyDescent="0.35">
      <c r="A234" t="str">
        <f>"16098481-3"</f>
        <v>16098481-3</v>
      </c>
      <c r="B234" t="s">
        <v>111</v>
      </c>
      <c r="C234" t="s">
        <v>112</v>
      </c>
      <c r="D234" t="s">
        <v>113</v>
      </c>
      <c r="F234" s="1">
        <v>45250.768750000003</v>
      </c>
      <c r="G234" s="1">
        <v>45313.565972222219</v>
      </c>
    </row>
    <row r="235" spans="1:10" x14ac:dyDescent="0.35">
      <c r="A235" t="str">
        <f>"10741001-5"</f>
        <v>10741001-5</v>
      </c>
      <c r="B235" t="s">
        <v>164</v>
      </c>
      <c r="C235" t="s">
        <v>165</v>
      </c>
      <c r="D235" t="s">
        <v>166</v>
      </c>
      <c r="F235" s="1">
        <v>45253.775694444441</v>
      </c>
      <c r="G235" s="1">
        <v>45318.549305555556</v>
      </c>
      <c r="H235" t="s">
        <v>128</v>
      </c>
    </row>
    <row r="236" spans="1:10" x14ac:dyDescent="0.35">
      <c r="A236" t="str">
        <f>"246803846"</f>
        <v>246803846</v>
      </c>
      <c r="B236" t="s">
        <v>349</v>
      </c>
      <c r="C236" t="s">
        <v>250</v>
      </c>
      <c r="D236" t="s">
        <v>2539</v>
      </c>
      <c r="F236" s="1">
        <v>45441.809027777781</v>
      </c>
      <c r="G236" s="1">
        <v>45441.809027777781</v>
      </c>
      <c r="H236" t="s">
        <v>2540</v>
      </c>
      <c r="I236" t="s">
        <v>11</v>
      </c>
      <c r="J236">
        <v>0.2</v>
      </c>
    </row>
    <row r="237" spans="1:10" x14ac:dyDescent="0.35">
      <c r="A237" t="str">
        <f>"15371265-4"</f>
        <v>15371265-4</v>
      </c>
      <c r="B237" t="s">
        <v>446</v>
      </c>
      <c r="C237" t="s">
        <v>447</v>
      </c>
      <c r="D237" t="s">
        <v>448</v>
      </c>
      <c r="F237" s="1">
        <v>45282.583333333336</v>
      </c>
      <c r="G237" s="1">
        <v>45282.602777777778</v>
      </c>
    </row>
    <row r="238" spans="1:10" x14ac:dyDescent="0.35">
      <c r="A238" t="str">
        <f>"14313895-K"</f>
        <v>14313895-K</v>
      </c>
      <c r="B238" t="s">
        <v>1893</v>
      </c>
      <c r="C238" t="s">
        <v>2008</v>
      </c>
      <c r="D238" t="s">
        <v>2009</v>
      </c>
      <c r="F238" s="1">
        <v>45398.588888888888</v>
      </c>
      <c r="G238" s="1">
        <v>45398.588888888888</v>
      </c>
      <c r="H238" t="s">
        <v>2010</v>
      </c>
      <c r="I238" t="s">
        <v>11</v>
      </c>
      <c r="J238">
        <v>0.2</v>
      </c>
    </row>
    <row r="239" spans="1:10" x14ac:dyDescent="0.35">
      <c r="A239" t="str">
        <f>"12833915-9"</f>
        <v>12833915-9</v>
      </c>
      <c r="B239" t="s">
        <v>648</v>
      </c>
      <c r="C239" t="s">
        <v>649</v>
      </c>
      <c r="D239" t="s">
        <v>650</v>
      </c>
      <c r="F239" s="1">
        <v>45295.898611111108</v>
      </c>
      <c r="G239" s="1">
        <v>45301.865972222222</v>
      </c>
      <c r="H239" t="s">
        <v>651</v>
      </c>
    </row>
    <row r="240" spans="1:10" x14ac:dyDescent="0.35">
      <c r="A240" t="str">
        <f>"20666363-4"</f>
        <v>20666363-4</v>
      </c>
      <c r="B240" t="s">
        <v>694</v>
      </c>
      <c r="C240" t="s">
        <v>695</v>
      </c>
      <c r="D240" t="s">
        <v>696</v>
      </c>
      <c r="F240" s="1">
        <v>45297.705555555556</v>
      </c>
      <c r="G240" s="1">
        <v>45308.851388888892</v>
      </c>
    </row>
    <row r="241" spans="1:15" x14ac:dyDescent="0.35">
      <c r="A241" t="str">
        <f>"10070989-9"</f>
        <v>10070989-9</v>
      </c>
      <c r="B241" t="s">
        <v>771</v>
      </c>
      <c r="C241" t="s">
        <v>772</v>
      </c>
      <c r="D241" t="s">
        <v>773</v>
      </c>
      <c r="F241" s="1">
        <v>45302.560416666667</v>
      </c>
      <c r="G241" s="1">
        <v>45315.790277777778</v>
      </c>
    </row>
    <row r="242" spans="1:15" x14ac:dyDescent="0.35">
      <c r="A242" t="str">
        <f>"17957175-7"</f>
        <v>17957175-7</v>
      </c>
      <c r="B242" t="s">
        <v>951</v>
      </c>
      <c r="C242" t="s">
        <v>129</v>
      </c>
      <c r="D242" t="s">
        <v>1108</v>
      </c>
      <c r="F242" s="1">
        <v>45336.439583333333</v>
      </c>
      <c r="G242" s="1">
        <v>45336.44027777778</v>
      </c>
      <c r="H242" t="s">
        <v>1109</v>
      </c>
      <c r="I242" t="s">
        <v>11</v>
      </c>
      <c r="J242">
        <v>0.2</v>
      </c>
    </row>
    <row r="243" spans="1:15" x14ac:dyDescent="0.35">
      <c r="A243" t="str">
        <f>"21486350-2"</f>
        <v>21486350-2</v>
      </c>
      <c r="B243" t="s">
        <v>1060</v>
      </c>
      <c r="C243" t="s">
        <v>1061</v>
      </c>
      <c r="D243" t="s">
        <v>1062</v>
      </c>
      <c r="F243" s="1">
        <v>45329.679861111108</v>
      </c>
      <c r="G243" s="1">
        <v>45344.647222222222</v>
      </c>
    </row>
    <row r="244" spans="1:15" x14ac:dyDescent="0.35">
      <c r="A244" t="str">
        <f>"7664984-7"</f>
        <v>7664984-7</v>
      </c>
      <c r="B244" t="s">
        <v>39</v>
      </c>
      <c r="C244" t="s">
        <v>40</v>
      </c>
      <c r="D244" t="s">
        <v>41</v>
      </c>
      <c r="F244" s="1">
        <v>45242.544444444444</v>
      </c>
      <c r="G244" s="1">
        <v>45276.845833333333</v>
      </c>
    </row>
    <row r="245" spans="1:15" x14ac:dyDescent="0.35">
      <c r="A245" t="str">
        <f>"11185694-K"</f>
        <v>11185694-K</v>
      </c>
      <c r="B245" t="s">
        <v>83</v>
      </c>
      <c r="C245" t="s">
        <v>91</v>
      </c>
      <c r="D245" t="s">
        <v>92</v>
      </c>
      <c r="F245" s="1">
        <v>45246.6</v>
      </c>
      <c r="G245" s="1">
        <v>45276.845833333333</v>
      </c>
      <c r="H245" t="s">
        <v>93</v>
      </c>
    </row>
    <row r="246" spans="1:15" x14ac:dyDescent="0.35">
      <c r="A246" t="str">
        <f>"14353954-7"</f>
        <v>14353954-7</v>
      </c>
      <c r="B246" t="s">
        <v>118</v>
      </c>
      <c r="C246" t="s">
        <v>119</v>
      </c>
      <c r="D246" t="s">
        <v>120</v>
      </c>
      <c r="F246" s="1">
        <v>45250.832638888889</v>
      </c>
      <c r="G246" s="1">
        <v>45276.845833333333</v>
      </c>
    </row>
    <row r="247" spans="1:15" x14ac:dyDescent="0.35">
      <c r="A247" t="str">
        <f>"17517964-K"</f>
        <v>17517964-K</v>
      </c>
      <c r="B247" t="s">
        <v>196</v>
      </c>
      <c r="C247" t="s">
        <v>197</v>
      </c>
      <c r="D247" t="s">
        <v>198</v>
      </c>
      <c r="F247" s="1">
        <v>45259.512499999997</v>
      </c>
      <c r="G247" s="1">
        <v>45276.845833333333</v>
      </c>
      <c r="H247" t="s">
        <v>199</v>
      </c>
    </row>
    <row r="248" spans="1:15" ht="43.5" x14ac:dyDescent="0.35">
      <c r="A248" t="str">
        <f>"13688801-3"</f>
        <v>13688801-3</v>
      </c>
      <c r="B248" t="s">
        <v>1340</v>
      </c>
      <c r="C248" t="s">
        <v>1341</v>
      </c>
      <c r="D248" t="s">
        <v>1342</v>
      </c>
      <c r="F248" s="1">
        <v>45360.682638888888</v>
      </c>
      <c r="G248" s="1">
        <v>45393.508333333331</v>
      </c>
      <c r="H248" t="s">
        <v>1343</v>
      </c>
      <c r="I248" t="s">
        <v>11</v>
      </c>
      <c r="J248">
        <v>0.15</v>
      </c>
      <c r="K248" s="5" t="s">
        <v>2556</v>
      </c>
      <c r="L248" s="6">
        <v>45420</v>
      </c>
      <c r="M248" s="6">
        <v>45373</v>
      </c>
      <c r="N248" s="7">
        <f>NETWORKDAYS(M248,L248)</f>
        <v>34</v>
      </c>
      <c r="O248" s="7">
        <v>100</v>
      </c>
    </row>
    <row r="249" spans="1:15" x14ac:dyDescent="0.35">
      <c r="A249" t="str">
        <f>"18019346-4"</f>
        <v>18019346-4</v>
      </c>
      <c r="B249" t="s">
        <v>16</v>
      </c>
      <c r="C249" t="s">
        <v>278</v>
      </c>
      <c r="D249" t="s">
        <v>279</v>
      </c>
      <c r="F249" s="1">
        <v>45271.796527777777</v>
      </c>
      <c r="G249" s="1">
        <v>45276.845833333333</v>
      </c>
      <c r="H249" t="s">
        <v>280</v>
      </c>
    </row>
    <row r="250" spans="1:15" x14ac:dyDescent="0.35">
      <c r="A250" t="str">
        <f>"13558748-6"</f>
        <v>13558748-6</v>
      </c>
      <c r="B250" t="s">
        <v>2240</v>
      </c>
      <c r="C250" t="s">
        <v>494</v>
      </c>
      <c r="D250" t="s">
        <v>2241</v>
      </c>
      <c r="F250" s="1">
        <v>45412.706944444442</v>
      </c>
      <c r="G250" s="1">
        <v>45412.707638888889</v>
      </c>
      <c r="H250" t="s">
        <v>2242</v>
      </c>
      <c r="I250" t="s">
        <v>11</v>
      </c>
      <c r="J250">
        <v>0.15</v>
      </c>
    </row>
    <row r="251" spans="1:15" x14ac:dyDescent="0.35">
      <c r="A251" t="str">
        <f>"6377715-3"</f>
        <v>6377715-3</v>
      </c>
      <c r="B251" t="s">
        <v>203</v>
      </c>
      <c r="C251" t="s">
        <v>278</v>
      </c>
      <c r="D251" t="s">
        <v>303</v>
      </c>
      <c r="F251" s="1">
        <v>45273.789583333331</v>
      </c>
      <c r="G251" s="1">
        <v>45276.845833333333</v>
      </c>
    </row>
    <row r="252" spans="1:15" x14ac:dyDescent="0.35">
      <c r="A252" t="str">
        <f>"13475190-8"</f>
        <v>13475190-8</v>
      </c>
      <c r="B252" t="s">
        <v>1281</v>
      </c>
      <c r="C252" t="s">
        <v>1282</v>
      </c>
      <c r="D252" t="s">
        <v>1283</v>
      </c>
      <c r="F252" s="1">
        <v>45351.82708333333</v>
      </c>
      <c r="G252" s="1">
        <v>45394.71875</v>
      </c>
      <c r="H252" t="s">
        <v>1284</v>
      </c>
      <c r="I252" t="s">
        <v>11</v>
      </c>
      <c r="J252">
        <v>0.15</v>
      </c>
    </row>
    <row r="253" spans="1:15" x14ac:dyDescent="0.35">
      <c r="A253" t="str">
        <f>"13914410-4"</f>
        <v>13914410-4</v>
      </c>
      <c r="B253" t="s">
        <v>456</v>
      </c>
      <c r="C253" t="s">
        <v>465</v>
      </c>
      <c r="D253" t="s">
        <v>466</v>
      </c>
      <c r="F253" s="1">
        <v>45283.605555555558</v>
      </c>
      <c r="G253" s="1">
        <v>45283.606249999997</v>
      </c>
    </row>
    <row r="254" spans="1:15" x14ac:dyDescent="0.35">
      <c r="A254" t="str">
        <f>"17534702-K"</f>
        <v>17534702-K</v>
      </c>
      <c r="B254" t="s">
        <v>349</v>
      </c>
      <c r="C254" t="s">
        <v>2097</v>
      </c>
      <c r="D254" t="s">
        <v>2098</v>
      </c>
      <c r="F254" s="1">
        <v>45404.824999999997</v>
      </c>
      <c r="G254" s="1">
        <v>45404.825694444444</v>
      </c>
      <c r="H254" t="s">
        <v>2099</v>
      </c>
      <c r="I254" t="s">
        <v>11</v>
      </c>
      <c r="J254">
        <v>0.15</v>
      </c>
    </row>
    <row r="255" spans="1:15" x14ac:dyDescent="0.35">
      <c r="A255" t="str">
        <f>"14293869-3"</f>
        <v>14293869-3</v>
      </c>
      <c r="B255" t="s">
        <v>513</v>
      </c>
      <c r="C255" t="s">
        <v>1758</v>
      </c>
      <c r="D255" t="s">
        <v>1759</v>
      </c>
      <c r="F255" s="1">
        <v>45380.550694444442</v>
      </c>
      <c r="G255" s="1">
        <v>45380.550694444442</v>
      </c>
      <c r="H255" t="s">
        <v>1760</v>
      </c>
      <c r="I255" t="s">
        <v>11</v>
      </c>
      <c r="J255">
        <v>0.15</v>
      </c>
    </row>
    <row r="256" spans="1:15" x14ac:dyDescent="0.35">
      <c r="A256" t="str">
        <f>"10117276-7"</f>
        <v>10117276-7</v>
      </c>
      <c r="B256" t="s">
        <v>808</v>
      </c>
      <c r="C256" t="s">
        <v>809</v>
      </c>
      <c r="D256" t="s">
        <v>810</v>
      </c>
      <c r="F256" s="1">
        <v>45304.61041666667</v>
      </c>
      <c r="G256" s="1">
        <v>45304.61041666667</v>
      </c>
      <c r="H256" t="s">
        <v>811</v>
      </c>
    </row>
    <row r="257" spans="1:10" x14ac:dyDescent="0.35">
      <c r="A257" t="str">
        <f>"15192066-7"</f>
        <v>15192066-7</v>
      </c>
      <c r="B257" t="s">
        <v>903</v>
      </c>
      <c r="C257" t="s">
        <v>904</v>
      </c>
      <c r="D257" t="s">
        <v>905</v>
      </c>
      <c r="F257" s="1">
        <v>45311.836111111108</v>
      </c>
      <c r="G257" s="1">
        <v>45311.836111111108</v>
      </c>
    </row>
    <row r="258" spans="1:10" x14ac:dyDescent="0.35">
      <c r="A258" t="str">
        <f>"11974450-4"</f>
        <v>11974450-4</v>
      </c>
      <c r="B258" t="s">
        <v>344</v>
      </c>
      <c r="C258" t="s">
        <v>944</v>
      </c>
      <c r="D258" t="s">
        <v>945</v>
      </c>
      <c r="F258" s="1">
        <v>45318.606249999997</v>
      </c>
      <c r="G258" s="1">
        <v>45318.606944444444</v>
      </c>
    </row>
    <row r="259" spans="1:10" x14ac:dyDescent="0.35">
      <c r="A259" t="str">
        <f>"15839803-6"</f>
        <v>15839803-6</v>
      </c>
      <c r="B259" t="s">
        <v>958</v>
      </c>
      <c r="C259" t="s">
        <v>204</v>
      </c>
      <c r="D259" t="s">
        <v>959</v>
      </c>
      <c r="F259" s="1">
        <v>45320.55972222222</v>
      </c>
      <c r="G259" s="1">
        <v>45320.55972222222</v>
      </c>
      <c r="H259" t="s">
        <v>960</v>
      </c>
    </row>
    <row r="260" spans="1:10" x14ac:dyDescent="0.35">
      <c r="A260" t="str">
        <f>"17599505-6"</f>
        <v>17599505-6</v>
      </c>
      <c r="B260" t="s">
        <v>333</v>
      </c>
      <c r="C260" t="s">
        <v>977</v>
      </c>
      <c r="D260" t="s">
        <v>978</v>
      </c>
      <c r="F260" s="1">
        <v>45321.519444444442</v>
      </c>
      <c r="G260" s="1">
        <v>45321.535416666666</v>
      </c>
    </row>
    <row r="261" spans="1:10" x14ac:dyDescent="0.35">
      <c r="A261" t="str">
        <f>"18927465-3"</f>
        <v>18927465-3</v>
      </c>
      <c r="B261" t="s">
        <v>421</v>
      </c>
      <c r="C261" t="s">
        <v>1589</v>
      </c>
      <c r="D261" t="s">
        <v>1590</v>
      </c>
      <c r="F261" s="1">
        <v>45372.9</v>
      </c>
      <c r="G261" s="1">
        <v>45372.9</v>
      </c>
      <c r="H261" t="s">
        <v>1591</v>
      </c>
      <c r="I261" t="s">
        <v>11</v>
      </c>
      <c r="J261">
        <v>0.15</v>
      </c>
    </row>
    <row r="262" spans="1:10" x14ac:dyDescent="0.35">
      <c r="A262" t="str">
        <f>"18745600-2"</f>
        <v>18745600-2</v>
      </c>
      <c r="B262" t="s">
        <v>1160</v>
      </c>
      <c r="C262" t="s">
        <v>1161</v>
      </c>
      <c r="D262" t="s">
        <v>1162</v>
      </c>
      <c r="F262" s="1">
        <v>45339.662499999999</v>
      </c>
      <c r="G262" s="1">
        <v>45339.662499999999</v>
      </c>
    </row>
    <row r="263" spans="1:10" x14ac:dyDescent="0.35">
      <c r="A263" t="str">
        <f>"15430892-K"</f>
        <v>15430892-K</v>
      </c>
      <c r="B263" t="s">
        <v>1252</v>
      </c>
      <c r="C263" t="s">
        <v>712</v>
      </c>
      <c r="D263" t="s">
        <v>1253</v>
      </c>
      <c r="F263" s="1">
        <v>45349.622916666667</v>
      </c>
      <c r="G263" s="1">
        <v>45349.623611111114</v>
      </c>
    </row>
    <row r="264" spans="1:10" x14ac:dyDescent="0.35">
      <c r="A264" t="str">
        <f>"18388026-8"</f>
        <v>18388026-8</v>
      </c>
      <c r="B264" t="s">
        <v>207</v>
      </c>
      <c r="C264" t="s">
        <v>2333</v>
      </c>
      <c r="D264" t="s">
        <v>2334</v>
      </c>
      <c r="F264" s="1">
        <v>45420.591666666667</v>
      </c>
      <c r="G264" s="1">
        <v>45420.592361111114</v>
      </c>
      <c r="H264" t="s">
        <v>2099</v>
      </c>
      <c r="I264" t="s">
        <v>11</v>
      </c>
      <c r="J264">
        <v>0.15</v>
      </c>
    </row>
    <row r="265" spans="1:10" x14ac:dyDescent="0.35">
      <c r="A265" t="str">
        <f>"13448834-4"</f>
        <v>13448834-4</v>
      </c>
      <c r="B265" t="s">
        <v>1057</v>
      </c>
      <c r="C265" t="s">
        <v>1058</v>
      </c>
      <c r="D265" t="s">
        <v>1059</v>
      </c>
      <c r="F265" s="1">
        <v>45329.62222222222</v>
      </c>
      <c r="G265" s="1">
        <v>45329.62222222222</v>
      </c>
    </row>
    <row r="266" spans="1:10" x14ac:dyDescent="0.35">
      <c r="A266" t="str">
        <f>"27760688-7"</f>
        <v>27760688-7</v>
      </c>
      <c r="B266" t="s">
        <v>1938</v>
      </c>
      <c r="C266" t="s">
        <v>1939</v>
      </c>
      <c r="D266" t="s">
        <v>1940</v>
      </c>
      <c r="F266" s="1">
        <v>45392.898611111108</v>
      </c>
      <c r="G266" s="1">
        <v>45392.898611111108</v>
      </c>
      <c r="H266" t="s">
        <v>1941</v>
      </c>
      <c r="I266" t="s">
        <v>11</v>
      </c>
      <c r="J266">
        <v>0.15</v>
      </c>
    </row>
    <row r="267" spans="1:10" x14ac:dyDescent="0.35">
      <c r="A267" t="str">
        <f>"14123509-5"</f>
        <v>14123509-5</v>
      </c>
      <c r="B267" t="s">
        <v>1313</v>
      </c>
      <c r="C267" t="s">
        <v>1314</v>
      </c>
      <c r="D267" t="s">
        <v>1315</v>
      </c>
      <c r="F267" s="1">
        <v>45356.519444444442</v>
      </c>
      <c r="G267" s="1">
        <v>45356.521527777775</v>
      </c>
    </row>
    <row r="268" spans="1:10" x14ac:dyDescent="0.35">
      <c r="A268" t="str">
        <f>"19293624-1"</f>
        <v>19293624-1</v>
      </c>
      <c r="B268" t="s">
        <v>1841</v>
      </c>
      <c r="C268" t="s">
        <v>2450</v>
      </c>
      <c r="D268" t="s">
        <v>2451</v>
      </c>
      <c r="F268" s="1">
        <v>45430.863194444442</v>
      </c>
      <c r="G268" s="1">
        <v>45430.865277777775</v>
      </c>
    </row>
    <row r="269" spans="1:10" x14ac:dyDescent="0.35">
      <c r="A269" t="str">
        <f>"19668710-6"</f>
        <v>19668710-6</v>
      </c>
      <c r="B269" t="s">
        <v>2487</v>
      </c>
      <c r="C269" t="s">
        <v>340</v>
      </c>
      <c r="D269" t="s">
        <v>2488</v>
      </c>
      <c r="F269" s="1">
        <v>45436.811111111114</v>
      </c>
      <c r="G269" s="1">
        <v>45436.811805555553</v>
      </c>
    </row>
    <row r="270" spans="1:10" x14ac:dyDescent="0.35">
      <c r="A270" t="str">
        <f>"12403211-3"</f>
        <v>12403211-3</v>
      </c>
      <c r="B270" t="s">
        <v>324</v>
      </c>
      <c r="C270" t="s">
        <v>325</v>
      </c>
      <c r="D270" t="s">
        <v>326</v>
      </c>
      <c r="F270" s="1">
        <v>45275.790972222225</v>
      </c>
      <c r="G270" s="1">
        <v>45279.574999999997</v>
      </c>
    </row>
    <row r="271" spans="1:10" x14ac:dyDescent="0.35">
      <c r="A271" t="str">
        <f>"13936232-2"</f>
        <v>13936232-2</v>
      </c>
      <c r="B271" t="s">
        <v>536</v>
      </c>
      <c r="C271" t="s">
        <v>2526</v>
      </c>
      <c r="D271" t="s">
        <v>2527</v>
      </c>
      <c r="F271" s="1">
        <v>45441.644444444442</v>
      </c>
      <c r="G271" s="1">
        <v>45441.644444444442</v>
      </c>
      <c r="H271" t="s">
        <v>2528</v>
      </c>
      <c r="I271" t="s">
        <v>11</v>
      </c>
      <c r="J271">
        <v>0.15</v>
      </c>
    </row>
    <row r="272" spans="1:10" x14ac:dyDescent="0.35">
      <c r="A272" t="str">
        <f>"20562714-6"</f>
        <v>20562714-6</v>
      </c>
      <c r="B272" t="s">
        <v>694</v>
      </c>
      <c r="C272" t="s">
        <v>201</v>
      </c>
      <c r="D272" t="s">
        <v>2201</v>
      </c>
      <c r="F272" s="1">
        <v>45409.737500000003</v>
      </c>
      <c r="G272" s="1">
        <v>45409.737500000003</v>
      </c>
      <c r="H272" t="s">
        <v>2202</v>
      </c>
      <c r="I272" t="s">
        <v>11</v>
      </c>
      <c r="J272">
        <v>0.15</v>
      </c>
    </row>
    <row r="273" spans="1:10" x14ac:dyDescent="0.35">
      <c r="A273" t="str">
        <f>"15962694-6"</f>
        <v>15962694-6</v>
      </c>
      <c r="B273" t="s">
        <v>1959</v>
      </c>
      <c r="C273" t="s">
        <v>409</v>
      </c>
      <c r="D273" t="s">
        <v>1960</v>
      </c>
      <c r="F273" s="1">
        <v>45394.501388888886</v>
      </c>
      <c r="G273" s="1">
        <v>45397.70416666667</v>
      </c>
      <c r="H273" t="s">
        <v>1961</v>
      </c>
      <c r="I273" t="s">
        <v>11</v>
      </c>
      <c r="J273">
        <v>0.1</v>
      </c>
    </row>
    <row r="274" spans="1:10" x14ac:dyDescent="0.35">
      <c r="A274" t="str">
        <f>"15329924-2"</f>
        <v>15329924-2</v>
      </c>
      <c r="B274" t="s">
        <v>1753</v>
      </c>
      <c r="C274" t="s">
        <v>1718</v>
      </c>
      <c r="D274" t="s">
        <v>1754</v>
      </c>
      <c r="F274" s="1">
        <v>45379.840277777781</v>
      </c>
      <c r="G274" s="1">
        <v>45379.84097222222</v>
      </c>
      <c r="H274" t="s">
        <v>1755</v>
      </c>
      <c r="I274" t="s">
        <v>11</v>
      </c>
      <c r="J274">
        <v>0.1</v>
      </c>
    </row>
    <row r="275" spans="1:10" x14ac:dyDescent="0.35">
      <c r="A275" t="str">
        <f>"17698245-4"</f>
        <v>17698245-4</v>
      </c>
      <c r="B275" t="s">
        <v>365</v>
      </c>
      <c r="C275" t="s">
        <v>2499</v>
      </c>
      <c r="D275" t="s">
        <v>2500</v>
      </c>
      <c r="F275" s="1">
        <v>45439.811111111114</v>
      </c>
      <c r="G275" s="1">
        <v>45439.811805555553</v>
      </c>
      <c r="H275" t="s">
        <v>2501</v>
      </c>
      <c r="I275" t="s">
        <v>11</v>
      </c>
      <c r="J275">
        <v>0.1</v>
      </c>
    </row>
    <row r="276" spans="1:10" x14ac:dyDescent="0.35">
      <c r="A276" t="str">
        <f>"20881688-8"</f>
        <v>20881688-8</v>
      </c>
      <c r="B276" t="s">
        <v>690</v>
      </c>
      <c r="C276" t="s">
        <v>710</v>
      </c>
      <c r="D276" t="s">
        <v>2100</v>
      </c>
      <c r="F276" s="1">
        <v>45404.826388888891</v>
      </c>
      <c r="G276" s="1">
        <v>45404.826388888891</v>
      </c>
      <c r="H276" t="s">
        <v>2101</v>
      </c>
      <c r="I276" t="s">
        <v>11</v>
      </c>
      <c r="J276">
        <v>0.1</v>
      </c>
    </row>
    <row r="277" spans="1:10" x14ac:dyDescent="0.35">
      <c r="A277" t="str">
        <f>"10737915-0"</f>
        <v>10737915-0</v>
      </c>
      <c r="B277" t="s">
        <v>623</v>
      </c>
      <c r="C277" t="s">
        <v>656</v>
      </c>
      <c r="D277" t="s">
        <v>2058</v>
      </c>
      <c r="F277" s="1">
        <v>45401.634027777778</v>
      </c>
      <c r="G277" s="1">
        <v>45401.634722222225</v>
      </c>
      <c r="H277" t="s">
        <v>2059</v>
      </c>
      <c r="I277" t="s">
        <v>11</v>
      </c>
      <c r="J277">
        <v>0.1</v>
      </c>
    </row>
    <row r="278" spans="1:10" x14ac:dyDescent="0.35">
      <c r="A278" t="str">
        <f>"19219699-K"</f>
        <v>19219699-K</v>
      </c>
      <c r="B278" t="s">
        <v>1542</v>
      </c>
      <c r="C278" t="s">
        <v>1543</v>
      </c>
      <c r="D278" t="s">
        <v>1544</v>
      </c>
      <c r="E278" t="s">
        <v>1545</v>
      </c>
      <c r="F278" s="1">
        <v>45371.655555555553</v>
      </c>
      <c r="G278" s="1">
        <v>45371.655555555553</v>
      </c>
      <c r="H278" t="s">
        <v>1546</v>
      </c>
      <c r="I278" t="s">
        <v>11</v>
      </c>
      <c r="J278">
        <v>0.1</v>
      </c>
    </row>
    <row r="279" spans="1:10" x14ac:dyDescent="0.35">
      <c r="A279" t="str">
        <f>"15822210-8"</f>
        <v>15822210-8</v>
      </c>
      <c r="B279" t="s">
        <v>392</v>
      </c>
      <c r="C279" t="s">
        <v>939</v>
      </c>
      <c r="D279" t="s">
        <v>2120</v>
      </c>
      <c r="F279" s="1">
        <v>45406.534722222219</v>
      </c>
      <c r="G279" s="1">
        <v>45406.534722222219</v>
      </c>
    </row>
    <row r="280" spans="1:10" x14ac:dyDescent="0.35">
      <c r="A280" t="str">
        <f>"15608572-3"</f>
        <v>15608572-3</v>
      </c>
      <c r="B280" t="s">
        <v>2121</v>
      </c>
      <c r="C280" t="s">
        <v>2122</v>
      </c>
      <c r="D280" t="s">
        <v>2123</v>
      </c>
      <c r="F280" s="1">
        <v>45406.570138888892</v>
      </c>
      <c r="G280" s="1">
        <v>45406.570138888892</v>
      </c>
    </row>
    <row r="281" spans="1:10" x14ac:dyDescent="0.35">
      <c r="A281" t="str">
        <f>"18168105-5"</f>
        <v>18168105-5</v>
      </c>
      <c r="B281" t="s">
        <v>2151</v>
      </c>
      <c r="C281" t="s">
        <v>2152</v>
      </c>
      <c r="D281" t="s">
        <v>2153</v>
      </c>
      <c r="F281" s="1">
        <v>45407.799305555556</v>
      </c>
      <c r="G281" s="1">
        <v>45407.8</v>
      </c>
    </row>
    <row r="282" spans="1:10" x14ac:dyDescent="0.35">
      <c r="A282" t="str">
        <f>"16360681-K"</f>
        <v>16360681-K</v>
      </c>
      <c r="B282" t="s">
        <v>439</v>
      </c>
      <c r="C282" t="s">
        <v>340</v>
      </c>
      <c r="D282" t="s">
        <v>2154</v>
      </c>
      <c r="F282" s="1">
        <v>45407.815972222219</v>
      </c>
      <c r="G282" s="1">
        <v>45407.816666666666</v>
      </c>
    </row>
    <row r="283" spans="1:10" x14ac:dyDescent="0.35">
      <c r="A283" t="str">
        <f>"12584859-1"</f>
        <v>12584859-1</v>
      </c>
      <c r="B283" t="s">
        <v>2068</v>
      </c>
      <c r="C283" t="s">
        <v>2194</v>
      </c>
      <c r="D283" t="s">
        <v>2195</v>
      </c>
      <c r="F283" s="1">
        <v>45409.629166666666</v>
      </c>
      <c r="G283" s="1">
        <v>45409.629861111112</v>
      </c>
    </row>
    <row r="284" spans="1:10" x14ac:dyDescent="0.35">
      <c r="A284" t="str">
        <f>"15374396-7"</f>
        <v>15374396-7</v>
      </c>
      <c r="B284" t="s">
        <v>2218</v>
      </c>
      <c r="C284" t="s">
        <v>397</v>
      </c>
      <c r="D284" t="s">
        <v>2219</v>
      </c>
      <c r="F284" s="1">
        <v>45411.62222222222</v>
      </c>
      <c r="G284" s="1">
        <v>45411.62222222222</v>
      </c>
    </row>
    <row r="285" spans="1:10" x14ac:dyDescent="0.35">
      <c r="A285" t="str">
        <f>"18167804-6"</f>
        <v>18167804-6</v>
      </c>
      <c r="B285" t="s">
        <v>2044</v>
      </c>
      <c r="C285" t="s">
        <v>109</v>
      </c>
      <c r="D285" t="s">
        <v>2239</v>
      </c>
      <c r="F285" s="1">
        <v>45412.652777777781</v>
      </c>
      <c r="G285" s="1">
        <v>45412.652777777781</v>
      </c>
    </row>
    <row r="286" spans="1:10" x14ac:dyDescent="0.35">
      <c r="A286" t="str">
        <f>"19261428-7"</f>
        <v>19261428-7</v>
      </c>
      <c r="B286" t="s">
        <v>1116</v>
      </c>
      <c r="C286" t="s">
        <v>106</v>
      </c>
      <c r="D286" t="s">
        <v>2251</v>
      </c>
      <c r="F286" s="1">
        <v>45412.821527777778</v>
      </c>
      <c r="G286" s="1">
        <v>45412.821527777778</v>
      </c>
      <c r="H286" t="s">
        <v>2252</v>
      </c>
    </row>
    <row r="287" spans="1:10" x14ac:dyDescent="0.35">
      <c r="A287" t="str">
        <f>"bc704843"</f>
        <v>bc704843</v>
      </c>
      <c r="B287" t="s">
        <v>2257</v>
      </c>
      <c r="C287" t="s">
        <v>2258</v>
      </c>
      <c r="D287" t="s">
        <v>2259</v>
      </c>
      <c r="F287" s="1">
        <v>45413.637499999997</v>
      </c>
      <c r="G287" s="1">
        <v>45413.638194444444</v>
      </c>
    </row>
    <row r="288" spans="1:10" x14ac:dyDescent="0.35">
      <c r="A288" t="str">
        <f>"18579240-4"</f>
        <v>18579240-4</v>
      </c>
      <c r="B288" t="s">
        <v>2268</v>
      </c>
      <c r="C288" t="s">
        <v>2269</v>
      </c>
      <c r="D288" t="s">
        <v>2270</v>
      </c>
      <c r="E288" t="s">
        <v>2271</v>
      </c>
      <c r="F288" s="1">
        <v>45413.815972222219</v>
      </c>
      <c r="G288" s="1">
        <v>45413.816666666666</v>
      </c>
      <c r="H288" t="s">
        <v>2272</v>
      </c>
    </row>
    <row r="289" spans="1:10" x14ac:dyDescent="0.35">
      <c r="A289" t="str">
        <f>"21960430-0"</f>
        <v>21960430-0</v>
      </c>
      <c r="B289" t="s">
        <v>659</v>
      </c>
      <c r="C289" t="s">
        <v>2285</v>
      </c>
      <c r="D289" t="s">
        <v>2286</v>
      </c>
      <c r="F289" s="1">
        <v>45414.740277777775</v>
      </c>
      <c r="G289" s="1">
        <v>45414.740277777775</v>
      </c>
    </row>
    <row r="290" spans="1:10" x14ac:dyDescent="0.35">
      <c r="A290" t="str">
        <f>"15417289-0"</f>
        <v>15417289-0</v>
      </c>
      <c r="B290" t="s">
        <v>392</v>
      </c>
      <c r="C290" t="s">
        <v>2254</v>
      </c>
      <c r="D290" t="s">
        <v>2255</v>
      </c>
      <c r="F290" s="1">
        <v>45413.575694444444</v>
      </c>
      <c r="G290" s="1">
        <v>45413.575694444444</v>
      </c>
      <c r="H290" t="s">
        <v>2256</v>
      </c>
      <c r="I290" t="s">
        <v>11</v>
      </c>
      <c r="J290">
        <v>0.08</v>
      </c>
    </row>
    <row r="291" spans="1:10" x14ac:dyDescent="0.35">
      <c r="A291" t="str">
        <f>"14660918-K"</f>
        <v>14660918-K</v>
      </c>
      <c r="B291" t="s">
        <v>2176</v>
      </c>
      <c r="C291" t="s">
        <v>2299</v>
      </c>
      <c r="D291" t="s">
        <v>2300</v>
      </c>
      <c r="F291" s="1">
        <v>45416.511805555558</v>
      </c>
      <c r="G291" s="1">
        <v>45416.512499999997</v>
      </c>
    </row>
    <row r="292" spans="1:10" x14ac:dyDescent="0.35">
      <c r="A292" t="str">
        <f>"18936443-1"</f>
        <v>18936443-1</v>
      </c>
      <c r="B292" t="s">
        <v>2309</v>
      </c>
      <c r="C292" t="s">
        <v>98</v>
      </c>
      <c r="D292" t="s">
        <v>2310</v>
      </c>
      <c r="F292" s="1">
        <v>45416.73333333333</v>
      </c>
      <c r="G292" s="1">
        <v>45416.73333333333</v>
      </c>
    </row>
    <row r="293" spans="1:10" x14ac:dyDescent="0.35">
      <c r="A293" t="str">
        <f>"16945652-6"</f>
        <v>16945652-6</v>
      </c>
      <c r="B293" t="s">
        <v>912</v>
      </c>
      <c r="C293" t="s">
        <v>27</v>
      </c>
      <c r="D293" t="s">
        <v>2311</v>
      </c>
      <c r="F293" s="1">
        <v>45416.786111111112</v>
      </c>
      <c r="G293" s="1">
        <v>45416.786111111112</v>
      </c>
    </row>
    <row r="294" spans="1:10" x14ac:dyDescent="0.35">
      <c r="A294" t="str">
        <f>"16488995-5"</f>
        <v>16488995-5</v>
      </c>
      <c r="B294" t="s">
        <v>1783</v>
      </c>
      <c r="C294" t="s">
        <v>2302</v>
      </c>
      <c r="D294" t="s">
        <v>2317</v>
      </c>
      <c r="F294" s="1">
        <v>45418.652777777781</v>
      </c>
      <c r="G294" s="1">
        <v>45418.652777777781</v>
      </c>
    </row>
    <row r="295" spans="1:10" x14ac:dyDescent="0.35">
      <c r="A295" t="str">
        <f>"17467025-0"</f>
        <v>17467025-0</v>
      </c>
      <c r="B295" t="s">
        <v>318</v>
      </c>
      <c r="C295" t="s">
        <v>1259</v>
      </c>
      <c r="D295" t="s">
        <v>2318</v>
      </c>
      <c r="F295" s="1">
        <v>45418.65347222222</v>
      </c>
      <c r="G295" s="1">
        <v>45418.65347222222</v>
      </c>
    </row>
    <row r="296" spans="1:10" x14ac:dyDescent="0.35">
      <c r="A296" t="str">
        <f>"17277012-6"</f>
        <v>17277012-6</v>
      </c>
      <c r="B296" t="s">
        <v>114</v>
      </c>
      <c r="C296" t="s">
        <v>2324</v>
      </c>
      <c r="D296" t="s">
        <v>2325</v>
      </c>
      <c r="F296" s="1">
        <v>45419.5625</v>
      </c>
      <c r="G296" s="1">
        <v>45419.563194444447</v>
      </c>
    </row>
    <row r="297" spans="1:10" x14ac:dyDescent="0.35">
      <c r="A297" t="str">
        <f>"18619323-7"</f>
        <v>18619323-7</v>
      </c>
      <c r="B297" t="s">
        <v>132</v>
      </c>
      <c r="C297" t="s">
        <v>409</v>
      </c>
      <c r="D297" t="s">
        <v>2388</v>
      </c>
      <c r="F297" s="1">
        <v>45423.855555555558</v>
      </c>
      <c r="G297" s="1">
        <v>45423.856944444444</v>
      </c>
      <c r="H297" t="s">
        <v>2389</v>
      </c>
    </row>
    <row r="298" spans="1:10" x14ac:dyDescent="0.35">
      <c r="A298" t="str">
        <f>"21929807-2"</f>
        <v>21929807-2</v>
      </c>
      <c r="B298" t="s">
        <v>2393</v>
      </c>
      <c r="C298" t="s">
        <v>2394</v>
      </c>
      <c r="D298" t="s">
        <v>2395</v>
      </c>
      <c r="F298" s="1">
        <v>45425.572222222225</v>
      </c>
      <c r="G298" s="1">
        <v>45425.572222222225</v>
      </c>
      <c r="H298" t="s">
        <v>2396</v>
      </c>
    </row>
    <row r="299" spans="1:10" x14ac:dyDescent="0.35">
      <c r="A299" t="str">
        <f>"17101745-9"</f>
        <v>17101745-9</v>
      </c>
      <c r="B299" t="s">
        <v>955</v>
      </c>
      <c r="C299" t="s">
        <v>2411</v>
      </c>
      <c r="D299" t="s">
        <v>2412</v>
      </c>
      <c r="F299" s="1">
        <v>45427.67083333333</v>
      </c>
      <c r="G299" s="1">
        <v>45427.67083333333</v>
      </c>
    </row>
    <row r="300" spans="1:10" x14ac:dyDescent="0.35">
      <c r="A300" t="str">
        <f>"18620841-2"</f>
        <v>18620841-2</v>
      </c>
      <c r="B300" t="s">
        <v>30</v>
      </c>
      <c r="C300" t="s">
        <v>2426</v>
      </c>
      <c r="D300" t="s">
        <v>2427</v>
      </c>
      <c r="F300" s="1">
        <v>45428.575694444444</v>
      </c>
      <c r="G300" s="1">
        <v>45428.576388888891</v>
      </c>
    </row>
    <row r="301" spans="1:10" x14ac:dyDescent="0.35">
      <c r="A301" t="str">
        <f>"9609975-4"</f>
        <v>9609975-4</v>
      </c>
      <c r="B301" t="s">
        <v>919</v>
      </c>
      <c r="C301" t="s">
        <v>2428</v>
      </c>
      <c r="D301" t="s">
        <v>2429</v>
      </c>
      <c r="F301" s="1">
        <v>45428.647222222222</v>
      </c>
      <c r="G301" s="1">
        <v>45428.647916666669</v>
      </c>
    </row>
    <row r="302" spans="1:10" x14ac:dyDescent="0.35">
      <c r="A302" t="str">
        <f>"18025485-4"</f>
        <v>18025485-4</v>
      </c>
      <c r="B302" t="s">
        <v>421</v>
      </c>
      <c r="C302" t="s">
        <v>290</v>
      </c>
      <c r="D302" t="s">
        <v>2438</v>
      </c>
      <c r="F302" s="1">
        <v>45429.678472222222</v>
      </c>
      <c r="G302" s="1">
        <v>45429.678472222222</v>
      </c>
    </row>
    <row r="303" spans="1:10" x14ac:dyDescent="0.35">
      <c r="A303" t="str">
        <f>"20141475-K"</f>
        <v>20141475-K</v>
      </c>
      <c r="B303" t="s">
        <v>2448</v>
      </c>
      <c r="C303" t="s">
        <v>1208</v>
      </c>
      <c r="D303" t="s">
        <v>2449</v>
      </c>
      <c r="F303" s="1">
        <v>45430.798611111109</v>
      </c>
      <c r="G303" s="1">
        <v>45430.803472222222</v>
      </c>
    </row>
    <row r="304" spans="1:10" x14ac:dyDescent="0.35">
      <c r="A304" t="str">
        <f>"17064537-5"</f>
        <v>17064537-5</v>
      </c>
      <c r="B304" t="s">
        <v>2457</v>
      </c>
      <c r="C304" t="s">
        <v>2458</v>
      </c>
      <c r="D304" t="s">
        <v>2459</v>
      </c>
      <c r="F304" s="1">
        <v>45434.754861111112</v>
      </c>
      <c r="G304" s="1">
        <v>45434.754861111112</v>
      </c>
    </row>
    <row r="305" spans="1:10" x14ac:dyDescent="0.35">
      <c r="A305" t="str">
        <f>"19261352-3"</f>
        <v>19261352-3</v>
      </c>
      <c r="B305" t="s">
        <v>857</v>
      </c>
      <c r="C305" t="s">
        <v>2465</v>
      </c>
      <c r="D305" t="s">
        <v>2466</v>
      </c>
      <c r="F305" s="1">
        <v>45435.62777777778</v>
      </c>
      <c r="G305" s="1">
        <v>45435.62777777778</v>
      </c>
    </row>
    <row r="306" spans="1:10" x14ac:dyDescent="0.35">
      <c r="A306" t="str">
        <f>"10694645-0"</f>
        <v>10694645-0</v>
      </c>
      <c r="B306" t="s">
        <v>349</v>
      </c>
      <c r="C306" t="s">
        <v>2480</v>
      </c>
      <c r="D306" t="s">
        <v>2481</v>
      </c>
      <c r="F306" s="1">
        <v>45436.711111111108</v>
      </c>
      <c r="G306" s="1">
        <v>45436.711111111108</v>
      </c>
    </row>
    <row r="307" spans="1:10" x14ac:dyDescent="0.35">
      <c r="A307" t="str">
        <f>"16742246-2"</f>
        <v>16742246-2</v>
      </c>
      <c r="B307" t="s">
        <v>344</v>
      </c>
      <c r="C307" t="s">
        <v>387</v>
      </c>
      <c r="D307" t="s">
        <v>2521</v>
      </c>
      <c r="F307" s="1">
        <v>45440.819444444445</v>
      </c>
      <c r="G307" s="1">
        <v>45440.819444444445</v>
      </c>
    </row>
    <row r="308" spans="1:10" x14ac:dyDescent="0.35">
      <c r="A308" t="str">
        <f>"18749424-9"</f>
        <v>18749424-9</v>
      </c>
      <c r="B308" t="s">
        <v>2529</v>
      </c>
      <c r="C308" t="s">
        <v>835</v>
      </c>
      <c r="D308" t="s">
        <v>2530</v>
      </c>
      <c r="F308" s="1">
        <v>45441.645833333336</v>
      </c>
      <c r="G308" s="1">
        <v>45441.645833333336</v>
      </c>
    </row>
    <row r="309" spans="1:10" x14ac:dyDescent="0.35">
      <c r="A309" t="str">
        <f>"17629025-0"</f>
        <v>17629025-0</v>
      </c>
      <c r="B309" t="s">
        <v>421</v>
      </c>
      <c r="C309" t="s">
        <v>2551</v>
      </c>
      <c r="D309" t="s">
        <v>2552</v>
      </c>
      <c r="F309" s="1">
        <v>45442.731249999997</v>
      </c>
      <c r="G309" s="1">
        <v>45442.731249999997</v>
      </c>
    </row>
    <row r="310" spans="1:10" x14ac:dyDescent="0.35">
      <c r="A310" t="str">
        <f>"14324963-8"</f>
        <v>14324963-8</v>
      </c>
      <c r="B310" t="s">
        <v>2244</v>
      </c>
      <c r="C310" t="s">
        <v>2245</v>
      </c>
      <c r="D310" t="s">
        <v>2246</v>
      </c>
      <c r="E310" t="s">
        <v>2247</v>
      </c>
      <c r="F310" s="1">
        <v>45412.77847222222</v>
      </c>
      <c r="G310" s="1">
        <v>45414.670138888891</v>
      </c>
      <c r="H310" t="s">
        <v>2248</v>
      </c>
      <c r="I310" t="s">
        <v>11</v>
      </c>
      <c r="J310">
        <v>0.06</v>
      </c>
    </row>
    <row r="311" spans="1:10" x14ac:dyDescent="0.35">
      <c r="A311" t="str">
        <f>"19931660-5"</f>
        <v>19931660-5</v>
      </c>
      <c r="B311" t="s">
        <v>2494</v>
      </c>
      <c r="C311" t="s">
        <v>423</v>
      </c>
      <c r="D311" t="s">
        <v>2495</v>
      </c>
      <c r="F311" s="1">
        <v>45439.804166666669</v>
      </c>
      <c r="G311" s="1">
        <v>45439.804861111108</v>
      </c>
      <c r="H311" t="s">
        <v>2496</v>
      </c>
      <c r="I311" t="s">
        <v>11</v>
      </c>
      <c r="J311">
        <v>0.05</v>
      </c>
    </row>
    <row r="312" spans="1:10" x14ac:dyDescent="0.35">
      <c r="A312" t="str">
        <f>"16520573-1"</f>
        <v>16520573-1</v>
      </c>
      <c r="B312" t="s">
        <v>1827</v>
      </c>
      <c r="C312" t="s">
        <v>1828</v>
      </c>
      <c r="D312" t="s">
        <v>1829</v>
      </c>
      <c r="E312" t="s">
        <v>1830</v>
      </c>
      <c r="F312" s="1">
        <v>45385.587500000001</v>
      </c>
      <c r="G312" s="1">
        <v>45385.588194444441</v>
      </c>
      <c r="H312" t="s">
        <v>1831</v>
      </c>
      <c r="I312" t="s">
        <v>11</v>
      </c>
      <c r="J312">
        <v>0.05</v>
      </c>
    </row>
    <row r="313" spans="1:10" x14ac:dyDescent="0.35">
      <c r="A313" t="str">
        <f>"20227107-3"</f>
        <v>20227107-3</v>
      </c>
      <c r="B313" t="s">
        <v>2035</v>
      </c>
      <c r="C313" t="s">
        <v>2036</v>
      </c>
      <c r="D313" t="s">
        <v>2037</v>
      </c>
      <c r="F313" s="1">
        <v>45399.9</v>
      </c>
      <c r="G313" s="1">
        <v>45399.9</v>
      </c>
      <c r="H313" t="s">
        <v>2038</v>
      </c>
      <c r="I313" t="s">
        <v>11</v>
      </c>
      <c r="J313">
        <v>0.05</v>
      </c>
    </row>
    <row r="314" spans="1:10" x14ac:dyDescent="0.35">
      <c r="A314" t="str">
        <f>"13377551-K"</f>
        <v>13377551-K</v>
      </c>
      <c r="B314" t="s">
        <v>1239</v>
      </c>
      <c r="C314" t="s">
        <v>1240</v>
      </c>
      <c r="D314" t="s">
        <v>1241</v>
      </c>
      <c r="F314" s="1">
        <v>45348.665972222225</v>
      </c>
      <c r="G314" s="1">
        <v>45378.789583333331</v>
      </c>
      <c r="H314" t="s">
        <v>151</v>
      </c>
      <c r="I314" t="s">
        <v>11</v>
      </c>
    </row>
    <row r="315" spans="1:10" x14ac:dyDescent="0.35">
      <c r="A315" t="str">
        <f>"15725703-K"</f>
        <v>15725703-K</v>
      </c>
      <c r="B315" t="s">
        <v>94</v>
      </c>
      <c r="C315" t="s">
        <v>13</v>
      </c>
      <c r="D315" t="s">
        <v>95</v>
      </c>
      <c r="F315" s="1">
        <v>45246.717361111114</v>
      </c>
      <c r="G315" s="1">
        <v>45390.554166666669</v>
      </c>
      <c r="H315" t="s">
        <v>96</v>
      </c>
      <c r="I315" t="s">
        <v>11</v>
      </c>
    </row>
    <row r="316" spans="1:10" x14ac:dyDescent="0.35">
      <c r="A316" t="str">
        <f>"26415476-6"</f>
        <v>26415476-6</v>
      </c>
      <c r="B316" t="s">
        <v>720</v>
      </c>
      <c r="C316" t="s">
        <v>721</v>
      </c>
      <c r="D316" t="s">
        <v>722</v>
      </c>
      <c r="F316" s="1">
        <v>45300.484027777777</v>
      </c>
      <c r="G316" s="1">
        <v>45388.76458333333</v>
      </c>
      <c r="H316" t="s">
        <v>151</v>
      </c>
      <c r="I316" t="s">
        <v>11</v>
      </c>
    </row>
    <row r="317" spans="1:10" x14ac:dyDescent="0.35">
      <c r="A317" t="str">
        <f>"9402560-5"</f>
        <v>9402560-5</v>
      </c>
      <c r="B317" t="s">
        <v>1001</v>
      </c>
      <c r="C317" t="s">
        <v>254</v>
      </c>
      <c r="D317" t="s">
        <v>1002</v>
      </c>
      <c r="F317" s="1">
        <v>45323.532638888886</v>
      </c>
      <c r="G317" s="1">
        <v>45391.59652777778</v>
      </c>
      <c r="H317" t="s">
        <v>1003</v>
      </c>
      <c r="I317" t="s">
        <v>11</v>
      </c>
    </row>
    <row r="318" spans="1:10" x14ac:dyDescent="0.35">
      <c r="A318" t="str">
        <f>"16910197-3"</f>
        <v>16910197-3</v>
      </c>
      <c r="B318" t="s">
        <v>203</v>
      </c>
      <c r="C318" t="s">
        <v>1439</v>
      </c>
      <c r="D318" t="s">
        <v>1440</v>
      </c>
      <c r="F318" s="1">
        <v>45365.774305555555</v>
      </c>
      <c r="G318" s="1">
        <v>45365.775000000001</v>
      </c>
      <c r="H318" t="s">
        <v>1441</v>
      </c>
    </row>
    <row r="319" spans="1:10" x14ac:dyDescent="0.35">
      <c r="A319" t="str">
        <f>"16410986-0"</f>
        <v>16410986-0</v>
      </c>
      <c r="B319" t="s">
        <v>1163</v>
      </c>
      <c r="C319" t="s">
        <v>1061</v>
      </c>
      <c r="D319" t="s">
        <v>1164</v>
      </c>
      <c r="E319" t="s">
        <v>1165</v>
      </c>
      <c r="F319" s="1">
        <v>45341.506944444445</v>
      </c>
      <c r="G319" s="1">
        <v>45398.571527777778</v>
      </c>
      <c r="H319" t="s">
        <v>1166</v>
      </c>
      <c r="I319" t="s">
        <v>11</v>
      </c>
    </row>
    <row r="320" spans="1:10" x14ac:dyDescent="0.35">
      <c r="A320" t="str">
        <f>"17639681-4"</f>
        <v>17639681-4</v>
      </c>
      <c r="B320" t="s">
        <v>481</v>
      </c>
      <c r="C320" t="s">
        <v>106</v>
      </c>
      <c r="D320" t="s">
        <v>1540</v>
      </c>
      <c r="F320" s="1">
        <v>45371.652083333334</v>
      </c>
      <c r="G320" s="1">
        <v>45397.76458333333</v>
      </c>
      <c r="H320" t="s">
        <v>1541</v>
      </c>
    </row>
    <row r="321" spans="1:9" x14ac:dyDescent="0.35">
      <c r="A321" t="str">
        <f>"16278971-6"</f>
        <v>16278971-6</v>
      </c>
      <c r="B321" t="s">
        <v>1733</v>
      </c>
      <c r="C321" t="s">
        <v>1734</v>
      </c>
      <c r="D321" t="s">
        <v>1735</v>
      </c>
      <c r="F321" s="1">
        <v>45379.615972222222</v>
      </c>
      <c r="G321" s="1">
        <v>45379.616666666669</v>
      </c>
      <c r="H321" t="s">
        <v>1736</v>
      </c>
    </row>
    <row r="322" spans="1:9" x14ac:dyDescent="0.35">
      <c r="A322" t="str">
        <f>"15550509-5"</f>
        <v>15550509-5</v>
      </c>
      <c r="B322" t="s">
        <v>365</v>
      </c>
      <c r="C322" t="s">
        <v>98</v>
      </c>
      <c r="D322" t="s">
        <v>2081</v>
      </c>
      <c r="F322" s="1">
        <v>45403.782638888886</v>
      </c>
      <c r="G322" s="1">
        <v>45403.782638888886</v>
      </c>
      <c r="H322" t="s">
        <v>2082</v>
      </c>
    </row>
    <row r="323" spans="1:9" x14ac:dyDescent="0.35">
      <c r="A323" t="str">
        <f>"18325851-6"</f>
        <v>18325851-6</v>
      </c>
      <c r="B323" t="s">
        <v>19</v>
      </c>
      <c r="C323" t="s">
        <v>2109</v>
      </c>
      <c r="D323" t="s">
        <v>2110</v>
      </c>
      <c r="F323" s="1">
        <v>45405.648611111108</v>
      </c>
      <c r="G323" s="1">
        <v>45405.649305555555</v>
      </c>
    </row>
    <row r="324" spans="1:9" x14ac:dyDescent="0.35">
      <c r="A324" t="str">
        <f>"13940200-6"</f>
        <v>13940200-6</v>
      </c>
      <c r="B324" t="s">
        <v>1072</v>
      </c>
      <c r="C324" t="s">
        <v>340</v>
      </c>
      <c r="D324" t="s">
        <v>2278</v>
      </c>
      <c r="F324" s="1">
        <v>45414.64166666667</v>
      </c>
      <c r="G324" s="1">
        <v>45414.642361111109</v>
      </c>
    </row>
    <row r="325" spans="1:9" x14ac:dyDescent="0.35">
      <c r="A325" t="str">
        <f>"17601004-5"</f>
        <v>17601004-5</v>
      </c>
      <c r="B325" t="s">
        <v>2364</v>
      </c>
      <c r="C325" t="s">
        <v>2365</v>
      </c>
      <c r="D325" t="s">
        <v>2366</v>
      </c>
      <c r="F325" s="1">
        <v>45421.88958333333</v>
      </c>
      <c r="G325" s="1">
        <v>45421.890277777777</v>
      </c>
      <c r="H325" t="s">
        <v>2367</v>
      </c>
    </row>
    <row r="326" spans="1:9" x14ac:dyDescent="0.35">
      <c r="A326" t="str">
        <f>"256472511"</f>
        <v>256472511</v>
      </c>
      <c r="B326" t="s">
        <v>2452</v>
      </c>
      <c r="C326" t="s">
        <v>2453</v>
      </c>
      <c r="D326" t="s">
        <v>2454</v>
      </c>
      <c r="F326" s="1">
        <v>45432.556250000001</v>
      </c>
      <c r="G326" s="1">
        <v>45432.556250000001</v>
      </c>
    </row>
    <row r="327" spans="1:9" x14ac:dyDescent="0.35">
      <c r="A327" t="str">
        <f>"22006344-5"</f>
        <v>22006344-5</v>
      </c>
      <c r="B327" t="s">
        <v>402</v>
      </c>
      <c r="C327" t="s">
        <v>2111</v>
      </c>
      <c r="D327" t="s">
        <v>2467</v>
      </c>
      <c r="F327" s="1">
        <v>45435.663888888892</v>
      </c>
      <c r="G327" s="1">
        <v>45435.663888888892</v>
      </c>
    </row>
    <row r="328" spans="1:9" x14ac:dyDescent="0.35">
      <c r="A328" t="str">
        <f>"16165494-9"</f>
        <v>16165494-9</v>
      </c>
      <c r="B328" t="s">
        <v>140</v>
      </c>
      <c r="C328" t="s">
        <v>43</v>
      </c>
      <c r="D328" t="s">
        <v>2549</v>
      </c>
      <c r="F328" s="1">
        <v>45442.583333333336</v>
      </c>
      <c r="G328" s="1">
        <v>45442.583333333336</v>
      </c>
    </row>
    <row r="329" spans="1:9" x14ac:dyDescent="0.35">
      <c r="A329" t="str">
        <f>"17678186-6"</f>
        <v>17678186-6</v>
      </c>
      <c r="B329" t="s">
        <v>2151</v>
      </c>
      <c r="C329" t="s">
        <v>2553</v>
      </c>
      <c r="D329" t="s">
        <v>2554</v>
      </c>
      <c r="F329" s="1">
        <v>45442.761805555558</v>
      </c>
      <c r="G329" s="1">
        <v>45442.762499999997</v>
      </c>
    </row>
    <row r="330" spans="1:9" x14ac:dyDescent="0.35">
      <c r="A330" t="str">
        <f>"21836143-9"</f>
        <v>21836143-9</v>
      </c>
      <c r="B330" t="s">
        <v>1262</v>
      </c>
      <c r="C330" t="s">
        <v>34</v>
      </c>
      <c r="D330" t="s">
        <v>1263</v>
      </c>
      <c r="F330" s="1">
        <v>45350.744444444441</v>
      </c>
      <c r="G330" s="1">
        <v>45394.484027777777</v>
      </c>
    </row>
    <row r="331" spans="1:9" x14ac:dyDescent="0.35">
      <c r="A331" t="str">
        <f>"17612697-3"</f>
        <v>17612697-3</v>
      </c>
      <c r="B331" t="s">
        <v>729</v>
      </c>
      <c r="C331" t="s">
        <v>730</v>
      </c>
      <c r="D331" t="s">
        <v>731</v>
      </c>
      <c r="F331" s="1">
        <v>45300.65625</v>
      </c>
      <c r="G331" s="1">
        <v>45384.541666666664</v>
      </c>
      <c r="H331" t="s">
        <v>732</v>
      </c>
      <c r="I331" t="s">
        <v>11</v>
      </c>
    </row>
    <row r="332" spans="1:9" x14ac:dyDescent="0.35">
      <c r="A332" t="str">
        <f>"13628743-5"</f>
        <v>13628743-5</v>
      </c>
      <c r="B332" t="s">
        <v>71</v>
      </c>
      <c r="C332" t="s">
        <v>861</v>
      </c>
      <c r="D332" t="s">
        <v>862</v>
      </c>
      <c r="F332" s="1">
        <v>45308.689583333333</v>
      </c>
      <c r="G332" s="1">
        <v>45373.648611111108</v>
      </c>
      <c r="H332" t="s">
        <v>151</v>
      </c>
      <c r="I332" t="s">
        <v>11</v>
      </c>
    </row>
    <row r="333" spans="1:9" x14ac:dyDescent="0.35">
      <c r="A333" t="str">
        <f>"16440262-2"</f>
        <v>16440262-2</v>
      </c>
      <c r="B333" t="s">
        <v>1201</v>
      </c>
      <c r="C333" t="s">
        <v>1202</v>
      </c>
      <c r="D333" t="s">
        <v>1203</v>
      </c>
      <c r="F333" s="1">
        <v>45344.545138888891</v>
      </c>
      <c r="G333" s="1">
        <v>45378.57916666667</v>
      </c>
      <c r="H333" t="s">
        <v>170</v>
      </c>
      <c r="I333" t="s">
        <v>11</v>
      </c>
    </row>
    <row r="334" spans="1:9" x14ac:dyDescent="0.35">
      <c r="A334" t="str">
        <f>"10707800-2"</f>
        <v>10707800-2</v>
      </c>
      <c r="B334" t="s">
        <v>523</v>
      </c>
      <c r="C334" t="s">
        <v>524</v>
      </c>
      <c r="D334" t="s">
        <v>525</v>
      </c>
      <c r="F334" s="1">
        <v>45287.819444444445</v>
      </c>
      <c r="G334" s="1">
        <v>45398.784722222219</v>
      </c>
      <c r="H334" t="s">
        <v>526</v>
      </c>
      <c r="I334" t="s">
        <v>11</v>
      </c>
    </row>
    <row r="335" spans="1:9" x14ac:dyDescent="0.35">
      <c r="A335" t="str">
        <f>"9909880-5"</f>
        <v>9909880-5</v>
      </c>
      <c r="B335" t="s">
        <v>383</v>
      </c>
      <c r="C335" t="s">
        <v>936</v>
      </c>
      <c r="D335" t="s">
        <v>937</v>
      </c>
      <c r="F335" s="1">
        <v>45316.781944444447</v>
      </c>
      <c r="G335" s="1">
        <v>45316.783333333333</v>
      </c>
      <c r="H335" t="s">
        <v>938</v>
      </c>
      <c r="I335" t="s">
        <v>11</v>
      </c>
    </row>
    <row r="336" spans="1:9" x14ac:dyDescent="0.35">
      <c r="A336" t="str">
        <f>"12494829-0"</f>
        <v>12494829-0</v>
      </c>
      <c r="B336" t="s">
        <v>257</v>
      </c>
      <c r="C336" t="s">
        <v>419</v>
      </c>
      <c r="D336" t="s">
        <v>420</v>
      </c>
      <c r="F336" s="1">
        <v>45280.850694444445</v>
      </c>
      <c r="G336" s="1">
        <v>45360.677083333336</v>
      </c>
      <c r="H336" t="s">
        <v>151</v>
      </c>
      <c r="I336" t="s">
        <v>11</v>
      </c>
    </row>
    <row r="337" spans="1:9" x14ac:dyDescent="0.35">
      <c r="A337" t="str">
        <f>"1 612 275 6163"</f>
        <v>1 612 275 6163</v>
      </c>
      <c r="B337" t="s">
        <v>1592</v>
      </c>
      <c r="C337" t="s">
        <v>1593</v>
      </c>
      <c r="D337" t="s">
        <v>1594</v>
      </c>
      <c r="F337" s="1">
        <v>45373.578472222223</v>
      </c>
      <c r="G337" s="1">
        <v>45387.75277777778</v>
      </c>
      <c r="H337" t="s">
        <v>1595</v>
      </c>
      <c r="I337" t="s">
        <v>11</v>
      </c>
    </row>
    <row r="338" spans="1:9" x14ac:dyDescent="0.35">
      <c r="A338" t="str">
        <f>"16622130-7"</f>
        <v>16622130-7</v>
      </c>
      <c r="B338" t="s">
        <v>1477</v>
      </c>
      <c r="C338" t="s">
        <v>2260</v>
      </c>
      <c r="D338" t="s">
        <v>2261</v>
      </c>
      <c r="F338" s="1">
        <v>45413.63958333333</v>
      </c>
      <c r="G338" s="1">
        <v>45413.64166666667</v>
      </c>
      <c r="H338" t="s">
        <v>2262</v>
      </c>
      <c r="I338" t="s">
        <v>2294</v>
      </c>
    </row>
    <row r="339" spans="1:9" x14ac:dyDescent="0.35">
      <c r="A339" t="str">
        <f>"15770912-7"</f>
        <v>15770912-7</v>
      </c>
      <c r="B339" t="s">
        <v>847</v>
      </c>
      <c r="C339" t="s">
        <v>848</v>
      </c>
      <c r="D339" t="s">
        <v>849</v>
      </c>
      <c r="F339" s="1">
        <v>45307.705555555556</v>
      </c>
      <c r="G339" s="1">
        <v>45367.566666666666</v>
      </c>
      <c r="H339" t="s">
        <v>252</v>
      </c>
      <c r="I339" t="s">
        <v>11</v>
      </c>
    </row>
    <row r="340" spans="1:9" x14ac:dyDescent="0.35">
      <c r="A340" t="str">
        <f>"15564058-8"</f>
        <v>15564058-8</v>
      </c>
      <c r="B340" t="s">
        <v>421</v>
      </c>
      <c r="C340" t="s">
        <v>939</v>
      </c>
      <c r="D340" t="s">
        <v>940</v>
      </c>
      <c r="F340" s="1">
        <v>45317.540972222225</v>
      </c>
      <c r="G340" s="1">
        <v>45349.524305555555</v>
      </c>
      <c r="H340" t="s">
        <v>941</v>
      </c>
      <c r="I340" t="s">
        <v>11</v>
      </c>
    </row>
    <row r="341" spans="1:9" x14ac:dyDescent="0.35">
      <c r="A341" t="str">
        <f>"15184197-K"</f>
        <v>15184197-K</v>
      </c>
      <c r="B341" t="s">
        <v>383</v>
      </c>
      <c r="C341" t="s">
        <v>384</v>
      </c>
      <c r="D341" t="s">
        <v>385</v>
      </c>
      <c r="F341" s="1">
        <v>45280.522222222222</v>
      </c>
      <c r="G341" s="1">
        <v>45348.797222222223</v>
      </c>
      <c r="H341" t="s">
        <v>151</v>
      </c>
      <c r="I341" t="s">
        <v>11</v>
      </c>
    </row>
    <row r="342" spans="1:9" x14ac:dyDescent="0.35">
      <c r="A342" t="str">
        <f>"20955581-6"</f>
        <v>20955581-6</v>
      </c>
      <c r="B342" t="s">
        <v>48</v>
      </c>
      <c r="C342" t="s">
        <v>1316</v>
      </c>
      <c r="D342" t="s">
        <v>1317</v>
      </c>
      <c r="F342" s="1">
        <v>45356.679166666669</v>
      </c>
      <c r="G342" s="1">
        <v>45356.679861111108</v>
      </c>
    </row>
    <row r="343" spans="1:9" x14ac:dyDescent="0.35">
      <c r="A343" t="str">
        <f>"22163941-3"</f>
        <v>22163941-3</v>
      </c>
      <c r="B343" t="s">
        <v>1347</v>
      </c>
      <c r="C343" t="s">
        <v>1348</v>
      </c>
      <c r="D343" t="s">
        <v>1349</v>
      </c>
      <c r="F343" s="1">
        <v>45360.727777777778</v>
      </c>
      <c r="G343" s="1">
        <v>45360.728472222225</v>
      </c>
      <c r="H343" t="s">
        <v>1350</v>
      </c>
    </row>
    <row r="344" spans="1:9" x14ac:dyDescent="0.35">
      <c r="A344" t="str">
        <f>"21563563-5"</f>
        <v>21563563-5</v>
      </c>
      <c r="B344" t="s">
        <v>1405</v>
      </c>
      <c r="C344" t="s">
        <v>1406</v>
      </c>
      <c r="D344" t="s">
        <v>1407</v>
      </c>
      <c r="F344" s="1">
        <v>45364.750694444447</v>
      </c>
      <c r="G344" s="1">
        <v>45364.750694444447</v>
      </c>
    </row>
    <row r="345" spans="1:9" x14ac:dyDescent="0.35">
      <c r="A345" t="str">
        <f>"12515410-7"</f>
        <v>12515410-7</v>
      </c>
      <c r="B345" t="s">
        <v>1420</v>
      </c>
      <c r="C345" t="s">
        <v>550</v>
      </c>
      <c r="D345" t="s">
        <v>1421</v>
      </c>
      <c r="F345" s="1">
        <v>45365.527083333334</v>
      </c>
      <c r="G345" s="1">
        <v>45365.527083333334</v>
      </c>
    </row>
    <row r="346" spans="1:9" x14ac:dyDescent="0.35">
      <c r="A346" t="str">
        <f>"15360503-3"</f>
        <v>15360503-3</v>
      </c>
      <c r="B346" t="s">
        <v>392</v>
      </c>
      <c r="C346" t="s">
        <v>1459</v>
      </c>
      <c r="D346" t="s">
        <v>1460</v>
      </c>
      <c r="F346" s="1">
        <v>45367.620138888888</v>
      </c>
      <c r="G346" s="1">
        <v>45367.620138888888</v>
      </c>
    </row>
    <row r="347" spans="1:9" x14ac:dyDescent="0.35">
      <c r="A347" t="str">
        <f>"16665436-K"</f>
        <v>16665436-K</v>
      </c>
      <c r="B347" t="s">
        <v>230</v>
      </c>
      <c r="C347" t="s">
        <v>1480</v>
      </c>
      <c r="D347" t="s">
        <v>1481</v>
      </c>
      <c r="E347" t="s">
        <v>1482</v>
      </c>
      <c r="F347" s="1">
        <v>45369.595138888886</v>
      </c>
      <c r="G347" s="1">
        <v>45369.595138888886</v>
      </c>
      <c r="H347" t="s">
        <v>1483</v>
      </c>
    </row>
    <row r="348" spans="1:9" x14ac:dyDescent="0.35">
      <c r="A348" t="str">
        <f>"13458831-4"</f>
        <v>13458831-4</v>
      </c>
      <c r="B348" t="s">
        <v>71</v>
      </c>
      <c r="C348" t="s">
        <v>1484</v>
      </c>
      <c r="D348" t="s">
        <v>1485</v>
      </c>
      <c r="F348" s="1">
        <v>45369.599305555559</v>
      </c>
      <c r="G348" s="1">
        <v>45369.599305555559</v>
      </c>
      <c r="H348" t="s">
        <v>1486</v>
      </c>
    </row>
    <row r="349" spans="1:9" x14ac:dyDescent="0.35">
      <c r="A349" t="str">
        <f>"19686043-6"</f>
        <v>19686043-6</v>
      </c>
      <c r="B349" t="s">
        <v>985</v>
      </c>
      <c r="C349" t="s">
        <v>1279</v>
      </c>
      <c r="D349" t="s">
        <v>1498</v>
      </c>
      <c r="F349" s="1">
        <v>45369.776388888888</v>
      </c>
      <c r="G349" s="1">
        <v>45369.777083333334</v>
      </c>
    </row>
    <row r="350" spans="1:9" x14ac:dyDescent="0.35">
      <c r="A350" t="str">
        <f>"18546428-8"</f>
        <v>18546428-8</v>
      </c>
      <c r="B350" t="s">
        <v>947</v>
      </c>
      <c r="C350" t="s">
        <v>668</v>
      </c>
      <c r="D350" t="s">
        <v>948</v>
      </c>
      <c r="F350" s="1">
        <v>45318.763888888891</v>
      </c>
      <c r="G350" s="1">
        <v>45318.765972222223</v>
      </c>
      <c r="H350" t="s">
        <v>949</v>
      </c>
      <c r="I350" t="s">
        <v>11</v>
      </c>
    </row>
    <row r="351" spans="1:9" x14ac:dyDescent="0.35">
      <c r="A351" t="str">
        <f>"19978070-0"</f>
        <v>19978070-0</v>
      </c>
      <c r="B351" t="s">
        <v>1565</v>
      </c>
      <c r="C351" t="s">
        <v>1566</v>
      </c>
      <c r="D351" t="s">
        <v>1567</v>
      </c>
      <c r="E351" t="s">
        <v>1568</v>
      </c>
      <c r="F351" s="1">
        <v>45372.629861111112</v>
      </c>
      <c r="G351" s="1">
        <v>45372.629861111112</v>
      </c>
    </row>
    <row r="352" spans="1:9" x14ac:dyDescent="0.35">
      <c r="A352" t="str">
        <f>"17961980-6"</f>
        <v>17961980-6</v>
      </c>
      <c r="B352" t="s">
        <v>421</v>
      </c>
      <c r="C352" t="s">
        <v>1639</v>
      </c>
      <c r="D352" t="s">
        <v>1640</v>
      </c>
      <c r="F352" s="1">
        <v>45374.808333333334</v>
      </c>
      <c r="G352" s="1">
        <v>45374.809027777781</v>
      </c>
      <c r="H352" t="s">
        <v>206</v>
      </c>
    </row>
    <row r="353" spans="1:9" x14ac:dyDescent="0.35">
      <c r="A353" t="str">
        <f>"17083338-4"</f>
        <v>17083338-4</v>
      </c>
      <c r="B353" t="s">
        <v>985</v>
      </c>
      <c r="C353" t="s">
        <v>986</v>
      </c>
      <c r="D353" t="s">
        <v>987</v>
      </c>
      <c r="F353" s="1">
        <v>45322.45416666667</v>
      </c>
      <c r="G353" s="1">
        <v>45364.588194444441</v>
      </c>
      <c r="H353" t="s">
        <v>151</v>
      </c>
      <c r="I353" t="s">
        <v>11</v>
      </c>
    </row>
    <row r="354" spans="1:9" x14ac:dyDescent="0.35">
      <c r="A354" t="str">
        <f>"15967200-K"</f>
        <v>15967200-K</v>
      </c>
      <c r="B354" t="s">
        <v>1662</v>
      </c>
      <c r="C354" t="s">
        <v>1663</v>
      </c>
      <c r="D354" t="s">
        <v>1664</v>
      </c>
      <c r="F354" s="1">
        <v>45377.669444444444</v>
      </c>
      <c r="G354" s="1">
        <v>45377.669444444444</v>
      </c>
      <c r="H354" t="s">
        <v>1665</v>
      </c>
    </row>
    <row r="355" spans="1:9" x14ac:dyDescent="0.35">
      <c r="A355" t="str">
        <f>"9917972739"</f>
        <v>9917972739</v>
      </c>
      <c r="B355" t="s">
        <v>1368</v>
      </c>
      <c r="C355" t="s">
        <v>1670</v>
      </c>
      <c r="D355" t="s">
        <v>1671</v>
      </c>
      <c r="F355" s="1">
        <v>45377.727777777778</v>
      </c>
      <c r="G355" s="1">
        <v>45377.729166666664</v>
      </c>
    </row>
    <row r="356" spans="1:9" x14ac:dyDescent="0.35">
      <c r="A356" t="str">
        <f>"17767233-5"</f>
        <v>17767233-5</v>
      </c>
      <c r="B356" t="s">
        <v>379</v>
      </c>
      <c r="C356" t="s">
        <v>34</v>
      </c>
      <c r="D356" t="s">
        <v>1695</v>
      </c>
      <c r="E356" t="s">
        <v>1696</v>
      </c>
      <c r="F356" s="1">
        <v>45378.546527777777</v>
      </c>
      <c r="G356" s="1">
        <v>45378.547222222223</v>
      </c>
    </row>
    <row r="357" spans="1:9" x14ac:dyDescent="0.35">
      <c r="A357" t="str">
        <f>"12469333-0"</f>
        <v>12469333-0</v>
      </c>
      <c r="B357" t="s">
        <v>1717</v>
      </c>
      <c r="C357" t="s">
        <v>1718</v>
      </c>
      <c r="D357" t="s">
        <v>1719</v>
      </c>
      <c r="F357" s="1">
        <v>45378.87777777778</v>
      </c>
      <c r="G357" s="1">
        <v>45378.878472222219</v>
      </c>
      <c r="H357" t="s">
        <v>674</v>
      </c>
    </row>
    <row r="358" spans="1:9" x14ac:dyDescent="0.35">
      <c r="A358" t="str">
        <f>"17699859-8"</f>
        <v>17699859-8</v>
      </c>
      <c r="B358" t="s">
        <v>299</v>
      </c>
      <c r="C358" t="s">
        <v>300</v>
      </c>
      <c r="D358" t="s">
        <v>301</v>
      </c>
      <c r="F358" s="1">
        <v>45273.761111111111</v>
      </c>
      <c r="G358" s="1">
        <v>45329.754861111112</v>
      </c>
      <c r="H358" t="s">
        <v>302</v>
      </c>
      <c r="I358" t="s">
        <v>11</v>
      </c>
    </row>
    <row r="359" spans="1:9" x14ac:dyDescent="0.35">
      <c r="A359" t="str">
        <f>"15962364-5"</f>
        <v>15962364-5</v>
      </c>
      <c r="B359" t="s">
        <v>1779</v>
      </c>
      <c r="C359" t="s">
        <v>1780</v>
      </c>
      <c r="D359" t="s">
        <v>1781</v>
      </c>
      <c r="E359" t="s">
        <v>1782</v>
      </c>
      <c r="F359" s="1">
        <v>45383.01666666667</v>
      </c>
      <c r="G359" s="1">
        <v>45383.01666666667</v>
      </c>
    </row>
    <row r="360" spans="1:9" x14ac:dyDescent="0.35">
      <c r="A360" t="str">
        <f>"21940121-3"</f>
        <v>21940121-3</v>
      </c>
      <c r="B360" t="s">
        <v>1785</v>
      </c>
      <c r="C360" t="s">
        <v>1786</v>
      </c>
      <c r="D360" t="s">
        <v>1787</v>
      </c>
      <c r="F360" s="1">
        <v>45383.529861111114</v>
      </c>
      <c r="G360" s="1">
        <v>45383.530555555553</v>
      </c>
    </row>
    <row r="361" spans="1:9" x14ac:dyDescent="0.35">
      <c r="A361" t="str">
        <f>"21144792-3"</f>
        <v>21144792-3</v>
      </c>
      <c r="B361" t="s">
        <v>421</v>
      </c>
      <c r="C361" t="s">
        <v>258</v>
      </c>
      <c r="D361" t="s">
        <v>1788</v>
      </c>
      <c r="F361" s="1">
        <v>45383.611111111109</v>
      </c>
      <c r="G361" s="1">
        <v>45383.611805555556</v>
      </c>
    </row>
    <row r="362" spans="1:9" x14ac:dyDescent="0.35">
      <c r="A362" t="str">
        <f>"21520980-6"</f>
        <v>21520980-6</v>
      </c>
      <c r="B362" t="s">
        <v>1789</v>
      </c>
      <c r="C362" t="s">
        <v>1790</v>
      </c>
      <c r="D362" t="s">
        <v>1791</v>
      </c>
      <c r="F362" s="1">
        <v>45383.637499999997</v>
      </c>
      <c r="G362" s="1">
        <v>45383.638888888891</v>
      </c>
    </row>
    <row r="363" spans="1:9" x14ac:dyDescent="0.35">
      <c r="A363" t="str">
        <f>"22205002-2"</f>
        <v>22205002-2</v>
      </c>
      <c r="B363" t="s">
        <v>368</v>
      </c>
      <c r="C363" t="s">
        <v>1792</v>
      </c>
      <c r="D363" t="s">
        <v>1793</v>
      </c>
      <c r="F363" s="1">
        <v>45383.693749999999</v>
      </c>
      <c r="G363" s="1">
        <v>45383.694444444445</v>
      </c>
      <c r="H363" t="s">
        <v>1401</v>
      </c>
    </row>
    <row r="364" spans="1:9" x14ac:dyDescent="0.35">
      <c r="A364" t="str">
        <f>"18461659-9"</f>
        <v>18461659-9</v>
      </c>
      <c r="B364" t="s">
        <v>1841</v>
      </c>
      <c r="C364" t="s">
        <v>1842</v>
      </c>
      <c r="D364" t="s">
        <v>1843</v>
      </c>
      <c r="E364" t="s">
        <v>1844</v>
      </c>
      <c r="F364" s="1">
        <v>45385.740277777775</v>
      </c>
      <c r="G364" s="1">
        <v>45385.740972222222</v>
      </c>
    </row>
    <row r="365" spans="1:9" x14ac:dyDescent="0.35">
      <c r="A365" t="str">
        <f>"19811871-0"</f>
        <v>19811871-0</v>
      </c>
      <c r="B365" t="s">
        <v>1081</v>
      </c>
      <c r="C365" t="s">
        <v>204</v>
      </c>
      <c r="D365" t="s">
        <v>1862</v>
      </c>
      <c r="E365" t="s">
        <v>1863</v>
      </c>
      <c r="F365" s="1">
        <v>45386.65625</v>
      </c>
      <c r="G365" s="1">
        <v>45386.656944444447</v>
      </c>
    </row>
    <row r="366" spans="1:9" x14ac:dyDescent="0.35">
      <c r="A366" t="str">
        <f>"20262252-6"</f>
        <v>20262252-6</v>
      </c>
      <c r="B366" t="s">
        <v>1864</v>
      </c>
      <c r="C366" t="s">
        <v>1865</v>
      </c>
      <c r="D366" t="s">
        <v>1866</v>
      </c>
      <c r="E366" t="s">
        <v>1867</v>
      </c>
      <c r="F366" s="1">
        <v>45386.770833333336</v>
      </c>
      <c r="G366" s="1">
        <v>45386.771527777775</v>
      </c>
    </row>
    <row r="367" spans="1:9" x14ac:dyDescent="0.35">
      <c r="A367" t="str">
        <f>"16091429-7"</f>
        <v>16091429-7</v>
      </c>
      <c r="B367" t="s">
        <v>1242</v>
      </c>
      <c r="C367" t="s">
        <v>664</v>
      </c>
      <c r="D367" t="s">
        <v>1877</v>
      </c>
      <c r="E367" t="s">
        <v>1878</v>
      </c>
      <c r="F367" s="1">
        <v>45387.613194444442</v>
      </c>
      <c r="G367" s="1">
        <v>45387.613194444442</v>
      </c>
    </row>
    <row r="368" spans="1:9" x14ac:dyDescent="0.35">
      <c r="A368" t="str">
        <f>"19985327-9"</f>
        <v>19985327-9</v>
      </c>
      <c r="B368" t="s">
        <v>1827</v>
      </c>
      <c r="C368" t="s">
        <v>1274</v>
      </c>
      <c r="D368" t="s">
        <v>1879</v>
      </c>
      <c r="E368" t="s">
        <v>1880</v>
      </c>
      <c r="F368" s="1">
        <v>45387.659722222219</v>
      </c>
      <c r="G368" s="1">
        <v>45387.659722222219</v>
      </c>
    </row>
    <row r="369" spans="1:8" x14ac:dyDescent="0.35">
      <c r="A369" t="str">
        <f>"19671815-K"</f>
        <v>19671815-K</v>
      </c>
      <c r="B369" t="s">
        <v>1046</v>
      </c>
      <c r="C369" t="s">
        <v>1881</v>
      </c>
      <c r="D369" t="s">
        <v>1882</v>
      </c>
      <c r="E369" t="s">
        <v>1883</v>
      </c>
      <c r="F369" s="1">
        <v>45387.739583333336</v>
      </c>
      <c r="G369" s="1">
        <v>45387.740277777775</v>
      </c>
    </row>
    <row r="370" spans="1:8" x14ac:dyDescent="0.35">
      <c r="A370" t="str">
        <f>"20289603-0"</f>
        <v>20289603-0</v>
      </c>
      <c r="B370" t="s">
        <v>207</v>
      </c>
      <c r="C370" t="s">
        <v>1884</v>
      </c>
      <c r="D370" t="s">
        <v>1885</v>
      </c>
      <c r="F370" s="1">
        <v>45387.748611111114</v>
      </c>
      <c r="G370" s="1">
        <v>45387.750694444447</v>
      </c>
    </row>
    <row r="371" spans="1:8" x14ac:dyDescent="0.35">
      <c r="A371" t="str">
        <f>"23185638-2"</f>
        <v>23185638-2</v>
      </c>
      <c r="B371" t="s">
        <v>333</v>
      </c>
      <c r="C371" t="s">
        <v>1890</v>
      </c>
      <c r="D371" t="s">
        <v>1891</v>
      </c>
      <c r="F371" s="1">
        <v>45388.831250000003</v>
      </c>
      <c r="G371" s="1">
        <v>45388.831944444442</v>
      </c>
      <c r="H371" t="s">
        <v>1892</v>
      </c>
    </row>
    <row r="372" spans="1:8" x14ac:dyDescent="0.35">
      <c r="A372" t="str">
        <f>"21909721-2"</f>
        <v>21909721-2</v>
      </c>
      <c r="B372" t="s">
        <v>1897</v>
      </c>
      <c r="C372" t="s">
        <v>1898</v>
      </c>
      <c r="D372" t="s">
        <v>1899</v>
      </c>
      <c r="F372" s="1">
        <v>45390.459027777775</v>
      </c>
      <c r="G372" s="1">
        <v>45390.459722222222</v>
      </c>
    </row>
    <row r="373" spans="1:8" x14ac:dyDescent="0.35">
      <c r="A373" t="str">
        <f>"18866124-6"</f>
        <v>18866124-6</v>
      </c>
      <c r="B373" t="s">
        <v>1911</v>
      </c>
      <c r="C373" t="s">
        <v>939</v>
      </c>
      <c r="D373" t="s">
        <v>1912</v>
      </c>
      <c r="F373" s="1">
        <v>45391.692361111112</v>
      </c>
      <c r="G373" s="1">
        <v>45391.693055555559</v>
      </c>
    </row>
    <row r="374" spans="1:8" x14ac:dyDescent="0.35">
      <c r="A374" t="str">
        <f>"19062107-3"</f>
        <v>19062107-3</v>
      </c>
      <c r="B374" t="s">
        <v>207</v>
      </c>
      <c r="C374" t="s">
        <v>1927</v>
      </c>
      <c r="D374" t="s">
        <v>1928</v>
      </c>
      <c r="F374" s="1">
        <v>45392.589583333334</v>
      </c>
      <c r="G374" s="1">
        <v>45392.589583333334</v>
      </c>
    </row>
    <row r="375" spans="1:8" x14ac:dyDescent="0.35">
      <c r="A375" t="str">
        <f>"21071637-8"</f>
        <v>21071637-8</v>
      </c>
      <c r="B375" t="s">
        <v>1943</v>
      </c>
      <c r="C375" t="s">
        <v>1648</v>
      </c>
      <c r="D375" t="s">
        <v>1944</v>
      </c>
      <c r="F375" s="1">
        <v>45393.656944444447</v>
      </c>
      <c r="G375" s="1">
        <v>45393.656944444447</v>
      </c>
    </row>
    <row r="376" spans="1:8" x14ac:dyDescent="0.35">
      <c r="A376" t="str">
        <f>"21553437-5"</f>
        <v>21553437-5</v>
      </c>
      <c r="B376" t="s">
        <v>1966</v>
      </c>
      <c r="C376" t="s">
        <v>1967</v>
      </c>
      <c r="D376" t="s">
        <v>1968</v>
      </c>
      <c r="F376" s="1">
        <v>45394.583333333336</v>
      </c>
      <c r="G376" s="1">
        <v>45394.661805555559</v>
      </c>
    </row>
    <row r="377" spans="1:8" x14ac:dyDescent="0.35">
      <c r="A377" t="str">
        <f>"19051389-0"</f>
        <v>19051389-0</v>
      </c>
      <c r="B377" t="s">
        <v>230</v>
      </c>
      <c r="C377" t="s">
        <v>72</v>
      </c>
      <c r="D377" t="s">
        <v>1974</v>
      </c>
      <c r="F377" s="1">
        <v>45394.702777777777</v>
      </c>
      <c r="G377" s="1">
        <v>45394.703472222223</v>
      </c>
    </row>
    <row r="378" spans="1:8" x14ac:dyDescent="0.35">
      <c r="A378" t="str">
        <f>"13834531-9"</f>
        <v>13834531-9</v>
      </c>
      <c r="B378" t="s">
        <v>1975</v>
      </c>
      <c r="C378" t="s">
        <v>1303</v>
      </c>
      <c r="D378" t="s">
        <v>1976</v>
      </c>
      <c r="F378" s="1">
        <v>45394.704861111109</v>
      </c>
      <c r="G378" s="1">
        <v>45394.704861111109</v>
      </c>
      <c r="H378" t="s">
        <v>1977</v>
      </c>
    </row>
    <row r="379" spans="1:8" x14ac:dyDescent="0.35">
      <c r="A379" t="str">
        <f>"13895100-6"</f>
        <v>13895100-6</v>
      </c>
      <c r="B379" t="s">
        <v>164</v>
      </c>
      <c r="C379" t="s">
        <v>258</v>
      </c>
      <c r="D379" t="s">
        <v>1978</v>
      </c>
      <c r="F379" s="1">
        <v>45394.745138888888</v>
      </c>
      <c r="G379" s="1">
        <v>45394.745833333334</v>
      </c>
    </row>
    <row r="380" spans="1:8" x14ac:dyDescent="0.35">
      <c r="A380" t="str">
        <f>"17179300-9"</f>
        <v>17179300-9</v>
      </c>
      <c r="B380" t="s">
        <v>746</v>
      </c>
      <c r="C380" t="s">
        <v>1994</v>
      </c>
      <c r="D380" t="s">
        <v>1995</v>
      </c>
      <c r="F380" s="1">
        <v>45397.634722222225</v>
      </c>
      <c r="G380" s="1">
        <v>45397.634722222225</v>
      </c>
    </row>
    <row r="381" spans="1:8" x14ac:dyDescent="0.35">
      <c r="A381" t="str">
        <f>"13027690-3"</f>
        <v>13027690-3</v>
      </c>
      <c r="B381" t="s">
        <v>2011</v>
      </c>
      <c r="C381" t="s">
        <v>2012</v>
      </c>
      <c r="D381" t="s">
        <v>2013</v>
      </c>
      <c r="F381" s="1">
        <v>45398.589583333334</v>
      </c>
      <c r="G381" s="1">
        <v>45398.590277777781</v>
      </c>
    </row>
    <row r="382" spans="1:8" x14ac:dyDescent="0.35">
      <c r="A382" t="str">
        <f>"18303660-2"</f>
        <v>18303660-2</v>
      </c>
      <c r="B382" t="s">
        <v>386</v>
      </c>
      <c r="C382" t="s">
        <v>1011</v>
      </c>
      <c r="D382" t="s">
        <v>2025</v>
      </c>
      <c r="F382" s="1">
        <v>45399.822916666664</v>
      </c>
      <c r="G382" s="1">
        <v>45399.822916666664</v>
      </c>
    </row>
    <row r="383" spans="1:8" x14ac:dyDescent="0.35">
      <c r="A383" t="str">
        <f>"17408317-7"</f>
        <v>17408317-7</v>
      </c>
      <c r="B383" t="s">
        <v>402</v>
      </c>
      <c r="C383" t="s">
        <v>2063</v>
      </c>
      <c r="D383" t="s">
        <v>2064</v>
      </c>
      <c r="F383" s="1">
        <v>45401.711111111108</v>
      </c>
      <c r="G383" s="1">
        <v>45401.712500000001</v>
      </c>
    </row>
    <row r="384" spans="1:8" x14ac:dyDescent="0.35">
      <c r="A384" t="str">
        <f>"10437525-1"</f>
        <v>10437525-1</v>
      </c>
      <c r="B384" t="s">
        <v>121</v>
      </c>
      <c r="C384" t="s">
        <v>27</v>
      </c>
      <c r="D384" t="s">
        <v>2071</v>
      </c>
      <c r="F384" s="1">
        <v>45401.753472222219</v>
      </c>
      <c r="G384" s="1">
        <v>45401.754166666666</v>
      </c>
    </row>
    <row r="385" spans="1:9" x14ac:dyDescent="0.35">
      <c r="A385" t="str">
        <f>"19322796-1"</f>
        <v>19322796-1</v>
      </c>
      <c r="B385" t="s">
        <v>2072</v>
      </c>
      <c r="C385" t="s">
        <v>282</v>
      </c>
      <c r="D385" t="s">
        <v>2073</v>
      </c>
      <c r="F385" s="1">
        <v>45401.852777777778</v>
      </c>
      <c r="G385" s="1">
        <v>45401.853472222225</v>
      </c>
      <c r="H385" t="s">
        <v>2074</v>
      </c>
    </row>
    <row r="386" spans="1:9" x14ac:dyDescent="0.35">
      <c r="A386" t="str">
        <f>"18618549-8"</f>
        <v>18618549-8</v>
      </c>
      <c r="B386" t="s">
        <v>318</v>
      </c>
      <c r="C386" t="s">
        <v>2124</v>
      </c>
      <c r="D386" t="s">
        <v>2125</v>
      </c>
      <c r="F386" s="1">
        <v>45406.622916666667</v>
      </c>
      <c r="G386" s="1">
        <v>45406.623611111114</v>
      </c>
    </row>
    <row r="387" spans="1:9" x14ac:dyDescent="0.35">
      <c r="A387" t="str">
        <f>"19892123-8"</f>
        <v>19892123-8</v>
      </c>
      <c r="B387" t="s">
        <v>175</v>
      </c>
      <c r="C387" t="s">
        <v>2139</v>
      </c>
      <c r="D387" t="s">
        <v>2140</v>
      </c>
      <c r="F387" s="1">
        <v>45407.663194444445</v>
      </c>
      <c r="G387" s="1">
        <v>45407.663888888892</v>
      </c>
    </row>
    <row r="388" spans="1:9" x14ac:dyDescent="0.35">
      <c r="A388" t="str">
        <f>"18170020-3"</f>
        <v>18170020-3</v>
      </c>
      <c r="B388" t="s">
        <v>203</v>
      </c>
      <c r="C388" t="s">
        <v>2157</v>
      </c>
      <c r="D388" t="s">
        <v>2158</v>
      </c>
      <c r="F388" s="1">
        <v>45408.496527777781</v>
      </c>
      <c r="G388" s="1">
        <v>45408.496527777781</v>
      </c>
    </row>
    <row r="389" spans="1:9" x14ac:dyDescent="0.35">
      <c r="A389" t="str">
        <f>"19535731-5"</f>
        <v>19535731-5</v>
      </c>
      <c r="B389" t="s">
        <v>45</v>
      </c>
      <c r="C389" t="s">
        <v>2225</v>
      </c>
      <c r="D389" t="s">
        <v>2226</v>
      </c>
      <c r="F389" s="1">
        <v>45411.770138888889</v>
      </c>
      <c r="G389" s="1">
        <v>45411.770833333336</v>
      </c>
    </row>
    <row r="390" spans="1:9" x14ac:dyDescent="0.35">
      <c r="A390" t="str">
        <f>"7775928-K"</f>
        <v>7775928-K</v>
      </c>
      <c r="B390" t="s">
        <v>2275</v>
      </c>
      <c r="C390" t="s">
        <v>562</v>
      </c>
      <c r="D390" t="s">
        <v>2276</v>
      </c>
      <c r="F390" s="1">
        <v>45414.574305555558</v>
      </c>
      <c r="G390" s="1">
        <v>45414.574999999997</v>
      </c>
    </row>
    <row r="391" spans="1:9" x14ac:dyDescent="0.35">
      <c r="A391" t="str">
        <f>"15337231-4"</f>
        <v>15337231-4</v>
      </c>
      <c r="B391" t="s">
        <v>2282</v>
      </c>
      <c r="C391" t="s">
        <v>2283</v>
      </c>
      <c r="D391" t="s">
        <v>2284</v>
      </c>
      <c r="F391" s="1">
        <v>45414.724999999999</v>
      </c>
      <c r="G391" s="1">
        <v>45414.725694444445</v>
      </c>
    </row>
    <row r="392" spans="1:9" x14ac:dyDescent="0.35">
      <c r="A392" t="str">
        <f>"20178324-0"</f>
        <v>20178324-0</v>
      </c>
      <c r="B392" t="s">
        <v>475</v>
      </c>
      <c r="C392" t="s">
        <v>2360</v>
      </c>
      <c r="D392" t="s">
        <v>2361</v>
      </c>
      <c r="F392" s="1">
        <v>45421.76458333333</v>
      </c>
      <c r="G392" s="1">
        <v>45421.76458333333</v>
      </c>
    </row>
    <row r="393" spans="1:9" x14ac:dyDescent="0.35">
      <c r="A393" t="str">
        <f>"20298134-8"</f>
        <v>20298134-8</v>
      </c>
      <c r="B393" t="s">
        <v>456</v>
      </c>
      <c r="C393" t="s">
        <v>2403</v>
      </c>
      <c r="D393" t="s">
        <v>2404</v>
      </c>
      <c r="F393" s="1">
        <v>45426.789583333331</v>
      </c>
      <c r="G393" s="1">
        <v>45426.789583333331</v>
      </c>
    </row>
    <row r="394" spans="1:9" x14ac:dyDescent="0.35">
      <c r="A394" t="str">
        <f>"9949446-8"</f>
        <v>9949446-8</v>
      </c>
      <c r="B394" t="s">
        <v>101</v>
      </c>
      <c r="C394" t="s">
        <v>102</v>
      </c>
      <c r="D394" t="s">
        <v>103</v>
      </c>
      <c r="F394" s="1">
        <v>45246.81527777778</v>
      </c>
      <c r="G394" s="1">
        <v>45301.77847222222</v>
      </c>
      <c r="H394" t="s">
        <v>104</v>
      </c>
    </row>
    <row r="395" spans="1:9" x14ac:dyDescent="0.35">
      <c r="A395" t="str">
        <f>"21022152-2"</f>
        <v>21022152-2</v>
      </c>
      <c r="B395" t="s">
        <v>372</v>
      </c>
      <c r="C395" t="s">
        <v>129</v>
      </c>
      <c r="D395" t="s">
        <v>373</v>
      </c>
      <c r="F395" s="1">
        <v>45279.57708333333</v>
      </c>
      <c r="G395" s="1">
        <v>45345.782638888886</v>
      </c>
    </row>
    <row r="396" spans="1:9" x14ac:dyDescent="0.35">
      <c r="A396" t="str">
        <f>"17329981-8"</f>
        <v>17329981-8</v>
      </c>
      <c r="B396" t="s">
        <v>475</v>
      </c>
      <c r="C396" t="s">
        <v>476</v>
      </c>
      <c r="D396" t="s">
        <v>477</v>
      </c>
      <c r="F396" s="1">
        <v>45283.811805555553</v>
      </c>
      <c r="G396" s="1">
        <v>45283.82708333333</v>
      </c>
    </row>
    <row r="397" spans="1:9" x14ac:dyDescent="0.35">
      <c r="A397" t="str">
        <f>"15366683-0"</f>
        <v>15366683-0</v>
      </c>
      <c r="B397" t="s">
        <v>655</v>
      </c>
      <c r="C397" t="s">
        <v>656</v>
      </c>
      <c r="D397" t="s">
        <v>657</v>
      </c>
      <c r="F397" s="1">
        <v>45296.57708333333</v>
      </c>
      <c r="G397" s="1">
        <v>45307.640972222223</v>
      </c>
      <c r="H397" t="s">
        <v>658</v>
      </c>
    </row>
    <row r="398" spans="1:9" x14ac:dyDescent="0.35">
      <c r="A398" t="str">
        <f>"16371442-6"</f>
        <v>16371442-6</v>
      </c>
      <c r="B398" t="s">
        <v>1087</v>
      </c>
      <c r="C398" t="s">
        <v>1088</v>
      </c>
      <c r="D398" t="s">
        <v>1089</v>
      </c>
      <c r="F398" s="1">
        <v>45334.50277777778</v>
      </c>
      <c r="G398" s="1">
        <v>45334.505555555559</v>
      </c>
      <c r="H398" t="s">
        <v>990</v>
      </c>
      <c r="I398" t="s">
        <v>11</v>
      </c>
    </row>
    <row r="399" spans="1:9" x14ac:dyDescent="0.35">
      <c r="A399" t="str">
        <f>"18167964-6"</f>
        <v>18167964-6</v>
      </c>
      <c r="B399" t="s">
        <v>1729</v>
      </c>
      <c r="C399" t="s">
        <v>1730</v>
      </c>
      <c r="D399" t="s">
        <v>1731</v>
      </c>
      <c r="F399" s="1">
        <v>45379.592361111114</v>
      </c>
      <c r="G399" s="1">
        <v>45379.593055555553</v>
      </c>
      <c r="H399" t="s">
        <v>1732</v>
      </c>
      <c r="I399" t="s">
        <v>11</v>
      </c>
    </row>
    <row r="400" spans="1:9" x14ac:dyDescent="0.35">
      <c r="A400" t="str">
        <f>"220052006"</f>
        <v>220052006</v>
      </c>
      <c r="B400" t="s">
        <v>167</v>
      </c>
      <c r="C400" t="s">
        <v>531</v>
      </c>
      <c r="D400" t="s">
        <v>609</v>
      </c>
      <c r="F400" s="1">
        <v>45299.763888888891</v>
      </c>
      <c r="G400" s="1">
        <v>45365.525694444441</v>
      </c>
      <c r="H400" t="s">
        <v>151</v>
      </c>
      <c r="I400" t="s">
        <v>11</v>
      </c>
    </row>
    <row r="401" spans="1:9" x14ac:dyDescent="0.35">
      <c r="A401" t="str">
        <f>"18397035-6"</f>
        <v>18397035-6</v>
      </c>
      <c r="B401" t="s">
        <v>408</v>
      </c>
      <c r="C401" t="s">
        <v>409</v>
      </c>
      <c r="D401" t="s">
        <v>410</v>
      </c>
      <c r="F401" s="1">
        <v>45280.790277777778</v>
      </c>
      <c r="G401" s="1">
        <v>45311.540972222225</v>
      </c>
      <c r="H401" t="s">
        <v>411</v>
      </c>
      <c r="I401" t="s">
        <v>11</v>
      </c>
    </row>
    <row r="402" spans="1:9" x14ac:dyDescent="0.35">
      <c r="A402" t="str">
        <f>"13893506-K"</f>
        <v>13893506-K</v>
      </c>
      <c r="B402" t="s">
        <v>530</v>
      </c>
      <c r="C402" t="s">
        <v>531</v>
      </c>
      <c r="D402" t="s">
        <v>532</v>
      </c>
      <c r="F402" s="1">
        <v>45288.488888888889</v>
      </c>
      <c r="G402" s="1">
        <v>45322.6875</v>
      </c>
      <c r="H402" t="s">
        <v>533</v>
      </c>
      <c r="I402" t="s">
        <v>11</v>
      </c>
    </row>
    <row r="403" spans="1:9" x14ac:dyDescent="0.35">
      <c r="A403" t="str">
        <f>"14136533-9"</f>
        <v>14136533-9</v>
      </c>
      <c r="B403" t="s">
        <v>499</v>
      </c>
      <c r="C403" t="s">
        <v>500</v>
      </c>
      <c r="D403" t="s">
        <v>501</v>
      </c>
      <c r="F403" s="1">
        <v>45286.851388888892</v>
      </c>
      <c r="G403" s="1">
        <v>45346.692361111112</v>
      </c>
      <c r="H403" t="s">
        <v>502</v>
      </c>
      <c r="I403" t="s">
        <v>11</v>
      </c>
    </row>
    <row r="404" spans="1:9" x14ac:dyDescent="0.35">
      <c r="A404" t="str">
        <f>"18165120-2"</f>
        <v>18165120-2</v>
      </c>
      <c r="B404" t="s">
        <v>230</v>
      </c>
      <c r="C404" t="s">
        <v>201</v>
      </c>
      <c r="D404" t="s">
        <v>1393</v>
      </c>
      <c r="F404" s="1">
        <v>45363.569444444445</v>
      </c>
      <c r="G404" s="1">
        <v>45363.569444444445</v>
      </c>
      <c r="H404" t="s">
        <v>1394</v>
      </c>
      <c r="I404" t="s">
        <v>11</v>
      </c>
    </row>
    <row r="405" spans="1:9" x14ac:dyDescent="0.35">
      <c r="A405" t="str">
        <f>"16272381-2"</f>
        <v>16272381-2</v>
      </c>
      <c r="B405" t="s">
        <v>349</v>
      </c>
      <c r="C405" t="s">
        <v>340</v>
      </c>
      <c r="D405" t="s">
        <v>2292</v>
      </c>
      <c r="F405" s="1">
        <v>45415.796527777777</v>
      </c>
      <c r="G405" s="1">
        <v>45415.797222222223</v>
      </c>
      <c r="H405" t="s">
        <v>2293</v>
      </c>
      <c r="I405" t="s">
        <v>2294</v>
      </c>
    </row>
    <row r="406" spans="1:9" x14ac:dyDescent="0.35">
      <c r="A406" t="str">
        <f>"13670378-1"</f>
        <v>13670378-1</v>
      </c>
      <c r="B406" t="s">
        <v>1771</v>
      </c>
      <c r="C406" t="s">
        <v>550</v>
      </c>
      <c r="D406" t="s">
        <v>1772</v>
      </c>
      <c r="F406" s="1">
        <v>45381.682638888888</v>
      </c>
      <c r="G406" s="1">
        <v>45381.68472222222</v>
      </c>
      <c r="H406" t="s">
        <v>1773</v>
      </c>
      <c r="I406" t="s">
        <v>11</v>
      </c>
    </row>
    <row r="407" spans="1:9" x14ac:dyDescent="0.35">
      <c r="A407" t="str">
        <f>"15932154-1"</f>
        <v>15932154-1</v>
      </c>
      <c r="B407" t="s">
        <v>503</v>
      </c>
      <c r="C407" t="s">
        <v>182</v>
      </c>
      <c r="D407" t="s">
        <v>1041</v>
      </c>
      <c r="F407" s="1">
        <v>45327.761805555558</v>
      </c>
      <c r="G407" s="1">
        <v>45371.586111111108</v>
      </c>
      <c r="H407" t="s">
        <v>151</v>
      </c>
      <c r="I407" t="s">
        <v>11</v>
      </c>
    </row>
    <row r="408" spans="1:9" x14ac:dyDescent="0.35">
      <c r="A408" t="str">
        <f>"20957318-0"</f>
        <v>20957318-0</v>
      </c>
      <c r="B408" t="s">
        <v>230</v>
      </c>
      <c r="C408" t="s">
        <v>423</v>
      </c>
      <c r="D408" t="s">
        <v>424</v>
      </c>
      <c r="F408" s="1">
        <v>45280.872916666667</v>
      </c>
      <c r="G408" s="1">
        <v>45369.652777777781</v>
      </c>
      <c r="H408" t="s">
        <v>151</v>
      </c>
      <c r="I408" t="s">
        <v>11</v>
      </c>
    </row>
    <row r="409" spans="1:9" x14ac:dyDescent="0.35">
      <c r="A409" t="str">
        <f>"20061728-2"</f>
        <v>20061728-2</v>
      </c>
      <c r="B409" t="s">
        <v>30</v>
      </c>
      <c r="C409" t="s">
        <v>934</v>
      </c>
      <c r="D409" t="s">
        <v>935</v>
      </c>
      <c r="F409" s="1">
        <v>45316.684027777781</v>
      </c>
      <c r="G409" s="1">
        <v>45358.673611111109</v>
      </c>
      <c r="H409" t="s">
        <v>151</v>
      </c>
      <c r="I409" t="s">
        <v>11</v>
      </c>
    </row>
    <row r="410" spans="1:9" x14ac:dyDescent="0.35">
      <c r="A410" t="str">
        <f>"17780112-7"</f>
        <v>17780112-7</v>
      </c>
      <c r="B410" t="s">
        <v>87</v>
      </c>
      <c r="C410" t="s">
        <v>1212</v>
      </c>
      <c r="D410" t="s">
        <v>1213</v>
      </c>
      <c r="F410" s="1">
        <v>45345.559027777781</v>
      </c>
      <c r="G410" s="1">
        <v>45383.780555555553</v>
      </c>
      <c r="H410" t="s">
        <v>1214</v>
      </c>
      <c r="I410" t="s">
        <v>11</v>
      </c>
    </row>
    <row r="411" spans="1:9" x14ac:dyDescent="0.35">
      <c r="A411" t="str">
        <f>"12464227-2"</f>
        <v>12464227-2</v>
      </c>
      <c r="B411" t="s">
        <v>392</v>
      </c>
      <c r="C411" t="s">
        <v>1360</v>
      </c>
      <c r="D411" t="s">
        <v>1361</v>
      </c>
      <c r="F411" s="1">
        <v>45360.78402777778</v>
      </c>
      <c r="G411" s="1">
        <v>45362.564583333333</v>
      </c>
      <c r="H411" t="s">
        <v>1362</v>
      </c>
      <c r="I411" t="s">
        <v>11</v>
      </c>
    </row>
    <row r="412" spans="1:9" x14ac:dyDescent="0.35">
      <c r="A412" t="str">
        <f>"16750271-7"</f>
        <v>16750271-7</v>
      </c>
      <c r="B412" t="s">
        <v>421</v>
      </c>
      <c r="C412" t="s">
        <v>875</v>
      </c>
      <c r="D412" t="s">
        <v>876</v>
      </c>
      <c r="F412" s="1">
        <v>45309.462500000001</v>
      </c>
      <c r="G412" s="1">
        <v>45381.758333333331</v>
      </c>
      <c r="H412" t="s">
        <v>877</v>
      </c>
      <c r="I412" t="s">
        <v>11</v>
      </c>
    </row>
    <row r="413" spans="1:9" x14ac:dyDescent="0.35">
      <c r="A413" t="str">
        <f>"15453079-7"</f>
        <v>15453079-7</v>
      </c>
      <c r="B413" t="s">
        <v>396</v>
      </c>
      <c r="C413" t="s">
        <v>397</v>
      </c>
      <c r="D413" t="s">
        <v>398</v>
      </c>
      <c r="F413" s="1">
        <v>45280.734027777777</v>
      </c>
      <c r="G413" s="1">
        <v>45376.581250000003</v>
      </c>
      <c r="H413" t="s">
        <v>151</v>
      </c>
      <c r="I413" t="s">
        <v>11</v>
      </c>
    </row>
    <row r="414" spans="1:9" x14ac:dyDescent="0.35">
      <c r="A414" t="str">
        <f>"13546422-8"</f>
        <v>13546422-8</v>
      </c>
      <c r="B414" t="s">
        <v>16</v>
      </c>
      <c r="C414" t="s">
        <v>157</v>
      </c>
      <c r="D414" t="s">
        <v>1091</v>
      </c>
      <c r="F414" s="1">
        <v>45334.823611111111</v>
      </c>
      <c r="G414" s="1">
        <v>45393.747916666667</v>
      </c>
      <c r="H414" t="s">
        <v>151</v>
      </c>
      <c r="I414" t="s">
        <v>11</v>
      </c>
    </row>
    <row r="415" spans="1:9" x14ac:dyDescent="0.35">
      <c r="A415" t="str">
        <f>"19925175-9"</f>
        <v>19925175-9</v>
      </c>
      <c r="B415" t="s">
        <v>1368</v>
      </c>
      <c r="C415" t="s">
        <v>1797</v>
      </c>
      <c r="D415" t="s">
        <v>1798</v>
      </c>
      <c r="F415" s="1">
        <v>45384.495833333334</v>
      </c>
      <c r="G415" s="1">
        <v>45386.571527777778</v>
      </c>
      <c r="H415" t="s">
        <v>1799</v>
      </c>
      <c r="I415" t="s">
        <v>11</v>
      </c>
    </row>
    <row r="416" spans="1:9" x14ac:dyDescent="0.35">
      <c r="A416" t="str">
        <f>"19681868-5"</f>
        <v>19681868-5</v>
      </c>
      <c r="B416" t="s">
        <v>1318</v>
      </c>
      <c r="C416" t="s">
        <v>664</v>
      </c>
      <c r="D416" t="s">
        <v>1319</v>
      </c>
      <c r="F416" s="1">
        <v>45356.817361111112</v>
      </c>
      <c r="G416" s="1">
        <v>45397.715277777781</v>
      </c>
      <c r="H416" t="s">
        <v>1320</v>
      </c>
      <c r="I416" t="s">
        <v>11</v>
      </c>
    </row>
    <row r="417" spans="1:9" x14ac:dyDescent="0.35">
      <c r="A417" t="str">
        <f>"15771572-0"</f>
        <v>15771572-0</v>
      </c>
      <c r="B417" t="s">
        <v>362</v>
      </c>
      <c r="C417" t="s">
        <v>342</v>
      </c>
      <c r="D417" t="s">
        <v>363</v>
      </c>
      <c r="F417" s="1">
        <v>45278.836111111108</v>
      </c>
      <c r="G417" s="1">
        <v>45278.837500000001</v>
      </c>
      <c r="H417" t="s">
        <v>364</v>
      </c>
      <c r="I417" t="s">
        <v>11</v>
      </c>
    </row>
    <row r="418" spans="1:9" x14ac:dyDescent="0.35">
      <c r="A418" t="str">
        <f>"14271593-7"</f>
        <v>14271593-7</v>
      </c>
      <c r="B418" t="s">
        <v>972</v>
      </c>
      <c r="C418" t="s">
        <v>973</v>
      </c>
      <c r="D418" t="s">
        <v>974</v>
      </c>
      <c r="F418" s="1">
        <v>45321.474999999999</v>
      </c>
      <c r="G418" s="1">
        <v>45321.475694444445</v>
      </c>
      <c r="H418" t="s">
        <v>151</v>
      </c>
      <c r="I418" t="s">
        <v>11</v>
      </c>
    </row>
    <row r="419" spans="1:9" x14ac:dyDescent="0.35">
      <c r="A419" t="str">
        <f>"55555555-5"</f>
        <v>55555555-5</v>
      </c>
      <c r="B419" t="s">
        <v>1042</v>
      </c>
      <c r="C419" t="s">
        <v>544</v>
      </c>
      <c r="D419" t="s">
        <v>1043</v>
      </c>
      <c r="F419" s="1">
        <v>45327.793749999997</v>
      </c>
      <c r="G419" s="1">
        <v>45327.794444444444</v>
      </c>
      <c r="H419" t="s">
        <v>151</v>
      </c>
      <c r="I419" t="s">
        <v>11</v>
      </c>
    </row>
    <row r="420" spans="1:9" x14ac:dyDescent="0.35">
      <c r="A420" t="str">
        <f>"16362158-4"</f>
        <v>16362158-4</v>
      </c>
      <c r="B420" t="s">
        <v>392</v>
      </c>
      <c r="C420" t="s">
        <v>845</v>
      </c>
      <c r="D420" t="s">
        <v>1325</v>
      </c>
      <c r="F420" s="1">
        <v>45357.697222222225</v>
      </c>
      <c r="G420" s="1">
        <v>45357.697916666664</v>
      </c>
      <c r="H420" t="s">
        <v>1326</v>
      </c>
    </row>
    <row r="421" spans="1:9" x14ac:dyDescent="0.35">
      <c r="A421" t="str">
        <f>"20532717-7"</f>
        <v>20532717-7</v>
      </c>
      <c r="B421" t="s">
        <v>794</v>
      </c>
      <c r="C421" t="s">
        <v>1329</v>
      </c>
      <c r="D421" t="s">
        <v>1330</v>
      </c>
      <c r="F421" s="1">
        <v>45358.704861111109</v>
      </c>
      <c r="G421" s="1">
        <v>45358.705555555556</v>
      </c>
    </row>
    <row r="422" spans="1:9" x14ac:dyDescent="0.35">
      <c r="A422" t="str">
        <f>"18534054-6"</f>
        <v>18534054-6</v>
      </c>
      <c r="B422" t="s">
        <v>269</v>
      </c>
      <c r="C422" t="s">
        <v>1338</v>
      </c>
      <c r="D422" t="s">
        <v>1339</v>
      </c>
      <c r="F422" s="1">
        <v>45359.789583333331</v>
      </c>
      <c r="G422" s="1">
        <v>45359.790277777778</v>
      </c>
    </row>
    <row r="423" spans="1:9" x14ac:dyDescent="0.35">
      <c r="A423" t="str">
        <f>"15475234-K"</f>
        <v>15475234-K</v>
      </c>
      <c r="B423" t="s">
        <v>48</v>
      </c>
      <c r="C423" t="s">
        <v>1344</v>
      </c>
      <c r="D423" t="s">
        <v>1345</v>
      </c>
      <c r="F423" s="1">
        <v>45360.705555555556</v>
      </c>
      <c r="G423" s="1">
        <v>45360.706944444442</v>
      </c>
      <c r="H423" t="s">
        <v>1346</v>
      </c>
    </row>
    <row r="424" spans="1:9" x14ac:dyDescent="0.35">
      <c r="A424" t="str">
        <f>"10864277-7"</f>
        <v>10864277-7</v>
      </c>
      <c r="B424" t="s">
        <v>281</v>
      </c>
      <c r="C424" t="s">
        <v>13</v>
      </c>
      <c r="D424" t="s">
        <v>1351</v>
      </c>
      <c r="F424" s="1">
        <v>45360.744444444441</v>
      </c>
      <c r="G424" s="1">
        <v>45360.744444444441</v>
      </c>
    </row>
    <row r="425" spans="1:9" x14ac:dyDescent="0.35">
      <c r="A425" t="str">
        <f>"7019420-1"</f>
        <v>7019420-1</v>
      </c>
      <c r="B425" t="s">
        <v>1352</v>
      </c>
      <c r="C425" t="s">
        <v>1353</v>
      </c>
      <c r="D425" t="s">
        <v>1354</v>
      </c>
      <c r="F425" s="1">
        <v>45360.746527777781</v>
      </c>
      <c r="G425" s="1">
        <v>45360.746527777781</v>
      </c>
    </row>
    <row r="426" spans="1:9" x14ac:dyDescent="0.35">
      <c r="A426" t="str">
        <f>"15380719-1"</f>
        <v>15380719-1</v>
      </c>
      <c r="B426" t="s">
        <v>1358</v>
      </c>
      <c r="C426" t="s">
        <v>340</v>
      </c>
      <c r="D426" t="s">
        <v>1359</v>
      </c>
      <c r="F426" s="1">
        <v>45360.780555555553</v>
      </c>
      <c r="G426" s="1">
        <v>45363.813888888886</v>
      </c>
    </row>
    <row r="427" spans="1:9" x14ac:dyDescent="0.35">
      <c r="A427" t="str">
        <f>"14043824-3"</f>
        <v>14043824-3</v>
      </c>
      <c r="B427" t="s">
        <v>1363</v>
      </c>
      <c r="C427" t="s">
        <v>1364</v>
      </c>
      <c r="D427" t="s">
        <v>1365</v>
      </c>
      <c r="F427" s="1">
        <v>45360.821527777778</v>
      </c>
      <c r="G427" s="1">
        <v>45360.822916666664</v>
      </c>
    </row>
    <row r="428" spans="1:9" x14ac:dyDescent="0.35">
      <c r="A428" t="str">
        <f>"18953367-5"</f>
        <v>18953367-5</v>
      </c>
      <c r="B428" t="s">
        <v>1189</v>
      </c>
      <c r="C428" t="s">
        <v>106</v>
      </c>
      <c r="D428" t="s">
        <v>1366</v>
      </c>
      <c r="F428" s="1">
        <v>45360.863194444442</v>
      </c>
      <c r="G428" s="1">
        <v>45360.863194444442</v>
      </c>
      <c r="H428" t="s">
        <v>1367</v>
      </c>
    </row>
    <row r="429" spans="1:9" x14ac:dyDescent="0.35">
      <c r="A429" t="str">
        <f>"13468805-K"</f>
        <v>13468805-K</v>
      </c>
      <c r="B429" t="s">
        <v>1370</v>
      </c>
      <c r="C429" t="s">
        <v>250</v>
      </c>
      <c r="D429" t="s">
        <v>1371</v>
      </c>
      <c r="F429" s="1">
        <v>45362.47152777778</v>
      </c>
      <c r="G429" s="1">
        <v>45362.472222222219</v>
      </c>
      <c r="H429" t="s">
        <v>1372</v>
      </c>
    </row>
    <row r="430" spans="1:9" x14ac:dyDescent="0.35">
      <c r="A430" t="str">
        <f>"21341971-4"</f>
        <v>21341971-4</v>
      </c>
      <c r="B430" t="s">
        <v>54</v>
      </c>
      <c r="C430" t="s">
        <v>1373</v>
      </c>
      <c r="D430" t="s">
        <v>1374</v>
      </c>
      <c r="F430" s="1">
        <v>45362.540972222225</v>
      </c>
      <c r="G430" s="1">
        <v>45362.541666666664</v>
      </c>
      <c r="H430" t="s">
        <v>1375</v>
      </c>
    </row>
    <row r="431" spans="1:9" x14ac:dyDescent="0.35">
      <c r="A431" t="str">
        <f>"17621761-8"</f>
        <v>17621761-8</v>
      </c>
      <c r="B431" t="s">
        <v>709</v>
      </c>
      <c r="C431" t="s">
        <v>800</v>
      </c>
      <c r="D431" t="s">
        <v>1396</v>
      </c>
      <c r="F431" s="1">
        <v>45363.822222222225</v>
      </c>
      <c r="G431" s="1">
        <v>45363.822222222225</v>
      </c>
      <c r="H431" t="s">
        <v>1397</v>
      </c>
    </row>
    <row r="432" spans="1:9" x14ac:dyDescent="0.35">
      <c r="A432" t="str">
        <f>"17960383-7"</f>
        <v>17960383-7</v>
      </c>
      <c r="B432" t="s">
        <v>87</v>
      </c>
      <c r="C432" t="s">
        <v>201</v>
      </c>
      <c r="D432" t="s">
        <v>1398</v>
      </c>
      <c r="F432" s="1">
        <v>45363.872916666667</v>
      </c>
      <c r="G432" s="1">
        <v>45363.874305555553</v>
      </c>
    </row>
    <row r="433" spans="1:9" x14ac:dyDescent="0.35">
      <c r="A433" t="str">
        <f>"21599890-8"</f>
        <v>21599890-8</v>
      </c>
      <c r="B433" t="s">
        <v>399</v>
      </c>
      <c r="C433" t="s">
        <v>1399</v>
      </c>
      <c r="D433" t="s">
        <v>1400</v>
      </c>
      <c r="F433" s="1">
        <v>45364.56527777778</v>
      </c>
      <c r="G433" s="1">
        <v>45364.6875</v>
      </c>
      <c r="H433" t="s">
        <v>1401</v>
      </c>
    </row>
    <row r="434" spans="1:9" x14ac:dyDescent="0.35">
      <c r="A434" t="str">
        <f>"16007065-K"</f>
        <v>16007065-K</v>
      </c>
      <c r="B434" t="s">
        <v>1408</v>
      </c>
      <c r="C434" t="s">
        <v>1409</v>
      </c>
      <c r="D434" t="s">
        <v>1410</v>
      </c>
      <c r="F434" s="1">
        <v>45364.761805555558</v>
      </c>
      <c r="G434" s="1">
        <v>45364.762499999997</v>
      </c>
    </row>
    <row r="435" spans="1:9" x14ac:dyDescent="0.35">
      <c r="A435" t="str">
        <f>"18622392-6"</f>
        <v>18622392-6</v>
      </c>
      <c r="B435" t="s">
        <v>951</v>
      </c>
      <c r="C435" t="s">
        <v>1411</v>
      </c>
      <c r="D435" t="s">
        <v>1412</v>
      </c>
      <c r="F435" s="1">
        <v>45364.8125</v>
      </c>
      <c r="G435" s="1">
        <v>45364.813194444447</v>
      </c>
      <c r="H435" t="s">
        <v>1413</v>
      </c>
    </row>
    <row r="436" spans="1:9" x14ac:dyDescent="0.35">
      <c r="A436" t="str">
        <f>"20215652-5"</f>
        <v>20215652-5</v>
      </c>
      <c r="B436" t="s">
        <v>1414</v>
      </c>
      <c r="C436" t="s">
        <v>1415</v>
      </c>
      <c r="D436" t="s">
        <v>1416</v>
      </c>
      <c r="F436" s="1">
        <v>45364.815972222219</v>
      </c>
      <c r="G436" s="1">
        <v>45364.815972222219</v>
      </c>
    </row>
    <row r="437" spans="1:9" x14ac:dyDescent="0.35">
      <c r="A437" t="str">
        <f>"19838886-6"</f>
        <v>19838886-6</v>
      </c>
      <c r="B437" t="s">
        <v>1417</v>
      </c>
      <c r="C437" t="s">
        <v>1418</v>
      </c>
      <c r="D437" t="s">
        <v>1419</v>
      </c>
      <c r="F437" s="1">
        <v>45364.838888888888</v>
      </c>
      <c r="G437" s="1">
        <v>45364.839583333334</v>
      </c>
    </row>
    <row r="438" spans="1:9" x14ac:dyDescent="0.35">
      <c r="A438" t="str">
        <f>"17046745-0"</f>
        <v>17046745-0</v>
      </c>
      <c r="B438" t="s">
        <v>392</v>
      </c>
      <c r="C438" t="s">
        <v>322</v>
      </c>
      <c r="D438" t="s">
        <v>1432</v>
      </c>
      <c r="F438" s="1">
        <v>45365.609027777777</v>
      </c>
      <c r="G438" s="1">
        <v>45365.609027777777</v>
      </c>
    </row>
    <row r="439" spans="1:9" x14ac:dyDescent="0.35">
      <c r="A439" t="str">
        <f>"19434612-3"</f>
        <v>19434612-3</v>
      </c>
      <c r="B439" t="s">
        <v>318</v>
      </c>
      <c r="C439" t="s">
        <v>1433</v>
      </c>
      <c r="D439" t="s">
        <v>1434</v>
      </c>
      <c r="F439" s="1">
        <v>45365.611111111109</v>
      </c>
      <c r="G439" s="1">
        <v>45365.611111111109</v>
      </c>
      <c r="H439" t="s">
        <v>1435</v>
      </c>
    </row>
    <row r="440" spans="1:9" x14ac:dyDescent="0.35">
      <c r="A440" t="str">
        <f>"12898562-K"</f>
        <v>12898562-K</v>
      </c>
      <c r="B440" t="s">
        <v>1442</v>
      </c>
      <c r="C440" t="s">
        <v>1443</v>
      </c>
      <c r="D440" t="s">
        <v>1444</v>
      </c>
      <c r="E440" t="s">
        <v>1445</v>
      </c>
      <c r="F440" s="1">
        <v>45366.738888888889</v>
      </c>
      <c r="G440" s="1">
        <v>45366.738888888889</v>
      </c>
    </row>
    <row r="441" spans="1:9" x14ac:dyDescent="0.35">
      <c r="A441" t="str">
        <f>"12802159-0"</f>
        <v>12802159-0</v>
      </c>
      <c r="B441" t="s">
        <v>203</v>
      </c>
      <c r="C441" t="s">
        <v>1452</v>
      </c>
      <c r="D441" t="s">
        <v>1453</v>
      </c>
      <c r="F441" s="1">
        <v>45367.559027777781</v>
      </c>
      <c r="G441" s="1">
        <v>45367.55972222222</v>
      </c>
      <c r="H441" t="s">
        <v>1454</v>
      </c>
    </row>
    <row r="442" spans="1:9" x14ac:dyDescent="0.35">
      <c r="A442" t="str">
        <f>"16370320-3"</f>
        <v>16370320-3</v>
      </c>
      <c r="B442" t="s">
        <v>1465</v>
      </c>
      <c r="C442" t="s">
        <v>714</v>
      </c>
      <c r="D442" t="s">
        <v>1466</v>
      </c>
      <c r="F442" s="1">
        <v>45367.65347222222</v>
      </c>
      <c r="G442" s="1">
        <v>45367.65347222222</v>
      </c>
    </row>
    <row r="443" spans="1:9" x14ac:dyDescent="0.35">
      <c r="A443" t="str">
        <f>"17286266-7"</f>
        <v>17286266-7</v>
      </c>
      <c r="B443" t="s">
        <v>900</v>
      </c>
      <c r="C443" t="s">
        <v>1469</v>
      </c>
      <c r="D443" t="s">
        <v>1470</v>
      </c>
      <c r="F443" s="1">
        <v>45367.775000000001</v>
      </c>
      <c r="G443" s="1">
        <v>45367.775000000001</v>
      </c>
      <c r="H443" t="s">
        <v>1471</v>
      </c>
    </row>
    <row r="444" spans="1:9" x14ac:dyDescent="0.35">
      <c r="A444" t="str">
        <f>"15954865-1"</f>
        <v>15954865-1</v>
      </c>
      <c r="B444" t="s">
        <v>1477</v>
      </c>
      <c r="C444" t="s">
        <v>1478</v>
      </c>
      <c r="D444" t="s">
        <v>1479</v>
      </c>
      <c r="F444" s="1">
        <v>45369.59097222222</v>
      </c>
      <c r="G444" s="1">
        <v>45369.591666666667</v>
      </c>
    </row>
    <row r="445" spans="1:9" x14ac:dyDescent="0.35">
      <c r="A445" t="str">
        <f>"18468686-4"</f>
        <v>18468686-4</v>
      </c>
      <c r="B445" t="s">
        <v>1046</v>
      </c>
      <c r="C445" t="s">
        <v>1204</v>
      </c>
      <c r="D445" t="s">
        <v>1205</v>
      </c>
      <c r="F445" s="1">
        <v>45344.55</v>
      </c>
      <c r="G445" s="1">
        <v>45344.550694444442</v>
      </c>
      <c r="H445" t="s">
        <v>1206</v>
      </c>
      <c r="I445" t="s">
        <v>11</v>
      </c>
    </row>
    <row r="446" spans="1:9" x14ac:dyDescent="0.35">
      <c r="A446" t="str">
        <f>"19324216-2"</f>
        <v>19324216-2</v>
      </c>
      <c r="B446" t="s">
        <v>261</v>
      </c>
      <c r="C446" t="s">
        <v>916</v>
      </c>
      <c r="D446" t="s">
        <v>917</v>
      </c>
      <c r="F446" s="1">
        <v>45314.575694444444</v>
      </c>
      <c r="G446" s="1">
        <v>45344.584722222222</v>
      </c>
      <c r="H446" t="s">
        <v>918</v>
      </c>
      <c r="I446" t="s">
        <v>11</v>
      </c>
    </row>
    <row r="447" spans="1:9" x14ac:dyDescent="0.35">
      <c r="A447" t="str">
        <f>"12247982-K"</f>
        <v>12247982-K</v>
      </c>
      <c r="B447" t="s">
        <v>1520</v>
      </c>
      <c r="C447" t="s">
        <v>1521</v>
      </c>
      <c r="D447" t="s">
        <v>1522</v>
      </c>
      <c r="E447" t="s">
        <v>1523</v>
      </c>
      <c r="F447" s="1">
        <v>45371.588194444441</v>
      </c>
      <c r="G447" s="1">
        <v>45371.588194444441</v>
      </c>
    </row>
    <row r="448" spans="1:9" x14ac:dyDescent="0.35">
      <c r="A448" t="str">
        <f>"16914658-6"</f>
        <v>16914658-6</v>
      </c>
      <c r="B448" t="s">
        <v>1569</v>
      </c>
      <c r="C448" t="s">
        <v>1570</v>
      </c>
      <c r="D448" t="s">
        <v>1571</v>
      </c>
      <c r="E448" t="s">
        <v>1572</v>
      </c>
      <c r="F448" s="1">
        <v>45372.666666666664</v>
      </c>
      <c r="G448" s="1">
        <v>45372.666666666664</v>
      </c>
      <c r="H448" t="s">
        <v>1573</v>
      </c>
    </row>
    <row r="449" spans="1:8" x14ac:dyDescent="0.35">
      <c r="A449" t="str">
        <f>"17507163-6"</f>
        <v>17507163-6</v>
      </c>
      <c r="B449" t="s">
        <v>1580</v>
      </c>
      <c r="C449" t="s">
        <v>1581</v>
      </c>
      <c r="D449" t="s">
        <v>1582</v>
      </c>
      <c r="F449" s="1">
        <v>45372.791666666664</v>
      </c>
      <c r="G449" s="1">
        <v>45372.791666666664</v>
      </c>
    </row>
    <row r="450" spans="1:8" x14ac:dyDescent="0.35">
      <c r="A450" t="str">
        <f>"19291461-2"</f>
        <v>19291461-2</v>
      </c>
      <c r="B450" t="s">
        <v>1610</v>
      </c>
      <c r="C450" t="s">
        <v>1611</v>
      </c>
      <c r="D450" t="s">
        <v>1612</v>
      </c>
      <c r="F450" s="1">
        <v>45373.738194444442</v>
      </c>
      <c r="G450" s="1">
        <v>45373.738888888889</v>
      </c>
      <c r="H450" t="s">
        <v>1613</v>
      </c>
    </row>
    <row r="451" spans="1:8" x14ac:dyDescent="0.35">
      <c r="A451" t="str">
        <f>"16056949-2"</f>
        <v>16056949-2</v>
      </c>
      <c r="B451" t="s">
        <v>349</v>
      </c>
      <c r="C451" t="s">
        <v>133</v>
      </c>
      <c r="D451" t="s">
        <v>1636</v>
      </c>
      <c r="F451" s="1">
        <v>45374.535416666666</v>
      </c>
      <c r="G451" s="1">
        <v>45374.535416666666</v>
      </c>
    </row>
    <row r="452" spans="1:8" x14ac:dyDescent="0.35">
      <c r="A452" t="str">
        <f>"13680845-1"</f>
        <v>13680845-1</v>
      </c>
      <c r="B452" t="s">
        <v>1655</v>
      </c>
      <c r="C452" t="s">
        <v>1656</v>
      </c>
      <c r="D452" t="s">
        <v>1657</v>
      </c>
      <c r="F452" s="1">
        <v>45377.547222222223</v>
      </c>
      <c r="G452" s="1">
        <v>45377.547222222223</v>
      </c>
      <c r="H452" t="s">
        <v>1601</v>
      </c>
    </row>
    <row r="453" spans="1:8" x14ac:dyDescent="0.35">
      <c r="A453" t="str">
        <f>"19985726-6"</f>
        <v>19985726-6</v>
      </c>
      <c r="B453" t="s">
        <v>1672</v>
      </c>
      <c r="C453" t="s">
        <v>1077</v>
      </c>
      <c r="D453" t="s">
        <v>1673</v>
      </c>
      <c r="E453" t="s">
        <v>1674</v>
      </c>
      <c r="F453" s="1">
        <v>45377.737500000003</v>
      </c>
      <c r="G453" s="1">
        <v>45377.738194444442</v>
      </c>
    </row>
    <row r="454" spans="1:8" x14ac:dyDescent="0.35">
      <c r="A454" t="str">
        <f>"13412466-0"</f>
        <v>13412466-0</v>
      </c>
      <c r="B454" t="s">
        <v>1705</v>
      </c>
      <c r="C454" t="s">
        <v>599</v>
      </c>
      <c r="D454" t="s">
        <v>1706</v>
      </c>
      <c r="E454" t="s">
        <v>1707</v>
      </c>
      <c r="F454" s="1">
        <v>45378.57708333333</v>
      </c>
      <c r="G454" s="1">
        <v>45378.57708333333</v>
      </c>
    </row>
    <row r="455" spans="1:8" x14ac:dyDescent="0.35">
      <c r="A455" t="str">
        <f>"25536692-0"</f>
        <v>25536692-0</v>
      </c>
      <c r="B455" t="s">
        <v>1708</v>
      </c>
      <c r="C455" t="s">
        <v>1709</v>
      </c>
      <c r="D455" t="s">
        <v>1710</v>
      </c>
      <c r="F455" s="1">
        <v>45378.699305555558</v>
      </c>
      <c r="G455" s="1">
        <v>45378.7</v>
      </c>
    </row>
    <row r="456" spans="1:8" x14ac:dyDescent="0.35">
      <c r="A456" t="str">
        <f>"13903941-6"</f>
        <v>13903941-6</v>
      </c>
      <c r="B456" t="s">
        <v>1711</v>
      </c>
      <c r="C456" t="s">
        <v>1712</v>
      </c>
      <c r="D456" t="s">
        <v>1713</v>
      </c>
      <c r="F456" s="1">
        <v>45378.790972222225</v>
      </c>
      <c r="G456" s="1">
        <v>45378.793055555558</v>
      </c>
    </row>
    <row r="457" spans="1:8" x14ac:dyDescent="0.35">
      <c r="A457" t="str">
        <f>"19308280-7"</f>
        <v>19308280-7</v>
      </c>
      <c r="B457" t="s">
        <v>1737</v>
      </c>
      <c r="C457" t="s">
        <v>1738</v>
      </c>
      <c r="D457" t="s">
        <v>1739</v>
      </c>
      <c r="F457" s="1">
        <v>45379.718055555553</v>
      </c>
      <c r="G457" s="1">
        <v>45379.718055555553</v>
      </c>
      <c r="H457" t="s">
        <v>1740</v>
      </c>
    </row>
    <row r="458" spans="1:8" x14ac:dyDescent="0.35">
      <c r="A458" t="str">
        <f>"27905328-1"</f>
        <v>27905328-1</v>
      </c>
      <c r="B458" t="s">
        <v>1745</v>
      </c>
      <c r="C458" t="s">
        <v>1746</v>
      </c>
      <c r="D458" t="s">
        <v>1747</v>
      </c>
      <c r="F458" s="1">
        <v>45379.779861111114</v>
      </c>
      <c r="G458" s="1">
        <v>45379.779861111114</v>
      </c>
      <c r="H458" t="s">
        <v>1748</v>
      </c>
    </row>
    <row r="459" spans="1:8" x14ac:dyDescent="0.35">
      <c r="A459" t="str">
        <f>"18391933-4"</f>
        <v>18391933-4</v>
      </c>
      <c r="B459" t="s">
        <v>368</v>
      </c>
      <c r="C459" t="s">
        <v>1756</v>
      </c>
      <c r="D459" t="s">
        <v>1757</v>
      </c>
      <c r="F459" s="1">
        <v>45379.843055555553</v>
      </c>
      <c r="G459" s="1">
        <v>45379.843055555553</v>
      </c>
    </row>
    <row r="460" spans="1:8" x14ac:dyDescent="0.35">
      <c r="A460" t="str">
        <f>"26083271-9"</f>
        <v>26083271-9</v>
      </c>
      <c r="B460" t="s">
        <v>1774</v>
      </c>
      <c r="C460" t="s">
        <v>228</v>
      </c>
      <c r="D460" t="s">
        <v>1775</v>
      </c>
      <c r="F460" s="1">
        <v>45381.756944444445</v>
      </c>
      <c r="G460" s="1">
        <v>45381.756944444445</v>
      </c>
      <c r="H460" t="s">
        <v>1776</v>
      </c>
    </row>
    <row r="461" spans="1:8" x14ac:dyDescent="0.35">
      <c r="A461" t="str">
        <f>"21076844-0"</f>
        <v>21076844-0</v>
      </c>
      <c r="B461" t="s">
        <v>1281</v>
      </c>
      <c r="C461" t="s">
        <v>1777</v>
      </c>
      <c r="D461" t="s">
        <v>1778</v>
      </c>
      <c r="F461" s="1">
        <v>45381.881249999999</v>
      </c>
      <c r="G461" s="1">
        <v>45381.881944444445</v>
      </c>
    </row>
    <row r="462" spans="1:8" x14ac:dyDescent="0.35">
      <c r="A462" t="str">
        <f>"16429643-1"</f>
        <v>16429643-1</v>
      </c>
      <c r="B462" t="s">
        <v>379</v>
      </c>
      <c r="C462" t="s">
        <v>1061</v>
      </c>
      <c r="D462" t="s">
        <v>1806</v>
      </c>
      <c r="F462" s="1">
        <v>45384.529166666667</v>
      </c>
      <c r="G462" s="1">
        <v>45384.529861111114</v>
      </c>
      <c r="H462" t="s">
        <v>1807</v>
      </c>
    </row>
    <row r="463" spans="1:8" x14ac:dyDescent="0.35">
      <c r="A463" t="str">
        <f>"8734479-7"</f>
        <v>8734479-7</v>
      </c>
      <c r="B463" t="s">
        <v>1822</v>
      </c>
      <c r="C463" t="s">
        <v>1344</v>
      </c>
      <c r="D463" t="s">
        <v>1823</v>
      </c>
      <c r="E463" t="s">
        <v>1824</v>
      </c>
      <c r="F463" s="1">
        <v>45384.751388888886</v>
      </c>
      <c r="G463" s="1">
        <v>45384.751388888886</v>
      </c>
    </row>
    <row r="464" spans="1:8" x14ac:dyDescent="0.35">
      <c r="A464" t="str">
        <f>"19634142-0"</f>
        <v>19634142-0</v>
      </c>
      <c r="B464" t="s">
        <v>1845</v>
      </c>
      <c r="C464" t="s">
        <v>145</v>
      </c>
      <c r="D464" t="s">
        <v>1846</v>
      </c>
      <c r="F464" s="1">
        <v>45385.798611111109</v>
      </c>
      <c r="G464" s="1">
        <v>45385.798611111109</v>
      </c>
      <c r="H464" t="s">
        <v>1847</v>
      </c>
    </row>
    <row r="465" spans="1:7" x14ac:dyDescent="0.35">
      <c r="A465" t="str">
        <f>"15284989-3"</f>
        <v>15284989-3</v>
      </c>
      <c r="B465" t="s">
        <v>101</v>
      </c>
      <c r="C465" t="s">
        <v>1854</v>
      </c>
      <c r="D465" t="s">
        <v>1855</v>
      </c>
      <c r="E465" t="s">
        <v>1856</v>
      </c>
      <c r="F465" s="1">
        <v>45386.509722222225</v>
      </c>
      <c r="G465" s="1">
        <v>45386.510416666664</v>
      </c>
    </row>
    <row r="466" spans="1:7" x14ac:dyDescent="0.35">
      <c r="A466" t="str">
        <f>"17212028-8"</f>
        <v>17212028-8</v>
      </c>
      <c r="B466" t="s">
        <v>1868</v>
      </c>
      <c r="C466" t="s">
        <v>106</v>
      </c>
      <c r="D466" t="s">
        <v>1869</v>
      </c>
      <c r="F466" s="1">
        <v>45386.807638888888</v>
      </c>
      <c r="G466" s="1">
        <v>45386.808333333334</v>
      </c>
    </row>
    <row r="467" spans="1:7" x14ac:dyDescent="0.35">
      <c r="A467" t="str">
        <f>"9672308-3"</f>
        <v>9672308-3</v>
      </c>
      <c r="B467" t="s">
        <v>1368</v>
      </c>
      <c r="C467" t="s">
        <v>1886</v>
      </c>
      <c r="D467" t="s">
        <v>1887</v>
      </c>
      <c r="F467" s="1">
        <v>45387.795138888891</v>
      </c>
      <c r="G467" s="1">
        <v>45387.796527777777</v>
      </c>
    </row>
    <row r="468" spans="1:7" x14ac:dyDescent="0.35">
      <c r="A468" t="str">
        <f>"253044780"</f>
        <v>253044780</v>
      </c>
      <c r="B468" t="s">
        <v>203</v>
      </c>
      <c r="C468" t="s">
        <v>1922</v>
      </c>
      <c r="D468" t="s">
        <v>1923</v>
      </c>
      <c r="F468" s="1">
        <v>45392.490972222222</v>
      </c>
      <c r="G468" s="1">
        <v>45392.490972222222</v>
      </c>
    </row>
    <row r="469" spans="1:7" x14ac:dyDescent="0.35">
      <c r="A469" t="str">
        <f>"19962651-5"</f>
        <v>19962651-5</v>
      </c>
      <c r="B469" t="s">
        <v>794</v>
      </c>
      <c r="C469" t="s">
        <v>1259</v>
      </c>
      <c r="D469" t="s">
        <v>1931</v>
      </c>
      <c r="F469" s="1">
        <v>45392.759027777778</v>
      </c>
      <c r="G469" s="1">
        <v>45392.759722222225</v>
      </c>
    </row>
    <row r="470" spans="1:7" x14ac:dyDescent="0.35">
      <c r="A470" t="str">
        <f>"20214965-0"</f>
        <v>20214965-0</v>
      </c>
      <c r="B470" t="s">
        <v>690</v>
      </c>
      <c r="C470" t="s">
        <v>1932</v>
      </c>
      <c r="D470" t="s">
        <v>1933</v>
      </c>
      <c r="F470" s="1">
        <v>45392.777083333334</v>
      </c>
      <c r="G470" s="1">
        <v>45392.777083333334</v>
      </c>
    </row>
    <row r="471" spans="1:7" x14ac:dyDescent="0.35">
      <c r="A471" t="str">
        <f>"15754296-6"</f>
        <v>15754296-6</v>
      </c>
      <c r="B471" t="s">
        <v>171</v>
      </c>
      <c r="C471" t="s">
        <v>1792</v>
      </c>
      <c r="D471" t="s">
        <v>1942</v>
      </c>
      <c r="F471" s="1">
        <v>45393.563194444447</v>
      </c>
      <c r="G471" s="1">
        <v>45393.563194444447</v>
      </c>
    </row>
    <row r="472" spans="1:7" x14ac:dyDescent="0.35">
      <c r="A472" t="str">
        <f>"13672622-6"</f>
        <v>13672622-6</v>
      </c>
      <c r="B472" t="s">
        <v>1949</v>
      </c>
      <c r="C472" t="s">
        <v>1950</v>
      </c>
      <c r="D472" t="s">
        <v>1951</v>
      </c>
      <c r="F472" s="1">
        <v>45393.713194444441</v>
      </c>
      <c r="G472" s="1">
        <v>45393.713194444441</v>
      </c>
    </row>
    <row r="473" spans="1:7" x14ac:dyDescent="0.35">
      <c r="A473" t="str">
        <f>"20482611-0"</f>
        <v>20482611-0</v>
      </c>
      <c r="B473" t="s">
        <v>402</v>
      </c>
      <c r="C473" t="s">
        <v>153</v>
      </c>
      <c r="D473" t="s">
        <v>1952</v>
      </c>
      <c r="F473" s="1">
        <v>45393.738194444442</v>
      </c>
      <c r="G473" s="1">
        <v>45393.738194444442</v>
      </c>
    </row>
    <row r="474" spans="1:7" x14ac:dyDescent="0.35">
      <c r="A474" t="str">
        <f>"15339310-9"</f>
        <v>15339310-9</v>
      </c>
      <c r="B474" t="s">
        <v>111</v>
      </c>
      <c r="C474" t="s">
        <v>1964</v>
      </c>
      <c r="D474" t="s">
        <v>1965</v>
      </c>
      <c r="F474" s="1">
        <v>45394.561111111114</v>
      </c>
      <c r="G474" s="1">
        <v>45394.561111111114</v>
      </c>
    </row>
    <row r="475" spans="1:7" x14ac:dyDescent="0.35">
      <c r="A475" t="str">
        <f>"13550038-0"</f>
        <v>13550038-0</v>
      </c>
      <c r="B475" t="s">
        <v>1969</v>
      </c>
      <c r="C475" t="s">
        <v>153</v>
      </c>
      <c r="D475" t="s">
        <v>1970</v>
      </c>
      <c r="F475" s="1">
        <v>45394.661805555559</v>
      </c>
      <c r="G475" s="1">
        <v>45394.662499999999</v>
      </c>
    </row>
    <row r="476" spans="1:7" x14ac:dyDescent="0.35">
      <c r="A476" t="str">
        <f>"15800280-9"</f>
        <v>15800280-9</v>
      </c>
      <c r="B476" t="s">
        <v>48</v>
      </c>
      <c r="C476" t="s">
        <v>447</v>
      </c>
      <c r="D476" t="s">
        <v>1979</v>
      </c>
      <c r="E476" t="s">
        <v>1980</v>
      </c>
      <c r="F476" s="1">
        <v>45395.663194444445</v>
      </c>
      <c r="G476" s="1">
        <v>45395.663194444445</v>
      </c>
    </row>
    <row r="477" spans="1:7" x14ac:dyDescent="0.35">
      <c r="A477" t="str">
        <f>"12558426-8"</f>
        <v>12558426-8</v>
      </c>
      <c r="B477" t="s">
        <v>1981</v>
      </c>
      <c r="C477" t="s">
        <v>1982</v>
      </c>
      <c r="D477" t="s">
        <v>1983</v>
      </c>
      <c r="E477" t="s">
        <v>1984</v>
      </c>
      <c r="F477" s="1">
        <v>45395.758333333331</v>
      </c>
      <c r="G477" s="1">
        <v>45395.758333333331</v>
      </c>
    </row>
    <row r="478" spans="1:7" x14ac:dyDescent="0.35">
      <c r="A478" t="str">
        <f>"20008618-K"</f>
        <v>20008618-K</v>
      </c>
      <c r="B478" t="s">
        <v>527</v>
      </c>
      <c r="C478" t="s">
        <v>494</v>
      </c>
      <c r="D478" t="s">
        <v>1988</v>
      </c>
      <c r="F478" s="1">
        <v>45395.78125</v>
      </c>
      <c r="G478" s="1">
        <v>45395.78125</v>
      </c>
    </row>
    <row r="479" spans="1:7" x14ac:dyDescent="0.35">
      <c r="A479" t="str">
        <f>"21122332-4"</f>
        <v>21122332-4</v>
      </c>
      <c r="B479" t="s">
        <v>236</v>
      </c>
      <c r="C479" t="s">
        <v>1992</v>
      </c>
      <c r="D479" t="s">
        <v>1993</v>
      </c>
      <c r="F479" s="1">
        <v>45397.487500000003</v>
      </c>
      <c r="G479" s="1">
        <v>45397.488194444442</v>
      </c>
    </row>
    <row r="480" spans="1:7" x14ac:dyDescent="0.35">
      <c r="A480" t="str">
        <f>"16343711-2"</f>
        <v>16343711-2</v>
      </c>
      <c r="B480" t="s">
        <v>392</v>
      </c>
      <c r="C480" t="s">
        <v>1073</v>
      </c>
      <c r="D480" t="s">
        <v>2016</v>
      </c>
      <c r="F480" s="1">
        <v>45398.701388888891</v>
      </c>
      <c r="G480" s="1">
        <v>45398.70208333333</v>
      </c>
    </row>
    <row r="481" spans="1:9" x14ac:dyDescent="0.35">
      <c r="A481" t="str">
        <f>"14228617-3"</f>
        <v>14228617-3</v>
      </c>
      <c r="B481" t="s">
        <v>478</v>
      </c>
      <c r="C481" t="s">
        <v>2019</v>
      </c>
      <c r="D481" t="s">
        <v>2020</v>
      </c>
      <c r="E481" t="s">
        <v>2021</v>
      </c>
      <c r="F481" s="1">
        <v>45399.599305555559</v>
      </c>
      <c r="G481" s="1">
        <v>45399.599305555559</v>
      </c>
    </row>
    <row r="482" spans="1:9" x14ac:dyDescent="0.35">
      <c r="A482" t="str">
        <f>"19896826-9"</f>
        <v>19896826-9</v>
      </c>
      <c r="B482" t="s">
        <v>493</v>
      </c>
      <c r="C482" t="s">
        <v>2026</v>
      </c>
      <c r="D482" t="s">
        <v>2027</v>
      </c>
      <c r="F482" s="1">
        <v>45399.845138888886</v>
      </c>
      <c r="G482" s="1">
        <v>45399.845138888886</v>
      </c>
    </row>
    <row r="483" spans="1:9" x14ac:dyDescent="0.35">
      <c r="A483" t="str">
        <f>"25648756k"</f>
        <v>25648756k</v>
      </c>
      <c r="B483" t="s">
        <v>2042</v>
      </c>
      <c r="C483" t="s">
        <v>447</v>
      </c>
      <c r="D483" t="s">
        <v>2043</v>
      </c>
      <c r="F483" s="1">
        <v>45400.515972222223</v>
      </c>
      <c r="G483" s="1">
        <v>45400.515972222223</v>
      </c>
    </row>
    <row r="484" spans="1:9" x14ac:dyDescent="0.35">
      <c r="A484" t="str">
        <f>"17598726-6"</f>
        <v>17598726-6</v>
      </c>
      <c r="B484" t="s">
        <v>203</v>
      </c>
      <c r="C484" t="s">
        <v>2049</v>
      </c>
      <c r="D484" t="s">
        <v>2050</v>
      </c>
      <c r="F484" s="1">
        <v>45400.568055555559</v>
      </c>
      <c r="G484" s="1">
        <v>45400.568055555559</v>
      </c>
    </row>
    <row r="485" spans="1:9" x14ac:dyDescent="0.35">
      <c r="A485" t="str">
        <f>"20388403-6"</f>
        <v>20388403-6</v>
      </c>
      <c r="B485" t="s">
        <v>421</v>
      </c>
      <c r="C485" t="s">
        <v>2052</v>
      </c>
      <c r="D485" t="s">
        <v>2053</v>
      </c>
      <c r="F485" s="1">
        <v>45400.697916666664</v>
      </c>
      <c r="G485" s="1">
        <v>45400.698611111111</v>
      </c>
    </row>
    <row r="486" spans="1:9" x14ac:dyDescent="0.35">
      <c r="A486" t="str">
        <f>"18668071-5"</f>
        <v>18668071-5</v>
      </c>
      <c r="B486" t="s">
        <v>111</v>
      </c>
      <c r="C486" t="s">
        <v>149</v>
      </c>
      <c r="D486" t="s">
        <v>2054</v>
      </c>
      <c r="F486" s="1">
        <v>45401.463194444441</v>
      </c>
      <c r="G486" s="1">
        <v>45401.463194444441</v>
      </c>
    </row>
    <row r="487" spans="1:9" x14ac:dyDescent="0.35">
      <c r="A487" t="str">
        <f>"12959609-0"</f>
        <v>12959609-0</v>
      </c>
      <c r="B487" t="s">
        <v>1189</v>
      </c>
      <c r="C487" t="s">
        <v>377</v>
      </c>
      <c r="D487" t="s">
        <v>2060</v>
      </c>
      <c r="F487" s="1">
        <v>45401.64166666667</v>
      </c>
      <c r="G487" s="1">
        <v>45401.64166666667</v>
      </c>
    </row>
    <row r="488" spans="1:9" x14ac:dyDescent="0.35">
      <c r="A488" t="str">
        <f>"18521235-1"</f>
        <v>18521235-1</v>
      </c>
      <c r="B488" t="s">
        <v>2065</v>
      </c>
      <c r="C488" t="s">
        <v>2066</v>
      </c>
      <c r="D488" t="s">
        <v>2067</v>
      </c>
      <c r="F488" s="1">
        <v>45401.713194444441</v>
      </c>
      <c r="G488" s="1">
        <v>45401.71597222222</v>
      </c>
    </row>
    <row r="489" spans="1:9" x14ac:dyDescent="0.35">
      <c r="A489" t="str">
        <f>"19709232-7"</f>
        <v>19709232-7</v>
      </c>
      <c r="B489" t="s">
        <v>239</v>
      </c>
      <c r="C489" t="s">
        <v>2105</v>
      </c>
      <c r="D489" t="s">
        <v>2106</v>
      </c>
      <c r="F489" s="1">
        <v>45405.467361111114</v>
      </c>
      <c r="G489" s="1">
        <v>45405.467361111114</v>
      </c>
    </row>
    <row r="490" spans="1:9" x14ac:dyDescent="0.35">
      <c r="A490" t="str">
        <f>"18174231-3"</f>
        <v>18174231-3</v>
      </c>
      <c r="B490" t="s">
        <v>1116</v>
      </c>
      <c r="C490" t="s">
        <v>2107</v>
      </c>
      <c r="D490" t="s">
        <v>2108</v>
      </c>
      <c r="F490" s="1">
        <v>45405.56527777778</v>
      </c>
      <c r="G490" s="1">
        <v>45405.56527777778</v>
      </c>
    </row>
    <row r="491" spans="1:9" x14ac:dyDescent="0.35">
      <c r="A491" t="str">
        <f>"21275284-3"</f>
        <v>21275284-3</v>
      </c>
      <c r="B491" t="s">
        <v>694</v>
      </c>
      <c r="C491" t="s">
        <v>250</v>
      </c>
      <c r="D491" t="s">
        <v>2115</v>
      </c>
      <c r="F491" s="1">
        <v>45405.736805555556</v>
      </c>
      <c r="G491" s="1">
        <v>45405.737500000003</v>
      </c>
    </row>
    <row r="492" spans="1:9" x14ac:dyDescent="0.35">
      <c r="A492" t="str">
        <f>"19866806-0"</f>
        <v>19866806-0</v>
      </c>
      <c r="B492" t="s">
        <v>374</v>
      </c>
      <c r="C492" t="s">
        <v>296</v>
      </c>
      <c r="D492" t="s">
        <v>928</v>
      </c>
      <c r="F492" s="1">
        <v>45315.449305555558</v>
      </c>
      <c r="G492" s="1">
        <v>45329.428472222222</v>
      </c>
      <c r="H492" t="s">
        <v>929</v>
      </c>
      <c r="I492" t="s">
        <v>11</v>
      </c>
    </row>
    <row r="493" spans="1:9" x14ac:dyDescent="0.35">
      <c r="A493" t="str">
        <f>"16599650-K"</f>
        <v>16599650-K</v>
      </c>
      <c r="B493" t="s">
        <v>193</v>
      </c>
      <c r="C493" t="s">
        <v>2148</v>
      </c>
      <c r="D493" t="s">
        <v>2149</v>
      </c>
      <c r="F493" s="1">
        <v>45407.775000000001</v>
      </c>
      <c r="G493" s="1">
        <v>45407.775000000001</v>
      </c>
    </row>
    <row r="494" spans="1:9" x14ac:dyDescent="0.35">
      <c r="A494" t="str">
        <f>"14170768-K"</f>
        <v>14170768-K</v>
      </c>
      <c r="B494" t="s">
        <v>564</v>
      </c>
      <c r="C494" t="s">
        <v>1906</v>
      </c>
      <c r="D494" t="s">
        <v>2150</v>
      </c>
      <c r="F494" s="1">
        <v>45407.797222222223</v>
      </c>
      <c r="G494" s="1">
        <v>45407.797222222223</v>
      </c>
    </row>
    <row r="495" spans="1:9" x14ac:dyDescent="0.35">
      <c r="A495" t="str">
        <f>"18395034-7"</f>
        <v>18395034-7</v>
      </c>
      <c r="B495" t="s">
        <v>746</v>
      </c>
      <c r="C495" t="s">
        <v>2171</v>
      </c>
      <c r="D495" t="s">
        <v>2172</v>
      </c>
      <c r="F495" s="1">
        <v>45408.624305555553</v>
      </c>
      <c r="G495" s="1">
        <v>45408.625</v>
      </c>
    </row>
    <row r="496" spans="1:9" x14ac:dyDescent="0.35">
      <c r="A496" t="str">
        <f>"17225319-9"</f>
        <v>17225319-9</v>
      </c>
      <c r="B496" t="s">
        <v>2173</v>
      </c>
      <c r="C496" t="s">
        <v>2174</v>
      </c>
      <c r="D496" t="s">
        <v>2175</v>
      </c>
      <c r="F496" s="1">
        <v>45408.626388888886</v>
      </c>
      <c r="G496" s="1">
        <v>45408.627083333333</v>
      </c>
    </row>
    <row r="497" spans="1:8" x14ac:dyDescent="0.35">
      <c r="A497" t="str">
        <f>"20258168-4"</f>
        <v>20258168-4</v>
      </c>
      <c r="B497" t="s">
        <v>439</v>
      </c>
      <c r="C497" t="s">
        <v>1231</v>
      </c>
      <c r="D497" t="s">
        <v>2193</v>
      </c>
      <c r="F497" s="1">
        <v>45409.505555555559</v>
      </c>
      <c r="G497" s="1">
        <v>45409.505555555559</v>
      </c>
      <c r="H497" t="s">
        <v>206</v>
      </c>
    </row>
    <row r="498" spans="1:8" x14ac:dyDescent="0.35">
      <c r="A498" t="str">
        <f>"21577886-K"</f>
        <v>21577886-K</v>
      </c>
      <c r="B498" t="s">
        <v>2196</v>
      </c>
      <c r="C498" t="s">
        <v>228</v>
      </c>
      <c r="D498" t="s">
        <v>2197</v>
      </c>
      <c r="F498" s="1">
        <v>45409.706944444442</v>
      </c>
      <c r="G498" s="1">
        <v>45409.707638888889</v>
      </c>
    </row>
    <row r="499" spans="1:8" x14ac:dyDescent="0.35">
      <c r="A499" t="str">
        <f>"12934579-9"</f>
        <v>12934579-9</v>
      </c>
      <c r="B499" t="s">
        <v>2145</v>
      </c>
      <c r="C499" t="s">
        <v>2213</v>
      </c>
      <c r="D499" t="s">
        <v>2214</v>
      </c>
      <c r="E499" t="s">
        <v>2215</v>
      </c>
      <c r="F499" s="1">
        <v>45410.570138888892</v>
      </c>
      <c r="G499" s="1">
        <v>45410.570833333331</v>
      </c>
    </row>
    <row r="500" spans="1:8" x14ac:dyDescent="0.35">
      <c r="A500" t="str">
        <f>"18256375-7"</f>
        <v>18256375-7</v>
      </c>
      <c r="B500" t="s">
        <v>2220</v>
      </c>
      <c r="C500" t="s">
        <v>2221</v>
      </c>
      <c r="D500" t="s">
        <v>2222</v>
      </c>
      <c r="F500" s="1">
        <v>45411.65902777778</v>
      </c>
      <c r="G500" s="1">
        <v>45411.65902777778</v>
      </c>
    </row>
    <row r="501" spans="1:8" x14ac:dyDescent="0.35">
      <c r="A501" t="str">
        <f>"17236971-5"</f>
        <v>17236971-5</v>
      </c>
      <c r="B501" t="s">
        <v>2044</v>
      </c>
      <c r="C501" t="s">
        <v>2223</v>
      </c>
      <c r="D501" t="s">
        <v>2224</v>
      </c>
      <c r="F501" s="1">
        <v>45411.659722222219</v>
      </c>
      <c r="G501" s="1">
        <v>45411.659722222219</v>
      </c>
    </row>
    <row r="502" spans="1:8" x14ac:dyDescent="0.35">
      <c r="A502" t="str">
        <f>"10901837-6"</f>
        <v>10901837-6</v>
      </c>
      <c r="B502" t="s">
        <v>22</v>
      </c>
      <c r="C502" t="s">
        <v>2231</v>
      </c>
      <c r="D502" t="s">
        <v>2232</v>
      </c>
      <c r="F502" s="1">
        <v>45412.484722222223</v>
      </c>
      <c r="G502" s="1">
        <v>45412.48541666667</v>
      </c>
    </row>
    <row r="503" spans="1:8" x14ac:dyDescent="0.35">
      <c r="A503" t="str">
        <f>"17543698-7"</f>
        <v>17543698-7</v>
      </c>
      <c r="B503" t="s">
        <v>101</v>
      </c>
      <c r="C503" t="s">
        <v>313</v>
      </c>
      <c r="D503" t="s">
        <v>2243</v>
      </c>
      <c r="F503" s="1">
        <v>45412.745138888888</v>
      </c>
      <c r="G503" s="1">
        <v>45412.745138888888</v>
      </c>
    </row>
    <row r="504" spans="1:8" x14ac:dyDescent="0.35">
      <c r="A504" t="str">
        <f>"19317169-9"</f>
        <v>19317169-9</v>
      </c>
      <c r="B504" t="s">
        <v>453</v>
      </c>
      <c r="C504" t="s">
        <v>2249</v>
      </c>
      <c r="D504" t="s">
        <v>2250</v>
      </c>
      <c r="F504" s="1">
        <v>45412.789583333331</v>
      </c>
      <c r="G504" s="1">
        <v>45412.790277777778</v>
      </c>
    </row>
    <row r="505" spans="1:8" x14ac:dyDescent="0.35">
      <c r="A505" t="str">
        <f>"19133475-2"</f>
        <v>19133475-2</v>
      </c>
      <c r="B505" t="s">
        <v>54</v>
      </c>
      <c r="C505" t="s">
        <v>1279</v>
      </c>
      <c r="D505" t="s">
        <v>2253</v>
      </c>
      <c r="F505" s="1">
        <v>45412.84097222222</v>
      </c>
      <c r="G505" s="1">
        <v>45412.84097222222</v>
      </c>
    </row>
    <row r="506" spans="1:8" x14ac:dyDescent="0.35">
      <c r="A506" t="str">
        <f>"18927215-4"</f>
        <v>18927215-4</v>
      </c>
      <c r="B506" t="s">
        <v>392</v>
      </c>
      <c r="C506" t="s">
        <v>2273</v>
      </c>
      <c r="D506" t="s">
        <v>2274</v>
      </c>
      <c r="F506" s="1">
        <v>45414.506249999999</v>
      </c>
      <c r="G506" s="1">
        <v>45414.506944444445</v>
      </c>
    </row>
    <row r="507" spans="1:8" x14ac:dyDescent="0.35">
      <c r="A507" t="str">
        <f>"15007646-3"</f>
        <v>15007646-3</v>
      </c>
      <c r="B507" t="s">
        <v>955</v>
      </c>
      <c r="C507" t="s">
        <v>250</v>
      </c>
      <c r="D507" t="s">
        <v>2277</v>
      </c>
      <c r="F507" s="1">
        <v>45414.611805555556</v>
      </c>
      <c r="G507" s="1">
        <v>45414.613194444442</v>
      </c>
    </row>
    <row r="508" spans="1:8" x14ac:dyDescent="0.35">
      <c r="A508" t="str">
        <f>"5192545-9"</f>
        <v>5192545-9</v>
      </c>
      <c r="B508" t="s">
        <v>2279</v>
      </c>
      <c r="C508" t="s">
        <v>2280</v>
      </c>
      <c r="D508" t="s">
        <v>2281</v>
      </c>
      <c r="F508" s="1">
        <v>45414.724305555559</v>
      </c>
      <c r="G508" s="1">
        <v>45414.724305555559</v>
      </c>
    </row>
    <row r="509" spans="1:8" x14ac:dyDescent="0.35">
      <c r="A509" t="str">
        <f>"18608650-3"</f>
        <v>18608650-3</v>
      </c>
      <c r="B509" t="s">
        <v>379</v>
      </c>
      <c r="C509" t="s">
        <v>2287</v>
      </c>
      <c r="D509" t="s">
        <v>2288</v>
      </c>
      <c r="F509" s="1">
        <v>45415.493055555555</v>
      </c>
      <c r="G509" s="1">
        <v>45415.493055555555</v>
      </c>
    </row>
    <row r="510" spans="1:8" x14ac:dyDescent="0.35">
      <c r="A510" t="str">
        <f>"19421266-6"</f>
        <v>19421266-6</v>
      </c>
      <c r="B510" t="s">
        <v>2289</v>
      </c>
      <c r="C510" t="s">
        <v>2290</v>
      </c>
      <c r="D510" t="s">
        <v>2291</v>
      </c>
      <c r="F510" s="1">
        <v>45415.630555555559</v>
      </c>
      <c r="G510" s="1">
        <v>45415.631249999999</v>
      </c>
    </row>
    <row r="511" spans="1:8" x14ac:dyDescent="0.35">
      <c r="A511" t="str">
        <f>"20297082-6"</f>
        <v>20297082-6</v>
      </c>
      <c r="B511" t="s">
        <v>794</v>
      </c>
      <c r="C511" t="s">
        <v>342</v>
      </c>
      <c r="D511" t="s">
        <v>2312</v>
      </c>
      <c r="F511" s="1">
        <v>45416.814583333333</v>
      </c>
      <c r="G511" s="1">
        <v>45416.81527777778</v>
      </c>
    </row>
    <row r="512" spans="1:8" x14ac:dyDescent="0.35">
      <c r="A512" t="str">
        <f>"13843601-2"</f>
        <v>13843601-2</v>
      </c>
      <c r="B512" t="s">
        <v>2313</v>
      </c>
      <c r="C512" t="s">
        <v>2314</v>
      </c>
      <c r="D512" t="s">
        <v>2315</v>
      </c>
      <c r="F512" s="1">
        <v>45418.57916666667</v>
      </c>
      <c r="G512" s="1">
        <v>45418.57916666667</v>
      </c>
    </row>
    <row r="513" spans="1:8" x14ac:dyDescent="0.35">
      <c r="A513" t="str">
        <f>"15962102-2"</f>
        <v>15962102-2</v>
      </c>
      <c r="B513" t="s">
        <v>1911</v>
      </c>
      <c r="C513" t="s">
        <v>347</v>
      </c>
      <c r="D513" t="s">
        <v>2316</v>
      </c>
      <c r="F513" s="1">
        <v>45418.651388888888</v>
      </c>
      <c r="G513" s="1">
        <v>45418.651388888888</v>
      </c>
    </row>
    <row r="514" spans="1:8" x14ac:dyDescent="0.35">
      <c r="A514" t="str">
        <f>"18391437-5"</f>
        <v>18391437-5</v>
      </c>
      <c r="B514" t="s">
        <v>2319</v>
      </c>
      <c r="C514" t="s">
        <v>2320</v>
      </c>
      <c r="D514" t="s">
        <v>2321</v>
      </c>
      <c r="F514" s="1">
        <v>45418.697916666664</v>
      </c>
      <c r="G514" s="1">
        <v>45418.698611111111</v>
      </c>
    </row>
    <row r="515" spans="1:8" x14ac:dyDescent="0.35">
      <c r="A515" t="str">
        <f>"16121856-1"</f>
        <v>16121856-1</v>
      </c>
      <c r="B515" t="s">
        <v>101</v>
      </c>
      <c r="C515" t="s">
        <v>250</v>
      </c>
      <c r="D515" t="s">
        <v>2332</v>
      </c>
      <c r="F515" s="1">
        <v>45420.56527777778</v>
      </c>
      <c r="G515" s="1">
        <v>45420.56527777778</v>
      </c>
    </row>
    <row r="516" spans="1:8" x14ac:dyDescent="0.35">
      <c r="A516" t="str">
        <f>"20849491-0"</f>
        <v>20849491-0</v>
      </c>
      <c r="B516" t="s">
        <v>230</v>
      </c>
      <c r="C516" t="s">
        <v>2339</v>
      </c>
      <c r="D516" t="s">
        <v>2340</v>
      </c>
      <c r="F516" s="1">
        <v>45420.793055555558</v>
      </c>
      <c r="G516" s="1">
        <v>45420.793055555558</v>
      </c>
    </row>
    <row r="517" spans="1:8" x14ac:dyDescent="0.35">
      <c r="A517" t="str">
        <f>"20108890-9"</f>
        <v>20108890-9</v>
      </c>
      <c r="B517" t="s">
        <v>1046</v>
      </c>
      <c r="C517" t="s">
        <v>2349</v>
      </c>
      <c r="D517" t="s">
        <v>2350</v>
      </c>
      <c r="F517" s="1">
        <v>45421.537499999999</v>
      </c>
      <c r="G517" s="1">
        <v>45421.538194444445</v>
      </c>
    </row>
    <row r="518" spans="1:8" x14ac:dyDescent="0.35">
      <c r="A518" t="str">
        <f>""</f>
        <v/>
      </c>
      <c r="B518" t="s">
        <v>1060</v>
      </c>
      <c r="C518" t="s">
        <v>906</v>
      </c>
      <c r="D518" t="s">
        <v>2362</v>
      </c>
      <c r="F518" s="1">
        <v>45421.881249999999</v>
      </c>
      <c r="G518" s="1">
        <v>45421.881944444445</v>
      </c>
      <c r="H518" t="s">
        <v>2363</v>
      </c>
    </row>
    <row r="519" spans="1:8" x14ac:dyDescent="0.35">
      <c r="A519" t="str">
        <f>"17088362-4"</f>
        <v>17088362-4</v>
      </c>
      <c r="B519" t="s">
        <v>207</v>
      </c>
      <c r="C519" t="s">
        <v>2368</v>
      </c>
      <c r="D519" t="s">
        <v>2369</v>
      </c>
      <c r="F519" s="1">
        <v>45422.459027777775</v>
      </c>
      <c r="G519" s="1">
        <v>45422.459027777775</v>
      </c>
    </row>
    <row r="520" spans="1:8" x14ac:dyDescent="0.35">
      <c r="A520" t="str">
        <f>""</f>
        <v/>
      </c>
      <c r="B520" t="s">
        <v>2397</v>
      </c>
      <c r="C520" t="s">
        <v>610</v>
      </c>
      <c r="D520" t="s">
        <v>2398</v>
      </c>
      <c r="F520" s="1">
        <v>45426.469444444447</v>
      </c>
      <c r="G520" s="1">
        <v>45426.470138888886</v>
      </c>
    </row>
    <row r="521" spans="1:8" x14ac:dyDescent="0.35">
      <c r="A521" t="str">
        <f>"15462026-5"</f>
        <v>15462026-5</v>
      </c>
      <c r="B521" t="s">
        <v>1072</v>
      </c>
      <c r="C521" t="s">
        <v>2401</v>
      </c>
      <c r="D521" t="s">
        <v>2402</v>
      </c>
      <c r="F521" s="1">
        <v>45426.715277777781</v>
      </c>
      <c r="G521" s="1">
        <v>45426.71597222222</v>
      </c>
    </row>
    <row r="522" spans="1:8" x14ac:dyDescent="0.35">
      <c r="A522" t="str">
        <f>"17050713-4"</f>
        <v>17050713-4</v>
      </c>
      <c r="B522" t="s">
        <v>190</v>
      </c>
      <c r="C522" t="s">
        <v>2405</v>
      </c>
      <c r="D522" t="s">
        <v>2406</v>
      </c>
      <c r="F522" s="1">
        <v>45426.838888888888</v>
      </c>
      <c r="G522" s="1">
        <v>45426.841666666667</v>
      </c>
    </row>
    <row r="523" spans="1:8" x14ac:dyDescent="0.35">
      <c r="A523" t="str">
        <f>"16945161-3"</f>
        <v>16945161-3</v>
      </c>
      <c r="B523" t="s">
        <v>1046</v>
      </c>
      <c r="C523" t="s">
        <v>250</v>
      </c>
      <c r="D523" t="s">
        <v>2413</v>
      </c>
      <c r="F523" s="1">
        <v>45427.777083333334</v>
      </c>
      <c r="G523" s="1">
        <v>45427.777777777781</v>
      </c>
    </row>
    <row r="524" spans="1:8" x14ac:dyDescent="0.35">
      <c r="A524" t="str">
        <f>"19004059-3"</f>
        <v>19004059-3</v>
      </c>
      <c r="B524" t="s">
        <v>1841</v>
      </c>
      <c r="C524" t="s">
        <v>2419</v>
      </c>
      <c r="D524" t="s">
        <v>2420</v>
      </c>
      <c r="F524" s="1">
        <v>45427.854166666664</v>
      </c>
      <c r="G524" s="1">
        <v>45427.861805555556</v>
      </c>
    </row>
    <row r="525" spans="1:8" x14ac:dyDescent="0.35">
      <c r="A525" t="str">
        <f>"14152305-8"</f>
        <v>14152305-8</v>
      </c>
      <c r="B525" t="s">
        <v>1868</v>
      </c>
      <c r="C525" t="s">
        <v>1916</v>
      </c>
      <c r="D525" t="s">
        <v>2421</v>
      </c>
      <c r="F525" s="1">
        <v>45428.484027777777</v>
      </c>
      <c r="G525" s="1">
        <v>45428.484027777777</v>
      </c>
    </row>
    <row r="526" spans="1:8" x14ac:dyDescent="0.35">
      <c r="A526" t="str">
        <f>"21252586-3"</f>
        <v>21252586-3</v>
      </c>
      <c r="B526" t="s">
        <v>54</v>
      </c>
      <c r="C526" t="s">
        <v>939</v>
      </c>
      <c r="D526" t="s">
        <v>2425</v>
      </c>
      <c r="F526" s="1">
        <v>45428.563888888886</v>
      </c>
      <c r="G526" s="1">
        <v>45428.563888888886</v>
      </c>
    </row>
    <row r="527" spans="1:8" x14ac:dyDescent="0.35">
      <c r="A527" t="str">
        <f>"20734783-3"</f>
        <v>20734783-3</v>
      </c>
      <c r="B527" t="s">
        <v>2434</v>
      </c>
      <c r="C527" t="s">
        <v>2435</v>
      </c>
      <c r="D527" t="s">
        <v>2436</v>
      </c>
      <c r="F527" s="1">
        <v>45429.563888888886</v>
      </c>
      <c r="G527" s="1">
        <v>45429.564583333333</v>
      </c>
    </row>
    <row r="528" spans="1:8" x14ac:dyDescent="0.35">
      <c r="A528" t="str">
        <f>"19638850-8"</f>
        <v>19638850-8</v>
      </c>
      <c r="B528" t="s">
        <v>111</v>
      </c>
      <c r="C528" t="s">
        <v>2474</v>
      </c>
      <c r="D528" t="s">
        <v>2475</v>
      </c>
      <c r="F528" s="1">
        <v>45435.826388888891</v>
      </c>
      <c r="G528" s="1">
        <v>45435.82708333333</v>
      </c>
    </row>
    <row r="529" spans="1:9" x14ac:dyDescent="0.35">
      <c r="A529" t="str">
        <f>"13224964-4"</f>
        <v>13224964-4</v>
      </c>
      <c r="B529" t="s">
        <v>955</v>
      </c>
      <c r="C529" t="s">
        <v>494</v>
      </c>
      <c r="D529" t="s">
        <v>2482</v>
      </c>
      <c r="F529" s="1">
        <v>45436.741666666669</v>
      </c>
      <c r="G529" s="1">
        <v>45436.741666666669</v>
      </c>
    </row>
    <row r="530" spans="1:9" x14ac:dyDescent="0.35">
      <c r="A530" t="str">
        <f>"26102946-4"</f>
        <v>26102946-4</v>
      </c>
      <c r="B530" t="s">
        <v>379</v>
      </c>
      <c r="C530" t="s">
        <v>133</v>
      </c>
      <c r="D530" t="s">
        <v>2497</v>
      </c>
      <c r="F530" s="1">
        <v>45439.806944444441</v>
      </c>
      <c r="G530" s="1">
        <v>45439.807638888888</v>
      </c>
      <c r="H530" t="s">
        <v>2498</v>
      </c>
    </row>
    <row r="531" spans="1:9" x14ac:dyDescent="0.35">
      <c r="A531" t="str">
        <f>"17920010-4"</f>
        <v>17920010-4</v>
      </c>
      <c r="B531" t="s">
        <v>2509</v>
      </c>
      <c r="C531" t="s">
        <v>2510</v>
      </c>
      <c r="D531" t="s">
        <v>2511</v>
      </c>
      <c r="F531" s="1">
        <v>45440.511111111111</v>
      </c>
      <c r="G531" s="1">
        <v>45440.511805555558</v>
      </c>
    </row>
    <row r="532" spans="1:9" x14ac:dyDescent="0.35">
      <c r="A532" t="str">
        <f>"14118268-4"</f>
        <v>14118268-4</v>
      </c>
      <c r="B532" t="s">
        <v>71</v>
      </c>
      <c r="C532" t="s">
        <v>965</v>
      </c>
      <c r="D532" t="s">
        <v>966</v>
      </c>
      <c r="F532" s="1">
        <v>45320.75</v>
      </c>
      <c r="G532" s="1">
        <v>45334.794444444444</v>
      </c>
      <c r="H532" t="s">
        <v>151</v>
      </c>
      <c r="I532" t="s">
        <v>11</v>
      </c>
    </row>
    <row r="533" spans="1:9" x14ac:dyDescent="0.35">
      <c r="A533" t="str">
        <f>"18114656-7"</f>
        <v>18114656-7</v>
      </c>
      <c r="B533" t="s">
        <v>1046</v>
      </c>
      <c r="C533" t="s">
        <v>1047</v>
      </c>
      <c r="D533" t="s">
        <v>1048</v>
      </c>
      <c r="F533" s="1">
        <v>45328.740972222222</v>
      </c>
      <c r="G533" s="1">
        <v>45341.758333333331</v>
      </c>
      <c r="H533" t="s">
        <v>151</v>
      </c>
      <c r="I533" t="s">
        <v>11</v>
      </c>
    </row>
    <row r="534" spans="1:9" x14ac:dyDescent="0.35">
      <c r="A534" t="str">
        <f>"11713846-1"</f>
        <v>11713846-1</v>
      </c>
      <c r="B534" t="s">
        <v>975</v>
      </c>
      <c r="C534" t="s">
        <v>562</v>
      </c>
      <c r="D534" t="s">
        <v>1049</v>
      </c>
      <c r="F534" s="1">
        <v>45328.800694444442</v>
      </c>
      <c r="G534" s="1">
        <v>45350.430555555555</v>
      </c>
      <c r="H534" t="s">
        <v>151</v>
      </c>
      <c r="I534" t="s">
        <v>11</v>
      </c>
    </row>
    <row r="535" spans="1:9" x14ac:dyDescent="0.35">
      <c r="A535" t="str">
        <f>"16242923-K"</f>
        <v>16242923-K</v>
      </c>
      <c r="B535" t="s">
        <v>184</v>
      </c>
      <c r="C535" t="s">
        <v>932</v>
      </c>
      <c r="D535" t="s">
        <v>933</v>
      </c>
      <c r="F535" s="1">
        <v>45315.74722222222</v>
      </c>
      <c r="G535" s="1">
        <v>45315.747916666667</v>
      </c>
      <c r="H535" t="s">
        <v>151</v>
      </c>
      <c r="I535" t="s">
        <v>11</v>
      </c>
    </row>
    <row r="536" spans="1:9" x14ac:dyDescent="0.35">
      <c r="A536" t="str">
        <f>"15325602-0"</f>
        <v>15325602-0</v>
      </c>
      <c r="B536" t="s">
        <v>1574</v>
      </c>
      <c r="C536" t="s">
        <v>1575</v>
      </c>
      <c r="D536" t="s">
        <v>1576</v>
      </c>
      <c r="E536" t="s">
        <v>1577</v>
      </c>
      <c r="F536" s="1">
        <v>45372.784722222219</v>
      </c>
      <c r="G536" s="1">
        <v>45372.784722222219</v>
      </c>
    </row>
    <row r="537" spans="1:9" x14ac:dyDescent="0.35">
      <c r="A537" t="str">
        <f>"15363853-5"</f>
        <v>15363853-5</v>
      </c>
      <c r="B537" t="s">
        <v>392</v>
      </c>
      <c r="C537" t="s">
        <v>970</v>
      </c>
      <c r="D537" t="s">
        <v>971</v>
      </c>
      <c r="F537" s="1">
        <v>45321.461805555555</v>
      </c>
      <c r="G537" s="1">
        <v>45321.463194444441</v>
      </c>
      <c r="H537" t="s">
        <v>151</v>
      </c>
      <c r="I537" t="s">
        <v>11</v>
      </c>
    </row>
    <row r="538" spans="1:9" x14ac:dyDescent="0.35">
      <c r="A538" t="str">
        <f>"9095383-4"</f>
        <v>9095383-4</v>
      </c>
      <c r="B538" t="s">
        <v>1749</v>
      </c>
      <c r="C538" t="s">
        <v>1750</v>
      </c>
      <c r="D538" t="s">
        <v>1751</v>
      </c>
      <c r="F538" s="1">
        <v>45379.78125</v>
      </c>
      <c r="G538" s="1">
        <v>45379.78125</v>
      </c>
      <c r="H538" t="s">
        <v>1752</v>
      </c>
    </row>
    <row r="539" spans="1:9" x14ac:dyDescent="0.35">
      <c r="A539" t="str">
        <f>"9973373-K"</f>
        <v>9973373-K</v>
      </c>
      <c r="B539" t="s">
        <v>140</v>
      </c>
      <c r="C539" t="s">
        <v>1929</v>
      </c>
      <c r="D539" t="s">
        <v>1930</v>
      </c>
      <c r="F539" s="1">
        <v>45392.734722222223</v>
      </c>
      <c r="G539" s="1">
        <v>45392.734722222223</v>
      </c>
    </row>
    <row r="540" spans="1:9" x14ac:dyDescent="0.35">
      <c r="A540" t="str">
        <f>"21850253-9"</f>
        <v>21850253-9</v>
      </c>
      <c r="B540" t="s">
        <v>224</v>
      </c>
      <c r="C540" t="s">
        <v>225</v>
      </c>
      <c r="D540" t="s">
        <v>226</v>
      </c>
      <c r="F540" s="1">
        <v>45265.584722222222</v>
      </c>
      <c r="G540" s="1">
        <v>45276.845833333333</v>
      </c>
    </row>
    <row r="541" spans="1:9" x14ac:dyDescent="0.35">
      <c r="A541" t="str">
        <f>"18755555-8"</f>
        <v>18755555-8</v>
      </c>
      <c r="B541" t="s">
        <v>257</v>
      </c>
      <c r="C541" t="s">
        <v>109</v>
      </c>
      <c r="D541" t="s">
        <v>733</v>
      </c>
      <c r="F541" s="1">
        <v>45300.676388888889</v>
      </c>
      <c r="G541" s="1">
        <v>45321.682638888888</v>
      </c>
      <c r="H541" t="s">
        <v>734</v>
      </c>
    </row>
    <row r="542" spans="1:9" x14ac:dyDescent="0.35">
      <c r="A542" t="str">
        <f>"16096190-2"</f>
        <v>16096190-2</v>
      </c>
      <c r="B542" t="s">
        <v>2159</v>
      </c>
      <c r="C542" t="s">
        <v>2160</v>
      </c>
      <c r="D542" t="s">
        <v>2161</v>
      </c>
      <c r="E542" t="s">
        <v>2162</v>
      </c>
      <c r="F542" s="1">
        <v>45408.529166666667</v>
      </c>
      <c r="G542" s="1">
        <v>45408.529166666667</v>
      </c>
    </row>
    <row r="543" spans="1:9" x14ac:dyDescent="0.35">
      <c r="A543" t="str">
        <f>"18031677-9"</f>
        <v>18031677-9</v>
      </c>
      <c r="B543" t="s">
        <v>1072</v>
      </c>
      <c r="C543" t="s">
        <v>2227</v>
      </c>
      <c r="D543" t="s">
        <v>2228</v>
      </c>
      <c r="E543" t="s">
        <v>2229</v>
      </c>
      <c r="F543" s="1">
        <v>45412.438888888886</v>
      </c>
      <c r="G543" s="1">
        <v>45412.438888888886</v>
      </c>
    </row>
    <row r="544" spans="1:9" x14ac:dyDescent="0.35">
      <c r="A544" t="str">
        <f>"20428046-0"</f>
        <v>20428046-0</v>
      </c>
      <c r="B544" t="s">
        <v>703</v>
      </c>
      <c r="C544" t="s">
        <v>704</v>
      </c>
      <c r="D544" t="s">
        <v>705</v>
      </c>
      <c r="F544" s="1">
        <v>45297.794444444444</v>
      </c>
      <c r="G544" s="1">
        <v>45395.725694444445</v>
      </c>
    </row>
    <row r="545" spans="1:9" x14ac:dyDescent="0.35">
      <c r="A545" t="str">
        <f>"13264667-8"</f>
        <v>13264667-8</v>
      </c>
      <c r="B545" t="s">
        <v>339</v>
      </c>
      <c r="C545" t="s">
        <v>102</v>
      </c>
      <c r="D545" t="s">
        <v>1167</v>
      </c>
      <c r="F545" s="1">
        <v>45341.598611111112</v>
      </c>
      <c r="G545" s="1">
        <v>45341.599305555559</v>
      </c>
      <c r="H545" t="s">
        <v>1168</v>
      </c>
      <c r="I545" t="s">
        <v>11</v>
      </c>
    </row>
    <row r="546" spans="1:9" x14ac:dyDescent="0.35">
      <c r="A546" t="str">
        <f>"19481421-6"</f>
        <v>19481421-6</v>
      </c>
      <c r="B546" t="s">
        <v>433</v>
      </c>
      <c r="C546" t="s">
        <v>290</v>
      </c>
      <c r="D546" t="s">
        <v>434</v>
      </c>
      <c r="F546" s="1">
        <v>45281.808333333334</v>
      </c>
      <c r="G546" s="1">
        <v>45301.729861111111</v>
      </c>
      <c r="H546" t="s">
        <v>151</v>
      </c>
      <c r="I546" t="s">
        <v>11</v>
      </c>
    </row>
    <row r="547" spans="1:9" x14ac:dyDescent="0.35">
      <c r="A547" t="str">
        <f>"9385025-4"</f>
        <v>9385025-4</v>
      </c>
      <c r="B547" t="s">
        <v>513</v>
      </c>
      <c r="C547" t="s">
        <v>514</v>
      </c>
      <c r="D547" t="s">
        <v>515</v>
      </c>
      <c r="F547" s="1">
        <v>45287.646527777775</v>
      </c>
      <c r="G547" s="1">
        <v>45288.61041666667</v>
      </c>
      <c r="H547" t="s">
        <v>516</v>
      </c>
      <c r="I547" t="s">
        <v>11</v>
      </c>
    </row>
    <row r="548" spans="1:9" x14ac:dyDescent="0.35">
      <c r="A548" t="str">
        <f>"16426251-0"</f>
        <v>16426251-0</v>
      </c>
      <c r="B548" t="s">
        <v>844</v>
      </c>
      <c r="C548" t="s">
        <v>845</v>
      </c>
      <c r="D548" t="s">
        <v>846</v>
      </c>
      <c r="F548" s="1">
        <v>45307.703472222223</v>
      </c>
      <c r="G548" s="1">
        <v>45307.825694444444</v>
      </c>
      <c r="H548" t="s">
        <v>151</v>
      </c>
      <c r="I548" t="s">
        <v>11</v>
      </c>
    </row>
    <row r="549" spans="1:9" x14ac:dyDescent="0.35">
      <c r="A549" t="str">
        <f>"20184651-K"</f>
        <v>20184651-K</v>
      </c>
      <c r="B549" t="s">
        <v>233</v>
      </c>
      <c r="C549" t="s">
        <v>234</v>
      </c>
      <c r="D549" t="s">
        <v>235</v>
      </c>
      <c r="F549" s="1">
        <v>45265.795138888891</v>
      </c>
      <c r="G549" s="1">
        <v>45276.845833333333</v>
      </c>
      <c r="H549" t="s">
        <v>170</v>
      </c>
      <c r="I549" t="s">
        <v>11</v>
      </c>
    </row>
    <row r="550" spans="1:9" x14ac:dyDescent="0.35">
      <c r="A550" t="str">
        <f>"1500409-6"</f>
        <v>1500409-6</v>
      </c>
      <c r="B550" t="s">
        <v>1355</v>
      </c>
      <c r="C550" t="s">
        <v>1356</v>
      </c>
      <c r="D550" t="s">
        <v>1357</v>
      </c>
      <c r="F550" s="1">
        <v>45360.751388888886</v>
      </c>
      <c r="G550" s="1">
        <v>45360.751388888886</v>
      </c>
    </row>
    <row r="551" spans="1:9" x14ac:dyDescent="0.35">
      <c r="A551" t="str">
        <f>"20219629-2"</f>
        <v>20219629-2</v>
      </c>
      <c r="B551" t="s">
        <v>1422</v>
      </c>
      <c r="C551" t="s">
        <v>58</v>
      </c>
      <c r="D551" t="s">
        <v>1423</v>
      </c>
      <c r="F551" s="1">
        <v>45365.55972222222</v>
      </c>
      <c r="G551" s="1">
        <v>45365.55972222222</v>
      </c>
    </row>
    <row r="552" spans="1:9" x14ac:dyDescent="0.35">
      <c r="A552" t="str">
        <f>"6499522-7"</f>
        <v>6499522-7</v>
      </c>
      <c r="B552" t="s">
        <v>1429</v>
      </c>
      <c r="C552" t="s">
        <v>1430</v>
      </c>
      <c r="D552" t="s">
        <v>1431</v>
      </c>
      <c r="F552" s="1">
        <v>45365.602083333331</v>
      </c>
      <c r="G552" s="1">
        <v>45365.607638888891</v>
      </c>
    </row>
    <row r="553" spans="1:9" x14ac:dyDescent="0.35">
      <c r="A553" t="str">
        <f>"16047603-6"</f>
        <v>16047603-6</v>
      </c>
      <c r="B553" t="s">
        <v>1449</v>
      </c>
      <c r="C553" t="s">
        <v>578</v>
      </c>
      <c r="D553" t="s">
        <v>1450</v>
      </c>
      <c r="F553" s="1">
        <v>45367.519444444442</v>
      </c>
      <c r="G553" s="1">
        <v>45367.520138888889</v>
      </c>
      <c r="H553" t="s">
        <v>1451</v>
      </c>
    </row>
    <row r="554" spans="1:9" x14ac:dyDescent="0.35">
      <c r="A554" t="str">
        <f>"17778644-6"</f>
        <v>17778644-6</v>
      </c>
      <c r="B554" t="s">
        <v>1461</v>
      </c>
      <c r="C554" t="s">
        <v>1462</v>
      </c>
      <c r="D554" t="s">
        <v>1463</v>
      </c>
      <c r="F554" s="1">
        <v>45367.626388888886</v>
      </c>
      <c r="G554" s="1">
        <v>45367.627083333333</v>
      </c>
      <c r="H554" t="s">
        <v>1464</v>
      </c>
    </row>
    <row r="555" spans="1:9" x14ac:dyDescent="0.35">
      <c r="A555" t="str">
        <f>"13563715-7"</f>
        <v>13563715-7</v>
      </c>
      <c r="B555" t="s">
        <v>1368</v>
      </c>
      <c r="C555" t="s">
        <v>1467</v>
      </c>
      <c r="D555" t="s">
        <v>1468</v>
      </c>
      <c r="F555" s="1">
        <v>45367.763194444444</v>
      </c>
      <c r="G555" s="1">
        <v>45367.76458333333</v>
      </c>
    </row>
    <row r="556" spans="1:9" x14ac:dyDescent="0.35">
      <c r="A556" t="str">
        <f>"20975611-0"</f>
        <v>20975611-0</v>
      </c>
      <c r="B556" t="s">
        <v>1547</v>
      </c>
      <c r="C556" t="s">
        <v>1548</v>
      </c>
      <c r="D556" t="s">
        <v>1549</v>
      </c>
      <c r="E556" t="s">
        <v>1550</v>
      </c>
      <c r="F556" s="1">
        <v>45371.681250000001</v>
      </c>
      <c r="G556" s="1">
        <v>45371.681944444441</v>
      </c>
    </row>
    <row r="557" spans="1:9" x14ac:dyDescent="0.35">
      <c r="A557" t="str">
        <f>"26216493-4"</f>
        <v>26216493-4</v>
      </c>
      <c r="B557" t="s">
        <v>1551</v>
      </c>
      <c r="C557" t="s">
        <v>1552</v>
      </c>
      <c r="D557" t="s">
        <v>1553</v>
      </c>
      <c r="F557" s="1">
        <v>45371.75277777778</v>
      </c>
      <c r="G557" s="1">
        <v>45371.754166666666</v>
      </c>
      <c r="H557" t="s">
        <v>206</v>
      </c>
    </row>
    <row r="558" spans="1:9" x14ac:dyDescent="0.35">
      <c r="A558" t="str">
        <f>"16009979-8"</f>
        <v>16009979-8</v>
      </c>
      <c r="B558" t="s">
        <v>164</v>
      </c>
      <c r="C558" t="s">
        <v>1652</v>
      </c>
      <c r="D558" t="s">
        <v>1653</v>
      </c>
      <c r="E558" t="s">
        <v>1654</v>
      </c>
      <c r="F558" s="1">
        <v>45376.874305555553</v>
      </c>
      <c r="G558" s="1">
        <v>45376.875</v>
      </c>
    </row>
    <row r="559" spans="1:9" x14ac:dyDescent="0.35">
      <c r="A559" t="str">
        <f>"19863618-5"</f>
        <v>19863618-5</v>
      </c>
      <c r="B559" t="s">
        <v>184</v>
      </c>
      <c r="C559" t="s">
        <v>1697</v>
      </c>
      <c r="D559" t="s">
        <v>1698</v>
      </c>
      <c r="E559" t="s">
        <v>1699</v>
      </c>
      <c r="F559" s="1">
        <v>45378.570138888892</v>
      </c>
      <c r="G559" s="1">
        <v>45378.570833333331</v>
      </c>
    </row>
    <row r="560" spans="1:9" x14ac:dyDescent="0.35">
      <c r="A560" t="str">
        <f>"10740464-3"</f>
        <v>10740464-3</v>
      </c>
      <c r="B560" t="s">
        <v>1741</v>
      </c>
      <c r="C560" t="s">
        <v>1742</v>
      </c>
      <c r="D560" t="s">
        <v>1743</v>
      </c>
      <c r="F560" s="1">
        <v>45379.720138888886</v>
      </c>
      <c r="G560" s="1">
        <v>45379.720138888886</v>
      </c>
      <c r="H560" t="s">
        <v>1744</v>
      </c>
    </row>
    <row r="561" spans="1:9" x14ac:dyDescent="0.35">
      <c r="A561" t="str">
        <f>"14107050-9"</f>
        <v>14107050-9</v>
      </c>
      <c r="B561" t="s">
        <v>567</v>
      </c>
      <c r="C561" t="s">
        <v>1096</v>
      </c>
      <c r="D561" t="s">
        <v>1770</v>
      </c>
      <c r="F561" s="1">
        <v>45380.878472222219</v>
      </c>
      <c r="G561" s="1">
        <v>45380.878472222219</v>
      </c>
      <c r="H561" t="s">
        <v>674</v>
      </c>
    </row>
    <row r="562" spans="1:9" x14ac:dyDescent="0.35">
      <c r="A562" t="str">
        <f>"16098837-1"</f>
        <v>16098837-1</v>
      </c>
      <c r="B562" t="s">
        <v>207</v>
      </c>
      <c r="C562" t="s">
        <v>340</v>
      </c>
      <c r="D562" t="s">
        <v>1908</v>
      </c>
      <c r="F562" s="1">
        <v>45391.550694444442</v>
      </c>
      <c r="G562" s="1">
        <v>45391.551388888889</v>
      </c>
    </row>
    <row r="563" spans="1:9" x14ac:dyDescent="0.35">
      <c r="A563" t="str">
        <f>"12854105-5"</f>
        <v>12854105-5</v>
      </c>
      <c r="B563" t="s">
        <v>281</v>
      </c>
      <c r="C563" t="s">
        <v>282</v>
      </c>
      <c r="D563" t="s">
        <v>283</v>
      </c>
      <c r="F563" s="1">
        <v>45271.810416666667</v>
      </c>
      <c r="G563" s="1">
        <v>45276.845833333333</v>
      </c>
      <c r="H563" t="s">
        <v>284</v>
      </c>
      <c r="I563" t="s">
        <v>11</v>
      </c>
    </row>
    <row r="564" spans="1:9" x14ac:dyDescent="0.35">
      <c r="A564" t="str">
        <f>"19954843-3"</f>
        <v>19954843-3</v>
      </c>
      <c r="B564" t="s">
        <v>2028</v>
      </c>
      <c r="C564" t="s">
        <v>228</v>
      </c>
      <c r="D564" t="s">
        <v>2029</v>
      </c>
      <c r="F564" s="1">
        <v>45399.857638888891</v>
      </c>
      <c r="G564" s="1">
        <v>45399.85833333333</v>
      </c>
    </row>
    <row r="565" spans="1:9" x14ac:dyDescent="0.35">
      <c r="A565" t="str">
        <f>"15934527-0"</f>
        <v>15934527-0</v>
      </c>
      <c r="B565" t="s">
        <v>2088</v>
      </c>
      <c r="C565" t="s">
        <v>2089</v>
      </c>
      <c r="D565" t="s">
        <v>2090</v>
      </c>
      <c r="F565" s="1">
        <v>45403.826388888891</v>
      </c>
      <c r="G565" s="1">
        <v>45403.82708333333</v>
      </c>
      <c r="H565" t="s">
        <v>2091</v>
      </c>
    </row>
    <row r="566" spans="1:9" x14ac:dyDescent="0.35">
      <c r="A566" t="str">
        <f>"20266909-3"</f>
        <v>20266909-3</v>
      </c>
      <c r="B566" t="s">
        <v>203</v>
      </c>
      <c r="C566" t="s">
        <v>2190</v>
      </c>
      <c r="D566" t="s">
        <v>2191</v>
      </c>
      <c r="F566" s="1">
        <v>45408.750694444447</v>
      </c>
      <c r="G566" s="1">
        <v>45408.752083333333</v>
      </c>
      <c r="H566" t="s">
        <v>2192</v>
      </c>
    </row>
    <row r="567" spans="1:9" x14ac:dyDescent="0.35">
      <c r="A567" t="str">
        <f>"19177532-5"</f>
        <v>19177532-5</v>
      </c>
      <c r="B567" t="s">
        <v>2072</v>
      </c>
      <c r="C567" t="s">
        <v>2198</v>
      </c>
      <c r="D567" t="s">
        <v>2199</v>
      </c>
      <c r="F567" s="1">
        <v>45409.729861111111</v>
      </c>
      <c r="G567" s="1">
        <v>45409.729861111111</v>
      </c>
      <c r="H567" t="s">
        <v>2200</v>
      </c>
    </row>
    <row r="568" spans="1:9" x14ac:dyDescent="0.35">
      <c r="A568" t="str">
        <f>"20428703-1"</f>
        <v>20428703-1</v>
      </c>
      <c r="B568" t="s">
        <v>2203</v>
      </c>
      <c r="C568" t="s">
        <v>109</v>
      </c>
      <c r="D568" t="s">
        <v>2204</v>
      </c>
      <c r="E568" t="s">
        <v>2205</v>
      </c>
      <c r="F568" s="1">
        <v>45409.750694444447</v>
      </c>
      <c r="G568" s="1">
        <v>45409.752083333333</v>
      </c>
      <c r="H568" t="s">
        <v>2206</v>
      </c>
    </row>
    <row r="569" spans="1:9" x14ac:dyDescent="0.35">
      <c r="A569" t="str">
        <f>"12662606-1"</f>
        <v>12662606-1</v>
      </c>
      <c r="B569" t="s">
        <v>1708</v>
      </c>
      <c r="C569" t="s">
        <v>2263</v>
      </c>
      <c r="D569" t="s">
        <v>2264</v>
      </c>
      <c r="F569" s="1">
        <v>45413.643055555556</v>
      </c>
      <c r="G569" s="1">
        <v>45413.643750000003</v>
      </c>
      <c r="H569" t="s">
        <v>2265</v>
      </c>
    </row>
    <row r="570" spans="1:9" x14ac:dyDescent="0.35">
      <c r="A570" t="str">
        <f>"21222993-8"</f>
        <v>21222993-8</v>
      </c>
      <c r="B570" t="s">
        <v>955</v>
      </c>
      <c r="C570" t="s">
        <v>2326</v>
      </c>
      <c r="D570" t="s">
        <v>2327</v>
      </c>
      <c r="E570" t="s">
        <v>2328</v>
      </c>
      <c r="F570" s="1">
        <v>45419.568749999999</v>
      </c>
      <c r="G570" s="1">
        <v>45419.568749999999</v>
      </c>
    </row>
    <row r="571" spans="1:9" x14ac:dyDescent="0.35">
      <c r="A571" t="str">
        <f>"18171954-0"</f>
        <v>18171954-0</v>
      </c>
      <c r="B571" t="s">
        <v>269</v>
      </c>
      <c r="C571" t="s">
        <v>2343</v>
      </c>
      <c r="D571" t="s">
        <v>2344</v>
      </c>
      <c r="F571" s="1">
        <v>45420.861805555556</v>
      </c>
      <c r="G571" s="1">
        <v>45420.862500000003</v>
      </c>
      <c r="H571" t="s">
        <v>2345</v>
      </c>
    </row>
    <row r="572" spans="1:9" x14ac:dyDescent="0.35">
      <c r="A572" t="str">
        <f>"19288216-8"</f>
        <v>19288216-8</v>
      </c>
      <c r="B572" t="s">
        <v>318</v>
      </c>
      <c r="C572" t="s">
        <v>2346</v>
      </c>
      <c r="D572" t="s">
        <v>2347</v>
      </c>
      <c r="E572" t="s">
        <v>2348</v>
      </c>
      <c r="F572" s="1">
        <v>45421.45208333333</v>
      </c>
      <c r="G572" s="1">
        <v>45421.45208333333</v>
      </c>
    </row>
    <row r="573" spans="1:9" x14ac:dyDescent="0.35">
      <c r="A573" t="str">
        <f>"17517324-2"</f>
        <v>17517324-2</v>
      </c>
      <c r="B573" t="s">
        <v>439</v>
      </c>
      <c r="C573" t="s">
        <v>250</v>
      </c>
      <c r="D573" t="s">
        <v>440</v>
      </c>
      <c r="F573" s="1">
        <v>45281.840277777781</v>
      </c>
      <c r="G573" s="1">
        <v>45281.84097222222</v>
      </c>
      <c r="H573" t="s">
        <v>151</v>
      </c>
      <c r="I573" t="s">
        <v>11</v>
      </c>
    </row>
    <row r="574" spans="1:9" x14ac:dyDescent="0.35">
      <c r="A574" t="str">
        <f>"17414875-9"</f>
        <v>17414875-9</v>
      </c>
      <c r="B574" t="s">
        <v>2471</v>
      </c>
      <c r="C574" t="s">
        <v>2472</v>
      </c>
      <c r="D574" t="s">
        <v>2473</v>
      </c>
      <c r="F574" s="1">
        <v>45435.817361111112</v>
      </c>
      <c r="G574" s="1">
        <v>45435.818055555559</v>
      </c>
    </row>
    <row r="575" spans="1:9" x14ac:dyDescent="0.35">
      <c r="A575" t="str">
        <f>"17307882-K"</f>
        <v>17307882-K</v>
      </c>
      <c r="B575" t="s">
        <v>164</v>
      </c>
      <c r="C575" t="s">
        <v>2148</v>
      </c>
      <c r="D575" t="s">
        <v>2550</v>
      </c>
      <c r="F575" s="1">
        <v>45442.699305555558</v>
      </c>
      <c r="G575" s="1">
        <v>45442.699305555558</v>
      </c>
    </row>
    <row r="576" spans="1:9" x14ac:dyDescent="0.35">
      <c r="A576" t="str">
        <f>"20830986-2"</f>
        <v>20830986-2</v>
      </c>
      <c r="B576" t="s">
        <v>230</v>
      </c>
      <c r="C576" t="s">
        <v>743</v>
      </c>
      <c r="D576" t="s">
        <v>744</v>
      </c>
      <c r="F576" s="1">
        <v>45301.67291666667</v>
      </c>
      <c r="G576" s="1">
        <v>45301.673611111109</v>
      </c>
      <c r="H576" t="s">
        <v>745</v>
      </c>
      <c r="I576" t="s">
        <v>11</v>
      </c>
    </row>
    <row r="577" spans="1:9" x14ac:dyDescent="0.35">
      <c r="A577" t="str">
        <f>"13284954-4"</f>
        <v>13284954-4</v>
      </c>
      <c r="B577" t="s">
        <v>777</v>
      </c>
      <c r="C577" t="s">
        <v>778</v>
      </c>
      <c r="D577" t="s">
        <v>779</v>
      </c>
      <c r="F577" s="1">
        <v>45302.638194444444</v>
      </c>
      <c r="G577" s="1">
        <v>45302.638888888891</v>
      </c>
      <c r="H577" t="s">
        <v>151</v>
      </c>
      <c r="I577" t="s">
        <v>11</v>
      </c>
    </row>
    <row r="578" spans="1:9" x14ac:dyDescent="0.35">
      <c r="A578" t="str">
        <f>"15340834-3"</f>
        <v>15340834-3</v>
      </c>
      <c r="B578" t="s">
        <v>203</v>
      </c>
      <c r="C578" t="s">
        <v>322</v>
      </c>
      <c r="D578" t="s">
        <v>1110</v>
      </c>
      <c r="F578" s="1">
        <v>45336.543055555558</v>
      </c>
      <c r="G578" s="1">
        <v>45336.543749999997</v>
      </c>
      <c r="H578" t="s">
        <v>170</v>
      </c>
      <c r="I578" t="s">
        <v>11</v>
      </c>
    </row>
    <row r="579" spans="1:9" x14ac:dyDescent="0.35">
      <c r="A579" t="str">
        <f>"16010648-4"</f>
        <v>16010648-4</v>
      </c>
      <c r="B579" t="s">
        <v>344</v>
      </c>
      <c r="C579" t="s">
        <v>322</v>
      </c>
      <c r="D579" t="s">
        <v>345</v>
      </c>
      <c r="F579" s="1">
        <v>45276.875</v>
      </c>
      <c r="G579" s="1">
        <v>45276.875694444447</v>
      </c>
    </row>
    <row r="580" spans="1:9" x14ac:dyDescent="0.35">
      <c r="A580" t="str">
        <f>"18452703-0"</f>
        <v>18452703-0</v>
      </c>
      <c r="B580" t="s">
        <v>346</v>
      </c>
      <c r="C580" t="s">
        <v>347</v>
      </c>
      <c r="D580" t="s">
        <v>348</v>
      </c>
      <c r="F580" s="1">
        <v>45277.79791666667</v>
      </c>
      <c r="G580" s="1">
        <v>45277.798611111109</v>
      </c>
    </row>
    <row r="581" spans="1:9" x14ac:dyDescent="0.35">
      <c r="A581" t="str">
        <f>"9974751-K"</f>
        <v>9974751-K</v>
      </c>
      <c r="B581" t="s">
        <v>822</v>
      </c>
      <c r="C581" t="s">
        <v>149</v>
      </c>
      <c r="D581" t="s">
        <v>823</v>
      </c>
      <c r="F581" s="1">
        <v>45306.611111111109</v>
      </c>
      <c r="G581" s="1">
        <v>45306.630555555559</v>
      </c>
      <c r="H581" t="s">
        <v>824</v>
      </c>
      <c r="I581" t="s">
        <v>11</v>
      </c>
    </row>
    <row r="582" spans="1:9" x14ac:dyDescent="0.35">
      <c r="A582" t="str">
        <f>"17995930-5"</f>
        <v>17995930-5</v>
      </c>
      <c r="B582" t="s">
        <v>365</v>
      </c>
      <c r="C582" t="s">
        <v>366</v>
      </c>
      <c r="D582" t="s">
        <v>367</v>
      </c>
      <c r="F582" s="1">
        <v>45278.849305555559</v>
      </c>
      <c r="G582" s="1">
        <v>45278.849305555559</v>
      </c>
    </row>
    <row r="583" spans="1:9" x14ac:dyDescent="0.35">
      <c r="A583" t="str">
        <f>"12462830-K"</f>
        <v>12462830-K</v>
      </c>
      <c r="B583" t="s">
        <v>412</v>
      </c>
      <c r="C583" t="s">
        <v>413</v>
      </c>
      <c r="D583" t="s">
        <v>414</v>
      </c>
      <c r="F583" s="1">
        <v>45280.805555555555</v>
      </c>
      <c r="G583" s="1">
        <v>45280.806250000001</v>
      </c>
      <c r="H583" t="s">
        <v>415</v>
      </c>
    </row>
    <row r="584" spans="1:9" x14ac:dyDescent="0.35">
      <c r="A584" t="str">
        <f>"12584494-4"</f>
        <v>12584494-4</v>
      </c>
      <c r="B584" t="s">
        <v>425</v>
      </c>
      <c r="C584" t="s">
        <v>426</v>
      </c>
      <c r="D584" t="s">
        <v>427</v>
      </c>
      <c r="F584" s="1">
        <v>45281.621527777781</v>
      </c>
      <c r="G584" s="1">
        <v>45281.62222222222</v>
      </c>
      <c r="H584" t="s">
        <v>428</v>
      </c>
    </row>
    <row r="585" spans="1:9" x14ac:dyDescent="0.35">
      <c r="A585" t="str">
        <f>"16153997-K"</f>
        <v>16153997-K</v>
      </c>
      <c r="B585" t="s">
        <v>478</v>
      </c>
      <c r="C585" t="s">
        <v>250</v>
      </c>
      <c r="D585" t="s">
        <v>479</v>
      </c>
      <c r="F585" s="1">
        <v>45283.825694444444</v>
      </c>
      <c r="G585" s="1">
        <v>45283.825694444444</v>
      </c>
    </row>
    <row r="586" spans="1:9" x14ac:dyDescent="0.35">
      <c r="A586" t="str">
        <f>"13527453-4"</f>
        <v>13527453-4</v>
      </c>
      <c r="B586" t="s">
        <v>71</v>
      </c>
      <c r="C586" t="s">
        <v>403</v>
      </c>
      <c r="D586" t="s">
        <v>480</v>
      </c>
      <c r="F586" s="1">
        <v>45284.530555555553</v>
      </c>
      <c r="G586" s="1">
        <v>45284.53125</v>
      </c>
    </row>
    <row r="587" spans="1:9" x14ac:dyDescent="0.35">
      <c r="A587" t="str">
        <f>"8129527-1"</f>
        <v>8129527-1</v>
      </c>
      <c r="B587" t="s">
        <v>441</v>
      </c>
      <c r="C587" t="s">
        <v>447</v>
      </c>
      <c r="D587" t="s">
        <v>484</v>
      </c>
      <c r="F587" s="1">
        <v>45284.583333333336</v>
      </c>
      <c r="G587" s="1">
        <v>45284.584027777775</v>
      </c>
    </row>
    <row r="588" spans="1:9" x14ac:dyDescent="0.35">
      <c r="A588" t="str">
        <f>"19109500-6"</f>
        <v>19109500-6</v>
      </c>
      <c r="B588" t="s">
        <v>490</v>
      </c>
      <c r="C588" t="s">
        <v>58</v>
      </c>
      <c r="D588" t="s">
        <v>491</v>
      </c>
      <c r="F588" s="1">
        <v>45286.521527777775</v>
      </c>
      <c r="G588" s="1">
        <v>45286.643055555556</v>
      </c>
      <c r="H588" t="s">
        <v>492</v>
      </c>
    </row>
    <row r="589" spans="1:9" x14ac:dyDescent="0.35">
      <c r="A589" t="str">
        <f>"10832521-6"</f>
        <v>10832521-6</v>
      </c>
      <c r="B589" t="s">
        <v>481</v>
      </c>
      <c r="C589" t="s">
        <v>496</v>
      </c>
      <c r="D589" t="s">
        <v>497</v>
      </c>
      <c r="F589" s="1">
        <v>45286.729861111111</v>
      </c>
      <c r="G589" s="1">
        <v>45286.79583333333</v>
      </c>
      <c r="H589" t="s">
        <v>498</v>
      </c>
    </row>
    <row r="590" spans="1:9" x14ac:dyDescent="0.35">
      <c r="A590" t="str">
        <f>"13647432-4"</f>
        <v>13647432-4</v>
      </c>
      <c r="B590" t="s">
        <v>26</v>
      </c>
      <c r="C590" t="s">
        <v>925</v>
      </c>
      <c r="D590" t="s">
        <v>1210</v>
      </c>
      <c r="F590" s="1">
        <v>45344.797222222223</v>
      </c>
      <c r="G590" s="1">
        <v>45344.799305555556</v>
      </c>
      <c r="H590" t="s">
        <v>1211</v>
      </c>
      <c r="I590" t="s">
        <v>11</v>
      </c>
    </row>
    <row r="591" spans="1:9" x14ac:dyDescent="0.35">
      <c r="A591" t="str">
        <f>"18911384-6"</f>
        <v>18911384-6</v>
      </c>
      <c r="B591" t="s">
        <v>83</v>
      </c>
      <c r="C591" t="s">
        <v>322</v>
      </c>
      <c r="D591" t="s">
        <v>2297</v>
      </c>
      <c r="F591" s="1">
        <v>45415.904166666667</v>
      </c>
      <c r="G591" s="1">
        <v>45415.904166666667</v>
      </c>
      <c r="H591" t="s">
        <v>2298</v>
      </c>
      <c r="I591" t="s">
        <v>2294</v>
      </c>
    </row>
    <row r="592" spans="1:9" x14ac:dyDescent="0.35">
      <c r="A592" t="str">
        <f>"13900828-6"</f>
        <v>13900828-6</v>
      </c>
      <c r="B592" t="s">
        <v>71</v>
      </c>
      <c r="C592" t="s">
        <v>72</v>
      </c>
      <c r="D592" t="s">
        <v>73</v>
      </c>
      <c r="F592" s="1">
        <v>45245.646527777775</v>
      </c>
      <c r="G592" s="1">
        <v>45334.734722222223</v>
      </c>
      <c r="H592" t="s">
        <v>74</v>
      </c>
      <c r="I592" t="s">
        <v>11</v>
      </c>
    </row>
    <row r="593" spans="1:9" x14ac:dyDescent="0.35">
      <c r="A593" t="str">
        <f>"20899648-7"</f>
        <v>20899648-7</v>
      </c>
      <c r="B593" t="s">
        <v>558</v>
      </c>
      <c r="C593" t="s">
        <v>559</v>
      </c>
      <c r="D593" t="s">
        <v>560</v>
      </c>
      <c r="F593" s="1">
        <v>45289.56527777778</v>
      </c>
      <c r="G593" s="1">
        <v>45289.566666666666</v>
      </c>
    </row>
    <row r="594" spans="1:9" x14ac:dyDescent="0.35">
      <c r="A594" t="str">
        <f>"12494796-0"</f>
        <v>12494796-0</v>
      </c>
      <c r="B594" t="s">
        <v>564</v>
      </c>
      <c r="C594" t="s">
        <v>565</v>
      </c>
      <c r="D594" t="s">
        <v>566</v>
      </c>
      <c r="F594" s="1">
        <v>45289.849305555559</v>
      </c>
      <c r="G594" s="1">
        <v>45289.849305555559</v>
      </c>
    </row>
    <row r="595" spans="1:9" x14ac:dyDescent="0.35">
      <c r="A595" t="str">
        <f>"9384963-9"</f>
        <v>9384963-9</v>
      </c>
      <c r="B595" t="s">
        <v>567</v>
      </c>
      <c r="C595" t="s">
        <v>568</v>
      </c>
      <c r="D595" t="s">
        <v>569</v>
      </c>
      <c r="F595" s="1">
        <v>45290.563194444447</v>
      </c>
      <c r="G595" s="1">
        <v>45290.563888888886</v>
      </c>
    </row>
    <row r="596" spans="1:9" x14ac:dyDescent="0.35">
      <c r="A596" t="str">
        <f>"15379575-4"</f>
        <v>15379575-4</v>
      </c>
      <c r="B596" t="s">
        <v>570</v>
      </c>
      <c r="C596" t="s">
        <v>571</v>
      </c>
      <c r="D596" t="s">
        <v>572</v>
      </c>
      <c r="F596" s="1">
        <v>45290.601388888892</v>
      </c>
      <c r="G596" s="1">
        <v>45290.602777777778</v>
      </c>
    </row>
    <row r="597" spans="1:9" x14ac:dyDescent="0.35">
      <c r="A597" t="str">
        <f>"9348917-9"</f>
        <v>9348917-9</v>
      </c>
      <c r="B597" t="s">
        <v>573</v>
      </c>
      <c r="C597" t="s">
        <v>409</v>
      </c>
      <c r="D597" t="s">
        <v>574</v>
      </c>
      <c r="F597" s="1">
        <v>45290.634722222225</v>
      </c>
      <c r="G597" s="1">
        <v>45290.646527777775</v>
      </c>
    </row>
    <row r="598" spans="1:9" x14ac:dyDescent="0.35">
      <c r="A598" t="str">
        <f>"21013206-6"</f>
        <v>21013206-6</v>
      </c>
      <c r="B598" t="s">
        <v>392</v>
      </c>
      <c r="C598" t="s">
        <v>578</v>
      </c>
      <c r="D598" t="s">
        <v>579</v>
      </c>
      <c r="F598" s="1">
        <v>45290.648611111108</v>
      </c>
      <c r="G598" s="1">
        <v>45290.649305555555</v>
      </c>
    </row>
    <row r="599" spans="1:9" x14ac:dyDescent="0.35">
      <c r="A599" t="str">
        <f>"16977557-5"</f>
        <v>16977557-5</v>
      </c>
      <c r="B599" t="s">
        <v>623</v>
      </c>
      <c r="C599" t="s">
        <v>624</v>
      </c>
      <c r="D599" t="s">
        <v>625</v>
      </c>
      <c r="F599" s="1">
        <v>45294.822916666664</v>
      </c>
      <c r="G599" s="1">
        <v>45294.822916666664</v>
      </c>
      <c r="H599" t="s">
        <v>626</v>
      </c>
    </row>
    <row r="600" spans="1:9" x14ac:dyDescent="0.35">
      <c r="A600" t="str">
        <f>"16619446-6"</f>
        <v>16619446-6</v>
      </c>
      <c r="B600" t="s">
        <v>239</v>
      </c>
      <c r="C600" t="s">
        <v>240</v>
      </c>
      <c r="D600" t="s">
        <v>241</v>
      </c>
      <c r="F600" s="1">
        <v>45266.577777777777</v>
      </c>
      <c r="G600" s="1">
        <v>45276.845833333333</v>
      </c>
      <c r="H600" t="s">
        <v>151</v>
      </c>
      <c r="I600" t="s">
        <v>11</v>
      </c>
    </row>
    <row r="601" spans="1:9" x14ac:dyDescent="0.35">
      <c r="A601" t="str">
        <f>"18936248-K"</f>
        <v>18936248-K</v>
      </c>
      <c r="B601" t="s">
        <v>652</v>
      </c>
      <c r="C601" t="s">
        <v>194</v>
      </c>
      <c r="D601" t="s">
        <v>653</v>
      </c>
      <c r="F601" s="1">
        <v>45295.922222222223</v>
      </c>
      <c r="G601" s="1">
        <v>45295.922222222223</v>
      </c>
    </row>
    <row r="602" spans="1:9" x14ac:dyDescent="0.35">
      <c r="A602" t="str">
        <f>"33585349-0"</f>
        <v>33585349-0</v>
      </c>
      <c r="B602" t="s">
        <v>746</v>
      </c>
      <c r="C602" t="s">
        <v>340</v>
      </c>
      <c r="D602" t="s">
        <v>747</v>
      </c>
      <c r="F602" s="1">
        <v>45301.718055555553</v>
      </c>
      <c r="G602" s="1">
        <v>45301.71875</v>
      </c>
      <c r="H602" t="s">
        <v>498</v>
      </c>
    </row>
    <row r="603" spans="1:9" x14ac:dyDescent="0.35">
      <c r="A603" t="str">
        <f>"9146311-3"</f>
        <v>9146311-3</v>
      </c>
      <c r="B603" t="s">
        <v>1515</v>
      </c>
      <c r="C603" t="s">
        <v>1516</v>
      </c>
      <c r="D603" t="s">
        <v>1517</v>
      </c>
      <c r="E603" t="s">
        <v>1518</v>
      </c>
      <c r="F603" s="1">
        <v>45371.540277777778</v>
      </c>
      <c r="G603" s="1">
        <v>45371.540277777778</v>
      </c>
      <c r="H603" t="s">
        <v>1519</v>
      </c>
      <c r="I603" t="s">
        <v>11</v>
      </c>
    </row>
    <row r="604" spans="1:9" x14ac:dyDescent="0.35">
      <c r="A604" t="str">
        <f>"26441384-2"</f>
        <v>26441384-2</v>
      </c>
      <c r="B604" t="s">
        <v>623</v>
      </c>
      <c r="C604" t="s">
        <v>1529</v>
      </c>
      <c r="D604" t="s">
        <v>1530</v>
      </c>
      <c r="F604" s="1">
        <v>45371.59375</v>
      </c>
      <c r="G604" s="1">
        <v>45371.594444444447</v>
      </c>
      <c r="H604" t="s">
        <v>1531</v>
      </c>
      <c r="I604" t="s">
        <v>11</v>
      </c>
    </row>
    <row r="605" spans="1:9" x14ac:dyDescent="0.35">
      <c r="A605" t="str">
        <f>"18839181-8"</f>
        <v>18839181-8</v>
      </c>
      <c r="B605" t="s">
        <v>857</v>
      </c>
      <c r="C605" t="s">
        <v>858</v>
      </c>
      <c r="D605" t="s">
        <v>859</v>
      </c>
      <c r="F605" s="1">
        <v>45308.643055555556</v>
      </c>
      <c r="G605" s="1">
        <v>45308.643750000003</v>
      </c>
      <c r="H605" t="s">
        <v>860</v>
      </c>
    </row>
    <row r="606" spans="1:9" x14ac:dyDescent="0.35">
      <c r="A606" t="str">
        <f>"17600056-2"</f>
        <v>17600056-2</v>
      </c>
      <c r="B606" t="s">
        <v>261</v>
      </c>
      <c r="C606" t="s">
        <v>1641</v>
      </c>
      <c r="D606" t="s">
        <v>1642</v>
      </c>
      <c r="F606" s="1">
        <v>45374.8125</v>
      </c>
      <c r="G606" s="1">
        <v>45374.813194444447</v>
      </c>
      <c r="H606" t="s">
        <v>1643</v>
      </c>
      <c r="I606" t="s">
        <v>11</v>
      </c>
    </row>
    <row r="607" spans="1:9" x14ac:dyDescent="0.35">
      <c r="A607" t="str">
        <f>"27728790-0"</f>
        <v>27728790-0</v>
      </c>
      <c r="B607" t="s">
        <v>888</v>
      </c>
      <c r="C607" t="s">
        <v>889</v>
      </c>
      <c r="D607" t="s">
        <v>890</v>
      </c>
      <c r="F607" s="1">
        <v>45309.877083333333</v>
      </c>
      <c r="G607" s="1">
        <v>45309.87777777778</v>
      </c>
    </row>
    <row r="608" spans="1:9" x14ac:dyDescent="0.35">
      <c r="A608" t="str">
        <f>"19133577-5"</f>
        <v>19133577-5</v>
      </c>
      <c r="B608" t="s">
        <v>1725</v>
      </c>
      <c r="C608" t="s">
        <v>1726</v>
      </c>
      <c r="D608" t="s">
        <v>1727</v>
      </c>
      <c r="F608" s="1">
        <v>45379.559027777781</v>
      </c>
      <c r="G608" s="1">
        <v>45379.55972222222</v>
      </c>
      <c r="H608" t="s">
        <v>1728</v>
      </c>
      <c r="I608" t="s">
        <v>11</v>
      </c>
    </row>
    <row r="609" spans="1:9" x14ac:dyDescent="0.35">
      <c r="A609" t="str">
        <f>"19924927-4"</f>
        <v>19924927-4</v>
      </c>
      <c r="B609" t="s">
        <v>399</v>
      </c>
      <c r="C609" t="s">
        <v>942</v>
      </c>
      <c r="D609" t="s">
        <v>943</v>
      </c>
      <c r="F609" s="1">
        <v>45317.82916666667</v>
      </c>
      <c r="G609" s="1">
        <v>45317.82916666667</v>
      </c>
    </row>
    <row r="610" spans="1:9" x14ac:dyDescent="0.35">
      <c r="A610" t="str">
        <f>"16235484-1"</f>
        <v>16235484-1</v>
      </c>
      <c r="B610" t="s">
        <v>979</v>
      </c>
      <c r="C610" t="s">
        <v>980</v>
      </c>
      <c r="D610" t="s">
        <v>981</v>
      </c>
      <c r="F610" s="1">
        <v>45321.537499999999</v>
      </c>
      <c r="G610" s="1">
        <v>45321.538194444445</v>
      </c>
    </row>
    <row r="611" spans="1:9" x14ac:dyDescent="0.35">
      <c r="A611" t="str">
        <f>"13253602-3"</f>
        <v>13253602-3</v>
      </c>
      <c r="B611" t="s">
        <v>19</v>
      </c>
      <c r="C611" t="s">
        <v>664</v>
      </c>
      <c r="D611" t="s">
        <v>1021</v>
      </c>
      <c r="F611" s="1">
        <v>45325.758333333331</v>
      </c>
      <c r="G611" s="1">
        <v>45325.758333333331</v>
      </c>
    </row>
    <row r="612" spans="1:9" x14ac:dyDescent="0.35">
      <c r="A612" t="str">
        <f>"9386447-6"</f>
        <v>9386447-6</v>
      </c>
      <c r="B612" t="s">
        <v>1022</v>
      </c>
      <c r="C612" t="s">
        <v>1023</v>
      </c>
      <c r="D612" t="s">
        <v>1024</v>
      </c>
      <c r="F612" s="1">
        <v>45325.824305555558</v>
      </c>
      <c r="G612" s="1">
        <v>45325.824999999997</v>
      </c>
    </row>
    <row r="613" spans="1:9" x14ac:dyDescent="0.35">
      <c r="A613" t="str">
        <f>"15938794-1"</f>
        <v>15938794-1</v>
      </c>
      <c r="B613" t="s">
        <v>1025</v>
      </c>
      <c r="C613" t="s">
        <v>1026</v>
      </c>
      <c r="D613" t="s">
        <v>1027</v>
      </c>
      <c r="F613" s="1">
        <v>45325.825694444444</v>
      </c>
      <c r="G613" s="1">
        <v>45325.826388888891</v>
      </c>
    </row>
    <row r="614" spans="1:9" x14ac:dyDescent="0.35">
      <c r="A614" t="str">
        <f>"22118995-7"</f>
        <v>22118995-7</v>
      </c>
      <c r="B614" t="s">
        <v>1028</v>
      </c>
      <c r="C614" t="s">
        <v>1029</v>
      </c>
      <c r="D614" t="s">
        <v>1030</v>
      </c>
      <c r="F614" s="1">
        <v>45325.827777777777</v>
      </c>
      <c r="G614" s="1">
        <v>45325.827777777777</v>
      </c>
    </row>
    <row r="615" spans="1:9" x14ac:dyDescent="0.35">
      <c r="A615" t="str">
        <f>"8203672-5"</f>
        <v>8203672-5</v>
      </c>
      <c r="B615" t="s">
        <v>1494</v>
      </c>
      <c r="C615" t="s">
        <v>1495</v>
      </c>
      <c r="D615" t="s">
        <v>1496</v>
      </c>
      <c r="F615" s="1">
        <v>45369.711805555555</v>
      </c>
      <c r="G615" s="1">
        <v>45369.712500000001</v>
      </c>
      <c r="H615" t="s">
        <v>1497</v>
      </c>
      <c r="I615" t="s">
        <v>11</v>
      </c>
    </row>
    <row r="616" spans="1:9" x14ac:dyDescent="0.35">
      <c r="A616" t="str">
        <f>"19759124-2"</f>
        <v>19759124-2</v>
      </c>
      <c r="B616" t="s">
        <v>1499</v>
      </c>
      <c r="C616" t="s">
        <v>1500</v>
      </c>
      <c r="D616" t="s">
        <v>1501</v>
      </c>
      <c r="E616" t="s">
        <v>1502</v>
      </c>
      <c r="F616" s="1">
        <v>45369.80972222222</v>
      </c>
      <c r="G616" s="1">
        <v>45369.810416666667</v>
      </c>
      <c r="H616" t="s">
        <v>1503</v>
      </c>
      <c r="I616" t="s">
        <v>11</v>
      </c>
    </row>
    <row r="617" spans="1:9" x14ac:dyDescent="0.35">
      <c r="A617" t="str">
        <f>"18033626-5"</f>
        <v>18033626-5</v>
      </c>
      <c r="B617" t="s">
        <v>421</v>
      </c>
      <c r="C617" t="s">
        <v>1052</v>
      </c>
      <c r="D617" t="s">
        <v>1053</v>
      </c>
      <c r="F617" s="1">
        <v>45328.90347222222</v>
      </c>
      <c r="G617" s="1">
        <v>45328.90347222222</v>
      </c>
    </row>
    <row r="618" spans="1:9" x14ac:dyDescent="0.35">
      <c r="A618" t="str">
        <f>"9357148-7"</f>
        <v>9357148-7</v>
      </c>
      <c r="B618" t="s">
        <v>71</v>
      </c>
      <c r="C618" t="s">
        <v>939</v>
      </c>
      <c r="D618" t="s">
        <v>2126</v>
      </c>
      <c r="F618" s="1">
        <v>45406.728472222225</v>
      </c>
      <c r="G618" s="1">
        <v>45406.729166666664</v>
      </c>
      <c r="H618" t="s">
        <v>2127</v>
      </c>
      <c r="I618" t="s">
        <v>2294</v>
      </c>
    </row>
    <row r="619" spans="1:9" x14ac:dyDescent="0.35">
      <c r="A619" t="str">
        <f>"14494868-8"</f>
        <v>14494868-8</v>
      </c>
      <c r="B619" t="s">
        <v>101</v>
      </c>
      <c r="C619" t="s">
        <v>350</v>
      </c>
      <c r="D619" t="s">
        <v>1071</v>
      </c>
      <c r="F619" s="1">
        <v>45330.866666666669</v>
      </c>
      <c r="G619" s="1">
        <v>45330.867361111108</v>
      </c>
    </row>
    <row r="620" spans="1:9" x14ac:dyDescent="0.35">
      <c r="A620" t="str">
        <f>"15140145-7"</f>
        <v>15140145-7</v>
      </c>
      <c r="B620" t="s">
        <v>1072</v>
      </c>
      <c r="C620" t="s">
        <v>1073</v>
      </c>
      <c r="D620" t="s">
        <v>1074</v>
      </c>
      <c r="F620" s="1">
        <v>45331.555555555555</v>
      </c>
      <c r="G620" s="1">
        <v>45331.555555555555</v>
      </c>
    </row>
    <row r="621" spans="1:9" x14ac:dyDescent="0.35">
      <c r="A621" t="str">
        <f>"17697397-8"</f>
        <v>17697397-8</v>
      </c>
      <c r="B621" t="s">
        <v>652</v>
      </c>
      <c r="C621" t="s">
        <v>1077</v>
      </c>
      <c r="D621" t="s">
        <v>1078</v>
      </c>
      <c r="F621" s="1">
        <v>45331.792361111111</v>
      </c>
      <c r="G621" s="1">
        <v>45331.792361111111</v>
      </c>
    </row>
    <row r="622" spans="1:9" x14ac:dyDescent="0.35">
      <c r="A622" t="str">
        <f>"17944169-1"</f>
        <v>17944169-1</v>
      </c>
      <c r="B622" t="s">
        <v>230</v>
      </c>
      <c r="C622" t="s">
        <v>1079</v>
      </c>
      <c r="D622" t="s">
        <v>1080</v>
      </c>
      <c r="F622" s="1">
        <v>45331.875</v>
      </c>
      <c r="G622" s="1">
        <v>45331.875694444447</v>
      </c>
    </row>
    <row r="623" spans="1:9" x14ac:dyDescent="0.35">
      <c r="A623" t="str">
        <f>"15357219-4"</f>
        <v>15357219-4</v>
      </c>
      <c r="B623" t="s">
        <v>1081</v>
      </c>
      <c r="C623" t="s">
        <v>409</v>
      </c>
      <c r="D623" t="s">
        <v>1082</v>
      </c>
      <c r="F623" s="1">
        <v>45332.571527777778</v>
      </c>
      <c r="G623" s="1">
        <v>45332.571527777778</v>
      </c>
    </row>
    <row r="624" spans="1:9" x14ac:dyDescent="0.35">
      <c r="A624" t="str">
        <f>"16172463-7"</f>
        <v>16172463-7</v>
      </c>
      <c r="B624" t="s">
        <v>1629</v>
      </c>
      <c r="C624" t="s">
        <v>1630</v>
      </c>
      <c r="D624" t="s">
        <v>1631</v>
      </c>
      <c r="F624" s="1">
        <v>45373.824305555558</v>
      </c>
      <c r="G624" s="1">
        <v>45373.824305555558</v>
      </c>
      <c r="H624" t="s">
        <v>1632</v>
      </c>
      <c r="I624" t="s">
        <v>11</v>
      </c>
    </row>
    <row r="625" spans="1:9" x14ac:dyDescent="0.35">
      <c r="A625" t="str">
        <f>"26882149k"</f>
        <v>26882149k</v>
      </c>
      <c r="B625" t="s">
        <v>1934</v>
      </c>
      <c r="C625" t="s">
        <v>1935</v>
      </c>
      <c r="D625" t="s">
        <v>1936</v>
      </c>
      <c r="F625" s="1">
        <v>45392.77847222222</v>
      </c>
      <c r="G625" s="1">
        <v>45392.779166666667</v>
      </c>
      <c r="H625" t="s">
        <v>1937</v>
      </c>
      <c r="I625" t="s">
        <v>11</v>
      </c>
    </row>
    <row r="626" spans="1:9" x14ac:dyDescent="0.35">
      <c r="A626" t="str">
        <f>"21261163-8"</f>
        <v>21261163-8</v>
      </c>
      <c r="B626" t="s">
        <v>359</v>
      </c>
      <c r="C626" t="s">
        <v>1746</v>
      </c>
      <c r="D626" t="s">
        <v>2399</v>
      </c>
      <c r="F626" s="1">
        <v>45426.564583333333</v>
      </c>
      <c r="G626" s="1">
        <v>45426.564583333333</v>
      </c>
      <c r="H626" t="s">
        <v>2400</v>
      </c>
      <c r="I626" t="s">
        <v>2294</v>
      </c>
    </row>
    <row r="627" spans="1:9" x14ac:dyDescent="0.35">
      <c r="A627" t="str">
        <f>"20495352-K"</f>
        <v>20495352-K</v>
      </c>
      <c r="B627" t="s">
        <v>1121</v>
      </c>
      <c r="C627" t="s">
        <v>1122</v>
      </c>
      <c r="D627" t="s">
        <v>1123</v>
      </c>
      <c r="F627" s="1">
        <v>45336.732638888891</v>
      </c>
      <c r="G627" s="1">
        <v>45336.73333333333</v>
      </c>
    </row>
    <row r="628" spans="1:9" x14ac:dyDescent="0.35">
      <c r="A628" t="str">
        <f>"19080396-1"</f>
        <v>19080396-1</v>
      </c>
      <c r="B628" t="s">
        <v>439</v>
      </c>
      <c r="C628" t="s">
        <v>1126</v>
      </c>
      <c r="D628" t="s">
        <v>1127</v>
      </c>
      <c r="F628" s="1">
        <v>45336.947916666664</v>
      </c>
      <c r="G628" s="1">
        <v>45336.948611111111</v>
      </c>
    </row>
    <row r="629" spans="1:9" x14ac:dyDescent="0.35">
      <c r="A629" t="str">
        <f>"21051884-3"</f>
        <v>21051884-3</v>
      </c>
      <c r="B629" t="s">
        <v>359</v>
      </c>
      <c r="C629" t="s">
        <v>360</v>
      </c>
      <c r="D629" t="s">
        <v>361</v>
      </c>
      <c r="F629" s="1">
        <v>45278.675694444442</v>
      </c>
      <c r="G629" s="1">
        <v>45278.676388888889</v>
      </c>
      <c r="H629" t="s">
        <v>151</v>
      </c>
      <c r="I629" t="s">
        <v>11</v>
      </c>
    </row>
    <row r="630" spans="1:9" x14ac:dyDescent="0.35">
      <c r="A630" t="str">
        <f>"14578207-4"</f>
        <v>14578207-4</v>
      </c>
      <c r="B630" t="s">
        <v>517</v>
      </c>
      <c r="C630" t="s">
        <v>518</v>
      </c>
      <c r="D630" t="s">
        <v>519</v>
      </c>
      <c r="F630" s="1">
        <v>45287.75</v>
      </c>
      <c r="G630" s="1">
        <v>45287.750694444447</v>
      </c>
      <c r="H630" t="s">
        <v>151</v>
      </c>
      <c r="I630" t="s">
        <v>11</v>
      </c>
    </row>
    <row r="631" spans="1:9" x14ac:dyDescent="0.35">
      <c r="A631" t="str">
        <f>"10269270-5"</f>
        <v>10269270-5</v>
      </c>
      <c r="B631" t="s">
        <v>1140</v>
      </c>
      <c r="C631" t="s">
        <v>1141</v>
      </c>
      <c r="D631" t="s">
        <v>1142</v>
      </c>
      <c r="F631" s="1">
        <v>45337.71597222222</v>
      </c>
      <c r="G631" s="1">
        <v>45337.71875</v>
      </c>
    </row>
    <row r="632" spans="1:9" x14ac:dyDescent="0.35">
      <c r="A632" t="str">
        <f>"18169413-0"</f>
        <v>18169413-0</v>
      </c>
      <c r="B632" t="s">
        <v>1149</v>
      </c>
      <c r="C632" t="s">
        <v>355</v>
      </c>
      <c r="D632" t="s">
        <v>1150</v>
      </c>
      <c r="F632" s="1">
        <v>45337.879861111112</v>
      </c>
      <c r="G632" s="1">
        <v>45337.880555555559</v>
      </c>
    </row>
    <row r="633" spans="1:9" x14ac:dyDescent="0.35">
      <c r="A633" t="str">
        <f>"19648512-0"</f>
        <v>19648512-0</v>
      </c>
      <c r="B633" t="s">
        <v>692</v>
      </c>
      <c r="C633" t="s">
        <v>1151</v>
      </c>
      <c r="D633" t="s">
        <v>1152</v>
      </c>
      <c r="F633" s="1">
        <v>45338.529166666667</v>
      </c>
      <c r="G633" s="1">
        <v>45338.535416666666</v>
      </c>
    </row>
    <row r="634" spans="1:9" x14ac:dyDescent="0.35">
      <c r="A634" t="str">
        <f>"17602481-K"</f>
        <v>17602481-K</v>
      </c>
      <c r="B634" t="s">
        <v>536</v>
      </c>
      <c r="C634" t="s">
        <v>537</v>
      </c>
      <c r="D634" t="s">
        <v>538</v>
      </c>
      <c r="F634" s="1">
        <v>45288.600694444445</v>
      </c>
      <c r="G634" s="1">
        <v>45288.602083333331</v>
      </c>
      <c r="H634" t="s">
        <v>539</v>
      </c>
      <c r="I634" t="s">
        <v>11</v>
      </c>
    </row>
    <row r="635" spans="1:9" x14ac:dyDescent="0.35">
      <c r="A635" t="str">
        <f>"12642769-7"</f>
        <v>12642769-7</v>
      </c>
      <c r="B635" t="s">
        <v>543</v>
      </c>
      <c r="C635" t="s">
        <v>544</v>
      </c>
      <c r="D635" t="s">
        <v>545</v>
      </c>
      <c r="F635" s="1">
        <v>45288.668055555558</v>
      </c>
      <c r="G635" s="1">
        <v>45288.668055555558</v>
      </c>
      <c r="H635" t="s">
        <v>252</v>
      </c>
      <c r="I635" t="s">
        <v>11</v>
      </c>
    </row>
    <row r="636" spans="1:9" x14ac:dyDescent="0.35">
      <c r="A636" t="str">
        <f>"18585853-7"</f>
        <v>18585853-7</v>
      </c>
      <c r="B636" t="s">
        <v>230</v>
      </c>
      <c r="C636" t="s">
        <v>1187</v>
      </c>
      <c r="D636" t="s">
        <v>1188</v>
      </c>
      <c r="F636" s="1">
        <v>45343.54791666667</v>
      </c>
      <c r="G636" s="1">
        <v>45343.54791666667</v>
      </c>
    </row>
    <row r="637" spans="1:9" x14ac:dyDescent="0.35">
      <c r="A637" t="str">
        <f>"18956237-3"</f>
        <v>18956237-3</v>
      </c>
      <c r="B637" t="s">
        <v>1192</v>
      </c>
      <c r="C637" t="s">
        <v>1193</v>
      </c>
      <c r="D637" t="s">
        <v>1194</v>
      </c>
      <c r="F637" s="1">
        <v>45343.647222222222</v>
      </c>
      <c r="G637" s="1">
        <v>45343.647916666669</v>
      </c>
      <c r="H637" t="s">
        <v>498</v>
      </c>
    </row>
    <row r="638" spans="1:9" x14ac:dyDescent="0.35">
      <c r="A638" t="str">
        <f>"11058519-5"</f>
        <v>11058519-5</v>
      </c>
      <c r="B638" t="s">
        <v>408</v>
      </c>
      <c r="C638" t="s">
        <v>638</v>
      </c>
      <c r="D638" t="s">
        <v>639</v>
      </c>
      <c r="F638" s="1">
        <v>45295.750694444447</v>
      </c>
      <c r="G638" s="1">
        <v>45295.751388888886</v>
      </c>
      <c r="H638" t="s">
        <v>640</v>
      </c>
      <c r="I638" t="s">
        <v>11</v>
      </c>
    </row>
    <row r="639" spans="1:9" x14ac:dyDescent="0.35">
      <c r="A639" t="str">
        <f>"20124571-0"</f>
        <v>20124571-0</v>
      </c>
      <c r="B639" t="s">
        <v>408</v>
      </c>
      <c r="C639" t="s">
        <v>1222</v>
      </c>
      <c r="D639" t="s">
        <v>1223</v>
      </c>
      <c r="F639" s="1">
        <v>45346.532638888886</v>
      </c>
      <c r="G639" s="1">
        <v>45346.533333333333</v>
      </c>
    </row>
    <row r="640" spans="1:9" x14ac:dyDescent="0.35">
      <c r="A640" t="str">
        <f>"20055356-K"</f>
        <v>20055356-K</v>
      </c>
      <c r="B640" t="s">
        <v>408</v>
      </c>
      <c r="C640" t="s">
        <v>765</v>
      </c>
      <c r="D640" t="s">
        <v>766</v>
      </c>
      <c r="F640" s="1">
        <v>45302.447916666664</v>
      </c>
      <c r="G640" s="1">
        <v>45302.447916666664</v>
      </c>
      <c r="H640" t="s">
        <v>767</v>
      </c>
      <c r="I640" t="s">
        <v>11</v>
      </c>
    </row>
    <row r="641" spans="1:9" x14ac:dyDescent="0.35">
      <c r="A641" t="str">
        <f>"18097835-6"</f>
        <v>18097835-6</v>
      </c>
      <c r="B641" t="s">
        <v>16</v>
      </c>
      <c r="C641" t="s">
        <v>1245</v>
      </c>
      <c r="D641" t="s">
        <v>1246</v>
      </c>
      <c r="F641" s="1">
        <v>45348.736111111109</v>
      </c>
      <c r="G641" s="1">
        <v>45348.736111111109</v>
      </c>
      <c r="H641" t="s">
        <v>1247</v>
      </c>
    </row>
    <row r="642" spans="1:9" x14ac:dyDescent="0.35">
      <c r="A642" t="str">
        <f>"17771654-5"</f>
        <v>17771654-5</v>
      </c>
      <c r="B642" t="s">
        <v>203</v>
      </c>
      <c r="C642" t="s">
        <v>855</v>
      </c>
      <c r="D642" t="s">
        <v>856</v>
      </c>
      <c r="F642" s="1">
        <v>45308.463194444441</v>
      </c>
      <c r="G642" s="1">
        <v>45308.463194444441</v>
      </c>
      <c r="H642" t="s">
        <v>151</v>
      </c>
      <c r="I642" t="s">
        <v>11</v>
      </c>
    </row>
    <row r="643" spans="1:9" x14ac:dyDescent="0.35">
      <c r="A643" t="str">
        <f>"19309105-9"</f>
        <v>19309105-9</v>
      </c>
      <c r="B643" t="s">
        <v>402</v>
      </c>
      <c r="C643" t="s">
        <v>129</v>
      </c>
      <c r="D643" t="s">
        <v>865</v>
      </c>
      <c r="F643" s="1">
        <v>45308.755555555559</v>
      </c>
      <c r="G643" s="1">
        <v>45308.756249999999</v>
      </c>
      <c r="H643" t="s">
        <v>252</v>
      </c>
      <c r="I643" t="s">
        <v>11</v>
      </c>
    </row>
    <row r="644" spans="1:9" x14ac:dyDescent="0.35">
      <c r="A644" t="str">
        <f>"26764391-1"</f>
        <v>26764391-1</v>
      </c>
      <c r="B644" t="s">
        <v>1264</v>
      </c>
      <c r="C644" t="s">
        <v>1265</v>
      </c>
      <c r="D644" t="s">
        <v>1266</v>
      </c>
      <c r="F644" s="1">
        <v>45350.754166666666</v>
      </c>
      <c r="G644" s="1">
        <v>45350.754861111112</v>
      </c>
    </row>
    <row r="645" spans="1:9" x14ac:dyDescent="0.35">
      <c r="A645" t="str">
        <f>"17905229-6"</f>
        <v>17905229-6</v>
      </c>
      <c r="B645" t="s">
        <v>922</v>
      </c>
      <c r="C645" t="s">
        <v>923</v>
      </c>
      <c r="D645" t="s">
        <v>924</v>
      </c>
      <c r="F645" s="1">
        <v>45314.661111111112</v>
      </c>
      <c r="G645" s="1">
        <v>45314.661805555559</v>
      </c>
      <c r="H645" t="s">
        <v>151</v>
      </c>
      <c r="I645" t="s">
        <v>11</v>
      </c>
    </row>
    <row r="646" spans="1:9" x14ac:dyDescent="0.35">
      <c r="A646" t="str">
        <f>"17110605-2"</f>
        <v>17110605-2</v>
      </c>
      <c r="B646" t="s">
        <v>1291</v>
      </c>
      <c r="C646" t="s">
        <v>1292</v>
      </c>
      <c r="D646" t="s">
        <v>1293</v>
      </c>
      <c r="F646" s="1">
        <v>45351.890277777777</v>
      </c>
      <c r="G646" s="1">
        <v>45351.890277777777</v>
      </c>
    </row>
    <row r="647" spans="1:9" x14ac:dyDescent="0.35">
      <c r="A647" t="str">
        <f>"19374565-2"</f>
        <v>19374565-2</v>
      </c>
      <c r="B647" t="s">
        <v>564</v>
      </c>
      <c r="C647" t="s">
        <v>1297</v>
      </c>
      <c r="F647" s="1">
        <v>45352.863194444442</v>
      </c>
      <c r="G647" s="1">
        <v>45352.863194444442</v>
      </c>
    </row>
    <row r="648" spans="1:9" x14ac:dyDescent="0.35">
      <c r="A648" t="str">
        <f>"19521767-K"</f>
        <v>19521767-K</v>
      </c>
      <c r="B648" t="s">
        <v>1301</v>
      </c>
      <c r="C648" t="s">
        <v>494</v>
      </c>
      <c r="D648" t="s">
        <v>1302</v>
      </c>
      <c r="F648" s="1">
        <v>45355.804861111108</v>
      </c>
      <c r="G648" s="1">
        <v>45355.805555555555</v>
      </c>
    </row>
    <row r="649" spans="1:9" x14ac:dyDescent="0.35">
      <c r="A649" t="str">
        <f>"22594233-1"</f>
        <v>22594233-1</v>
      </c>
      <c r="B649" t="s">
        <v>1306</v>
      </c>
      <c r="C649" t="s">
        <v>1307</v>
      </c>
      <c r="D649" t="s">
        <v>1308</v>
      </c>
      <c r="F649" s="1">
        <v>45355.824305555558</v>
      </c>
      <c r="G649" s="1">
        <v>45355.824305555558</v>
      </c>
      <c r="H649" t="s">
        <v>1309</v>
      </c>
    </row>
    <row r="650" spans="1:9" x14ac:dyDescent="0.35">
      <c r="A650" t="str">
        <f>"18293637-5"</f>
        <v>18293637-5</v>
      </c>
      <c r="B650" t="s">
        <v>453</v>
      </c>
      <c r="C650" t="s">
        <v>454</v>
      </c>
      <c r="D650" t="s">
        <v>455</v>
      </c>
      <c r="F650" s="1">
        <v>45282.81527777778</v>
      </c>
      <c r="G650" s="1">
        <v>45282.815972222219</v>
      </c>
    </row>
    <row r="651" spans="1:9" x14ac:dyDescent="0.35">
      <c r="A651" t="str">
        <f>"17189564-2"</f>
        <v>17189564-2</v>
      </c>
      <c r="B651" t="s">
        <v>453</v>
      </c>
      <c r="C651" t="s">
        <v>1034</v>
      </c>
      <c r="D651" t="s">
        <v>1035</v>
      </c>
      <c r="F651" s="1">
        <v>45327.533333333333</v>
      </c>
      <c r="G651" s="1">
        <v>45327.53402777778</v>
      </c>
      <c r="H651" t="s">
        <v>151</v>
      </c>
      <c r="I651" t="s">
        <v>11</v>
      </c>
    </row>
    <row r="652" spans="1:9" x14ac:dyDescent="0.35">
      <c r="A652" t="str">
        <f>"17345675-1"</f>
        <v>17345675-1</v>
      </c>
      <c r="B652" t="s">
        <v>190</v>
      </c>
      <c r="C652" t="s">
        <v>1050</v>
      </c>
      <c r="D652" t="s">
        <v>1051</v>
      </c>
      <c r="F652" s="1">
        <v>45328.815972222219</v>
      </c>
      <c r="G652" s="1">
        <v>45328.815972222219</v>
      </c>
      <c r="H652" t="s">
        <v>151</v>
      </c>
      <c r="I652" t="s">
        <v>11</v>
      </c>
    </row>
    <row r="653" spans="1:9" x14ac:dyDescent="0.35">
      <c r="A653" t="str">
        <f>"16840776-9"</f>
        <v>16840776-9</v>
      </c>
      <c r="B653" t="s">
        <v>1069</v>
      </c>
      <c r="C653" t="s">
        <v>714</v>
      </c>
      <c r="D653" t="s">
        <v>1070</v>
      </c>
      <c r="F653" s="1">
        <v>45330.464583333334</v>
      </c>
      <c r="G653" s="1">
        <v>45330.465277777781</v>
      </c>
      <c r="H653" t="s">
        <v>151</v>
      </c>
      <c r="I653" t="s">
        <v>11</v>
      </c>
    </row>
    <row r="654" spans="1:9" x14ac:dyDescent="0.35">
      <c r="A654" t="str">
        <f>"10840019-6"</f>
        <v>10840019-6</v>
      </c>
      <c r="B654" t="s">
        <v>19</v>
      </c>
      <c r="C654" t="s">
        <v>20</v>
      </c>
      <c r="D654" t="s">
        <v>21</v>
      </c>
      <c r="F654" s="1">
        <v>45238.549305555556</v>
      </c>
      <c r="G654" s="1">
        <v>45276.845833333333</v>
      </c>
    </row>
    <row r="655" spans="1:9" x14ac:dyDescent="0.35">
      <c r="A655" t="str">
        <f>"20236816-6"</f>
        <v>20236816-6</v>
      </c>
      <c r="B655" t="s">
        <v>30</v>
      </c>
      <c r="C655" t="s">
        <v>31</v>
      </c>
      <c r="D655" t="s">
        <v>32</v>
      </c>
      <c r="F655" s="1">
        <v>45239.713888888888</v>
      </c>
      <c r="G655" s="1">
        <v>45276.845833333333</v>
      </c>
    </row>
    <row r="656" spans="1:9" x14ac:dyDescent="0.35">
      <c r="A656" t="str">
        <f>"19208691-4"</f>
        <v>19208691-4</v>
      </c>
      <c r="B656" t="s">
        <v>33</v>
      </c>
      <c r="C656" t="s">
        <v>34</v>
      </c>
      <c r="D656" t="s">
        <v>35</v>
      </c>
      <c r="F656" s="1">
        <v>45239.765277777777</v>
      </c>
      <c r="G656" s="1">
        <v>45276.845833333333</v>
      </c>
    </row>
    <row r="657" spans="1:9" x14ac:dyDescent="0.35">
      <c r="A657" t="str">
        <f>"15342568-K"</f>
        <v>15342568-K</v>
      </c>
      <c r="B657" t="s">
        <v>42</v>
      </c>
      <c r="C657" t="s">
        <v>43</v>
      </c>
      <c r="D657" t="s">
        <v>44</v>
      </c>
      <c r="F657" s="1">
        <v>45243.505555555559</v>
      </c>
      <c r="G657" s="1">
        <v>45276.845833333333</v>
      </c>
    </row>
    <row r="658" spans="1:9" x14ac:dyDescent="0.35">
      <c r="A658" t="str">
        <f>"19875472-2"</f>
        <v>19875472-2</v>
      </c>
      <c r="B658" t="s">
        <v>54</v>
      </c>
      <c r="C658" t="s">
        <v>55</v>
      </c>
      <c r="D658" t="s">
        <v>56</v>
      </c>
      <c r="F658" s="1">
        <v>45244.820833333331</v>
      </c>
      <c r="G658" s="1">
        <v>45276.845833333333</v>
      </c>
    </row>
    <row r="659" spans="1:9" x14ac:dyDescent="0.35">
      <c r="A659" t="str">
        <f>"8525995-4"</f>
        <v>8525995-4</v>
      </c>
      <c r="B659" t="s">
        <v>57</v>
      </c>
      <c r="C659" t="s">
        <v>58</v>
      </c>
      <c r="D659" t="s">
        <v>59</v>
      </c>
      <c r="F659" s="1">
        <v>45244.834722222222</v>
      </c>
      <c r="G659" s="1">
        <v>45276.845833333333</v>
      </c>
    </row>
    <row r="660" spans="1:9" x14ac:dyDescent="0.35">
      <c r="A660" t="str">
        <f>"13880525-5"</f>
        <v>13880525-5</v>
      </c>
      <c r="B660" t="s">
        <v>64</v>
      </c>
      <c r="C660" t="s">
        <v>65</v>
      </c>
      <c r="D660" t="s">
        <v>66</v>
      </c>
      <c r="F660" s="1">
        <v>45244.865277777775</v>
      </c>
      <c r="G660" s="1">
        <v>45276.845833333333</v>
      </c>
    </row>
    <row r="661" spans="1:9" x14ac:dyDescent="0.35">
      <c r="A661" t="str">
        <f>"18954881-8"</f>
        <v>18954881-8</v>
      </c>
      <c r="B661" t="s">
        <v>79</v>
      </c>
      <c r="C661" t="s">
        <v>80</v>
      </c>
      <c r="D661" t="s">
        <v>81</v>
      </c>
      <c r="F661" s="1">
        <v>45245.76666666667</v>
      </c>
      <c r="G661" s="1">
        <v>45276.845833333333</v>
      </c>
      <c r="H661" t="s">
        <v>82</v>
      </c>
    </row>
    <row r="662" spans="1:9" x14ac:dyDescent="0.35">
      <c r="A662" t="str">
        <f>"18315737-K"</f>
        <v>18315737-K</v>
      </c>
      <c r="B662" t="s">
        <v>281</v>
      </c>
      <c r="C662" t="s">
        <v>494</v>
      </c>
      <c r="D662" t="s">
        <v>1083</v>
      </c>
      <c r="F662" s="1">
        <v>45332.865277777775</v>
      </c>
      <c r="G662" s="1">
        <v>45332.865277777775</v>
      </c>
      <c r="H662" t="s">
        <v>1084</v>
      </c>
      <c r="I662" t="s">
        <v>11</v>
      </c>
    </row>
    <row r="663" spans="1:9" x14ac:dyDescent="0.35">
      <c r="A663" t="str">
        <f>"9970103-K"</f>
        <v>9970103-K</v>
      </c>
      <c r="B663" t="s">
        <v>1111</v>
      </c>
      <c r="C663" t="s">
        <v>710</v>
      </c>
      <c r="D663" t="s">
        <v>1112</v>
      </c>
      <c r="F663" s="1">
        <v>45336.563194444447</v>
      </c>
      <c r="G663" s="1">
        <v>45336.563888888886</v>
      </c>
      <c r="H663" t="s">
        <v>151</v>
      </c>
      <c r="I663" t="s">
        <v>11</v>
      </c>
    </row>
    <row r="664" spans="1:9" x14ac:dyDescent="0.35">
      <c r="A664" t="str">
        <f>"21980649-3"</f>
        <v>21980649-3</v>
      </c>
      <c r="B664" t="s">
        <v>1116</v>
      </c>
      <c r="C664" t="s">
        <v>1117</v>
      </c>
      <c r="D664" t="s">
        <v>1118</v>
      </c>
      <c r="F664" s="1">
        <v>45336.588888888888</v>
      </c>
      <c r="G664" s="1">
        <v>45336.589583333334</v>
      </c>
      <c r="H664" t="s">
        <v>635</v>
      </c>
      <c r="I664" t="s">
        <v>11</v>
      </c>
    </row>
    <row r="665" spans="1:9" x14ac:dyDescent="0.35">
      <c r="A665" t="str">
        <f>"12019658-8"</f>
        <v>12019658-8</v>
      </c>
      <c r="B665" t="s">
        <v>105</v>
      </c>
      <c r="C665" t="s">
        <v>106</v>
      </c>
      <c r="D665" t="s">
        <v>107</v>
      </c>
      <c r="F665" s="1">
        <v>45246.835416666669</v>
      </c>
      <c r="G665" s="1">
        <v>45276.845833333333</v>
      </c>
    </row>
    <row r="666" spans="1:9" x14ac:dyDescent="0.35">
      <c r="A666" t="str">
        <f>"15581424-1"</f>
        <v>15581424-1</v>
      </c>
      <c r="B666" t="s">
        <v>108</v>
      </c>
      <c r="C666" t="s">
        <v>109</v>
      </c>
      <c r="D666" t="s">
        <v>110</v>
      </c>
      <c r="F666" s="1">
        <v>45250.513194444444</v>
      </c>
      <c r="G666" s="1">
        <v>45276.845833333333</v>
      </c>
    </row>
    <row r="667" spans="1:9" x14ac:dyDescent="0.35">
      <c r="A667" t="str">
        <f>"15434639-2"</f>
        <v>15434639-2</v>
      </c>
      <c r="B667" t="s">
        <v>16</v>
      </c>
      <c r="C667" t="s">
        <v>129</v>
      </c>
      <c r="D667" t="s">
        <v>130</v>
      </c>
      <c r="F667" s="1">
        <v>45252.5625</v>
      </c>
      <c r="G667" s="1">
        <v>45276.845833333333</v>
      </c>
      <c r="H667" t="s">
        <v>131</v>
      </c>
    </row>
    <row r="668" spans="1:9" x14ac:dyDescent="0.35">
      <c r="A668" t="str">
        <f>"10629543-3"</f>
        <v>10629543-3</v>
      </c>
      <c r="B668" t="s">
        <v>114</v>
      </c>
      <c r="C668" t="s">
        <v>225</v>
      </c>
      <c r="D668" t="s">
        <v>1128</v>
      </c>
      <c r="F668" s="1">
        <v>45337.445833333331</v>
      </c>
      <c r="G668" s="1">
        <v>45337.446527777778</v>
      </c>
      <c r="H668" t="s">
        <v>1129</v>
      </c>
      <c r="I668" t="s">
        <v>11</v>
      </c>
    </row>
    <row r="669" spans="1:9" x14ac:dyDescent="0.35">
      <c r="A669" t="str">
        <f>"13508407-7"</f>
        <v>13508407-7</v>
      </c>
      <c r="B669" t="s">
        <v>140</v>
      </c>
      <c r="C669" t="s">
        <v>141</v>
      </c>
      <c r="D669" t="s">
        <v>142</v>
      </c>
      <c r="F669" s="1">
        <v>45252.790277777778</v>
      </c>
      <c r="G669" s="1">
        <v>45276.845833333333</v>
      </c>
      <c r="H669" t="s">
        <v>143</v>
      </c>
    </row>
    <row r="670" spans="1:9" x14ac:dyDescent="0.35">
      <c r="A670" t="str">
        <f>"15053610-3"</f>
        <v>15053610-3</v>
      </c>
      <c r="B670" t="s">
        <v>144</v>
      </c>
      <c r="C670" t="s">
        <v>145</v>
      </c>
      <c r="D670" t="s">
        <v>146</v>
      </c>
      <c r="F670" s="1">
        <v>45253.619444444441</v>
      </c>
      <c r="G670" s="1">
        <v>45276.845833333333</v>
      </c>
      <c r="H670" t="s">
        <v>147</v>
      </c>
    </row>
    <row r="671" spans="1:9" x14ac:dyDescent="0.35">
      <c r="A671" t="str">
        <f>"16018693-3"</f>
        <v>16018693-3</v>
      </c>
      <c r="B671" t="s">
        <v>71</v>
      </c>
      <c r="C671" t="s">
        <v>1130</v>
      </c>
      <c r="D671" t="s">
        <v>1131</v>
      </c>
      <c r="F671" s="1">
        <v>45337.476388888892</v>
      </c>
      <c r="G671" s="1">
        <v>45337.477083333331</v>
      </c>
      <c r="H671" t="s">
        <v>1132</v>
      </c>
      <c r="I671" t="s">
        <v>11</v>
      </c>
    </row>
    <row r="672" spans="1:9" x14ac:dyDescent="0.35">
      <c r="A672" t="str">
        <f>"20464835-2"</f>
        <v>20464835-2</v>
      </c>
      <c r="B672" t="s">
        <v>1176</v>
      </c>
      <c r="C672" t="s">
        <v>1177</v>
      </c>
      <c r="D672" t="s">
        <v>1178</v>
      </c>
      <c r="F672" s="1">
        <v>45341.833333333336</v>
      </c>
      <c r="G672" s="1">
        <v>45341.834027777775</v>
      </c>
      <c r="H672" t="s">
        <v>1179</v>
      </c>
      <c r="I672" t="s">
        <v>11</v>
      </c>
    </row>
    <row r="673" spans="1:9" x14ac:dyDescent="0.35">
      <c r="A673" t="str">
        <f>"10387659-1"</f>
        <v>10387659-1</v>
      </c>
      <c r="B673" t="s">
        <v>171</v>
      </c>
      <c r="C673" t="s">
        <v>172</v>
      </c>
      <c r="D673" t="s">
        <v>173</v>
      </c>
      <c r="F673" s="1">
        <v>45257.631944444445</v>
      </c>
      <c r="G673" s="1">
        <v>45276.845833333333</v>
      </c>
      <c r="H673" t="s">
        <v>174</v>
      </c>
    </row>
    <row r="674" spans="1:9" x14ac:dyDescent="0.35">
      <c r="A674" t="str">
        <f>"12471314-5"</f>
        <v>12471314-5</v>
      </c>
      <c r="B674" t="s">
        <v>175</v>
      </c>
      <c r="C674" t="s">
        <v>176</v>
      </c>
      <c r="D674" t="s">
        <v>177</v>
      </c>
      <c r="F674" s="1">
        <v>45257.844444444447</v>
      </c>
      <c r="G674" s="1">
        <v>45276.845833333333</v>
      </c>
    </row>
    <row r="675" spans="1:9" x14ac:dyDescent="0.35">
      <c r="A675" t="str">
        <f>"17405217-4"</f>
        <v>17405217-4</v>
      </c>
      <c r="B675" t="s">
        <v>193</v>
      </c>
      <c r="C675" t="s">
        <v>194</v>
      </c>
      <c r="D675" t="s">
        <v>195</v>
      </c>
      <c r="F675" s="1">
        <v>45258.761805555558</v>
      </c>
      <c r="G675" s="1">
        <v>45276.845833333333</v>
      </c>
    </row>
    <row r="676" spans="1:9" x14ac:dyDescent="0.35">
      <c r="A676" t="str">
        <f>"20705773-8"</f>
        <v>20705773-8</v>
      </c>
      <c r="B676" t="s">
        <v>333</v>
      </c>
      <c r="C676" t="s">
        <v>1180</v>
      </c>
      <c r="D676" t="s">
        <v>1181</v>
      </c>
      <c r="F676" s="1">
        <v>45341.836805555555</v>
      </c>
      <c r="G676" s="1">
        <v>45341.837500000001</v>
      </c>
      <c r="H676" t="s">
        <v>1182</v>
      </c>
      <c r="I676" t="s">
        <v>11</v>
      </c>
    </row>
    <row r="677" spans="1:9" x14ac:dyDescent="0.35">
      <c r="A677" t="str">
        <f>"16321743-0"</f>
        <v>16321743-0</v>
      </c>
      <c r="B677" t="s">
        <v>1207</v>
      </c>
      <c r="C677" t="s">
        <v>1208</v>
      </c>
      <c r="D677" t="s">
        <v>1209</v>
      </c>
      <c r="F677" s="1">
        <v>45344.59375</v>
      </c>
      <c r="G677" s="1">
        <v>45344.594444444447</v>
      </c>
      <c r="H677" t="s">
        <v>151</v>
      </c>
      <c r="I677" t="s">
        <v>11</v>
      </c>
    </row>
    <row r="678" spans="1:9" x14ac:dyDescent="0.35">
      <c r="A678" t="str">
        <f>"18115281-8"</f>
        <v>18115281-8</v>
      </c>
      <c r="B678" t="s">
        <v>230</v>
      </c>
      <c r="C678" t="s">
        <v>231</v>
      </c>
      <c r="D678" t="s">
        <v>232</v>
      </c>
      <c r="F678" s="1">
        <v>45265.643750000003</v>
      </c>
      <c r="G678" s="1">
        <v>45276.845833333333</v>
      </c>
    </row>
    <row r="679" spans="1:9" x14ac:dyDescent="0.35">
      <c r="A679" t="str">
        <f>"15946822-4"</f>
        <v>15946822-4</v>
      </c>
      <c r="B679" t="s">
        <v>236</v>
      </c>
      <c r="C679" t="s">
        <v>237</v>
      </c>
      <c r="D679" t="s">
        <v>238</v>
      </c>
      <c r="F679" s="1">
        <v>45266.518750000003</v>
      </c>
      <c r="G679" s="1">
        <v>45276.845833333333</v>
      </c>
    </row>
    <row r="680" spans="1:9" x14ac:dyDescent="0.35">
      <c r="A680" t="str">
        <f>"14109174-3"</f>
        <v>14109174-3</v>
      </c>
      <c r="B680" t="s">
        <v>421</v>
      </c>
      <c r="C680" t="s">
        <v>1236</v>
      </c>
      <c r="D680" t="s">
        <v>1237</v>
      </c>
      <c r="F680" s="1">
        <v>45348.582638888889</v>
      </c>
      <c r="G680" s="1">
        <v>45348.583333333336</v>
      </c>
      <c r="H680" t="s">
        <v>1238</v>
      </c>
      <c r="I680" t="s">
        <v>11</v>
      </c>
    </row>
    <row r="681" spans="1:9" x14ac:dyDescent="0.35">
      <c r="A681" t="str">
        <f>"10767226-5"</f>
        <v>10767226-5</v>
      </c>
      <c r="B681" t="s">
        <v>244</v>
      </c>
      <c r="C681" t="s">
        <v>245</v>
      </c>
      <c r="D681" t="s">
        <v>246</v>
      </c>
      <c r="F681" s="1">
        <v>45266.657638888886</v>
      </c>
      <c r="G681" s="1">
        <v>45276.845833333333</v>
      </c>
      <c r="H681" t="s">
        <v>247</v>
      </c>
    </row>
    <row r="682" spans="1:9" x14ac:dyDescent="0.35">
      <c r="A682" t="str">
        <f>"17920129-1"</f>
        <v>17920129-1</v>
      </c>
      <c r="B682" t="s">
        <v>1248</v>
      </c>
      <c r="C682" t="s">
        <v>1249</v>
      </c>
      <c r="D682" t="s">
        <v>1250</v>
      </c>
      <c r="F682" s="1">
        <v>45349.4375</v>
      </c>
      <c r="G682" s="1">
        <v>45349.438194444447</v>
      </c>
      <c r="H682" t="s">
        <v>1251</v>
      </c>
      <c r="I682" t="s">
        <v>11</v>
      </c>
    </row>
    <row r="683" spans="1:9" x14ac:dyDescent="0.35">
      <c r="A683" t="str">
        <f>"18501091-0"</f>
        <v>18501091-0</v>
      </c>
      <c r="B683" t="s">
        <v>1254</v>
      </c>
      <c r="C683" t="s">
        <v>1255</v>
      </c>
      <c r="D683" t="s">
        <v>1256</v>
      </c>
      <c r="F683" s="1">
        <v>45349.661111111112</v>
      </c>
      <c r="G683" s="1">
        <v>45349.661805555559</v>
      </c>
      <c r="H683" t="s">
        <v>170</v>
      </c>
      <c r="I683" t="s">
        <v>11</v>
      </c>
    </row>
    <row r="684" spans="1:9" x14ac:dyDescent="0.35">
      <c r="A684" t="str">
        <f>"19960985-8"</f>
        <v>19960985-8</v>
      </c>
      <c r="B684" t="s">
        <v>261</v>
      </c>
      <c r="C684" t="s">
        <v>204</v>
      </c>
      <c r="D684" t="s">
        <v>262</v>
      </c>
      <c r="F684" s="1">
        <v>45267.81527777778</v>
      </c>
      <c r="G684" s="1">
        <v>45276.845833333333</v>
      </c>
      <c r="H684" t="s">
        <v>128</v>
      </c>
    </row>
    <row r="685" spans="1:9" x14ac:dyDescent="0.35">
      <c r="A685" t="str">
        <f>"15987654-3"</f>
        <v>15987654-3</v>
      </c>
      <c r="B685" t="s">
        <v>269</v>
      </c>
      <c r="C685" t="s">
        <v>270</v>
      </c>
      <c r="D685" t="s">
        <v>271</v>
      </c>
      <c r="E685" t="s">
        <v>272</v>
      </c>
      <c r="F685" s="1">
        <v>45271.630555555559</v>
      </c>
      <c r="G685" s="1">
        <v>45276.845833333333</v>
      </c>
      <c r="H685" t="s">
        <v>273</v>
      </c>
    </row>
    <row r="686" spans="1:9" x14ac:dyDescent="0.35">
      <c r="A686" t="str">
        <f>"7063168-7"</f>
        <v>7063168-7</v>
      </c>
      <c r="B686" t="s">
        <v>274</v>
      </c>
      <c r="C686" t="s">
        <v>275</v>
      </c>
      <c r="D686" t="s">
        <v>276</v>
      </c>
      <c r="F686" s="1">
        <v>45271.788888888892</v>
      </c>
      <c r="G686" s="1">
        <v>45276.845833333333</v>
      </c>
      <c r="H686" t="s">
        <v>277</v>
      </c>
    </row>
    <row r="687" spans="1:9" x14ac:dyDescent="0.35">
      <c r="A687" t="str">
        <f>"14219518-6"</f>
        <v>14219518-6</v>
      </c>
      <c r="B687" t="s">
        <v>285</v>
      </c>
      <c r="C687" t="s">
        <v>286</v>
      </c>
      <c r="D687" t="s">
        <v>287</v>
      </c>
      <c r="F687" s="1">
        <v>45272.480555555558</v>
      </c>
      <c r="G687" s="1">
        <v>45276.845833333333</v>
      </c>
      <c r="H687" t="s">
        <v>288</v>
      </c>
    </row>
    <row r="688" spans="1:9" x14ac:dyDescent="0.35">
      <c r="A688" t="str">
        <f>"10805746-7"</f>
        <v>10805746-7</v>
      </c>
      <c r="B688" t="s">
        <v>292</v>
      </c>
      <c r="C688" t="s">
        <v>293</v>
      </c>
      <c r="D688" t="s">
        <v>294</v>
      </c>
      <c r="F688" s="1">
        <v>45272.831944444442</v>
      </c>
      <c r="G688" s="1">
        <v>45276.845833333333</v>
      </c>
    </row>
    <row r="689" spans="1:9" x14ac:dyDescent="0.35">
      <c r="A689" t="str">
        <f>"17400367-K"</f>
        <v>17400367-K</v>
      </c>
      <c r="B689" t="s">
        <v>304</v>
      </c>
      <c r="C689" t="s">
        <v>305</v>
      </c>
      <c r="D689" t="s">
        <v>306</v>
      </c>
      <c r="F689" s="1">
        <v>45275.588888888888</v>
      </c>
      <c r="G689" s="1">
        <v>45276.845833333333</v>
      </c>
    </row>
    <row r="690" spans="1:9" x14ac:dyDescent="0.35">
      <c r="A690" t="str">
        <f>"21851838-9"</f>
        <v>21851838-9</v>
      </c>
      <c r="B690" t="s">
        <v>310</v>
      </c>
      <c r="C690" t="s">
        <v>311</v>
      </c>
      <c r="D690" t="s">
        <v>312</v>
      </c>
      <c r="F690" s="1">
        <v>45275.720833333333</v>
      </c>
      <c r="G690" s="1">
        <v>45276.845833333333</v>
      </c>
    </row>
    <row r="691" spans="1:9" x14ac:dyDescent="0.35">
      <c r="A691" t="str">
        <f>"25601290-1"</f>
        <v>25601290-1</v>
      </c>
      <c r="B691" t="s">
        <v>315</v>
      </c>
      <c r="C691" t="s">
        <v>316</v>
      </c>
      <c r="D691" t="s">
        <v>317</v>
      </c>
      <c r="F691" s="1">
        <v>45275.723611111112</v>
      </c>
      <c r="G691" s="1">
        <v>45276.845833333333</v>
      </c>
    </row>
    <row r="692" spans="1:9" x14ac:dyDescent="0.35">
      <c r="A692" t="str">
        <f>"20003843-6"</f>
        <v>20003843-6</v>
      </c>
      <c r="B692" t="s">
        <v>318</v>
      </c>
      <c r="C692" t="s">
        <v>319</v>
      </c>
      <c r="D692" t="s">
        <v>320</v>
      </c>
      <c r="F692" s="1">
        <v>45275.769444444442</v>
      </c>
      <c r="G692" s="1">
        <v>45276.845833333333</v>
      </c>
    </row>
    <row r="693" spans="1:9" x14ac:dyDescent="0.35">
      <c r="A693" t="str">
        <f>"19022901-7"</f>
        <v>19022901-7</v>
      </c>
      <c r="B693" t="s">
        <v>321</v>
      </c>
      <c r="C693" t="s">
        <v>322</v>
      </c>
      <c r="D693" t="s">
        <v>323</v>
      </c>
      <c r="F693" s="1">
        <v>45275.787499999999</v>
      </c>
      <c r="G693" s="1">
        <v>45276.845833333333</v>
      </c>
    </row>
    <row r="694" spans="1:9" x14ac:dyDescent="0.35">
      <c r="A694" t="str">
        <f>"20109656-1"</f>
        <v>20109656-1</v>
      </c>
      <c r="B694" t="s">
        <v>19</v>
      </c>
      <c r="C694" t="s">
        <v>204</v>
      </c>
      <c r="D694" t="s">
        <v>330</v>
      </c>
      <c r="F694" s="1">
        <v>45275.852083333331</v>
      </c>
      <c r="G694" s="1">
        <v>45276.845833333333</v>
      </c>
    </row>
    <row r="695" spans="1:9" x14ac:dyDescent="0.35">
      <c r="A695" t="str">
        <f>"19649381-6"</f>
        <v>19649381-6</v>
      </c>
      <c r="B695" t="s">
        <v>333</v>
      </c>
      <c r="C695" t="s">
        <v>334</v>
      </c>
      <c r="D695" t="s">
        <v>335</v>
      </c>
      <c r="F695" s="1">
        <v>45276.697916666664</v>
      </c>
      <c r="G695" s="1">
        <v>45276.845833333333</v>
      </c>
    </row>
    <row r="696" spans="1:9" x14ac:dyDescent="0.35">
      <c r="A696" t="str">
        <f>"14137427-3"</f>
        <v>14137427-3</v>
      </c>
      <c r="B696" t="s">
        <v>336</v>
      </c>
      <c r="C696" t="s">
        <v>337</v>
      </c>
      <c r="D696" t="s">
        <v>338</v>
      </c>
      <c r="F696" s="1">
        <v>45276.76458333333</v>
      </c>
      <c r="G696" s="1">
        <v>45276.845833333333</v>
      </c>
    </row>
    <row r="697" spans="1:9" x14ac:dyDescent="0.35">
      <c r="A697" t="str">
        <f>"19862763-1"</f>
        <v>19862763-1</v>
      </c>
      <c r="B697" t="s">
        <v>207</v>
      </c>
      <c r="C697" t="s">
        <v>342</v>
      </c>
      <c r="D697" t="s">
        <v>343</v>
      </c>
      <c r="F697" s="1">
        <v>45276.843055555553</v>
      </c>
      <c r="G697" s="1">
        <v>45276.843055555553</v>
      </c>
    </row>
    <row r="698" spans="1:9" x14ac:dyDescent="0.35">
      <c r="A698" t="str">
        <f>"13214828-7"</f>
        <v>13214828-7</v>
      </c>
      <c r="B698" t="s">
        <v>239</v>
      </c>
      <c r="C698" t="s">
        <v>353</v>
      </c>
      <c r="D698" t="s">
        <v>354</v>
      </c>
      <c r="F698" s="1">
        <v>45278.591666666667</v>
      </c>
      <c r="G698" s="1">
        <v>45278.591666666667</v>
      </c>
    </row>
    <row r="699" spans="1:9" x14ac:dyDescent="0.35">
      <c r="A699" t="str">
        <f>"13306194-0"</f>
        <v>13306194-0</v>
      </c>
      <c r="B699" t="s">
        <v>292</v>
      </c>
      <c r="C699" t="s">
        <v>355</v>
      </c>
      <c r="F699" s="1">
        <v>45278.654861111114</v>
      </c>
      <c r="G699" s="1">
        <v>45278.661111111112</v>
      </c>
    </row>
    <row r="700" spans="1:9" x14ac:dyDescent="0.35">
      <c r="A700" t="str">
        <f>"16017600-8"</f>
        <v>16017600-8</v>
      </c>
      <c r="B700" t="s">
        <v>383</v>
      </c>
      <c r="C700" t="s">
        <v>55</v>
      </c>
      <c r="D700" t="s">
        <v>1270</v>
      </c>
      <c r="F700" s="1">
        <v>45351.511111111111</v>
      </c>
      <c r="G700" s="1">
        <v>45351.512499999997</v>
      </c>
      <c r="H700" t="s">
        <v>151</v>
      </c>
      <c r="I700" t="s">
        <v>11</v>
      </c>
    </row>
    <row r="701" spans="1:9" x14ac:dyDescent="0.35">
      <c r="A701" t="str">
        <f>"19244673-2"</f>
        <v>19244673-2</v>
      </c>
      <c r="B701" t="s">
        <v>368</v>
      </c>
      <c r="C701" t="s">
        <v>369</v>
      </c>
      <c r="D701" t="s">
        <v>370</v>
      </c>
      <c r="F701" s="1">
        <v>45279.572916666664</v>
      </c>
      <c r="G701" s="1">
        <v>45279.573611111111</v>
      </c>
      <c r="H701" t="s">
        <v>371</v>
      </c>
    </row>
    <row r="702" spans="1:9" x14ac:dyDescent="0.35">
      <c r="A702" t="str">
        <f>"17303032-0"</f>
        <v>17303032-0</v>
      </c>
      <c r="B702" t="s">
        <v>175</v>
      </c>
      <c r="C702" t="s">
        <v>377</v>
      </c>
      <c r="D702" t="s">
        <v>378</v>
      </c>
      <c r="F702" s="1">
        <v>45279.788888888892</v>
      </c>
      <c r="G702" s="1">
        <v>45279.789583333331</v>
      </c>
      <c r="H702" t="s">
        <v>147</v>
      </c>
    </row>
    <row r="703" spans="1:9" x14ac:dyDescent="0.35">
      <c r="A703" t="str">
        <f>"27309145-9"</f>
        <v>27309145-9</v>
      </c>
      <c r="B703" t="s">
        <v>239</v>
      </c>
      <c r="C703" t="s">
        <v>633</v>
      </c>
      <c r="D703" t="s">
        <v>634</v>
      </c>
      <c r="F703" s="1">
        <v>45295.567361111112</v>
      </c>
      <c r="G703" s="1">
        <v>45392.698611111111</v>
      </c>
      <c r="H703" t="s">
        <v>635</v>
      </c>
      <c r="I703" t="s">
        <v>11</v>
      </c>
    </row>
    <row r="704" spans="1:9" x14ac:dyDescent="0.35">
      <c r="A704" t="str">
        <f>"18739719-7"</f>
        <v>18739719-7</v>
      </c>
      <c r="B704" t="s">
        <v>386</v>
      </c>
      <c r="C704" t="s">
        <v>387</v>
      </c>
      <c r="D704" t="s">
        <v>388</v>
      </c>
      <c r="F704" s="1">
        <v>45280.597222222219</v>
      </c>
      <c r="G704" s="1">
        <v>45280.597916666666</v>
      </c>
      <c r="H704" t="s">
        <v>147</v>
      </c>
    </row>
    <row r="705" spans="1:9" x14ac:dyDescent="0.35">
      <c r="A705" t="str">
        <f>"13250335-4"</f>
        <v>13250335-4</v>
      </c>
      <c r="B705" t="s">
        <v>71</v>
      </c>
      <c r="C705" t="s">
        <v>389</v>
      </c>
      <c r="D705" t="s">
        <v>390</v>
      </c>
      <c r="F705" s="1">
        <v>45280.599305555559</v>
      </c>
      <c r="G705" s="1">
        <v>45280.6</v>
      </c>
      <c r="H705" t="s">
        <v>391</v>
      </c>
    </row>
    <row r="706" spans="1:9" x14ac:dyDescent="0.35">
      <c r="A706" t="str">
        <f>"20434694-1"</f>
        <v>20434694-1</v>
      </c>
      <c r="B706" t="s">
        <v>399</v>
      </c>
      <c r="C706" t="s">
        <v>400</v>
      </c>
      <c r="D706" t="s">
        <v>401</v>
      </c>
      <c r="F706" s="1">
        <v>45280.784722222219</v>
      </c>
      <c r="G706" s="1">
        <v>45280.784722222219</v>
      </c>
    </row>
    <row r="707" spans="1:9" x14ac:dyDescent="0.35">
      <c r="A707" t="str">
        <f>"19962337-0"</f>
        <v>19962337-0</v>
      </c>
      <c r="B707" t="s">
        <v>402</v>
      </c>
      <c r="C707" t="s">
        <v>403</v>
      </c>
      <c r="D707" t="s">
        <v>404</v>
      </c>
      <c r="F707" s="1">
        <v>45280.786111111112</v>
      </c>
      <c r="G707" s="1">
        <v>45280.786805555559</v>
      </c>
    </row>
    <row r="708" spans="1:9" x14ac:dyDescent="0.35">
      <c r="A708" t="str">
        <f>"17556220-6"</f>
        <v>17556220-6</v>
      </c>
      <c r="B708" t="s">
        <v>83</v>
      </c>
      <c r="C708" t="s">
        <v>84</v>
      </c>
      <c r="D708" t="s">
        <v>85</v>
      </c>
      <c r="F708" s="1">
        <v>45245.788888888892</v>
      </c>
      <c r="G708" s="1">
        <v>45276.845833333333</v>
      </c>
      <c r="H708" t="s">
        <v>86</v>
      </c>
      <c r="I708" t="s">
        <v>11</v>
      </c>
    </row>
    <row r="709" spans="1:9" x14ac:dyDescent="0.35">
      <c r="A709" t="str">
        <f>"21677891-K"</f>
        <v>21677891-K</v>
      </c>
      <c r="B709" t="s">
        <v>87</v>
      </c>
      <c r="C709" t="s">
        <v>88</v>
      </c>
      <c r="D709" t="s">
        <v>89</v>
      </c>
      <c r="F709" s="1">
        <v>45246.554166666669</v>
      </c>
      <c r="G709" s="1">
        <v>45276.845833333333</v>
      </c>
      <c r="H709" t="s">
        <v>90</v>
      </c>
      <c r="I709" t="s">
        <v>11</v>
      </c>
    </row>
    <row r="710" spans="1:9" x14ac:dyDescent="0.35">
      <c r="A710" t="str">
        <f>"17701477-K"</f>
        <v>17701477-K</v>
      </c>
      <c r="B710" t="s">
        <v>435</v>
      </c>
      <c r="C710" t="s">
        <v>436</v>
      </c>
      <c r="D710" t="s">
        <v>437</v>
      </c>
      <c r="F710" s="1">
        <v>45281.80972222222</v>
      </c>
      <c r="G710" s="1">
        <v>45281.810416666667</v>
      </c>
      <c r="H710" t="s">
        <v>438</v>
      </c>
    </row>
    <row r="711" spans="1:9" x14ac:dyDescent="0.35">
      <c r="A711" t="str">
        <f>"18115898-0"</f>
        <v>18115898-0</v>
      </c>
      <c r="B711" t="s">
        <v>441</v>
      </c>
      <c r="C711" t="s">
        <v>133</v>
      </c>
      <c r="D711" t="s">
        <v>442</v>
      </c>
      <c r="F711" s="1">
        <v>45282.50277777778</v>
      </c>
      <c r="G711" s="1">
        <v>45282.503472222219</v>
      </c>
    </row>
    <row r="712" spans="1:9" x14ac:dyDescent="0.35">
      <c r="A712" t="str">
        <f>"18171765-3"</f>
        <v>18171765-3</v>
      </c>
      <c r="B712" t="s">
        <v>97</v>
      </c>
      <c r="C712" t="s">
        <v>98</v>
      </c>
      <c r="D712" t="s">
        <v>99</v>
      </c>
      <c r="F712" s="1">
        <v>45246.768750000003</v>
      </c>
      <c r="G712" s="1">
        <v>45276.845833333333</v>
      </c>
      <c r="H712" t="s">
        <v>100</v>
      </c>
      <c r="I712" t="s">
        <v>11</v>
      </c>
    </row>
    <row r="713" spans="1:9" x14ac:dyDescent="0.35">
      <c r="A713" t="str">
        <f>"17484479-8"</f>
        <v>17484479-8</v>
      </c>
      <c r="B713" t="s">
        <v>462</v>
      </c>
      <c r="C713" t="s">
        <v>234</v>
      </c>
      <c r="D713" t="s">
        <v>463</v>
      </c>
      <c r="F713" s="1">
        <v>45283.575694444444</v>
      </c>
      <c r="G713" s="1">
        <v>45283.576388888891</v>
      </c>
    </row>
    <row r="714" spans="1:9" x14ac:dyDescent="0.35">
      <c r="A714" t="str">
        <f>"18524482-2"</f>
        <v>18524482-2</v>
      </c>
      <c r="B714" t="s">
        <v>269</v>
      </c>
      <c r="C714" t="s">
        <v>322</v>
      </c>
      <c r="D714" t="s">
        <v>464</v>
      </c>
      <c r="F714" s="1">
        <v>45283.586805555555</v>
      </c>
      <c r="G714" s="1">
        <v>45283.587500000001</v>
      </c>
    </row>
    <row r="715" spans="1:9" x14ac:dyDescent="0.35">
      <c r="A715" t="str">
        <f>"7682289-1"</f>
        <v>7682289-1</v>
      </c>
      <c r="B715" t="s">
        <v>281</v>
      </c>
      <c r="C715" t="s">
        <v>473</v>
      </c>
      <c r="D715" t="s">
        <v>474</v>
      </c>
      <c r="F715" s="1">
        <v>45283.794444444444</v>
      </c>
      <c r="G715" s="1">
        <v>45283.795138888891</v>
      </c>
    </row>
    <row r="716" spans="1:9" x14ac:dyDescent="0.35">
      <c r="A716" t="str">
        <f>"13460950-8"</f>
        <v>13460950-8</v>
      </c>
      <c r="B716" t="s">
        <v>132</v>
      </c>
      <c r="C716" t="s">
        <v>133</v>
      </c>
      <c r="D716" t="s">
        <v>134</v>
      </c>
      <c r="F716" s="1">
        <v>45252.604166666664</v>
      </c>
      <c r="G716" s="1">
        <v>45346.024305555555</v>
      </c>
      <c r="H716" t="s">
        <v>135</v>
      </c>
      <c r="I716" t="s">
        <v>11</v>
      </c>
    </row>
    <row r="717" spans="1:9" x14ac:dyDescent="0.35">
      <c r="A717" t="str">
        <f>"13534026-K"</f>
        <v>13534026-K</v>
      </c>
      <c r="B717" t="s">
        <v>148</v>
      </c>
      <c r="C717" t="s">
        <v>149</v>
      </c>
      <c r="D717" t="s">
        <v>150</v>
      </c>
      <c r="F717" s="1">
        <v>45253.622916666667</v>
      </c>
      <c r="G717" s="1">
        <v>45276.845833333333</v>
      </c>
      <c r="H717" t="s">
        <v>151</v>
      </c>
      <c r="I717" t="s">
        <v>11</v>
      </c>
    </row>
    <row r="718" spans="1:9" x14ac:dyDescent="0.35">
      <c r="A718" t="str">
        <f>"22005710-0"</f>
        <v>22005710-0</v>
      </c>
      <c r="B718" t="s">
        <v>156</v>
      </c>
      <c r="C718" t="s">
        <v>157</v>
      </c>
      <c r="D718" t="s">
        <v>158</v>
      </c>
      <c r="F718" s="1">
        <v>45253.626388888886</v>
      </c>
      <c r="G718" s="1">
        <v>45276.845833333333</v>
      </c>
      <c r="H718" t="s">
        <v>159</v>
      </c>
      <c r="I718" t="s">
        <v>11</v>
      </c>
    </row>
    <row r="719" spans="1:9" x14ac:dyDescent="0.35">
      <c r="A719" t="str">
        <f>"20825283-6"</f>
        <v>20825283-6</v>
      </c>
      <c r="B719" t="s">
        <v>212</v>
      </c>
      <c r="C719" t="s">
        <v>213</v>
      </c>
      <c r="D719" t="s">
        <v>214</v>
      </c>
      <c r="F719" s="1">
        <v>45259.850694444445</v>
      </c>
      <c r="G719" s="1">
        <v>45276.845833333333</v>
      </c>
      <c r="H719" t="s">
        <v>215</v>
      </c>
      <c r="I719" t="s">
        <v>11</v>
      </c>
    </row>
    <row r="720" spans="1:9" x14ac:dyDescent="0.35">
      <c r="A720" t="str">
        <f>"21188427-4"</f>
        <v>21188427-4</v>
      </c>
      <c r="B720" t="s">
        <v>220</v>
      </c>
      <c r="C720" t="s">
        <v>221</v>
      </c>
      <c r="D720" t="s">
        <v>222</v>
      </c>
      <c r="F720" s="1">
        <v>45264.814583333333</v>
      </c>
      <c r="G720" s="1">
        <v>45276.845833333333</v>
      </c>
      <c r="H720" t="s">
        <v>223</v>
      </c>
      <c r="I720" t="s">
        <v>11</v>
      </c>
    </row>
    <row r="721" spans="1:9" x14ac:dyDescent="0.35">
      <c r="A721" t="str">
        <f>"13642116-6"</f>
        <v>13642116-6</v>
      </c>
      <c r="B721" t="s">
        <v>94</v>
      </c>
      <c r="C721" t="s">
        <v>242</v>
      </c>
      <c r="D721" t="s">
        <v>243</v>
      </c>
      <c r="F721" s="1">
        <v>45266.621527777781</v>
      </c>
      <c r="G721" s="1">
        <v>45276.845833333333</v>
      </c>
      <c r="H721" t="s">
        <v>151</v>
      </c>
      <c r="I721" t="s">
        <v>11</v>
      </c>
    </row>
    <row r="722" spans="1:9" x14ac:dyDescent="0.35">
      <c r="A722" t="str">
        <f>"19784279-2"</f>
        <v>19784279-2</v>
      </c>
      <c r="B722" t="s">
        <v>249</v>
      </c>
      <c r="C722" t="s">
        <v>250</v>
      </c>
      <c r="D722" t="s">
        <v>251</v>
      </c>
      <c r="F722" s="1">
        <v>45266.824999999997</v>
      </c>
      <c r="G722" s="1">
        <v>45276.845833333333</v>
      </c>
      <c r="H722" t="s">
        <v>252</v>
      </c>
      <c r="I722" t="s">
        <v>11</v>
      </c>
    </row>
    <row r="723" spans="1:9" x14ac:dyDescent="0.35">
      <c r="A723" t="str">
        <f>"6817040-0"</f>
        <v>6817040-0</v>
      </c>
      <c r="B723" t="s">
        <v>552</v>
      </c>
      <c r="C723" t="s">
        <v>553</v>
      </c>
      <c r="D723" t="s">
        <v>554</v>
      </c>
      <c r="F723" s="1">
        <v>45289.561805555553</v>
      </c>
      <c r="G723" s="1">
        <v>45289.561805555553</v>
      </c>
    </row>
    <row r="724" spans="1:9" x14ac:dyDescent="0.35">
      <c r="A724" t="str">
        <f>"21464318-9"</f>
        <v>21464318-9</v>
      </c>
      <c r="B724" t="s">
        <v>555</v>
      </c>
      <c r="C724" t="s">
        <v>556</v>
      </c>
      <c r="D724" t="s">
        <v>557</v>
      </c>
      <c r="F724" s="1">
        <v>45289.563888888886</v>
      </c>
      <c r="G724" s="1">
        <v>45289.563888888886</v>
      </c>
    </row>
    <row r="725" spans="1:9" x14ac:dyDescent="0.35">
      <c r="A725" t="str">
        <f>"13967151-1"</f>
        <v>13967151-1</v>
      </c>
      <c r="B725" t="s">
        <v>575</v>
      </c>
      <c r="C725" t="s">
        <v>576</v>
      </c>
      <c r="D725" t="s">
        <v>577</v>
      </c>
      <c r="F725" s="1">
        <v>45290.647222222222</v>
      </c>
      <c r="G725" s="1">
        <v>45290.647916666669</v>
      </c>
    </row>
    <row r="726" spans="1:9" x14ac:dyDescent="0.35">
      <c r="A726" t="str">
        <f>"26516941-4"</f>
        <v>26516941-4</v>
      </c>
      <c r="B726" t="s">
        <v>175</v>
      </c>
      <c r="C726" t="s">
        <v>580</v>
      </c>
      <c r="D726" t="s">
        <v>581</v>
      </c>
      <c r="F726" s="1">
        <v>45290.838194444441</v>
      </c>
      <c r="G726" s="1">
        <v>45290.838888888888</v>
      </c>
    </row>
    <row r="727" spans="1:9" x14ac:dyDescent="0.35">
      <c r="A727" t="str">
        <f>"17490637-8"</f>
        <v>17490637-8</v>
      </c>
      <c r="B727" t="s">
        <v>253</v>
      </c>
      <c r="C727" t="s">
        <v>254</v>
      </c>
      <c r="D727" t="s">
        <v>255</v>
      </c>
      <c r="F727" s="1">
        <v>45267.49722222222</v>
      </c>
      <c r="G727" s="1">
        <v>45276.845833333333</v>
      </c>
      <c r="H727" t="s">
        <v>256</v>
      </c>
      <c r="I727" t="s">
        <v>11</v>
      </c>
    </row>
    <row r="728" spans="1:9" x14ac:dyDescent="0.35">
      <c r="A728" t="str">
        <f>"8393213-9"</f>
        <v>8393213-9</v>
      </c>
      <c r="B728" t="s">
        <v>356</v>
      </c>
      <c r="C728" t="s">
        <v>357</v>
      </c>
      <c r="D728" t="s">
        <v>358</v>
      </c>
      <c r="F728" s="1">
        <v>45278.662499999999</v>
      </c>
      <c r="G728" s="1">
        <v>45278.662499999999</v>
      </c>
      <c r="H728" t="s">
        <v>151</v>
      </c>
      <c r="I728" t="s">
        <v>11</v>
      </c>
    </row>
    <row r="729" spans="1:9" x14ac:dyDescent="0.35">
      <c r="A729" t="str">
        <f>"15415951-7"</f>
        <v>15415951-7</v>
      </c>
      <c r="B729" t="s">
        <v>379</v>
      </c>
      <c r="C729" t="s">
        <v>380</v>
      </c>
      <c r="D729" t="s">
        <v>381</v>
      </c>
      <c r="F729" s="1">
        <v>45280.509027777778</v>
      </c>
      <c r="G729" s="1">
        <v>45280.509722222225</v>
      </c>
      <c r="H729" t="s">
        <v>382</v>
      </c>
      <c r="I729" t="s">
        <v>11</v>
      </c>
    </row>
    <row r="730" spans="1:9" x14ac:dyDescent="0.35">
      <c r="A730" t="str">
        <f>"18643462-5"</f>
        <v>18643462-5</v>
      </c>
      <c r="B730" t="s">
        <v>30</v>
      </c>
      <c r="C730" t="s">
        <v>416</v>
      </c>
      <c r="D730" t="s">
        <v>417</v>
      </c>
      <c r="F730" s="1">
        <v>45280.834027777775</v>
      </c>
      <c r="G730" s="1">
        <v>45280.834722222222</v>
      </c>
      <c r="H730" t="s">
        <v>418</v>
      </c>
      <c r="I730" t="s">
        <v>11</v>
      </c>
    </row>
    <row r="731" spans="1:9" x14ac:dyDescent="0.35">
      <c r="A731" t="str">
        <f>"19039709-2"</f>
        <v>19039709-2</v>
      </c>
      <c r="B731" t="s">
        <v>111</v>
      </c>
      <c r="C731" t="s">
        <v>619</v>
      </c>
      <c r="D731" t="s">
        <v>620</v>
      </c>
      <c r="F731" s="1">
        <v>45294.789583333331</v>
      </c>
      <c r="G731" s="1">
        <v>45294.789583333331</v>
      </c>
    </row>
    <row r="732" spans="1:9" x14ac:dyDescent="0.35">
      <c r="A732" t="str">
        <f>""</f>
        <v/>
      </c>
      <c r="B732" t="s">
        <v>421</v>
      </c>
      <c r="C732" t="s">
        <v>149</v>
      </c>
      <c r="D732" t="s">
        <v>422</v>
      </c>
      <c r="F732" s="1">
        <v>45280.865277777775</v>
      </c>
      <c r="G732" s="1">
        <v>45280.865277777775</v>
      </c>
      <c r="H732" t="s">
        <v>151</v>
      </c>
      <c r="I732" t="s">
        <v>11</v>
      </c>
    </row>
    <row r="733" spans="1:9" x14ac:dyDescent="0.35">
      <c r="A733" t="str">
        <f>"20246191-3"</f>
        <v>20246191-3</v>
      </c>
      <c r="B733" t="s">
        <v>456</v>
      </c>
      <c r="C733" t="s">
        <v>313</v>
      </c>
      <c r="D733" t="s">
        <v>457</v>
      </c>
      <c r="F733" s="1">
        <v>45283.539583333331</v>
      </c>
      <c r="G733" s="1">
        <v>45283.540277777778</v>
      </c>
      <c r="H733" t="s">
        <v>458</v>
      </c>
      <c r="I733" t="s">
        <v>11</v>
      </c>
    </row>
    <row r="734" spans="1:9" x14ac:dyDescent="0.35">
      <c r="A734" t="str">
        <f>"20460382-0"</f>
        <v>20460382-0</v>
      </c>
      <c r="B734" t="s">
        <v>641</v>
      </c>
      <c r="C734" t="s">
        <v>642</v>
      </c>
      <c r="D734" t="s">
        <v>643</v>
      </c>
      <c r="F734" s="1">
        <v>45295.811111111114</v>
      </c>
      <c r="G734" s="1">
        <v>45295.811111111114</v>
      </c>
      <c r="H734" t="s">
        <v>644</v>
      </c>
    </row>
    <row r="735" spans="1:9" x14ac:dyDescent="0.35">
      <c r="A735" t="str">
        <f>"17885382-1"</f>
        <v>17885382-1</v>
      </c>
      <c r="B735" t="s">
        <v>645</v>
      </c>
      <c r="C735" t="s">
        <v>334</v>
      </c>
      <c r="D735" t="s">
        <v>646</v>
      </c>
      <c r="F735" s="1">
        <v>45295.813888888886</v>
      </c>
      <c r="G735" s="1">
        <v>45295.813888888886</v>
      </c>
      <c r="H735" t="s">
        <v>647</v>
      </c>
    </row>
    <row r="736" spans="1:9" x14ac:dyDescent="0.35">
      <c r="A736" t="str">
        <f>"18068837-4"</f>
        <v>18068837-4</v>
      </c>
      <c r="B736" t="s">
        <v>160</v>
      </c>
      <c r="C736" t="s">
        <v>387</v>
      </c>
      <c r="D736" t="s">
        <v>654</v>
      </c>
      <c r="F736" s="1">
        <v>45296.56527777778</v>
      </c>
      <c r="G736" s="1">
        <v>45296.565972222219</v>
      </c>
    </row>
    <row r="737" spans="1:9" x14ac:dyDescent="0.35">
      <c r="A737" t="str">
        <f>"6690832-1"</f>
        <v>6690832-1</v>
      </c>
      <c r="B737" t="s">
        <v>503</v>
      </c>
      <c r="C737" t="s">
        <v>504</v>
      </c>
      <c r="D737" t="s">
        <v>505</v>
      </c>
      <c r="F737" s="1">
        <v>45287.506249999999</v>
      </c>
      <c r="G737" s="1">
        <v>45287.506944444445</v>
      </c>
      <c r="H737" t="s">
        <v>506</v>
      </c>
      <c r="I737" t="s">
        <v>11</v>
      </c>
    </row>
    <row r="738" spans="1:9" x14ac:dyDescent="0.35">
      <c r="A738" t="str">
        <f>"18521733-7"</f>
        <v>18521733-7</v>
      </c>
      <c r="B738" t="s">
        <v>671</v>
      </c>
      <c r="C738" t="s">
        <v>672</v>
      </c>
      <c r="D738" t="s">
        <v>673</v>
      </c>
      <c r="F738" s="1">
        <v>45296.767361111109</v>
      </c>
      <c r="G738" s="1">
        <v>45296.768055555556</v>
      </c>
      <c r="H738" t="s">
        <v>674</v>
      </c>
    </row>
    <row r="739" spans="1:9" x14ac:dyDescent="0.35">
      <c r="A739" t="str">
        <f>"15584416-7"</f>
        <v>15584416-7</v>
      </c>
      <c r="B739" t="s">
        <v>507</v>
      </c>
      <c r="C739" t="s">
        <v>508</v>
      </c>
      <c r="D739" t="s">
        <v>509</v>
      </c>
      <c r="F739" s="1">
        <v>45287.6</v>
      </c>
      <c r="G739" s="1">
        <v>45287.600694444445</v>
      </c>
      <c r="H739" t="s">
        <v>151</v>
      </c>
      <c r="I739" t="s">
        <v>11</v>
      </c>
    </row>
    <row r="740" spans="1:9" x14ac:dyDescent="0.35">
      <c r="A740" t="str">
        <f>"19406949-9"</f>
        <v>19406949-9</v>
      </c>
      <c r="B740" t="s">
        <v>687</v>
      </c>
      <c r="C740" t="s">
        <v>688</v>
      </c>
      <c r="D740" t="s">
        <v>689</v>
      </c>
      <c r="F740" s="1">
        <v>45296.835416666669</v>
      </c>
      <c r="G740" s="1">
        <v>45296.836111111108</v>
      </c>
    </row>
    <row r="741" spans="1:9" x14ac:dyDescent="0.35">
      <c r="A741" t="str">
        <f>"21738925-9"</f>
        <v>21738925-9</v>
      </c>
      <c r="B741" t="s">
        <v>697</v>
      </c>
      <c r="C741" t="s">
        <v>698</v>
      </c>
      <c r="D741" t="s">
        <v>699</v>
      </c>
      <c r="F741" s="1">
        <v>45297.708333333336</v>
      </c>
      <c r="G741" s="1">
        <v>45297.708333333336</v>
      </c>
    </row>
    <row r="742" spans="1:9" x14ac:dyDescent="0.35">
      <c r="A742" t="str">
        <f>"19438008-9"</f>
        <v>19438008-9</v>
      </c>
      <c r="B742" t="s">
        <v>700</v>
      </c>
      <c r="C742" t="s">
        <v>701</v>
      </c>
      <c r="D742" t="s">
        <v>702</v>
      </c>
      <c r="F742" s="1">
        <v>45297.790972222225</v>
      </c>
      <c r="G742" s="1">
        <v>45297.793055555558</v>
      </c>
    </row>
    <row r="743" spans="1:9" x14ac:dyDescent="0.35">
      <c r="A743" t="str">
        <f>"14044994-6"</f>
        <v>14044994-6</v>
      </c>
      <c r="B743" t="s">
        <v>510</v>
      </c>
      <c r="C743" t="s">
        <v>194</v>
      </c>
      <c r="D743" t="s">
        <v>511</v>
      </c>
      <c r="F743" s="1">
        <v>45287.633333333331</v>
      </c>
      <c r="G743" s="1">
        <v>45287.633333333331</v>
      </c>
      <c r="H743" t="s">
        <v>512</v>
      </c>
      <c r="I743" t="s">
        <v>11</v>
      </c>
    </row>
    <row r="744" spans="1:9" x14ac:dyDescent="0.35">
      <c r="A744" t="str">
        <f>"15534028-2"</f>
        <v>15534028-2</v>
      </c>
      <c r="B744" t="s">
        <v>527</v>
      </c>
      <c r="C744" t="s">
        <v>528</v>
      </c>
      <c r="D744" t="s">
        <v>529</v>
      </c>
      <c r="F744" s="1">
        <v>45287.84375</v>
      </c>
      <c r="G744" s="1">
        <v>45287.844444444447</v>
      </c>
      <c r="H744" t="s">
        <v>151</v>
      </c>
      <c r="I744" t="s">
        <v>11</v>
      </c>
    </row>
    <row r="745" spans="1:9" x14ac:dyDescent="0.35">
      <c r="A745" t="str">
        <f>"12244349-3"</f>
        <v>12244349-3</v>
      </c>
      <c r="B745" t="s">
        <v>540</v>
      </c>
      <c r="C745" t="s">
        <v>541</v>
      </c>
      <c r="D745" t="s">
        <v>542</v>
      </c>
      <c r="F745" s="1">
        <v>45288.629166666666</v>
      </c>
      <c r="G745" s="1">
        <v>45288.629861111112</v>
      </c>
      <c r="H745" t="s">
        <v>395</v>
      </c>
      <c r="I745" t="s">
        <v>11</v>
      </c>
    </row>
    <row r="746" spans="1:9" x14ac:dyDescent="0.35">
      <c r="A746" t="str">
        <f>"18390878-2"</f>
        <v>18390878-2</v>
      </c>
      <c r="B746" t="s">
        <v>546</v>
      </c>
      <c r="C746" t="s">
        <v>547</v>
      </c>
      <c r="D746" t="s">
        <v>548</v>
      </c>
      <c r="F746" s="1">
        <v>45288.67291666667</v>
      </c>
      <c r="G746" s="1">
        <v>45288.673611111109</v>
      </c>
      <c r="H746" t="s">
        <v>395</v>
      </c>
      <c r="I746" t="s">
        <v>11</v>
      </c>
    </row>
    <row r="747" spans="1:9" x14ac:dyDescent="0.35">
      <c r="A747" t="str">
        <f>"28284043k"</f>
        <v>28284043k</v>
      </c>
      <c r="B747" t="s">
        <v>549</v>
      </c>
      <c r="C747" t="s">
        <v>550</v>
      </c>
      <c r="D747" t="s">
        <v>551</v>
      </c>
      <c r="F747" s="1">
        <v>45288.675694444442</v>
      </c>
      <c r="G747" s="1">
        <v>45288.676388888889</v>
      </c>
      <c r="H747" t="s">
        <v>395</v>
      </c>
      <c r="I747" t="s">
        <v>11</v>
      </c>
    </row>
    <row r="748" spans="1:9" x14ac:dyDescent="0.35">
      <c r="A748" t="str">
        <f>"20898781-K"</f>
        <v>20898781-K</v>
      </c>
      <c r="B748" t="s">
        <v>114</v>
      </c>
      <c r="C748" t="s">
        <v>582</v>
      </c>
      <c r="D748" t="s">
        <v>583</v>
      </c>
      <c r="F748" s="1">
        <v>45293.523611111108</v>
      </c>
      <c r="G748" s="1">
        <v>45293.530555555553</v>
      </c>
      <c r="H748" t="s">
        <v>151</v>
      </c>
      <c r="I748" t="s">
        <v>11</v>
      </c>
    </row>
    <row r="749" spans="1:9" x14ac:dyDescent="0.35">
      <c r="A749" t="str">
        <f>"12484838-5"</f>
        <v>12484838-5</v>
      </c>
      <c r="B749" t="s">
        <v>584</v>
      </c>
      <c r="C749" t="s">
        <v>585</v>
      </c>
      <c r="D749" t="s">
        <v>586</v>
      </c>
      <c r="F749" s="1">
        <v>45293.533333333333</v>
      </c>
      <c r="G749" s="1">
        <v>45293.53402777778</v>
      </c>
      <c r="H749" t="s">
        <v>587</v>
      </c>
      <c r="I749" t="s">
        <v>11</v>
      </c>
    </row>
    <row r="750" spans="1:9" x14ac:dyDescent="0.35">
      <c r="A750" t="str">
        <f>"21811935-2"</f>
        <v>21811935-2</v>
      </c>
      <c r="B750" t="s">
        <v>748</v>
      </c>
      <c r="C750" t="s">
        <v>749</v>
      </c>
      <c r="D750" t="s">
        <v>750</v>
      </c>
      <c r="F750" s="1">
        <v>45301.752083333333</v>
      </c>
      <c r="G750" s="1">
        <v>45301.753472222219</v>
      </c>
    </row>
    <row r="751" spans="1:9" x14ac:dyDescent="0.35">
      <c r="A751" t="str">
        <f>"20676036-2"</f>
        <v>20676036-2</v>
      </c>
      <c r="B751" t="s">
        <v>751</v>
      </c>
      <c r="C751" t="s">
        <v>752</v>
      </c>
      <c r="D751" t="s">
        <v>753</v>
      </c>
      <c r="F751" s="1">
        <v>45301.780555555553</v>
      </c>
      <c r="G751" s="1">
        <v>45301.780555555553</v>
      </c>
    </row>
    <row r="752" spans="1:9" x14ac:dyDescent="0.35">
      <c r="A752" t="str">
        <f>"17373289-9"</f>
        <v>17373289-9</v>
      </c>
      <c r="B752" t="s">
        <v>754</v>
      </c>
      <c r="C752" t="s">
        <v>755</v>
      </c>
      <c r="D752" t="s">
        <v>756</v>
      </c>
      <c r="F752" s="1">
        <v>45301.781944444447</v>
      </c>
      <c r="G752" s="1">
        <v>45301.782638888886</v>
      </c>
    </row>
    <row r="753" spans="1:9" x14ac:dyDescent="0.35">
      <c r="A753" t="str">
        <f>"11659666-0"</f>
        <v>11659666-0</v>
      </c>
      <c r="B753" t="s">
        <v>757</v>
      </c>
      <c r="C753" t="s">
        <v>758</v>
      </c>
      <c r="D753" t="s">
        <v>759</v>
      </c>
      <c r="F753" s="1">
        <v>45301.820833333331</v>
      </c>
      <c r="G753" s="1">
        <v>45301.821527777778</v>
      </c>
      <c r="H753" t="s">
        <v>760</v>
      </c>
    </row>
    <row r="754" spans="1:9" x14ac:dyDescent="0.35">
      <c r="A754" t="str">
        <f>""</f>
        <v/>
      </c>
      <c r="B754" t="s">
        <v>761</v>
      </c>
      <c r="C754" t="s">
        <v>762</v>
      </c>
      <c r="D754" t="s">
        <v>763</v>
      </c>
      <c r="F754" s="1">
        <v>45301.888194444444</v>
      </c>
      <c r="G754" s="1">
        <v>45301.888888888891</v>
      </c>
      <c r="H754" t="s">
        <v>764</v>
      </c>
    </row>
    <row r="755" spans="1:9" x14ac:dyDescent="0.35">
      <c r="A755" t="str">
        <f>"18731231-0"</f>
        <v>18731231-0</v>
      </c>
      <c r="B755" t="s">
        <v>595</v>
      </c>
      <c r="C755" t="s">
        <v>596</v>
      </c>
      <c r="D755" t="s">
        <v>597</v>
      </c>
      <c r="F755" s="1">
        <v>45293.71597222222</v>
      </c>
      <c r="G755" s="1">
        <v>45293.727777777778</v>
      </c>
      <c r="H755" t="s">
        <v>598</v>
      </c>
      <c r="I755" t="s">
        <v>11</v>
      </c>
    </row>
    <row r="756" spans="1:9" x14ac:dyDescent="0.35">
      <c r="A756" t="str">
        <f>"15316654-4"</f>
        <v>15316654-4</v>
      </c>
      <c r="B756" t="s">
        <v>613</v>
      </c>
      <c r="C756" t="s">
        <v>562</v>
      </c>
      <c r="D756" t="s">
        <v>614</v>
      </c>
      <c r="F756" s="1">
        <v>45294.683333333334</v>
      </c>
      <c r="G756" s="1">
        <v>45294.684027777781</v>
      </c>
      <c r="H756" t="s">
        <v>615</v>
      </c>
      <c r="I756" t="s">
        <v>11</v>
      </c>
    </row>
    <row r="757" spans="1:9" x14ac:dyDescent="0.35">
      <c r="A757" t="str">
        <f>"17798825-1"</f>
        <v>17798825-1</v>
      </c>
      <c r="B757" t="s">
        <v>784</v>
      </c>
      <c r="C757" t="s">
        <v>785</v>
      </c>
      <c r="D757" t="s">
        <v>786</v>
      </c>
      <c r="E757" t="s">
        <v>787</v>
      </c>
      <c r="F757" s="1">
        <v>45302.848611111112</v>
      </c>
      <c r="G757" s="1">
        <v>45308.93472222222</v>
      </c>
    </row>
    <row r="758" spans="1:9" x14ac:dyDescent="0.35">
      <c r="A758" t="str">
        <f>"8863993-6"</f>
        <v>8863993-6</v>
      </c>
      <c r="B758" t="s">
        <v>788</v>
      </c>
      <c r="C758" t="s">
        <v>714</v>
      </c>
      <c r="F758" s="1">
        <v>45303.489583333336</v>
      </c>
      <c r="G758" s="1">
        <v>45303.490277777775</v>
      </c>
    </row>
    <row r="759" spans="1:9" x14ac:dyDescent="0.35">
      <c r="A759" t="str">
        <f>"17245812-2"</f>
        <v>17245812-2</v>
      </c>
      <c r="B759" t="s">
        <v>791</v>
      </c>
      <c r="C759" t="s">
        <v>792</v>
      </c>
      <c r="D759" t="s">
        <v>793</v>
      </c>
      <c r="F759" s="1">
        <v>45303.654166666667</v>
      </c>
      <c r="G759" s="1">
        <v>45303.654861111114</v>
      </c>
    </row>
    <row r="760" spans="1:9" x14ac:dyDescent="0.35">
      <c r="A760" t="str">
        <f>"21227219-1"</f>
        <v>21227219-1</v>
      </c>
      <c r="B760" t="s">
        <v>794</v>
      </c>
      <c r="C760" t="s">
        <v>201</v>
      </c>
      <c r="D760" t="s">
        <v>795</v>
      </c>
      <c r="F760" s="1">
        <v>45303.732638888891</v>
      </c>
      <c r="G760" s="1">
        <v>45303.732638888891</v>
      </c>
    </row>
    <row r="761" spans="1:9" x14ac:dyDescent="0.35">
      <c r="A761" t="str">
        <f>"8035923-3"</f>
        <v>8035923-3</v>
      </c>
      <c r="B761" t="s">
        <v>796</v>
      </c>
      <c r="C761" t="s">
        <v>355</v>
      </c>
      <c r="D761" t="s">
        <v>797</v>
      </c>
      <c r="F761" s="1">
        <v>45303.73333333333</v>
      </c>
      <c r="G761" s="1">
        <v>45303.734027777777</v>
      </c>
    </row>
    <row r="762" spans="1:9" x14ac:dyDescent="0.35">
      <c r="A762" t="str">
        <f>"17422258-4"</f>
        <v>17422258-4</v>
      </c>
      <c r="B762" t="s">
        <v>379</v>
      </c>
      <c r="C762" t="s">
        <v>300</v>
      </c>
      <c r="D762" t="s">
        <v>798</v>
      </c>
      <c r="F762" s="1">
        <v>45303.777777777781</v>
      </c>
      <c r="G762" s="1">
        <v>45303.777777777781</v>
      </c>
    </row>
    <row r="763" spans="1:9" x14ac:dyDescent="0.35">
      <c r="A763" t="str">
        <f>"18189565-9"</f>
        <v>18189565-9</v>
      </c>
      <c r="B763" t="s">
        <v>799</v>
      </c>
      <c r="C763" t="s">
        <v>800</v>
      </c>
      <c r="D763" t="s">
        <v>801</v>
      </c>
      <c r="F763" s="1">
        <v>45303.87777777778</v>
      </c>
      <c r="G763" s="1">
        <v>45303.87777777778</v>
      </c>
    </row>
    <row r="764" spans="1:9" x14ac:dyDescent="0.35">
      <c r="A764" t="str">
        <f>"15070819-2"</f>
        <v>15070819-2</v>
      </c>
      <c r="B764" t="s">
        <v>802</v>
      </c>
      <c r="C764" t="s">
        <v>803</v>
      </c>
      <c r="D764" t="s">
        <v>804</v>
      </c>
      <c r="F764" s="1">
        <v>45304.49722222222</v>
      </c>
      <c r="G764" s="1">
        <v>45304.49722222222</v>
      </c>
    </row>
    <row r="765" spans="1:9" x14ac:dyDescent="0.35">
      <c r="A765" t="str">
        <f>"10835485-2"</f>
        <v>10835485-2</v>
      </c>
      <c r="B765" t="s">
        <v>805</v>
      </c>
      <c r="C765" t="s">
        <v>806</v>
      </c>
      <c r="D765" t="s">
        <v>807</v>
      </c>
      <c r="F765" s="1">
        <v>45304.589583333334</v>
      </c>
      <c r="G765" s="1">
        <v>45304.589583333334</v>
      </c>
    </row>
    <row r="766" spans="1:9" x14ac:dyDescent="0.35">
      <c r="A766" t="str">
        <f>"13240601-4"</f>
        <v>13240601-4</v>
      </c>
      <c r="B766" t="s">
        <v>269</v>
      </c>
      <c r="C766" t="s">
        <v>621</v>
      </c>
      <c r="D766" t="s">
        <v>622</v>
      </c>
      <c r="F766" s="1">
        <v>45294.790972222225</v>
      </c>
      <c r="G766" s="1">
        <v>45294.790972222225</v>
      </c>
      <c r="H766" t="s">
        <v>151</v>
      </c>
      <c r="I766" t="s">
        <v>11</v>
      </c>
    </row>
    <row r="767" spans="1:9" x14ac:dyDescent="0.35">
      <c r="A767" t="str">
        <f>"21641748-8"</f>
        <v>21641748-8</v>
      </c>
      <c r="B767" t="s">
        <v>359</v>
      </c>
      <c r="C767" t="s">
        <v>630</v>
      </c>
      <c r="D767" t="s">
        <v>631</v>
      </c>
      <c r="F767" s="1">
        <v>45295.495138888888</v>
      </c>
      <c r="G767" s="1">
        <v>45295.495833333334</v>
      </c>
      <c r="H767" t="s">
        <v>632</v>
      </c>
      <c r="I767" t="s">
        <v>11</v>
      </c>
    </row>
    <row r="768" spans="1:9" x14ac:dyDescent="0.35">
      <c r="A768" t="str">
        <f>"15371918-7"</f>
        <v>15371918-7</v>
      </c>
      <c r="B768" t="s">
        <v>663</v>
      </c>
      <c r="C768" t="s">
        <v>664</v>
      </c>
      <c r="D768" t="s">
        <v>665</v>
      </c>
      <c r="F768" s="1">
        <v>45296.70208333333</v>
      </c>
      <c r="G768" s="1">
        <v>45296.702777777777</v>
      </c>
      <c r="H768" t="s">
        <v>666</v>
      </c>
      <c r="I768" t="s">
        <v>11</v>
      </c>
    </row>
    <row r="769" spans="1:9" x14ac:dyDescent="0.35">
      <c r="A769" t="str">
        <f>"22871044-K"</f>
        <v>22871044-K</v>
      </c>
      <c r="B769" t="s">
        <v>675</v>
      </c>
      <c r="C769" t="s">
        <v>149</v>
      </c>
      <c r="D769" t="s">
        <v>676</v>
      </c>
      <c r="F769" s="1">
        <v>45296.770138888889</v>
      </c>
      <c r="G769" s="1">
        <v>45296.770833333336</v>
      </c>
      <c r="H769" t="s">
        <v>677</v>
      </c>
      <c r="I769" t="s">
        <v>11</v>
      </c>
    </row>
    <row r="770" spans="1:9" x14ac:dyDescent="0.35">
      <c r="A770" t="str">
        <f>"20285429-K"</f>
        <v>20285429-K</v>
      </c>
      <c r="B770" t="s">
        <v>709</v>
      </c>
      <c r="C770" t="s">
        <v>710</v>
      </c>
      <c r="D770" t="s">
        <v>711</v>
      </c>
      <c r="F770" s="1">
        <v>45299.631249999999</v>
      </c>
      <c r="G770" s="1">
        <v>45299.631249999999</v>
      </c>
      <c r="H770" t="s">
        <v>151</v>
      </c>
      <c r="I770" t="s">
        <v>11</v>
      </c>
    </row>
    <row r="771" spans="1:9" x14ac:dyDescent="0.35">
      <c r="A771" t="str">
        <f>"26281142-5"</f>
        <v>26281142-5</v>
      </c>
      <c r="B771" t="s">
        <v>386</v>
      </c>
      <c r="C771" t="s">
        <v>712</v>
      </c>
      <c r="D771" t="s">
        <v>713</v>
      </c>
      <c r="F771" s="1">
        <v>45299.729166666664</v>
      </c>
      <c r="G771" s="1">
        <v>45299.729861111111</v>
      </c>
      <c r="H771" t="s">
        <v>151</v>
      </c>
      <c r="I771" t="s">
        <v>11</v>
      </c>
    </row>
    <row r="772" spans="1:9" x14ac:dyDescent="0.35">
      <c r="A772" t="str">
        <f>"15363886-1"</f>
        <v>15363886-1</v>
      </c>
      <c r="B772" t="s">
        <v>716</v>
      </c>
      <c r="C772" t="s">
        <v>447</v>
      </c>
      <c r="D772" t="s">
        <v>717</v>
      </c>
      <c r="F772" s="1">
        <v>45299.831250000003</v>
      </c>
      <c r="G772" s="1">
        <v>45299.831944444442</v>
      </c>
      <c r="H772" t="s">
        <v>151</v>
      </c>
      <c r="I772" t="s">
        <v>11</v>
      </c>
    </row>
    <row r="773" spans="1:9" x14ac:dyDescent="0.35">
      <c r="A773" t="str">
        <f>"14060001-6"</f>
        <v>14060001-6</v>
      </c>
      <c r="B773" t="s">
        <v>840</v>
      </c>
      <c r="C773" t="s">
        <v>841</v>
      </c>
      <c r="D773" t="s">
        <v>842</v>
      </c>
      <c r="F773" s="1">
        <v>45307.65902777778</v>
      </c>
      <c r="G773" s="1">
        <v>45307.659722222219</v>
      </c>
      <c r="H773" t="s">
        <v>843</v>
      </c>
    </row>
    <row r="774" spans="1:9" x14ac:dyDescent="0.35">
      <c r="A774" t="str">
        <f>"17163202-1"</f>
        <v>17163202-1</v>
      </c>
      <c r="B774" t="s">
        <v>499</v>
      </c>
      <c r="C774" t="s">
        <v>853</v>
      </c>
      <c r="D774" t="s">
        <v>854</v>
      </c>
      <c r="F774" s="1">
        <v>45307.790972222225</v>
      </c>
      <c r="G774" s="1">
        <v>45307.790972222225</v>
      </c>
    </row>
    <row r="775" spans="1:9" x14ac:dyDescent="0.35">
      <c r="A775" t="str">
        <f>"16355822-K"</f>
        <v>16355822-K</v>
      </c>
      <c r="B775" t="s">
        <v>761</v>
      </c>
      <c r="C775" t="s">
        <v>863</v>
      </c>
      <c r="D775" t="s">
        <v>864</v>
      </c>
      <c r="F775" s="1">
        <v>45308.743055555555</v>
      </c>
      <c r="G775" s="1">
        <v>45308.743055555555</v>
      </c>
    </row>
    <row r="776" spans="1:9" x14ac:dyDescent="0.35">
      <c r="A776" t="str">
        <f>"11053720-4"</f>
        <v>11053720-4</v>
      </c>
      <c r="B776" t="s">
        <v>723</v>
      </c>
      <c r="C776" t="s">
        <v>494</v>
      </c>
      <c r="D776" t="s">
        <v>724</v>
      </c>
      <c r="F776" s="1">
        <v>45300.486111111109</v>
      </c>
      <c r="G776" s="1">
        <v>45300.486805555556</v>
      </c>
      <c r="H776" t="s">
        <v>725</v>
      </c>
      <c r="I776" t="s">
        <v>11</v>
      </c>
    </row>
    <row r="777" spans="1:9" x14ac:dyDescent="0.35">
      <c r="A777" t="str">
        <f>"19186752-1"</f>
        <v>19186752-1</v>
      </c>
      <c r="B777" t="s">
        <v>870</v>
      </c>
      <c r="C777" t="s">
        <v>871</v>
      </c>
      <c r="D777" t="s">
        <v>872</v>
      </c>
      <c r="F777" s="1">
        <v>45308.786805555559</v>
      </c>
      <c r="G777" s="1">
        <v>45308.788888888892</v>
      </c>
    </row>
    <row r="778" spans="1:9" x14ac:dyDescent="0.35">
      <c r="A778" t="str">
        <f>"16098214-4"</f>
        <v>16098214-4</v>
      </c>
      <c r="B778" t="s">
        <v>873</v>
      </c>
      <c r="C778" t="s">
        <v>334</v>
      </c>
      <c r="D778" t="s">
        <v>874</v>
      </c>
      <c r="F778" s="1">
        <v>45308.790277777778</v>
      </c>
      <c r="G778" s="1">
        <v>45308.790972222225</v>
      </c>
    </row>
    <row r="779" spans="1:9" x14ac:dyDescent="0.35">
      <c r="A779" t="str">
        <f>"7981672-8"</f>
        <v>7981672-8</v>
      </c>
      <c r="B779" t="s">
        <v>26</v>
      </c>
      <c r="C779" t="s">
        <v>878</v>
      </c>
      <c r="D779" t="s">
        <v>879</v>
      </c>
      <c r="F779" s="1">
        <v>45309.490277777775</v>
      </c>
      <c r="G779" s="1">
        <v>45309.490277777775</v>
      </c>
      <c r="H779" t="s">
        <v>880</v>
      </c>
    </row>
    <row r="780" spans="1:9" x14ac:dyDescent="0.35">
      <c r="A780" t="str">
        <f>"10006844-3"</f>
        <v>10006844-3</v>
      </c>
      <c r="B780" t="s">
        <v>726</v>
      </c>
      <c r="C780" t="s">
        <v>727</v>
      </c>
      <c r="D780" t="s">
        <v>728</v>
      </c>
      <c r="F780" s="1">
        <v>45300.487500000003</v>
      </c>
      <c r="G780" s="1">
        <v>45300.488194444442</v>
      </c>
      <c r="H780" t="s">
        <v>151</v>
      </c>
      <c r="I780" t="s">
        <v>11</v>
      </c>
    </row>
    <row r="781" spans="1:9" x14ac:dyDescent="0.35">
      <c r="A781" t="str">
        <f>"13508026-8"</f>
        <v>13508026-8</v>
      </c>
      <c r="B781" t="s">
        <v>175</v>
      </c>
      <c r="C781" t="s">
        <v>885</v>
      </c>
      <c r="D781" t="s">
        <v>886</v>
      </c>
      <c r="F781" s="1">
        <v>45309.70208333333</v>
      </c>
      <c r="G781" s="1">
        <v>45309.70208333333</v>
      </c>
      <c r="H781" t="s">
        <v>887</v>
      </c>
    </row>
    <row r="782" spans="1:9" x14ac:dyDescent="0.35">
      <c r="A782" t="str">
        <f>"17181920-2"</f>
        <v>17181920-2</v>
      </c>
      <c r="B782" t="s">
        <v>623</v>
      </c>
      <c r="C782" t="s">
        <v>891</v>
      </c>
      <c r="D782" t="s">
        <v>892</v>
      </c>
      <c r="F782" s="1">
        <v>45310.727777777778</v>
      </c>
      <c r="G782" s="1">
        <v>45310.727777777778</v>
      </c>
    </row>
    <row r="783" spans="1:9" x14ac:dyDescent="0.35">
      <c r="A783" t="str">
        <f>"9705501-7"</f>
        <v>9705501-7</v>
      </c>
      <c r="B783" t="s">
        <v>140</v>
      </c>
      <c r="C783" t="s">
        <v>894</v>
      </c>
      <c r="D783" t="s">
        <v>895</v>
      </c>
      <c r="F783" s="1">
        <v>45311.515277777777</v>
      </c>
      <c r="G783" s="1">
        <v>45311.515972222223</v>
      </c>
    </row>
    <row r="784" spans="1:9" x14ac:dyDescent="0.35">
      <c r="A784" t="str">
        <f>"10859420-9"</f>
        <v>10859420-9</v>
      </c>
      <c r="B784" t="s">
        <v>896</v>
      </c>
      <c r="C784" t="s">
        <v>897</v>
      </c>
      <c r="D784" t="s">
        <v>898</v>
      </c>
      <c r="F784" s="1">
        <v>45311.579861111109</v>
      </c>
      <c r="G784" s="1">
        <v>45311.579861111109</v>
      </c>
    </row>
    <row r="785" spans="1:9" x14ac:dyDescent="0.35">
      <c r="A785" t="str">
        <f>"18636779-0"</f>
        <v>18636779-0</v>
      </c>
      <c r="B785" t="s">
        <v>402</v>
      </c>
      <c r="C785" t="s">
        <v>258</v>
      </c>
      <c r="D785" t="s">
        <v>899</v>
      </c>
      <c r="F785" s="1">
        <v>45311.665972222225</v>
      </c>
      <c r="G785" s="1">
        <v>45311.666666666664</v>
      </c>
    </row>
    <row r="786" spans="1:9" x14ac:dyDescent="0.35">
      <c r="A786" t="str">
        <f>"55555555-5"</f>
        <v>55555555-5</v>
      </c>
      <c r="B786" t="s">
        <v>900</v>
      </c>
      <c r="C786" t="s">
        <v>901</v>
      </c>
      <c r="D786" t="s">
        <v>902</v>
      </c>
      <c r="F786" s="1">
        <v>45311.835416666669</v>
      </c>
      <c r="G786" s="1">
        <v>45311.835416666669</v>
      </c>
    </row>
    <row r="787" spans="1:9" x14ac:dyDescent="0.35">
      <c r="A787" t="str">
        <f>"19323822-K"</f>
        <v>19323822-K</v>
      </c>
      <c r="B787" t="s">
        <v>203</v>
      </c>
      <c r="C787" t="s">
        <v>906</v>
      </c>
      <c r="D787" t="s">
        <v>907</v>
      </c>
      <c r="F787" s="1">
        <v>45311.836805555555</v>
      </c>
      <c r="G787" s="1">
        <v>45311.837500000001</v>
      </c>
    </row>
    <row r="788" spans="1:9" x14ac:dyDescent="0.35">
      <c r="A788" t="str">
        <f>"8112616-K"</f>
        <v>8112616-K</v>
      </c>
      <c r="B788" t="s">
        <v>121</v>
      </c>
      <c r="C788" t="s">
        <v>476</v>
      </c>
      <c r="D788" t="s">
        <v>737</v>
      </c>
      <c r="F788" s="1">
        <v>45301.40902777778</v>
      </c>
      <c r="G788" s="1">
        <v>45301.409722222219</v>
      </c>
      <c r="H788" t="s">
        <v>738</v>
      </c>
      <c r="I788" t="s">
        <v>11</v>
      </c>
    </row>
    <row r="789" spans="1:9" x14ac:dyDescent="0.35">
      <c r="A789" t="str">
        <f>"8805948-4"</f>
        <v>8805948-4</v>
      </c>
      <c r="B789" t="s">
        <v>739</v>
      </c>
      <c r="C789" t="s">
        <v>740</v>
      </c>
      <c r="D789" t="s">
        <v>741</v>
      </c>
      <c r="F789" s="1">
        <v>45301.566666666666</v>
      </c>
      <c r="G789" s="1">
        <v>45301.567361111112</v>
      </c>
      <c r="H789" t="s">
        <v>742</v>
      </c>
      <c r="I789" t="s">
        <v>11</v>
      </c>
    </row>
    <row r="790" spans="1:9" x14ac:dyDescent="0.35">
      <c r="A790" t="str">
        <f>"21557394-K"</f>
        <v>21557394-K</v>
      </c>
      <c r="B790" t="s">
        <v>729</v>
      </c>
      <c r="C790" t="s">
        <v>145</v>
      </c>
      <c r="D790" t="s">
        <v>780</v>
      </c>
      <c r="F790" s="1">
        <v>45302.658333333333</v>
      </c>
      <c r="G790" s="1">
        <v>45302.658333333333</v>
      </c>
      <c r="H790" t="s">
        <v>781</v>
      </c>
      <c r="I790" t="s">
        <v>11</v>
      </c>
    </row>
    <row r="791" spans="1:9" x14ac:dyDescent="0.35">
      <c r="A791" t="str">
        <f>"16391444-1"</f>
        <v>16391444-1</v>
      </c>
      <c r="B791" t="s">
        <v>919</v>
      </c>
      <c r="C791" t="s">
        <v>43</v>
      </c>
      <c r="D791" t="s">
        <v>920</v>
      </c>
      <c r="F791" s="1">
        <v>45314.648611111108</v>
      </c>
      <c r="G791" s="1">
        <v>45314.648611111108</v>
      </c>
      <c r="H791" t="s">
        <v>921</v>
      </c>
    </row>
    <row r="792" spans="1:9" x14ac:dyDescent="0.35">
      <c r="A792" t="str">
        <f>"17064569-3"</f>
        <v>17064569-3</v>
      </c>
      <c r="B792" t="s">
        <v>782</v>
      </c>
      <c r="C792" t="s">
        <v>68</v>
      </c>
      <c r="D792" t="s">
        <v>783</v>
      </c>
      <c r="F792" s="1">
        <v>45302.659722222219</v>
      </c>
      <c r="G792" s="1">
        <v>45302.660416666666</v>
      </c>
      <c r="H792" t="s">
        <v>151</v>
      </c>
      <c r="I792" t="s">
        <v>11</v>
      </c>
    </row>
    <row r="793" spans="1:9" x14ac:dyDescent="0.35">
      <c r="A793" t="str">
        <f>"16743042-2"</f>
        <v>16743042-2</v>
      </c>
      <c r="B793" t="s">
        <v>239</v>
      </c>
      <c r="C793" t="s">
        <v>820</v>
      </c>
      <c r="D793" t="s">
        <v>821</v>
      </c>
      <c r="F793" s="1">
        <v>45306.509027777778</v>
      </c>
      <c r="G793" s="1">
        <v>45306.510416666664</v>
      </c>
      <c r="H793" t="s">
        <v>151</v>
      </c>
      <c r="I793" t="s">
        <v>11</v>
      </c>
    </row>
    <row r="794" spans="1:9" x14ac:dyDescent="0.35">
      <c r="A794" t="str">
        <f>"15777053-5"</f>
        <v>15777053-5</v>
      </c>
      <c r="B794" t="s">
        <v>111</v>
      </c>
      <c r="C794" t="s">
        <v>825</v>
      </c>
      <c r="D794" t="s">
        <v>826</v>
      </c>
      <c r="F794" s="1">
        <v>45306.771527777775</v>
      </c>
      <c r="G794" s="1">
        <v>45306.772222222222</v>
      </c>
      <c r="H794" t="s">
        <v>151</v>
      </c>
      <c r="I794" t="s">
        <v>11</v>
      </c>
    </row>
    <row r="795" spans="1:9" x14ac:dyDescent="0.35">
      <c r="A795" t="str">
        <f>"8118250-7"</f>
        <v>8118250-7</v>
      </c>
      <c r="B795" t="s">
        <v>829</v>
      </c>
      <c r="C795" t="s">
        <v>830</v>
      </c>
      <c r="D795" t="s">
        <v>831</v>
      </c>
      <c r="F795" s="1">
        <v>45306.851388888892</v>
      </c>
      <c r="G795" s="1">
        <v>45306.852777777778</v>
      </c>
      <c r="H795" t="s">
        <v>832</v>
      </c>
      <c r="I795" t="s">
        <v>11</v>
      </c>
    </row>
    <row r="796" spans="1:9" x14ac:dyDescent="0.35">
      <c r="A796" t="str">
        <f>"12846465-4"</f>
        <v>12846465-4</v>
      </c>
      <c r="B796" t="s">
        <v>833</v>
      </c>
      <c r="C796" t="s">
        <v>449</v>
      </c>
      <c r="D796" t="s">
        <v>834</v>
      </c>
      <c r="F796" s="1">
        <v>45307.459722222222</v>
      </c>
      <c r="G796" s="1">
        <v>45307.461111111108</v>
      </c>
      <c r="H796" t="s">
        <v>151</v>
      </c>
      <c r="I796" t="s">
        <v>11</v>
      </c>
    </row>
    <row r="797" spans="1:9" x14ac:dyDescent="0.35">
      <c r="A797" t="str">
        <f>"16460126-9"</f>
        <v>16460126-9</v>
      </c>
      <c r="B797" t="s">
        <v>327</v>
      </c>
      <c r="C797" t="s">
        <v>835</v>
      </c>
      <c r="D797" t="s">
        <v>836</v>
      </c>
      <c r="F797" s="1">
        <v>45307.584027777775</v>
      </c>
      <c r="G797" s="1">
        <v>45307.585416666669</v>
      </c>
      <c r="H797" t="s">
        <v>252</v>
      </c>
      <c r="I797" t="s">
        <v>11</v>
      </c>
    </row>
    <row r="798" spans="1:9" x14ac:dyDescent="0.35">
      <c r="A798" t="str">
        <f>"5633557-9"</f>
        <v>5633557-9</v>
      </c>
      <c r="B798" t="s">
        <v>994</v>
      </c>
      <c r="C798" t="s">
        <v>995</v>
      </c>
      <c r="D798" t="s">
        <v>996</v>
      </c>
      <c r="F798" s="1">
        <v>45322.727777777778</v>
      </c>
      <c r="G798" s="1">
        <v>45322.728472222225</v>
      </c>
      <c r="H798">
        <v>999195973</v>
      </c>
    </row>
    <row r="799" spans="1:9" x14ac:dyDescent="0.35">
      <c r="A799" t="str">
        <f>"13069193-5"</f>
        <v>13069193-5</v>
      </c>
      <c r="B799" t="s">
        <v>690</v>
      </c>
      <c r="C799" t="s">
        <v>837</v>
      </c>
      <c r="D799" t="s">
        <v>838</v>
      </c>
      <c r="F799" s="1">
        <v>45307.586805555555</v>
      </c>
      <c r="G799" s="1">
        <v>45307.588194444441</v>
      </c>
      <c r="H799" t="s">
        <v>151</v>
      </c>
      <c r="I799" t="s">
        <v>11</v>
      </c>
    </row>
    <row r="800" spans="1:9" x14ac:dyDescent="0.35">
      <c r="A800" t="str">
        <f>"20858326-3"</f>
        <v>20858326-3</v>
      </c>
      <c r="B800" t="s">
        <v>1007</v>
      </c>
      <c r="C800" t="s">
        <v>1008</v>
      </c>
      <c r="D800" t="s">
        <v>1009</v>
      </c>
      <c r="F800" s="1">
        <v>45323.679166666669</v>
      </c>
      <c r="G800" s="1">
        <v>45323.679861111108</v>
      </c>
    </row>
    <row r="801" spans="1:9" x14ac:dyDescent="0.35">
      <c r="A801" t="str">
        <f>"8865215-0"</f>
        <v>8865215-0</v>
      </c>
      <c r="B801" t="s">
        <v>456</v>
      </c>
      <c r="C801" t="s">
        <v>98</v>
      </c>
      <c r="D801" t="s">
        <v>839</v>
      </c>
      <c r="F801" s="1">
        <v>45307.642361111109</v>
      </c>
      <c r="G801" s="1">
        <v>45307.642361111109</v>
      </c>
      <c r="H801" t="s">
        <v>151</v>
      </c>
      <c r="I801" t="s">
        <v>11</v>
      </c>
    </row>
    <row r="802" spans="1:9" x14ac:dyDescent="0.35">
      <c r="A802" t="str">
        <f>"27170964-1"</f>
        <v>27170964-1</v>
      </c>
      <c r="B802" t="s">
        <v>866</v>
      </c>
      <c r="C802" t="s">
        <v>867</v>
      </c>
      <c r="D802" t="s">
        <v>868</v>
      </c>
      <c r="F802" s="1">
        <v>45308.756944444445</v>
      </c>
      <c r="G802" s="1">
        <v>45308.757638888892</v>
      </c>
      <c r="H802" t="s">
        <v>869</v>
      </c>
      <c r="I802" t="s">
        <v>11</v>
      </c>
    </row>
    <row r="803" spans="1:9" x14ac:dyDescent="0.35">
      <c r="A803" t="str">
        <f>"17749983-8"</f>
        <v>17749983-8</v>
      </c>
      <c r="B803" t="s">
        <v>1031</v>
      </c>
      <c r="C803" t="s">
        <v>1032</v>
      </c>
      <c r="D803" t="s">
        <v>1033</v>
      </c>
      <c r="F803" s="1">
        <v>45325.854861111111</v>
      </c>
      <c r="G803" s="1">
        <v>45325.855555555558</v>
      </c>
    </row>
    <row r="804" spans="1:9" x14ac:dyDescent="0.35">
      <c r="A804" t="str">
        <f>"19862680-5"</f>
        <v>19862680-5</v>
      </c>
      <c r="B804" t="s">
        <v>881</v>
      </c>
      <c r="C804" t="s">
        <v>882</v>
      </c>
      <c r="D804" t="s">
        <v>883</v>
      </c>
      <c r="F804" s="1">
        <v>45309.576388888891</v>
      </c>
      <c r="G804" s="1">
        <v>45309.577777777777</v>
      </c>
      <c r="H804" t="s">
        <v>884</v>
      </c>
      <c r="I804" t="s">
        <v>11</v>
      </c>
    </row>
    <row r="805" spans="1:9" x14ac:dyDescent="0.35">
      <c r="A805" t="str">
        <f>"10084293-9"</f>
        <v>10084293-9</v>
      </c>
      <c r="B805" t="s">
        <v>1038</v>
      </c>
      <c r="C805" t="s">
        <v>1039</v>
      </c>
      <c r="D805" t="s">
        <v>1040</v>
      </c>
      <c r="F805" s="1">
        <v>45327.73541666667</v>
      </c>
      <c r="G805" s="1">
        <v>45327.73541666667</v>
      </c>
    </row>
    <row r="806" spans="1:9" x14ac:dyDescent="0.35">
      <c r="A806" t="str">
        <f>"16547738-3"</f>
        <v>16547738-3</v>
      </c>
      <c r="B806" t="s">
        <v>111</v>
      </c>
      <c r="C806" t="s">
        <v>908</v>
      </c>
      <c r="D806" t="s">
        <v>909</v>
      </c>
      <c r="F806" s="1">
        <v>45313.630555555559</v>
      </c>
      <c r="G806" s="1">
        <v>45313.631249999999</v>
      </c>
      <c r="H806" t="s">
        <v>151</v>
      </c>
      <c r="I806" t="s">
        <v>11</v>
      </c>
    </row>
    <row r="807" spans="1:9" x14ac:dyDescent="0.35">
      <c r="A807" t="str">
        <f>"15335503-7"</f>
        <v>15335503-7</v>
      </c>
      <c r="B807" t="s">
        <v>111</v>
      </c>
      <c r="C807" t="s">
        <v>910</v>
      </c>
      <c r="D807" t="s">
        <v>911</v>
      </c>
      <c r="F807" s="1">
        <v>45313.832638888889</v>
      </c>
      <c r="G807" s="1">
        <v>45313.833333333336</v>
      </c>
      <c r="H807" t="s">
        <v>151</v>
      </c>
      <c r="I807" t="s">
        <v>11</v>
      </c>
    </row>
    <row r="808" spans="1:9" x14ac:dyDescent="0.35">
      <c r="A808" t="str">
        <f>"22017691-6"</f>
        <v>22017691-6</v>
      </c>
      <c r="B808" t="s">
        <v>847</v>
      </c>
      <c r="C808" t="s">
        <v>1085</v>
      </c>
      <c r="D808" t="s">
        <v>1086</v>
      </c>
      <c r="F808" s="1">
        <v>45332.895833333336</v>
      </c>
      <c r="G808" s="1">
        <v>45332.895833333336</v>
      </c>
    </row>
    <row r="809" spans="1:9" x14ac:dyDescent="0.35">
      <c r="A809" t="str">
        <f>"17180078-1"</f>
        <v>17180078-1</v>
      </c>
      <c r="B809" t="s">
        <v>453</v>
      </c>
      <c r="C809" t="s">
        <v>1124</v>
      </c>
      <c r="D809" t="s">
        <v>1125</v>
      </c>
      <c r="F809" s="1">
        <v>45336.874305555553</v>
      </c>
      <c r="G809" s="1">
        <v>45336.875</v>
      </c>
      <c r="H809" t="s">
        <v>674</v>
      </c>
    </row>
    <row r="810" spans="1:9" x14ac:dyDescent="0.35">
      <c r="A810" t="str">
        <f>"16862372-0"</f>
        <v>16862372-0</v>
      </c>
      <c r="B810" t="s">
        <v>1133</v>
      </c>
      <c r="C810" t="s">
        <v>1134</v>
      </c>
      <c r="D810" t="s">
        <v>1135</v>
      </c>
      <c r="F810" s="1">
        <v>45337.537499999999</v>
      </c>
      <c r="G810" s="1">
        <v>45337.537499999999</v>
      </c>
    </row>
    <row r="811" spans="1:9" x14ac:dyDescent="0.35">
      <c r="A811" t="str">
        <f>"20970420-K"</f>
        <v>20970420-K</v>
      </c>
      <c r="B811" t="s">
        <v>456</v>
      </c>
      <c r="C811" t="s">
        <v>1138</v>
      </c>
      <c r="D811" t="s">
        <v>1139</v>
      </c>
      <c r="F811" s="1">
        <v>45337.64166666667</v>
      </c>
      <c r="G811" s="1">
        <v>45337.643055555556</v>
      </c>
    </row>
    <row r="812" spans="1:9" x14ac:dyDescent="0.35">
      <c r="A812" t="str">
        <f>"20963409-0"</f>
        <v>20963409-0</v>
      </c>
      <c r="B812" t="s">
        <v>912</v>
      </c>
      <c r="C812" t="s">
        <v>913</v>
      </c>
      <c r="D812" t="s">
        <v>914</v>
      </c>
      <c r="F812" s="1">
        <v>45314.431250000001</v>
      </c>
      <c r="G812" s="1">
        <v>45314.431944444441</v>
      </c>
      <c r="H812" t="s">
        <v>915</v>
      </c>
      <c r="I812" t="s">
        <v>11</v>
      </c>
    </row>
    <row r="813" spans="1:9" x14ac:dyDescent="0.35">
      <c r="A813" t="str">
        <f>"15313204-6"</f>
        <v>15313204-6</v>
      </c>
      <c r="B813" t="s">
        <v>961</v>
      </c>
      <c r="C813" t="s">
        <v>962</v>
      </c>
      <c r="D813" t="s">
        <v>963</v>
      </c>
      <c r="F813" s="1">
        <v>45320.724999999999</v>
      </c>
      <c r="G813" s="1">
        <v>45320.725694444445</v>
      </c>
      <c r="H813" t="s">
        <v>964</v>
      </c>
      <c r="I813" t="s">
        <v>11</v>
      </c>
    </row>
    <row r="814" spans="1:9" x14ac:dyDescent="0.35">
      <c r="A814" t="str">
        <f>"10289418-9"</f>
        <v>10289418-9</v>
      </c>
      <c r="B814" t="s">
        <v>289</v>
      </c>
      <c r="C814" t="s">
        <v>250</v>
      </c>
      <c r="D814" t="s">
        <v>1217</v>
      </c>
      <c r="F814" s="1">
        <v>45345.800694444442</v>
      </c>
      <c r="G814" s="1">
        <v>45345.800694444442</v>
      </c>
    </row>
    <row r="815" spans="1:9" x14ac:dyDescent="0.35">
      <c r="A815" t="str">
        <f>"21053877-1"</f>
        <v>21053877-1</v>
      </c>
      <c r="B815" t="s">
        <v>967</v>
      </c>
      <c r="C815" t="s">
        <v>968</v>
      </c>
      <c r="D815" t="s">
        <v>969</v>
      </c>
      <c r="F815" s="1">
        <v>45321.412499999999</v>
      </c>
      <c r="G815" s="1">
        <v>45321.413194444445</v>
      </c>
      <c r="H815" t="s">
        <v>151</v>
      </c>
      <c r="I815" t="s">
        <v>11</v>
      </c>
    </row>
    <row r="816" spans="1:9" x14ac:dyDescent="0.35">
      <c r="A816" t="str">
        <f>"12905628-2"</f>
        <v>12905628-2</v>
      </c>
      <c r="B816" t="s">
        <v>975</v>
      </c>
      <c r="C816" t="s">
        <v>934</v>
      </c>
      <c r="D816" t="s">
        <v>976</v>
      </c>
      <c r="F816" s="1">
        <v>45321.477083333331</v>
      </c>
      <c r="G816" s="1">
        <v>45321.477777777778</v>
      </c>
      <c r="H816" t="s">
        <v>151</v>
      </c>
      <c r="I816" t="s">
        <v>11</v>
      </c>
    </row>
    <row r="817" spans="1:9" x14ac:dyDescent="0.35">
      <c r="A817" t="str">
        <f>"15375926-K"</f>
        <v>15375926-K</v>
      </c>
      <c r="B817" t="s">
        <v>190</v>
      </c>
      <c r="C817" t="s">
        <v>84</v>
      </c>
      <c r="F817" s="1">
        <v>45349.729861111111</v>
      </c>
      <c r="G817" s="1">
        <v>45349.730555555558</v>
      </c>
    </row>
    <row r="818" spans="1:9" x14ac:dyDescent="0.35">
      <c r="A818" t="str">
        <f>"20072315-5"</f>
        <v>20072315-5</v>
      </c>
      <c r="B818" t="s">
        <v>982</v>
      </c>
      <c r="C818" t="s">
        <v>983</v>
      </c>
      <c r="D818" t="s">
        <v>984</v>
      </c>
      <c r="F818" s="1">
        <v>45321.652777777781</v>
      </c>
      <c r="G818" s="1">
        <v>45321.65347222222</v>
      </c>
      <c r="H818" t="s">
        <v>151</v>
      </c>
      <c r="I818" t="s">
        <v>11</v>
      </c>
    </row>
    <row r="819" spans="1:9" x14ac:dyDescent="0.35">
      <c r="A819" t="str">
        <f>"13143606-8"</f>
        <v>13143606-8</v>
      </c>
      <c r="B819" t="s">
        <v>919</v>
      </c>
      <c r="C819" t="s">
        <v>988</v>
      </c>
      <c r="D819" t="s">
        <v>989</v>
      </c>
      <c r="F819" s="1">
        <v>45322.509027777778</v>
      </c>
      <c r="G819" s="1">
        <v>45322.510416666664</v>
      </c>
      <c r="H819" t="s">
        <v>990</v>
      </c>
      <c r="I819" t="s">
        <v>11</v>
      </c>
    </row>
    <row r="820" spans="1:9" x14ac:dyDescent="0.35">
      <c r="A820" t="str">
        <f>"25795886-8"</f>
        <v>25795886-8</v>
      </c>
      <c r="B820" t="s">
        <v>552</v>
      </c>
      <c r="C820" t="s">
        <v>1279</v>
      </c>
      <c r="D820" t="s">
        <v>1280</v>
      </c>
      <c r="F820" s="1">
        <v>45351.824305555558</v>
      </c>
      <c r="G820" s="1">
        <v>45351.824999999997</v>
      </c>
    </row>
    <row r="821" spans="1:9" x14ac:dyDescent="0.35">
      <c r="A821" t="str">
        <f>"16658012-9"</f>
        <v>16658012-9</v>
      </c>
      <c r="B821" t="s">
        <v>1294</v>
      </c>
      <c r="C821" t="s">
        <v>1295</v>
      </c>
      <c r="D821" t="s">
        <v>1296</v>
      </c>
      <c r="F821" s="1">
        <v>45352.521527777775</v>
      </c>
      <c r="G821" s="1">
        <v>45352.522222222222</v>
      </c>
    </row>
    <row r="822" spans="1:9" x14ac:dyDescent="0.35">
      <c r="A822" t="str">
        <f>"6241968-7"</f>
        <v>6241968-7</v>
      </c>
      <c r="B822" t="s">
        <v>961</v>
      </c>
      <c r="C822" t="s">
        <v>992</v>
      </c>
      <c r="D822" t="s">
        <v>993</v>
      </c>
      <c r="F822" s="1">
        <v>45322.722916666666</v>
      </c>
      <c r="G822" s="1">
        <v>45322.722916666666</v>
      </c>
      <c r="H822" t="s">
        <v>151</v>
      </c>
      <c r="I822" t="s">
        <v>11</v>
      </c>
    </row>
    <row r="823" spans="1:9" x14ac:dyDescent="0.35">
      <c r="A823" t="str">
        <f>"16719982-8"</f>
        <v>16719982-8</v>
      </c>
      <c r="B823" t="s">
        <v>1004</v>
      </c>
      <c r="C823" t="s">
        <v>1005</v>
      </c>
      <c r="D823" t="s">
        <v>1006</v>
      </c>
      <c r="F823" s="1">
        <v>45323.584722222222</v>
      </c>
      <c r="G823" s="1">
        <v>45323.585416666669</v>
      </c>
      <c r="H823" t="s">
        <v>151</v>
      </c>
      <c r="I823" t="s">
        <v>11</v>
      </c>
    </row>
    <row r="824" spans="1:9" x14ac:dyDescent="0.35">
      <c r="A824" t="str">
        <f>"15772282-4"</f>
        <v>15772282-4</v>
      </c>
      <c r="B824" t="s">
        <v>1010</v>
      </c>
      <c r="C824" t="s">
        <v>1011</v>
      </c>
      <c r="D824" t="s">
        <v>1012</v>
      </c>
      <c r="F824" s="1">
        <v>45323.690972222219</v>
      </c>
      <c r="G824" s="1">
        <v>45323.691666666666</v>
      </c>
      <c r="H824" t="s">
        <v>151</v>
      </c>
      <c r="I824" t="s">
        <v>11</v>
      </c>
    </row>
    <row r="825" spans="1:9" x14ac:dyDescent="0.35">
      <c r="A825" t="str">
        <f>"10033201-9"</f>
        <v>10033201-9</v>
      </c>
      <c r="B825" t="s">
        <v>160</v>
      </c>
      <c r="C825" t="s">
        <v>161</v>
      </c>
      <c r="D825" t="s">
        <v>162</v>
      </c>
      <c r="F825" s="1">
        <v>45253.697222222225</v>
      </c>
      <c r="G825" s="1">
        <v>45276.845833333333</v>
      </c>
      <c r="H825" t="s">
        <v>163</v>
      </c>
    </row>
    <row r="826" spans="1:9" x14ac:dyDescent="0.35">
      <c r="A826" t="str">
        <f>"11268918-4"</f>
        <v>11268918-4</v>
      </c>
      <c r="B826" t="s">
        <v>459</v>
      </c>
      <c r="C826" t="s">
        <v>460</v>
      </c>
      <c r="D826" t="s">
        <v>461</v>
      </c>
      <c r="F826" s="1">
        <v>45283.556944444441</v>
      </c>
      <c r="G826" s="1">
        <v>45283.556944444441</v>
      </c>
    </row>
    <row r="827" spans="1:9" x14ac:dyDescent="0.35">
      <c r="A827" t="str">
        <f>"13698614-7"</f>
        <v>13698614-7</v>
      </c>
      <c r="B827" t="s">
        <v>281</v>
      </c>
      <c r="C827" t="s">
        <v>606</v>
      </c>
      <c r="D827" t="s">
        <v>607</v>
      </c>
      <c r="F827" s="1">
        <v>45294.494444444441</v>
      </c>
      <c r="G827" s="1">
        <v>45294.506249999999</v>
      </c>
    </row>
    <row r="828" spans="1:9" x14ac:dyDescent="0.35">
      <c r="A828" t="str">
        <f>"14046209-8"</f>
        <v>14046209-8</v>
      </c>
      <c r="B828" t="s">
        <v>690</v>
      </c>
      <c r="C828" t="s">
        <v>102</v>
      </c>
      <c r="D828" t="s">
        <v>691</v>
      </c>
      <c r="F828" s="1">
        <v>45297.584722222222</v>
      </c>
      <c r="G828" s="1">
        <v>45297.585416666669</v>
      </c>
    </row>
    <row r="829" spans="1:9" x14ac:dyDescent="0.35">
      <c r="A829" t="str">
        <f>"15322384-K"</f>
        <v>15322384-K</v>
      </c>
      <c r="B829" t="s">
        <v>850</v>
      </c>
      <c r="C829" t="s">
        <v>851</v>
      </c>
      <c r="D829" t="s">
        <v>852</v>
      </c>
      <c r="F829" s="1">
        <v>45307.759027777778</v>
      </c>
      <c r="G829" s="1">
        <v>45307.761111111111</v>
      </c>
    </row>
    <row r="830" spans="1:9" x14ac:dyDescent="0.35">
      <c r="A830" t="str">
        <f>"13700563-8"</f>
        <v>13700563-8</v>
      </c>
      <c r="B830" t="s">
        <v>33</v>
      </c>
      <c r="C830" t="s">
        <v>1119</v>
      </c>
      <c r="D830" t="s">
        <v>1120</v>
      </c>
      <c r="F830" s="1">
        <v>45336.70416666667</v>
      </c>
      <c r="G830" s="1">
        <v>45336.70416666667</v>
      </c>
    </row>
    <row r="831" spans="1:9" x14ac:dyDescent="0.35">
      <c r="A831" t="str">
        <f>"20731016-6"</f>
        <v>20731016-6</v>
      </c>
      <c r="B831" t="s">
        <v>746</v>
      </c>
      <c r="C831" t="s">
        <v>633</v>
      </c>
      <c r="D831" t="s">
        <v>1013</v>
      </c>
      <c r="F831" s="1">
        <v>45323.713888888888</v>
      </c>
      <c r="G831" s="1">
        <v>45323.714583333334</v>
      </c>
      <c r="H831" t="s">
        <v>151</v>
      </c>
      <c r="I831" t="s">
        <v>11</v>
      </c>
    </row>
    <row r="832" spans="1:9" x14ac:dyDescent="0.35">
      <c r="A832" t="str">
        <f>"11480007-4"</f>
        <v>11480007-4</v>
      </c>
      <c r="B832" t="s">
        <v>1036</v>
      </c>
      <c r="C832" t="s">
        <v>204</v>
      </c>
      <c r="D832" t="s">
        <v>1037</v>
      </c>
      <c r="F832" s="1">
        <v>45327.73333333333</v>
      </c>
      <c r="G832" s="1">
        <v>45327.734027777777</v>
      </c>
      <c r="H832" t="s">
        <v>151</v>
      </c>
      <c r="I832" t="s">
        <v>11</v>
      </c>
    </row>
    <row r="833" spans="1:9" x14ac:dyDescent="0.35">
      <c r="A833" t="str">
        <f>"22286763-0"</f>
        <v>22286763-0</v>
      </c>
      <c r="B833" t="s">
        <v>2092</v>
      </c>
      <c r="C833" t="s">
        <v>494</v>
      </c>
      <c r="E833" t="s">
        <v>2093</v>
      </c>
      <c r="F833" s="1">
        <v>45403.887499999997</v>
      </c>
      <c r="G833" s="1">
        <v>45403.890972222223</v>
      </c>
    </row>
    <row r="834" spans="1:9" x14ac:dyDescent="0.35">
      <c r="A834" t="str">
        <f>"16617526-7"</f>
        <v>16617526-7</v>
      </c>
      <c r="B834" t="s">
        <v>349</v>
      </c>
      <c r="C834" t="s">
        <v>817</v>
      </c>
      <c r="D834" t="s">
        <v>818</v>
      </c>
      <c r="E834" t="s">
        <v>819</v>
      </c>
      <c r="F834" s="1">
        <v>45305.877083333333</v>
      </c>
      <c r="G834" s="1">
        <v>45305.877083333333</v>
      </c>
    </row>
    <row r="835" spans="1:9" x14ac:dyDescent="0.35">
      <c r="A835" t="str">
        <f>"16892518-2"</f>
        <v>16892518-2</v>
      </c>
      <c r="B835" t="s">
        <v>997</v>
      </c>
      <c r="C835" t="s">
        <v>998</v>
      </c>
      <c r="D835" t="s">
        <v>999</v>
      </c>
      <c r="E835" t="s">
        <v>1000</v>
      </c>
      <c r="F835" s="1">
        <v>45322.95208333333</v>
      </c>
      <c r="G835" s="1">
        <v>45322.95208333333</v>
      </c>
    </row>
    <row r="836" spans="1:9" x14ac:dyDescent="0.35">
      <c r="A836" t="str">
        <f>"10814972-8"</f>
        <v>10814972-8</v>
      </c>
      <c r="B836" t="s">
        <v>12</v>
      </c>
      <c r="C836" t="s">
        <v>13</v>
      </c>
      <c r="D836" t="s">
        <v>14</v>
      </c>
      <c r="E836" t="s">
        <v>15</v>
      </c>
      <c r="F836" s="1">
        <v>45236.880555555559</v>
      </c>
      <c r="G836" s="1">
        <v>45276.845833333333</v>
      </c>
    </row>
    <row r="837" spans="1:9" x14ac:dyDescent="0.35">
      <c r="A837" t="str">
        <f>"14175687-7"</f>
        <v>14175687-7</v>
      </c>
      <c r="B837" t="s">
        <v>67</v>
      </c>
      <c r="C837" t="s">
        <v>68</v>
      </c>
      <c r="D837" t="s">
        <v>69</v>
      </c>
      <c r="F837" s="1">
        <v>45245.484027777777</v>
      </c>
      <c r="G837" s="1">
        <v>45276.845833333333</v>
      </c>
      <c r="H837" t="s">
        <v>70</v>
      </c>
    </row>
    <row r="838" spans="1:9" x14ac:dyDescent="0.35">
      <c r="A838" t="str">
        <f>"18802130-1"</f>
        <v>18802130-1</v>
      </c>
      <c r="B838" t="s">
        <v>203</v>
      </c>
      <c r="C838" t="s">
        <v>204</v>
      </c>
      <c r="D838" t="s">
        <v>205</v>
      </c>
      <c r="F838" s="1">
        <v>45259.838888888888</v>
      </c>
      <c r="G838" s="1">
        <v>45276.845833333333</v>
      </c>
      <c r="H838" t="s">
        <v>206</v>
      </c>
    </row>
    <row r="839" spans="1:9" x14ac:dyDescent="0.35">
      <c r="A839" t="str">
        <f>"17084844-6"</f>
        <v>17084844-6</v>
      </c>
      <c r="B839" t="s">
        <v>339</v>
      </c>
      <c r="C839" t="s">
        <v>340</v>
      </c>
      <c r="D839" t="s">
        <v>341</v>
      </c>
      <c r="F839" s="1">
        <v>45276.765972222223</v>
      </c>
      <c r="G839" s="1">
        <v>45276.845833333333</v>
      </c>
    </row>
    <row r="840" spans="1:9" x14ac:dyDescent="0.35">
      <c r="A840" t="str">
        <f>"14760749-0"</f>
        <v>14760749-0</v>
      </c>
      <c r="B840" t="s">
        <v>349</v>
      </c>
      <c r="C840" t="s">
        <v>350</v>
      </c>
      <c r="D840" t="s">
        <v>351</v>
      </c>
      <c r="F840" s="1">
        <v>45278.589583333334</v>
      </c>
      <c r="G840" s="1">
        <v>45278.590277777781</v>
      </c>
      <c r="H840" t="s">
        <v>352</v>
      </c>
    </row>
    <row r="841" spans="1:9" x14ac:dyDescent="0.35">
      <c r="A841" t="str">
        <f>"15481789-1"</f>
        <v>15481789-1</v>
      </c>
      <c r="B841" t="s">
        <v>111</v>
      </c>
      <c r="C841" t="s">
        <v>1044</v>
      </c>
      <c r="D841" t="s">
        <v>1045</v>
      </c>
      <c r="F841" s="1">
        <v>45328.549305555556</v>
      </c>
      <c r="G841" s="1">
        <v>45328.55</v>
      </c>
      <c r="H841" t="s">
        <v>151</v>
      </c>
      <c r="I841" t="s">
        <v>11</v>
      </c>
    </row>
    <row r="842" spans="1:9" x14ac:dyDescent="0.35">
      <c r="A842" t="str">
        <f>""</f>
        <v/>
      </c>
      <c r="B842" t="s">
        <v>1054</v>
      </c>
      <c r="C842" t="s">
        <v>1055</v>
      </c>
      <c r="D842" t="s">
        <v>1056</v>
      </c>
      <c r="F842" s="1">
        <v>45329.538888888892</v>
      </c>
      <c r="G842" s="1">
        <v>45329.540277777778</v>
      </c>
      <c r="H842" t="s">
        <v>151</v>
      </c>
      <c r="I842" t="s">
        <v>11</v>
      </c>
    </row>
    <row r="843" spans="1:9" x14ac:dyDescent="0.35">
      <c r="A843" t="str">
        <f>"19253089-K"</f>
        <v>19253089-K</v>
      </c>
      <c r="B843" t="s">
        <v>1169</v>
      </c>
      <c r="C843" t="s">
        <v>1170</v>
      </c>
      <c r="D843" t="s">
        <v>1171</v>
      </c>
      <c r="F843" s="1">
        <v>45341.736111111109</v>
      </c>
      <c r="G843" s="1">
        <v>45341.736111111109</v>
      </c>
      <c r="H843" t="s">
        <v>1172</v>
      </c>
      <c r="I843" t="s">
        <v>11</v>
      </c>
    </row>
    <row r="844" spans="1:9" x14ac:dyDescent="0.35">
      <c r="A844" t="str">
        <f>"21522177-6"</f>
        <v>21522177-6</v>
      </c>
      <c r="B844" t="s">
        <v>678</v>
      </c>
      <c r="C844" t="s">
        <v>679</v>
      </c>
      <c r="D844" t="s">
        <v>680</v>
      </c>
      <c r="F844" s="1">
        <v>45296.78402777778</v>
      </c>
      <c r="G844" s="1">
        <v>45296.784722222219</v>
      </c>
    </row>
    <row r="845" spans="1:9" x14ac:dyDescent="0.35">
      <c r="A845" t="str">
        <f>"19216162-2"</f>
        <v>19216162-2</v>
      </c>
      <c r="B845" t="s">
        <v>706</v>
      </c>
      <c r="C845" t="s">
        <v>707</v>
      </c>
      <c r="D845" t="s">
        <v>708</v>
      </c>
      <c r="F845" s="1">
        <v>45297.816666666666</v>
      </c>
      <c r="G845" s="1">
        <v>45297.817361111112</v>
      </c>
    </row>
    <row r="846" spans="1:9" x14ac:dyDescent="0.35">
      <c r="A846" t="str">
        <f>"17316919-1"</f>
        <v>17316919-1</v>
      </c>
      <c r="B846" t="s">
        <v>402</v>
      </c>
      <c r="C846" t="s">
        <v>1173</v>
      </c>
      <c r="D846" t="s">
        <v>1174</v>
      </c>
      <c r="F846" s="1">
        <v>45341.775000000001</v>
      </c>
      <c r="G846" s="1">
        <v>45341.775000000001</v>
      </c>
      <c r="H846" t="s">
        <v>1175</v>
      </c>
      <c r="I846" t="s">
        <v>11</v>
      </c>
    </row>
    <row r="847" spans="1:9" x14ac:dyDescent="0.35">
      <c r="A847" t="str">
        <f>"19679184-1"</f>
        <v>19679184-1</v>
      </c>
      <c r="B847" t="s">
        <v>1218</v>
      </c>
      <c r="C847" t="s">
        <v>1219</v>
      </c>
      <c r="D847" t="s">
        <v>1220</v>
      </c>
      <c r="F847" s="1">
        <v>45345.863194444442</v>
      </c>
      <c r="G847" s="1">
        <v>45345.863194444442</v>
      </c>
      <c r="H847" t="s">
        <v>1221</v>
      </c>
      <c r="I847" t="s">
        <v>11</v>
      </c>
    </row>
    <row r="848" spans="1:9" x14ac:dyDescent="0.35">
      <c r="A848" t="str">
        <f>"18954165-1"</f>
        <v>18954165-1</v>
      </c>
      <c r="B848" t="s">
        <v>392</v>
      </c>
      <c r="C848" t="s">
        <v>735</v>
      </c>
      <c r="D848" t="s">
        <v>736</v>
      </c>
      <c r="F848" s="1">
        <v>45300.726388888892</v>
      </c>
      <c r="G848" s="1">
        <v>45300.727083333331</v>
      </c>
    </row>
    <row r="849" spans="1:9" x14ac:dyDescent="0.35">
      <c r="A849" t="str">
        <f>"16798098-8"</f>
        <v>16798098-8</v>
      </c>
      <c r="B849" t="s">
        <v>789</v>
      </c>
      <c r="C849" t="s">
        <v>228</v>
      </c>
      <c r="D849" t="s">
        <v>790</v>
      </c>
      <c r="F849" s="1">
        <v>45303.571527777778</v>
      </c>
      <c r="G849" s="1">
        <v>45303.572222222225</v>
      </c>
    </row>
    <row r="850" spans="1:9" x14ac:dyDescent="0.35">
      <c r="A850" t="str">
        <f>"21352802-5"</f>
        <v>21352802-5</v>
      </c>
      <c r="B850" t="s">
        <v>257</v>
      </c>
      <c r="C850" t="s">
        <v>812</v>
      </c>
      <c r="D850" t="s">
        <v>813</v>
      </c>
      <c r="F850" s="1">
        <v>45304.64166666667</v>
      </c>
      <c r="G850" s="1">
        <v>45304.64166666667</v>
      </c>
    </row>
    <row r="851" spans="1:9" x14ac:dyDescent="0.35">
      <c r="A851" t="str">
        <f>"18466225-6"</f>
        <v>18466225-6</v>
      </c>
      <c r="B851" t="s">
        <v>814</v>
      </c>
      <c r="C851" t="s">
        <v>815</v>
      </c>
      <c r="D851" t="s">
        <v>816</v>
      </c>
      <c r="F851" s="1">
        <v>45304.665277777778</v>
      </c>
      <c r="G851" s="1">
        <v>45304.665972222225</v>
      </c>
    </row>
    <row r="852" spans="1:9" x14ac:dyDescent="0.35">
      <c r="A852" t="str">
        <f>"17898269-9"</f>
        <v>17898269-9</v>
      </c>
      <c r="B852" t="s">
        <v>1242</v>
      </c>
      <c r="C852" t="s">
        <v>1243</v>
      </c>
      <c r="D852" t="s">
        <v>1244</v>
      </c>
      <c r="F852" s="1">
        <v>45348.667361111111</v>
      </c>
      <c r="G852" s="1">
        <v>45348.668055555558</v>
      </c>
      <c r="H852" t="s">
        <v>151</v>
      </c>
      <c r="I852" t="s">
        <v>11</v>
      </c>
    </row>
    <row r="853" spans="1:9" x14ac:dyDescent="0.35">
      <c r="A853" t="str">
        <f>"17176551-K"</f>
        <v>17176551-K</v>
      </c>
      <c r="B853" t="s">
        <v>1273</v>
      </c>
      <c r="C853" t="s">
        <v>1274</v>
      </c>
      <c r="D853" t="s">
        <v>1275</v>
      </c>
      <c r="F853" s="1">
        <v>45351.545138888891</v>
      </c>
      <c r="G853" s="1">
        <v>45351.54583333333</v>
      </c>
      <c r="H853" t="s">
        <v>1276</v>
      </c>
      <c r="I853" t="s">
        <v>11</v>
      </c>
    </row>
    <row r="854" spans="1:9" x14ac:dyDescent="0.35">
      <c r="A854" t="str">
        <f>"55555555-5"</f>
        <v>55555555-5</v>
      </c>
      <c r="B854" t="s">
        <v>1277</v>
      </c>
      <c r="C854" t="s">
        <v>494</v>
      </c>
      <c r="D854" t="s">
        <v>1278</v>
      </c>
      <c r="F854" s="1">
        <v>45351.548611111109</v>
      </c>
      <c r="G854" s="1">
        <v>45351.548611111109</v>
      </c>
      <c r="H854" t="s">
        <v>151</v>
      </c>
      <c r="I854" t="s">
        <v>11</v>
      </c>
    </row>
    <row r="855" spans="1:9" x14ac:dyDescent="0.35">
      <c r="A855" t="str">
        <f>"15334036-6"</f>
        <v>15334036-6</v>
      </c>
      <c r="B855" t="s">
        <v>75</v>
      </c>
      <c r="C855" t="s">
        <v>76</v>
      </c>
      <c r="D855" t="s">
        <v>77</v>
      </c>
      <c r="F855" s="1">
        <v>45245.737500000003</v>
      </c>
      <c r="G855" s="1">
        <v>45276.845833333333</v>
      </c>
      <c r="H855" t="s">
        <v>78</v>
      </c>
      <c r="I855" t="s">
        <v>11</v>
      </c>
    </row>
    <row r="856" spans="1:9" x14ac:dyDescent="0.35">
      <c r="A856" t="str">
        <f>"7014289-9"</f>
        <v>7014289-9</v>
      </c>
      <c r="B856" t="s">
        <v>1233</v>
      </c>
      <c r="C856" t="s">
        <v>845</v>
      </c>
      <c r="D856" t="s">
        <v>1234</v>
      </c>
      <c r="F856" s="1">
        <v>45348.559027777781</v>
      </c>
      <c r="G856" s="1">
        <v>45348.55972222222</v>
      </c>
      <c r="H856" t="s">
        <v>1235</v>
      </c>
      <c r="I856" t="s">
        <v>11</v>
      </c>
    </row>
    <row r="857" spans="1:9" x14ac:dyDescent="0.35">
      <c r="A857" t="str">
        <f>"4855541-1"</f>
        <v>4855541-1</v>
      </c>
      <c r="B857" t="s">
        <v>1271</v>
      </c>
      <c r="C857" t="s">
        <v>347</v>
      </c>
      <c r="D857" t="s">
        <v>1272</v>
      </c>
      <c r="F857" s="1">
        <v>45351.540972222225</v>
      </c>
      <c r="G857" s="1">
        <v>45351.540972222225</v>
      </c>
      <c r="H857" t="s">
        <v>170</v>
      </c>
      <c r="I857" t="s">
        <v>11</v>
      </c>
    </row>
    <row r="858" spans="1:9" x14ac:dyDescent="0.35">
      <c r="A858" t="str">
        <f>"19381520-0"</f>
        <v>19381520-0</v>
      </c>
      <c r="B858" t="s">
        <v>546</v>
      </c>
      <c r="C858" t="s">
        <v>1472</v>
      </c>
      <c r="D858" t="s">
        <v>1473</v>
      </c>
      <c r="F858" s="1">
        <v>45367.807638888888</v>
      </c>
      <c r="G858" s="1">
        <v>45367.807638888888</v>
      </c>
      <c r="H858" t="s">
        <v>1474</v>
      </c>
    </row>
    <row r="859" spans="1:9" x14ac:dyDescent="0.35">
      <c r="A859" t="str">
        <f>"21643762-4"</f>
        <v>21643762-4</v>
      </c>
      <c r="B859" t="s">
        <v>746</v>
      </c>
      <c r="C859" t="s">
        <v>1504</v>
      </c>
      <c r="D859" t="s">
        <v>1505</v>
      </c>
      <c r="F859" s="1">
        <v>45370.847916666666</v>
      </c>
      <c r="G859" s="1">
        <v>45370.848611111112</v>
      </c>
    </row>
    <row r="860" spans="1:9" x14ac:dyDescent="0.35">
      <c r="A860" t="str">
        <f>"11742427-8"</f>
        <v>11742427-8</v>
      </c>
      <c r="B860" t="s">
        <v>930</v>
      </c>
      <c r="C860" t="s">
        <v>300</v>
      </c>
      <c r="D860" t="s">
        <v>1578</v>
      </c>
      <c r="F860" s="1">
        <v>45372.789583333331</v>
      </c>
      <c r="G860" s="1">
        <v>45372.789583333331</v>
      </c>
      <c r="H860" t="s">
        <v>1579</v>
      </c>
    </row>
    <row r="861" spans="1:9" x14ac:dyDescent="0.35">
      <c r="A861" t="str">
        <f>"19183014-8"</f>
        <v>19183014-8</v>
      </c>
      <c r="B861" t="s">
        <v>456</v>
      </c>
      <c r="C861" t="s">
        <v>1633</v>
      </c>
      <c r="D861" t="s">
        <v>1634</v>
      </c>
      <c r="F861" s="1">
        <v>45373.848611111112</v>
      </c>
      <c r="G861" s="1">
        <v>45373.849305555559</v>
      </c>
      <c r="H861" t="s">
        <v>1635</v>
      </c>
    </row>
    <row r="862" spans="1:9" x14ac:dyDescent="0.35">
      <c r="A862" t="str">
        <f>"16355134-9"</f>
        <v>16355134-9</v>
      </c>
      <c r="B862" t="s">
        <v>1658</v>
      </c>
      <c r="C862" t="s">
        <v>1659</v>
      </c>
      <c r="D862" t="s">
        <v>1660</v>
      </c>
      <c r="F862" s="1">
        <v>45377.567361111112</v>
      </c>
      <c r="G862" s="1">
        <v>45377.567361111112</v>
      </c>
      <c r="H862" t="s">
        <v>1661</v>
      </c>
    </row>
    <row r="863" spans="1:9" x14ac:dyDescent="0.35">
      <c r="A863" t="str">
        <f>"55555555-5"</f>
        <v>55555555-5</v>
      </c>
      <c r="B863" t="s">
        <v>132</v>
      </c>
      <c r="C863" t="s">
        <v>228</v>
      </c>
      <c r="D863" t="s">
        <v>1690</v>
      </c>
      <c r="F863" s="1">
        <v>45377.838888888888</v>
      </c>
      <c r="G863" s="1">
        <v>45377.838888888888</v>
      </c>
      <c r="H863" t="s">
        <v>1691</v>
      </c>
    </row>
    <row r="864" spans="1:9" x14ac:dyDescent="0.35">
      <c r="A864" t="str">
        <f>"24254968-6"</f>
        <v>24254968-6</v>
      </c>
      <c r="B864" t="s">
        <v>1783</v>
      </c>
      <c r="C864" t="s">
        <v>106</v>
      </c>
      <c r="D864" t="s">
        <v>1784</v>
      </c>
      <c r="F864" s="1">
        <v>45383.501388888886</v>
      </c>
      <c r="G864" s="1">
        <v>45383.50277777778</v>
      </c>
    </row>
    <row r="865" spans="1:9" x14ac:dyDescent="0.35">
      <c r="A865" t="str">
        <f>"21360486-4"</f>
        <v>21360486-4</v>
      </c>
      <c r="B865" t="s">
        <v>392</v>
      </c>
      <c r="C865" t="s">
        <v>393</v>
      </c>
      <c r="D865" t="s">
        <v>394</v>
      </c>
      <c r="F865" s="1">
        <v>45280.604166666664</v>
      </c>
      <c r="G865" s="1">
        <v>45280.604861111111</v>
      </c>
      <c r="H865" t="s">
        <v>395</v>
      </c>
      <c r="I865" t="s">
        <v>11</v>
      </c>
    </row>
    <row r="866" spans="1:9" x14ac:dyDescent="0.35">
      <c r="A866" t="str">
        <f>"10473692-0"</f>
        <v>10473692-0</v>
      </c>
      <c r="B866" t="s">
        <v>203</v>
      </c>
      <c r="C866" t="s">
        <v>290</v>
      </c>
      <c r="D866" t="s">
        <v>1825</v>
      </c>
      <c r="E866" t="s">
        <v>1826</v>
      </c>
      <c r="F866" s="1">
        <v>45384.808333333334</v>
      </c>
      <c r="G866" s="1">
        <v>45384.809027777781</v>
      </c>
    </row>
    <row r="867" spans="1:9" x14ac:dyDescent="0.35">
      <c r="A867" t="str">
        <f>"20501879-4"</f>
        <v>20501879-4</v>
      </c>
      <c r="B867" t="s">
        <v>48</v>
      </c>
      <c r="C867" t="s">
        <v>1900</v>
      </c>
      <c r="D867" t="s">
        <v>1901</v>
      </c>
      <c r="F867" s="1">
        <v>45390.519444444442</v>
      </c>
      <c r="G867" s="1">
        <v>45390.519444444442</v>
      </c>
    </row>
    <row r="868" spans="1:9" x14ac:dyDescent="0.35">
      <c r="A868" t="str">
        <f>"19307612-2"</f>
        <v>19307612-2</v>
      </c>
      <c r="B868" t="s">
        <v>54</v>
      </c>
      <c r="C868" t="s">
        <v>1906</v>
      </c>
      <c r="D868" t="s">
        <v>1907</v>
      </c>
      <c r="F868" s="1">
        <v>45391.503472222219</v>
      </c>
      <c r="G868" s="1">
        <v>45391.504166666666</v>
      </c>
    </row>
    <row r="869" spans="1:9" x14ac:dyDescent="0.35">
      <c r="A869" t="str">
        <f>"13456950-6"</f>
        <v>13456950-6</v>
      </c>
      <c r="B869" t="s">
        <v>30</v>
      </c>
      <c r="C869" t="s">
        <v>1909</v>
      </c>
      <c r="D869" t="s">
        <v>1910</v>
      </c>
      <c r="F869" s="1">
        <v>45391.559027777781</v>
      </c>
      <c r="G869" s="1">
        <v>45391.559027777781</v>
      </c>
    </row>
    <row r="870" spans="1:9" x14ac:dyDescent="0.35">
      <c r="A870" t="str">
        <f>"20556993-6"</f>
        <v>20556993-6</v>
      </c>
      <c r="B870" t="s">
        <v>503</v>
      </c>
      <c r="C870" t="s">
        <v>374</v>
      </c>
      <c r="D870" t="s">
        <v>1953</v>
      </c>
      <c r="F870" s="1">
        <v>45393.772916666669</v>
      </c>
      <c r="G870" s="1">
        <v>45393.773611111108</v>
      </c>
    </row>
    <row r="871" spans="1:9" x14ac:dyDescent="0.35">
      <c r="A871" t="str">
        <f>"18992418-6"</f>
        <v>18992418-6</v>
      </c>
      <c r="B871" t="s">
        <v>591</v>
      </c>
      <c r="C871" t="s">
        <v>592</v>
      </c>
      <c r="D871" t="s">
        <v>593</v>
      </c>
      <c r="F871" s="1">
        <v>45293.706944444442</v>
      </c>
      <c r="G871" s="1">
        <v>45293.707638888889</v>
      </c>
      <c r="H871" t="s">
        <v>594</v>
      </c>
      <c r="I871" t="s">
        <v>11</v>
      </c>
    </row>
    <row r="872" spans="1:9" x14ac:dyDescent="0.35">
      <c r="A872" t="str">
        <f>"15432872-6"</f>
        <v>15432872-6</v>
      </c>
      <c r="B872" t="s">
        <v>111</v>
      </c>
      <c r="C872" t="s">
        <v>636</v>
      </c>
      <c r="D872" t="s">
        <v>637</v>
      </c>
      <c r="F872" s="1">
        <v>45295.59375</v>
      </c>
      <c r="G872" s="1">
        <v>45295.594444444447</v>
      </c>
      <c r="H872" t="s">
        <v>395</v>
      </c>
      <c r="I872" t="s">
        <v>11</v>
      </c>
    </row>
    <row r="873" spans="1:9" x14ac:dyDescent="0.35">
      <c r="A873" t="str">
        <f>"20525813-2"</f>
        <v>20525813-2</v>
      </c>
      <c r="B873" t="s">
        <v>1996</v>
      </c>
      <c r="C873" t="s">
        <v>84</v>
      </c>
      <c r="D873" t="s">
        <v>1997</v>
      </c>
      <c r="F873" s="1">
        <v>45397.6875</v>
      </c>
      <c r="G873" s="1">
        <v>45397.688194444447</v>
      </c>
      <c r="H873" t="s">
        <v>1998</v>
      </c>
    </row>
    <row r="874" spans="1:9" x14ac:dyDescent="0.35">
      <c r="A874" t="str">
        <f>"18858507-8"</f>
        <v>18858507-8</v>
      </c>
      <c r="B874" t="s">
        <v>456</v>
      </c>
      <c r="C874" t="s">
        <v>2002</v>
      </c>
      <c r="D874" t="s">
        <v>2003</v>
      </c>
      <c r="F874" s="1">
        <v>45397.881944444445</v>
      </c>
      <c r="G874" s="1">
        <v>45397.881944444445</v>
      </c>
      <c r="H874" t="s">
        <v>2004</v>
      </c>
    </row>
    <row r="875" spans="1:9" x14ac:dyDescent="0.35">
      <c r="A875" t="str">
        <f>"21468554-K"</f>
        <v>21468554-K</v>
      </c>
      <c r="B875" t="s">
        <v>2044</v>
      </c>
      <c r="C875" t="s">
        <v>350</v>
      </c>
      <c r="D875" t="s">
        <v>2045</v>
      </c>
      <c r="F875" s="1">
        <v>45400.517361111109</v>
      </c>
      <c r="G875" s="1">
        <v>45400.517361111109</v>
      </c>
    </row>
    <row r="876" spans="1:9" x14ac:dyDescent="0.35">
      <c r="A876" t="str">
        <f>"21999027-8"</f>
        <v>21999027-8</v>
      </c>
      <c r="B876" t="s">
        <v>912</v>
      </c>
      <c r="C876" t="s">
        <v>712</v>
      </c>
      <c r="D876" t="s">
        <v>2051</v>
      </c>
      <c r="F876" s="1">
        <v>45400.666666666664</v>
      </c>
      <c r="G876" s="1">
        <v>45400.666666666664</v>
      </c>
    </row>
    <row r="877" spans="1:9" x14ac:dyDescent="0.35">
      <c r="A877" t="str">
        <f>"13906097-0"</f>
        <v>13906097-0</v>
      </c>
      <c r="B877" t="s">
        <v>349</v>
      </c>
      <c r="C877" t="s">
        <v>2075</v>
      </c>
      <c r="D877" t="s">
        <v>2076</v>
      </c>
      <c r="F877" s="1">
        <v>45401.877083333333</v>
      </c>
      <c r="G877" s="1">
        <v>45401.877083333333</v>
      </c>
      <c r="H877" t="s">
        <v>2077</v>
      </c>
    </row>
    <row r="878" spans="1:9" x14ac:dyDescent="0.35">
      <c r="A878" t="str">
        <f>"16256136-7"</f>
        <v>16256136-7</v>
      </c>
      <c r="B878" t="s">
        <v>481</v>
      </c>
      <c r="C878" t="s">
        <v>334</v>
      </c>
      <c r="D878" t="s">
        <v>2114</v>
      </c>
      <c r="F878" s="1">
        <v>45405.695833333331</v>
      </c>
      <c r="G878" s="1">
        <v>45405.695833333331</v>
      </c>
    </row>
    <row r="879" spans="1:9" x14ac:dyDescent="0.35">
      <c r="A879" t="str">
        <f>"243491387"</f>
        <v>243491387</v>
      </c>
      <c r="B879" t="s">
        <v>2131</v>
      </c>
      <c r="C879" t="s">
        <v>2132</v>
      </c>
      <c r="D879" t="s">
        <v>2133</v>
      </c>
      <c r="F879" s="1">
        <v>45407.599305555559</v>
      </c>
      <c r="G879" s="1">
        <v>45407.602777777778</v>
      </c>
    </row>
    <row r="880" spans="1:9" x14ac:dyDescent="0.35">
      <c r="A880" t="str">
        <f>"17706008-9"</f>
        <v>17706008-9</v>
      </c>
      <c r="B880" t="s">
        <v>327</v>
      </c>
      <c r="C880" t="s">
        <v>2134</v>
      </c>
      <c r="D880" t="s">
        <v>2135</v>
      </c>
      <c r="F880" s="1">
        <v>45407.600694444445</v>
      </c>
      <c r="G880" s="1">
        <v>45407.600694444445</v>
      </c>
    </row>
    <row r="881" spans="1:8" x14ac:dyDescent="0.35">
      <c r="A881" t="str">
        <f>"21956855-K"</f>
        <v>21956855-K</v>
      </c>
      <c r="B881" t="s">
        <v>2136</v>
      </c>
      <c r="C881" t="s">
        <v>2137</v>
      </c>
      <c r="D881" t="s">
        <v>2138</v>
      </c>
      <c r="F881" s="1">
        <v>45407.60833333333</v>
      </c>
      <c r="G881" s="1">
        <v>45407.609027777777</v>
      </c>
    </row>
    <row r="882" spans="1:8" x14ac:dyDescent="0.35">
      <c r="A882" t="str">
        <f>"20694214-2"</f>
        <v>20694214-2</v>
      </c>
      <c r="B882" t="s">
        <v>534</v>
      </c>
      <c r="C882" t="s">
        <v>1648</v>
      </c>
      <c r="D882" t="s">
        <v>2156</v>
      </c>
      <c r="F882" s="1">
        <v>45408.470138888886</v>
      </c>
      <c r="G882" s="1">
        <v>45408.470833333333</v>
      </c>
    </row>
    <row r="883" spans="1:8" x14ac:dyDescent="0.35">
      <c r="A883" t="str">
        <f>"16016474-3"</f>
        <v>16016474-3</v>
      </c>
      <c r="B883" t="s">
        <v>1189</v>
      </c>
      <c r="C883" t="s">
        <v>201</v>
      </c>
      <c r="D883" t="s">
        <v>2163</v>
      </c>
      <c r="F883" s="1">
        <v>45408.559027777781</v>
      </c>
      <c r="G883" s="1">
        <v>45408.55972222222</v>
      </c>
    </row>
    <row r="884" spans="1:8" x14ac:dyDescent="0.35">
      <c r="A884" t="str">
        <f>"19892268-4"</f>
        <v>19892268-4</v>
      </c>
      <c r="B884" t="s">
        <v>2236</v>
      </c>
      <c r="C884" t="s">
        <v>2249</v>
      </c>
      <c r="D884" t="s">
        <v>2266</v>
      </c>
      <c r="F884" s="1">
        <v>45413.708333333336</v>
      </c>
      <c r="G884" s="1">
        <v>45413.708333333336</v>
      </c>
      <c r="H884" t="s">
        <v>2267</v>
      </c>
    </row>
    <row r="885" spans="1:8" x14ac:dyDescent="0.35">
      <c r="A885" t="str">
        <f>"21547163-2"</f>
        <v>21547163-2</v>
      </c>
      <c r="B885" t="s">
        <v>408</v>
      </c>
      <c r="C885" t="s">
        <v>944</v>
      </c>
      <c r="D885" t="s">
        <v>2351</v>
      </c>
      <c r="F885" s="1">
        <v>45421.680555555555</v>
      </c>
      <c r="G885" s="1">
        <v>45421.681250000001</v>
      </c>
    </row>
    <row r="886" spans="1:8" x14ac:dyDescent="0.35">
      <c r="A886" t="str">
        <f>"17767853-8"</f>
        <v>17767853-8</v>
      </c>
      <c r="B886" t="s">
        <v>2414</v>
      </c>
      <c r="C886" t="s">
        <v>2415</v>
      </c>
      <c r="D886" t="s">
        <v>2416</v>
      </c>
      <c r="F886" s="1">
        <v>45427.837500000001</v>
      </c>
      <c r="G886" s="1">
        <v>45427.838194444441</v>
      </c>
    </row>
    <row r="887" spans="1:8" x14ac:dyDescent="0.35">
      <c r="A887" t="str">
        <f>"6890536-2"</f>
        <v>6890536-2</v>
      </c>
      <c r="B887" t="s">
        <v>1683</v>
      </c>
      <c r="C887" t="s">
        <v>2417</v>
      </c>
      <c r="D887" t="s">
        <v>2418</v>
      </c>
      <c r="F887" s="1">
        <v>45427.838888888888</v>
      </c>
      <c r="G887" s="1">
        <v>45427.852083333331</v>
      </c>
    </row>
    <row r="888" spans="1:8" x14ac:dyDescent="0.35">
      <c r="A888" t="str">
        <f>"21792314-K"</f>
        <v>21792314-K</v>
      </c>
      <c r="B888" t="s">
        <v>392</v>
      </c>
      <c r="C888" t="s">
        <v>968</v>
      </c>
      <c r="D888" t="s">
        <v>2437</v>
      </c>
      <c r="F888" s="1">
        <v>45429.616666666669</v>
      </c>
      <c r="G888" s="1">
        <v>45429.617361111108</v>
      </c>
    </row>
    <row r="889" spans="1:8" x14ac:dyDescent="0.35">
      <c r="A889" t="str">
        <f>"271392249"</f>
        <v>271392249</v>
      </c>
      <c r="B889" t="s">
        <v>239</v>
      </c>
      <c r="C889" t="s">
        <v>2455</v>
      </c>
      <c r="D889" t="s">
        <v>2456</v>
      </c>
      <c r="F889" s="1">
        <v>45434.753472222219</v>
      </c>
      <c r="G889" s="1">
        <v>45434.754166666666</v>
      </c>
    </row>
    <row r="890" spans="1:8" x14ac:dyDescent="0.35">
      <c r="A890" t="str">
        <f>"20038410-5"</f>
        <v>20038410-5</v>
      </c>
      <c r="B890" t="s">
        <v>503</v>
      </c>
      <c r="C890" t="s">
        <v>1894</v>
      </c>
      <c r="D890" t="s">
        <v>2483</v>
      </c>
      <c r="F890" s="1">
        <v>45436.756944444445</v>
      </c>
      <c r="G890" s="1">
        <v>45436.756944444445</v>
      </c>
    </row>
    <row r="891" spans="1:8" x14ac:dyDescent="0.35">
      <c r="A891" t="str">
        <f>"9191783-1"</f>
        <v>9191783-1</v>
      </c>
      <c r="B891" t="s">
        <v>2484</v>
      </c>
      <c r="C891" t="s">
        <v>2485</v>
      </c>
      <c r="D891" t="s">
        <v>2486</v>
      </c>
      <c r="F891" s="1">
        <v>45436.758333333331</v>
      </c>
      <c r="G891" s="1">
        <v>45436.758333333331</v>
      </c>
    </row>
    <row r="892" spans="1:8" x14ac:dyDescent="0.35">
      <c r="A892" t="str">
        <f>"19306610-0"</f>
        <v>19306610-0</v>
      </c>
      <c r="B892" t="s">
        <v>2492</v>
      </c>
      <c r="C892" t="s">
        <v>161</v>
      </c>
      <c r="D892" t="s">
        <v>2493</v>
      </c>
      <c r="F892" s="1">
        <v>45439.73333333333</v>
      </c>
      <c r="G892" s="1">
        <v>45439.73333333333</v>
      </c>
    </row>
    <row r="893" spans="1:8" x14ac:dyDescent="0.35">
      <c r="A893" t="str">
        <f>"15722840-4"</f>
        <v>15722840-4</v>
      </c>
      <c r="B893" t="s">
        <v>2522</v>
      </c>
      <c r="C893" t="s">
        <v>2523</v>
      </c>
      <c r="D893" t="s">
        <v>2524</v>
      </c>
      <c r="F893" s="1">
        <v>45441.546527777777</v>
      </c>
      <c r="G893" s="1">
        <v>45441.547222222223</v>
      </c>
    </row>
    <row r="894" spans="1:8" x14ac:dyDescent="0.35">
      <c r="A894" t="str">
        <f>"7199654-9"</f>
        <v>7199654-9</v>
      </c>
      <c r="B894" t="s">
        <v>1042</v>
      </c>
      <c r="C894" t="s">
        <v>1077</v>
      </c>
      <c r="D894" t="s">
        <v>2525</v>
      </c>
      <c r="F894" s="1">
        <v>45441.582638888889</v>
      </c>
      <c r="G894" s="1">
        <v>45441.582638888889</v>
      </c>
    </row>
    <row r="895" spans="1:8" x14ac:dyDescent="0.35">
      <c r="A895" t="str">
        <f>"15388151-0"</f>
        <v>15388151-0</v>
      </c>
      <c r="B895" t="s">
        <v>26</v>
      </c>
      <c r="C895" t="s">
        <v>599</v>
      </c>
      <c r="D895" t="s">
        <v>600</v>
      </c>
      <c r="F895" s="1">
        <v>45293.729166666664</v>
      </c>
      <c r="G895" s="1">
        <v>45293.729861111111</v>
      </c>
      <c r="H895" t="s">
        <v>601</v>
      </c>
    </row>
    <row r="896" spans="1:8" x14ac:dyDescent="0.35">
      <c r="A896" t="str">
        <f>"20289993-5"</f>
        <v>20289993-5</v>
      </c>
      <c r="B896" t="s">
        <v>190</v>
      </c>
      <c r="C896" t="s">
        <v>191</v>
      </c>
      <c r="D896" t="s">
        <v>192</v>
      </c>
      <c r="F896" s="1">
        <v>45258.745138888888</v>
      </c>
      <c r="G896" s="1">
        <v>45276.845833333333</v>
      </c>
    </row>
    <row r="897" spans="1:9" x14ac:dyDescent="0.35">
      <c r="A897" t="str">
        <f>"18621425-0"</f>
        <v>18621425-0</v>
      </c>
      <c r="B897" t="s">
        <v>30</v>
      </c>
      <c r="C897" t="s">
        <v>266</v>
      </c>
      <c r="D897" t="s">
        <v>267</v>
      </c>
      <c r="F897" s="1">
        <v>45271.614583333336</v>
      </c>
      <c r="G897" s="1">
        <v>45276.845833333333</v>
      </c>
      <c r="H897" t="s">
        <v>268</v>
      </c>
    </row>
    <row r="898" spans="1:9" x14ac:dyDescent="0.35">
      <c r="A898" t="str">
        <f>"16072920-1"</f>
        <v>16072920-1</v>
      </c>
      <c r="B898" t="s">
        <v>64</v>
      </c>
      <c r="C898" t="s">
        <v>714</v>
      </c>
      <c r="D898" t="s">
        <v>715</v>
      </c>
      <c r="F898" s="1">
        <v>45299.770833333336</v>
      </c>
      <c r="G898" s="1">
        <v>45299.771527777775</v>
      </c>
      <c r="H898" t="s">
        <v>151</v>
      </c>
      <c r="I898" t="s">
        <v>11</v>
      </c>
    </row>
    <row r="899" spans="1:9" x14ac:dyDescent="0.35">
      <c r="A899" t="str">
        <f>"27505996-K"</f>
        <v>27505996-K</v>
      </c>
      <c r="B899" t="s">
        <v>718</v>
      </c>
      <c r="C899" t="s">
        <v>350</v>
      </c>
      <c r="D899" t="s">
        <v>719</v>
      </c>
      <c r="F899" s="1">
        <v>45299.84097222222</v>
      </c>
      <c r="G899" s="1">
        <v>45299.842361111114</v>
      </c>
      <c r="H899" t="s">
        <v>395</v>
      </c>
      <c r="I899" t="s">
        <v>11</v>
      </c>
    </row>
    <row r="900" spans="1:9" x14ac:dyDescent="0.35">
      <c r="A900" t="str">
        <f>"18840421-9"</f>
        <v>18840421-9</v>
      </c>
      <c r="B900" t="s">
        <v>269</v>
      </c>
      <c r="C900" t="s">
        <v>934</v>
      </c>
      <c r="D900" t="s">
        <v>1090</v>
      </c>
      <c r="F900" s="1">
        <v>45334.790972222225</v>
      </c>
      <c r="G900" s="1">
        <v>45334.790972222225</v>
      </c>
      <c r="H900" t="s">
        <v>151</v>
      </c>
      <c r="I900" t="s">
        <v>11</v>
      </c>
    </row>
    <row r="901" spans="1:9" x14ac:dyDescent="0.35">
      <c r="A901" t="str">
        <f>"26266203-9"</f>
        <v>26266203-9</v>
      </c>
      <c r="B901" t="s">
        <v>30</v>
      </c>
      <c r="C901" t="s">
        <v>1812</v>
      </c>
      <c r="D901" t="s">
        <v>1813</v>
      </c>
      <c r="F901" s="1">
        <v>45384.605555555558</v>
      </c>
      <c r="G901" s="1">
        <v>45384.605555555558</v>
      </c>
      <c r="H901" t="s">
        <v>1814</v>
      </c>
      <c r="I901" t="s">
        <v>11</v>
      </c>
    </row>
    <row r="902" spans="1:9" x14ac:dyDescent="0.35">
      <c r="A902" t="str">
        <f>"16174771-8"</f>
        <v>16174771-8</v>
      </c>
      <c r="B902" t="s">
        <v>1146</v>
      </c>
      <c r="C902" t="s">
        <v>1985</v>
      </c>
      <c r="D902" t="s">
        <v>1986</v>
      </c>
      <c r="F902" s="1">
        <v>45395.77847222222</v>
      </c>
      <c r="G902" s="1">
        <v>45395.77847222222</v>
      </c>
      <c r="H902" t="s">
        <v>1987</v>
      </c>
      <c r="I902" t="s">
        <v>11</v>
      </c>
    </row>
    <row r="903" spans="1:9" x14ac:dyDescent="0.35">
      <c r="A903" t="str">
        <f>"16477153-9"</f>
        <v>16477153-9</v>
      </c>
      <c r="B903" t="s">
        <v>507</v>
      </c>
      <c r="C903" t="s">
        <v>1989</v>
      </c>
      <c r="D903" t="s">
        <v>1990</v>
      </c>
      <c r="F903" s="1">
        <v>45395.821527777778</v>
      </c>
      <c r="G903" s="1">
        <v>45395.821527777778</v>
      </c>
      <c r="H903" t="s">
        <v>1991</v>
      </c>
      <c r="I903" t="s">
        <v>11</v>
      </c>
    </row>
    <row r="904" spans="1:9" x14ac:dyDescent="0.35">
      <c r="A904" t="str">
        <f>"15475801-1"</f>
        <v>15475801-1</v>
      </c>
      <c r="B904" t="s">
        <v>295</v>
      </c>
      <c r="C904" t="s">
        <v>296</v>
      </c>
      <c r="D904" t="s">
        <v>297</v>
      </c>
      <c r="F904" s="1">
        <v>45273.498611111114</v>
      </c>
      <c r="G904" s="1">
        <v>45276.845833333333</v>
      </c>
      <c r="H904" t="s">
        <v>298</v>
      </c>
      <c r="I904" t="s">
        <v>11</v>
      </c>
    </row>
    <row r="905" spans="1:9" x14ac:dyDescent="0.35">
      <c r="A905" t="str">
        <f>""</f>
        <v/>
      </c>
      <c r="B905" t="s">
        <v>9</v>
      </c>
      <c r="C905" t="s">
        <v>10</v>
      </c>
    </row>
    <row r="906" spans="1:9" x14ac:dyDescent="0.35">
      <c r="A906" t="str">
        <f>""</f>
        <v/>
      </c>
      <c r="B906" t="s">
        <v>16</v>
      </c>
      <c r="C906" t="s">
        <v>17</v>
      </c>
      <c r="D906" t="s">
        <v>18</v>
      </c>
      <c r="F906" s="1">
        <v>45237.834722222222</v>
      </c>
      <c r="G906" s="1">
        <v>45237.834722222222</v>
      </c>
    </row>
    <row r="907" spans="1:9" x14ac:dyDescent="0.35">
      <c r="A907" t="str">
        <f>"21930294-0"</f>
        <v>21930294-0</v>
      </c>
      <c r="B907" t="s">
        <v>22</v>
      </c>
      <c r="C907" t="s">
        <v>23</v>
      </c>
      <c r="D907" t="s">
        <v>24</v>
      </c>
      <c r="E907" t="s">
        <v>25</v>
      </c>
      <c r="F907" s="1">
        <v>45238.836805555555</v>
      </c>
      <c r="G907" s="1">
        <v>45250.859027777777</v>
      </c>
    </row>
    <row r="908" spans="1:9" x14ac:dyDescent="0.35">
      <c r="A908" t="str">
        <f>""</f>
        <v/>
      </c>
      <c r="B908" t="s">
        <v>45</v>
      </c>
      <c r="C908" t="s">
        <v>46</v>
      </c>
      <c r="D908" t="s">
        <v>47</v>
      </c>
      <c r="F908" s="1">
        <v>45243.71597222222</v>
      </c>
      <c r="G908" s="1">
        <v>45243.71597222222</v>
      </c>
    </row>
    <row r="909" spans="1:9" x14ac:dyDescent="0.35">
      <c r="A909" t="str">
        <f>"13686771-7"</f>
        <v>13686771-7</v>
      </c>
      <c r="B909" t="s">
        <v>114</v>
      </c>
      <c r="C909" t="s">
        <v>115</v>
      </c>
      <c r="D909" t="s">
        <v>116</v>
      </c>
      <c r="E909" t="s">
        <v>117</v>
      </c>
      <c r="F909" s="1">
        <v>45250.806250000001</v>
      </c>
      <c r="G909" s="1">
        <v>45252.945138888892</v>
      </c>
    </row>
    <row r="910" spans="1:9" x14ac:dyDescent="0.35">
      <c r="A910" t="str">
        <f>"55555555-5"</f>
        <v>55555555-5</v>
      </c>
      <c r="B910" t="s">
        <v>178</v>
      </c>
      <c r="C910" t="s">
        <v>179</v>
      </c>
      <c r="D910" t="s">
        <v>180</v>
      </c>
      <c r="F910" s="1">
        <v>45258.491666666669</v>
      </c>
      <c r="G910" s="1">
        <v>45258.491666666669</v>
      </c>
    </row>
    <row r="911" spans="1:9" x14ac:dyDescent="0.35">
      <c r="A911" t="str">
        <f>""</f>
        <v/>
      </c>
      <c r="B911" t="s">
        <v>184</v>
      </c>
      <c r="C911" t="s">
        <v>185</v>
      </c>
      <c r="D911" t="s">
        <v>186</v>
      </c>
      <c r="F911" s="1">
        <v>45258.62222222222</v>
      </c>
      <c r="G911" s="1">
        <v>45258.62222222222</v>
      </c>
    </row>
    <row r="912" spans="1:9" x14ac:dyDescent="0.35">
      <c r="A912" t="str">
        <f>""</f>
        <v/>
      </c>
      <c r="B912" t="s">
        <v>200</v>
      </c>
      <c r="C912" t="s">
        <v>201</v>
      </c>
      <c r="D912" t="s">
        <v>202</v>
      </c>
      <c r="F912" s="1">
        <v>45259.613194444442</v>
      </c>
      <c r="G912" s="1">
        <v>45259.613194444442</v>
      </c>
    </row>
    <row r="913" spans="1:9" x14ac:dyDescent="0.35">
      <c r="A913" t="str">
        <f>""</f>
        <v/>
      </c>
      <c r="B913" t="s">
        <v>227</v>
      </c>
      <c r="C913" t="s">
        <v>228</v>
      </c>
      <c r="D913" t="s">
        <v>229</v>
      </c>
      <c r="F913" s="1">
        <v>45265.59375</v>
      </c>
      <c r="G913" s="1">
        <v>45265.59375</v>
      </c>
    </row>
    <row r="914" spans="1:9" x14ac:dyDescent="0.35">
      <c r="A914" t="str">
        <f>""</f>
        <v/>
      </c>
      <c r="B914" t="s">
        <v>191</v>
      </c>
      <c r="C914" t="s">
        <v>157</v>
      </c>
      <c r="D914" t="s">
        <v>248</v>
      </c>
      <c r="F914" s="1">
        <v>45266.78402777778</v>
      </c>
      <c r="G914" s="1">
        <v>45266.78402777778</v>
      </c>
      <c r="H914" t="s">
        <v>151</v>
      </c>
      <c r="I914" t="s">
        <v>11</v>
      </c>
    </row>
    <row r="915" spans="1:9" x14ac:dyDescent="0.35">
      <c r="A915" t="str">
        <f>""</f>
        <v/>
      </c>
      <c r="B915" t="s">
        <v>257</v>
      </c>
      <c r="C915" t="s">
        <v>258</v>
      </c>
      <c r="D915" t="s">
        <v>259</v>
      </c>
      <c r="F915" s="1">
        <v>45267.772222222222</v>
      </c>
      <c r="G915" s="1">
        <v>45267.772222222222</v>
      </c>
      <c r="H915" t="s">
        <v>260</v>
      </c>
      <c r="I915" t="s">
        <v>11</v>
      </c>
    </row>
    <row r="916" spans="1:9" x14ac:dyDescent="0.35">
      <c r="A916" t="str">
        <f>"20994251-8"</f>
        <v>20994251-8</v>
      </c>
      <c r="B916" t="s">
        <v>374</v>
      </c>
      <c r="C916" t="s">
        <v>106</v>
      </c>
      <c r="D916" t="s">
        <v>375</v>
      </c>
      <c r="F916" s="1">
        <v>45279.723611111112</v>
      </c>
      <c r="G916" s="1">
        <v>45279.723611111112</v>
      </c>
      <c r="H916" t="s">
        <v>376</v>
      </c>
    </row>
    <row r="917" spans="1:9" x14ac:dyDescent="0.35">
      <c r="A917" t="str">
        <f>"16127610-3"</f>
        <v>16127610-3</v>
      </c>
      <c r="B917" t="s">
        <v>405</v>
      </c>
      <c r="C917" t="s">
        <v>406</v>
      </c>
      <c r="D917" t="s">
        <v>407</v>
      </c>
      <c r="F917" s="1">
        <v>45280.788194444445</v>
      </c>
      <c r="G917" s="1">
        <v>45280.788194444445</v>
      </c>
      <c r="H917" t="s">
        <v>151</v>
      </c>
      <c r="I917" t="s">
        <v>11</v>
      </c>
    </row>
    <row r="918" spans="1:9" x14ac:dyDescent="0.35">
      <c r="A918" t="str">
        <f>"18568947-6"</f>
        <v>18568947-6</v>
      </c>
      <c r="B918" t="s">
        <v>429</v>
      </c>
      <c r="C918" t="s">
        <v>430</v>
      </c>
      <c r="D918" t="s">
        <v>431</v>
      </c>
      <c r="F918" s="1">
        <v>45281.644444444442</v>
      </c>
      <c r="G918" s="1">
        <v>45281.644444444442</v>
      </c>
      <c r="H918" t="s">
        <v>432</v>
      </c>
      <c r="I918" t="s">
        <v>11</v>
      </c>
    </row>
    <row r="919" spans="1:9" x14ac:dyDescent="0.35">
      <c r="A919" t="str">
        <f>""</f>
        <v/>
      </c>
      <c r="B919" t="s">
        <v>402</v>
      </c>
      <c r="C919" t="s">
        <v>449</v>
      </c>
      <c r="D919" t="s">
        <v>450</v>
      </c>
      <c r="F919" s="1">
        <v>45282.594444444447</v>
      </c>
      <c r="G919" s="1">
        <v>45282.594444444447</v>
      </c>
    </row>
    <row r="920" spans="1:9" x14ac:dyDescent="0.35">
      <c r="A920" t="str">
        <f>"21833292-7"</f>
        <v>21833292-7</v>
      </c>
      <c r="B920" t="s">
        <v>534</v>
      </c>
      <c r="C920" t="s">
        <v>27</v>
      </c>
      <c r="D920" t="s">
        <v>535</v>
      </c>
      <c r="F920" s="1">
        <v>45288.548611111109</v>
      </c>
      <c r="G920" s="1">
        <v>45288.548611111109</v>
      </c>
      <c r="H920" t="s">
        <v>395</v>
      </c>
      <c r="I920" t="s">
        <v>11</v>
      </c>
    </row>
    <row r="921" spans="1:9" x14ac:dyDescent="0.35">
      <c r="A921" t="str">
        <f>"21141511-8"</f>
        <v>21141511-8</v>
      </c>
      <c r="B921" t="s">
        <v>561</v>
      </c>
      <c r="C921" t="s">
        <v>562</v>
      </c>
      <c r="D921" t="s">
        <v>563</v>
      </c>
      <c r="F921" s="1">
        <v>45289.741666666669</v>
      </c>
      <c r="G921" s="1">
        <v>45289.741666666669</v>
      </c>
    </row>
    <row r="922" spans="1:9" x14ac:dyDescent="0.35">
      <c r="A922" t="str">
        <f>"55555555-5"</f>
        <v>55555555-5</v>
      </c>
      <c r="B922" t="s">
        <v>608</v>
      </c>
      <c r="C922" t="s">
        <v>531</v>
      </c>
      <c r="D922" t="s">
        <v>609</v>
      </c>
      <c r="F922" s="1">
        <v>45294.626388888886</v>
      </c>
      <c r="G922" s="1">
        <v>45365.524305555555</v>
      </c>
    </row>
    <row r="923" spans="1:9" x14ac:dyDescent="0.35">
      <c r="A923" t="str">
        <f>"27084155-4"</f>
        <v>27084155-4</v>
      </c>
      <c r="B923" t="s">
        <v>950</v>
      </c>
      <c r="C923" t="s">
        <v>951</v>
      </c>
      <c r="D923" t="s">
        <v>952</v>
      </c>
      <c r="F923" s="1">
        <v>45318.837500000001</v>
      </c>
      <c r="G923" s="1">
        <v>45318.837500000001</v>
      </c>
    </row>
    <row r="924" spans="1:9" x14ac:dyDescent="0.35">
      <c r="A924" t="str">
        <f>"19409217-2"</f>
        <v>19409217-2</v>
      </c>
      <c r="B924" t="s">
        <v>392</v>
      </c>
      <c r="C924" t="s">
        <v>149</v>
      </c>
      <c r="D924" t="s">
        <v>1014</v>
      </c>
      <c r="F924" s="1">
        <v>45323.749305555553</v>
      </c>
      <c r="G924" s="1">
        <v>45337.543749999997</v>
      </c>
      <c r="H924" t="s">
        <v>1015</v>
      </c>
    </row>
    <row r="925" spans="1:9" x14ac:dyDescent="0.35">
      <c r="A925" t="str">
        <f>""</f>
        <v/>
      </c>
      <c r="B925" t="s">
        <v>623</v>
      </c>
      <c r="C925" t="s">
        <v>1019</v>
      </c>
      <c r="D925" t="s">
        <v>1020</v>
      </c>
      <c r="F925" s="1">
        <v>45325.688194444447</v>
      </c>
      <c r="G925" s="1">
        <v>45325.688194444447</v>
      </c>
    </row>
    <row r="926" spans="1:9" x14ac:dyDescent="0.35">
      <c r="A926" t="str">
        <f>"19751655-0"</f>
        <v>19751655-0</v>
      </c>
      <c r="B926" t="s">
        <v>1335</v>
      </c>
      <c r="C926" t="s">
        <v>1336</v>
      </c>
      <c r="D926" t="s">
        <v>1337</v>
      </c>
      <c r="F926" s="1">
        <v>45359.787499999999</v>
      </c>
      <c r="G926" s="1">
        <v>45359.787499999999</v>
      </c>
    </row>
    <row r="927" spans="1:9" x14ac:dyDescent="0.35">
      <c r="A927" t="str">
        <f>"24441424-9"</f>
        <v>24441424-9</v>
      </c>
      <c r="B927" t="s">
        <v>71</v>
      </c>
      <c r="C927" t="s">
        <v>1622</v>
      </c>
      <c r="D927" t="s">
        <v>1623</v>
      </c>
      <c r="F927" s="1">
        <v>45373.780555555553</v>
      </c>
      <c r="G927" s="1">
        <v>45373.780555555553</v>
      </c>
      <c r="H927" t="s">
        <v>1624</v>
      </c>
    </row>
    <row r="928" spans="1:9" x14ac:dyDescent="0.35">
      <c r="A928" t="str">
        <f>"9793982-9"</f>
        <v>9793982-9</v>
      </c>
      <c r="B928" t="s">
        <v>1042</v>
      </c>
      <c r="C928" t="s">
        <v>1714</v>
      </c>
      <c r="D928" t="s">
        <v>1715</v>
      </c>
      <c r="F928" s="1">
        <v>45378.847916666666</v>
      </c>
      <c r="G928" s="1">
        <v>45378.847916666666</v>
      </c>
      <c r="H928" t="s">
        <v>1716</v>
      </c>
      <c r="I928" t="s">
        <v>11</v>
      </c>
    </row>
    <row r="929" spans="1:9" x14ac:dyDescent="0.35">
      <c r="A929" t="str">
        <f>"19895190-0"</f>
        <v>19895190-0</v>
      </c>
      <c r="B929" t="s">
        <v>1720</v>
      </c>
      <c r="C929" t="s">
        <v>1721</v>
      </c>
      <c r="D929" t="s">
        <v>1722</v>
      </c>
      <c r="E929" t="s">
        <v>1723</v>
      </c>
      <c r="F929" s="1">
        <v>45379.533333333333</v>
      </c>
      <c r="G929" s="1">
        <v>45379.533333333333</v>
      </c>
      <c r="H929" t="s">
        <v>1724</v>
      </c>
    </row>
    <row r="930" spans="1:9" x14ac:dyDescent="0.35">
      <c r="A930" t="str">
        <f>"19645003-3"</f>
        <v>19645003-3</v>
      </c>
      <c r="B930" t="s">
        <v>1789</v>
      </c>
      <c r="C930" t="s">
        <v>204</v>
      </c>
      <c r="D930" t="s">
        <v>1902</v>
      </c>
      <c r="F930" s="1">
        <v>45390.835416666669</v>
      </c>
      <c r="G930" s="1">
        <v>45390.835416666669</v>
      </c>
    </row>
    <row r="931" spans="1:9" x14ac:dyDescent="0.35">
      <c r="A931" t="str">
        <f>"19830980-K"</f>
        <v>19830980-K</v>
      </c>
      <c r="B931" t="s">
        <v>349</v>
      </c>
      <c r="C931" t="s">
        <v>1259</v>
      </c>
      <c r="D931" t="s">
        <v>1915</v>
      </c>
      <c r="F931" s="1">
        <v>45391.753472222219</v>
      </c>
      <c r="G931" s="1">
        <v>45391.753472222219</v>
      </c>
    </row>
    <row r="932" spans="1:9" x14ac:dyDescent="0.35">
      <c r="A932" t="str">
        <f>"20001670-K"</f>
        <v>20001670-K</v>
      </c>
      <c r="B932" t="s">
        <v>1368</v>
      </c>
      <c r="C932" t="s">
        <v>2005</v>
      </c>
      <c r="D932" t="s">
        <v>2006</v>
      </c>
      <c r="F932" s="1">
        <v>45397.900694444441</v>
      </c>
      <c r="G932" s="1">
        <v>45397.900694444441</v>
      </c>
      <c r="H932" t="s">
        <v>2007</v>
      </c>
      <c r="I932" t="s">
        <v>11</v>
      </c>
    </row>
    <row r="933" spans="1:9" x14ac:dyDescent="0.35">
      <c r="A933" t="str">
        <f>"14150077-5"</f>
        <v>14150077-5</v>
      </c>
      <c r="B933" t="s">
        <v>2083</v>
      </c>
      <c r="C933" t="s">
        <v>2084</v>
      </c>
      <c r="D933" t="s">
        <v>2085</v>
      </c>
      <c r="E933" t="s">
        <v>2086</v>
      </c>
      <c r="F933" s="1">
        <v>45403.785416666666</v>
      </c>
      <c r="G933" s="1">
        <v>45403.785416666666</v>
      </c>
      <c r="H933" t="s">
        <v>2087</v>
      </c>
      <c r="I933" t="s">
        <v>2294</v>
      </c>
    </row>
    <row r="934" spans="1:9" x14ac:dyDescent="0.35">
      <c r="A934" t="str">
        <f>"14761686-4"</f>
        <v>14761686-4</v>
      </c>
      <c r="B934" t="s">
        <v>2102</v>
      </c>
      <c r="C934" t="s">
        <v>2103</v>
      </c>
      <c r="D934" t="s">
        <v>2104</v>
      </c>
      <c r="F934" s="1">
        <v>45404.888888888891</v>
      </c>
      <c r="G934" s="1">
        <v>45404.888888888891</v>
      </c>
    </row>
    <row r="935" spans="1:9" x14ac:dyDescent="0.35">
      <c r="A935" t="str">
        <f>"18742633-2"</f>
        <v>18742633-2</v>
      </c>
      <c r="B935" t="s">
        <v>2295</v>
      </c>
      <c r="C935" t="s">
        <v>2103</v>
      </c>
      <c r="D935" t="s">
        <v>2296</v>
      </c>
      <c r="F935" s="1">
        <v>45415.893750000003</v>
      </c>
      <c r="G935" s="1">
        <v>45415.893750000003</v>
      </c>
    </row>
    <row r="936" spans="1:9" x14ac:dyDescent="0.35">
      <c r="A936" t="str">
        <f>"77845232-4"</f>
        <v>77845232-4</v>
      </c>
      <c r="B936" t="s">
        <v>2462</v>
      </c>
      <c r="D936" t="s">
        <v>2463</v>
      </c>
      <c r="E936" t="s">
        <v>2464</v>
      </c>
      <c r="F936" s="1">
        <v>45435.588194444441</v>
      </c>
      <c r="G936" s="1">
        <v>45435.588194444441</v>
      </c>
    </row>
    <row r="937" spans="1:9" x14ac:dyDescent="0.35">
      <c r="A937" t="str">
        <f>"21639039-3"</f>
        <v>21639039-3</v>
      </c>
      <c r="B937" t="s">
        <v>2537</v>
      </c>
      <c r="C937" t="s">
        <v>2014</v>
      </c>
      <c r="D937" t="s">
        <v>2538</v>
      </c>
      <c r="F937" s="1">
        <v>45441.790277777778</v>
      </c>
      <c r="G937" s="1">
        <v>45441.790277777778</v>
      </c>
    </row>
  </sheetData>
  <sortState xmlns:xlrd2="http://schemas.microsoft.com/office/spreadsheetml/2017/richdata2" ref="A2:P939">
    <sortCondition descending="1" ref="J2:J9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015F-AB06-4CE5-9E7D-6FCC74C37F53}">
  <dimension ref="A1:F1"/>
  <sheetViews>
    <sheetView workbookViewId="0">
      <selection activeCell="A3" sqref="A3"/>
    </sheetView>
  </sheetViews>
  <sheetFormatPr baseColWidth="10" defaultRowHeight="14.5" x14ac:dyDescent="0.35"/>
  <cols>
    <col min="1" max="2" width="14.54296875" customWidth="1"/>
    <col min="3" max="3" width="15.1796875" customWidth="1"/>
    <col min="4" max="4" width="35.36328125" customWidth="1"/>
    <col min="5" max="5" width="41" customWidth="1"/>
    <col min="6" max="6" width="37.7265625" customWidth="1"/>
  </cols>
  <sheetData>
    <row r="1" spans="1:6" x14ac:dyDescent="0.35">
      <c r="A1" t="s">
        <v>2561</v>
      </c>
      <c r="B1" t="s">
        <v>2562</v>
      </c>
      <c r="C1" t="s">
        <v>2563</v>
      </c>
      <c r="D1" t="s">
        <v>2564</v>
      </c>
      <c r="E1" t="s">
        <v>2565</v>
      </c>
      <c r="F1" t="s">
        <v>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ClientExport_0207d89c5ea8d76f57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Vapeme Spa</cp:lastModifiedBy>
  <dcterms:created xsi:type="dcterms:W3CDTF">2024-04-19T00:57:41Z</dcterms:created>
  <dcterms:modified xsi:type="dcterms:W3CDTF">2024-06-01T17:16:09Z</dcterms:modified>
</cp:coreProperties>
</file>