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micha\Desktop\"/>
    </mc:Choice>
  </mc:AlternateContent>
  <xr:revisionPtr revIDLastSave="0" documentId="13_ncr:1_{42F1B721-FBAA-4AD0-B449-86A178400E70}" xr6:coauthVersionLast="47" xr6:coauthVersionMax="47" xr10:uidLastSave="{00000000-0000-0000-0000-000000000000}"/>
  <bookViews>
    <workbookView xWindow="2205" yWindow="1425" windowWidth="20100" windowHeight="17160" activeTab="1" xr2:uid="{00000000-000D-0000-FFFF-FFFF00000000}"/>
  </bookViews>
  <sheets>
    <sheet name="Amumbo" sheetId="1" r:id="rId1"/>
    <sheet name="Xtracker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6" i="2" l="1"/>
  <c r="F6" i="2"/>
  <c r="E8" i="2"/>
  <c r="E9" i="2"/>
  <c r="E10" i="2"/>
  <c r="E11" i="2"/>
  <c r="E12" i="2"/>
  <c r="E13" i="2"/>
  <c r="E7" i="2"/>
  <c r="E6" i="2"/>
  <c r="F13" i="2"/>
  <c r="F12" i="2"/>
  <c r="F11" i="2"/>
  <c r="F10" i="2"/>
  <c r="G10" i="2" s="1"/>
  <c r="F9" i="2"/>
  <c r="F8" i="2"/>
  <c r="F7" i="2"/>
  <c r="C15" i="2"/>
  <c r="B15" i="2"/>
  <c r="C18" i="2" s="1"/>
  <c r="C13" i="2"/>
  <c r="C12" i="2"/>
  <c r="C11" i="2"/>
  <c r="C10" i="2"/>
  <c r="C9" i="2"/>
  <c r="C8" i="2"/>
  <c r="C7" i="2"/>
  <c r="C6" i="2"/>
  <c r="G11" i="2" l="1"/>
  <c r="G13" i="2"/>
  <c r="G12" i="2"/>
  <c r="G9" i="2"/>
  <c r="G8" i="2"/>
  <c r="G7" i="2"/>
  <c r="G6" i="2"/>
  <c r="C19" i="2"/>
  <c r="C21" i="2" s="1"/>
  <c r="C22" i="2" s="1"/>
  <c r="C23" i="2" s="1"/>
  <c r="C24" i="2" s="1"/>
  <c r="H16" i="1" l="1"/>
  <c r="H7" i="1"/>
  <c r="H8" i="1"/>
  <c r="H9" i="1"/>
  <c r="H10" i="1"/>
  <c r="H11" i="1"/>
  <c r="H12" i="1"/>
  <c r="H13" i="1"/>
  <c r="H14" i="1"/>
  <c r="H6" i="1"/>
  <c r="G7" i="1"/>
  <c r="G8" i="1"/>
  <c r="G9" i="1"/>
  <c r="G10" i="1"/>
  <c r="G11" i="1"/>
  <c r="G12" i="1"/>
  <c r="G13" i="1"/>
  <c r="G14" i="1"/>
  <c r="G6" i="1"/>
  <c r="C25" i="1"/>
  <c r="C24" i="1"/>
  <c r="C23" i="1"/>
  <c r="C22" i="1"/>
  <c r="C20" i="1"/>
  <c r="C19" i="1"/>
  <c r="D16" i="1"/>
  <c r="C16" i="1"/>
  <c r="F14" i="1"/>
  <c r="F13" i="1"/>
  <c r="F8" i="1"/>
  <c r="F9" i="1"/>
  <c r="F10" i="1"/>
  <c r="F11" i="1"/>
  <c r="F12" i="1"/>
  <c r="F7" i="1"/>
  <c r="F6" i="1"/>
  <c r="C14" i="1"/>
  <c r="D14" i="1" s="1"/>
  <c r="C13" i="1"/>
  <c r="D13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6" i="1"/>
  <c r="D6" i="1" s="1"/>
</calcChain>
</file>

<file path=xl/sharedStrings.xml><?xml version="1.0" encoding="utf-8"?>
<sst xmlns="http://schemas.openxmlformats.org/spreadsheetml/2006/main" count="47" uniqueCount="34">
  <si>
    <t>Start (USD):</t>
  </si>
  <si>
    <t>Ende (USD):</t>
  </si>
  <si>
    <t>Tatsächlicher Einstandskurs:</t>
  </si>
  <si>
    <t>Summe</t>
  </si>
  <si>
    <t>Zu Zahlende Steuern:</t>
  </si>
  <si>
    <t>Ertrag nach Steuern</t>
  </si>
  <si>
    <t>Einstandskursanpassung</t>
  </si>
  <si>
    <t>Rohdaten</t>
  </si>
  <si>
    <t>Rechtlicher Einstandskurs:</t>
  </si>
  <si>
    <t>Gewinn Nach Steuern:</t>
  </si>
  <si>
    <t>Tatsächlicher Profit:</t>
  </si>
  <si>
    <t>Amumbo (EUR)</t>
  </si>
  <si>
    <t>https://my.oekb.at/kapitalmarkt-services/kms-output/fonds-info/sd/af/f?isin=FR0010755611&amp;stmId=472122</t>
  </si>
  <si>
    <t>Quellen:</t>
  </si>
  <si>
    <t>https://www.justetf.com/en/etf-profile.html?isin=FR0010755611#chart</t>
  </si>
  <si>
    <t>Ende:</t>
  </si>
  <si>
    <t>Start:</t>
  </si>
  <si>
    <t>AGE - Steuer</t>
  </si>
  <si>
    <t>2022 (Vor 300:1 Split)</t>
  </si>
  <si>
    <t>2022 (Nach 300:1 Split)</t>
  </si>
  <si>
    <t>Kurswert (jeweils 30.06.)</t>
  </si>
  <si>
    <t>Performance</t>
  </si>
  <si>
    <t>%AgEs</t>
  </si>
  <si>
    <t>Bemessungsgrundlage</t>
  </si>
  <si>
    <t>Durschnitt:</t>
  </si>
  <si>
    <t>Note: Für die Summen wurde das Jahr 2022 natürlich nur 1 Mal berücksichtigt</t>
  </si>
  <si>
    <t>Note: 2021 wo AgEs zu zahlen waren trotz Kursverlusten wurde im Schnitt ignoriert</t>
  </si>
  <si>
    <t>Würde man die Periode mit zB 100% gewichten wäre der schnitt bei 89.8%</t>
  </si>
  <si>
    <t>Xtrackers MSCI USA (USD)</t>
  </si>
  <si>
    <t>AGE - Steuer (USD)</t>
  </si>
  <si>
    <t>https://my.oekb.at/kapitalmarkt-services/kms-output/fonds-info/sd/af/f?isin=IE00BJ0KDR00&amp;stmId=535416</t>
  </si>
  <si>
    <t>https://www.justetf.com/en/etf-profile.html?isin=IE00BJ0KDR00#chart</t>
  </si>
  <si>
    <t>Kurswert (jeweils 31.12.)</t>
  </si>
  <si>
    <t>Note: 2018 und 2022 wo AgEs zu zahlen waren trotz Kursverlusten wurde im Schnitt ignoriert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</si>
</sst>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14" fontId="0" fillId="0" borderId="0" xfId="0" applyNumberFormat="1"/>
    <xf numFmtId="10" fontId="0" fillId="0" borderId="0" xfId="1" applyNumberFormat="1" applyFont="1"/>
    <xf numFmtId="0" fontId="0" fillId="0" borderId="0" xfId="0" applyAlignment="1">
      <alignment horizontal="center" vertical="center"/>
    </xf>
    <xf numFmtId="10" fontId="0" fillId="0" borderId="0" xfId="0" applyNumberFormat="1"/>
    <xf numFmtId="0" fontId="0" fillId="0" borderId="0" xfId="0" applyAlignment="1">
      <alignment horizontal="left" vertical="center"/>
    </xf>
    <xf numFmtId="2" fontId="0" fillId="0" borderId="0" xfId="1" applyNumberFormat="1" applyFont="1"/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2"/>
  <sheetViews>
    <sheetView workbookViewId="0">
      <selection activeCell="G17" sqref="G17"/>
    </sheetView>
  </sheetViews>
  <sheetFormatPr baseColWidth="10" defaultColWidth="9.140625" defaultRowHeight="15" x14ac:dyDescent="0.25"/>
  <cols>
    <col min="1" max="1" width="22.28515625" customWidth="1"/>
    <col min="2" max="2" width="17.5703125" bestFit="1" customWidth="1"/>
    <col min="3" max="4" width="22.7109375" bestFit="1" customWidth="1"/>
    <col min="5" max="5" width="23.140625" bestFit="1" customWidth="1"/>
    <col min="6" max="6" width="12.42578125" bestFit="1" customWidth="1"/>
    <col min="7" max="7" width="21" bestFit="1" customWidth="1"/>
    <col min="8" max="8" width="22.7109375" bestFit="1" customWidth="1"/>
  </cols>
  <sheetData>
    <row r="1" spans="1:8" x14ac:dyDescent="0.25">
      <c r="B1" t="s">
        <v>11</v>
      </c>
    </row>
    <row r="3" spans="1:8" x14ac:dyDescent="0.25">
      <c r="A3" t="s">
        <v>16</v>
      </c>
      <c r="B3" s="1">
        <v>42552</v>
      </c>
      <c r="C3">
        <v>3.25</v>
      </c>
    </row>
    <row r="4" spans="1:8" x14ac:dyDescent="0.25">
      <c r="A4" t="s">
        <v>15</v>
      </c>
      <c r="B4" s="1">
        <v>45473</v>
      </c>
      <c r="C4">
        <v>20.309999999999999</v>
      </c>
    </row>
    <row r="5" spans="1:8" x14ac:dyDescent="0.25">
      <c r="B5" t="s">
        <v>7</v>
      </c>
      <c r="C5" t="s">
        <v>17</v>
      </c>
      <c r="D5" t="s">
        <v>6</v>
      </c>
      <c r="E5" t="s">
        <v>20</v>
      </c>
      <c r="F5" t="s">
        <v>21</v>
      </c>
      <c r="G5" t="s">
        <v>23</v>
      </c>
      <c r="H5" t="s">
        <v>22</v>
      </c>
    </row>
    <row r="6" spans="1:8" x14ac:dyDescent="0.25">
      <c r="A6" s="3">
        <v>2016</v>
      </c>
      <c r="B6">
        <v>45.902299999999997</v>
      </c>
      <c r="C6">
        <f>B6/300</f>
        <v>0.15300766666666665</v>
      </c>
      <c r="D6">
        <f>C6/0.275</f>
        <v>0.55639151515151508</v>
      </c>
      <c r="E6">
        <v>4.1900000000000004</v>
      </c>
      <c r="F6">
        <f>E6-C3</f>
        <v>0.94000000000000039</v>
      </c>
      <c r="G6">
        <f>D6/0.6</f>
        <v>0.92731919191919188</v>
      </c>
      <c r="H6" s="2">
        <f>G6/F6</f>
        <v>0.98650977863743772</v>
      </c>
    </row>
    <row r="7" spans="1:8" x14ac:dyDescent="0.25">
      <c r="A7" s="3">
        <v>2017</v>
      </c>
      <c r="B7">
        <v>51.861400000000003</v>
      </c>
      <c r="C7">
        <f t="shared" ref="C7:C12" si="0">B7/300</f>
        <v>0.17287133333333335</v>
      </c>
      <c r="D7">
        <f t="shared" ref="D7:D14" si="1">C7/0.275</f>
        <v>0.62862303030303035</v>
      </c>
      <c r="E7">
        <v>5.08</v>
      </c>
      <c r="F7">
        <f>E7-E6</f>
        <v>0.88999999999999968</v>
      </c>
      <c r="G7">
        <f t="shared" ref="G7:G14" si="2">D7/0.6</f>
        <v>1.0477050505050507</v>
      </c>
      <c r="H7" s="2">
        <f t="shared" ref="H7:H14" si="3">G7/F7</f>
        <v>1.1771966859607315</v>
      </c>
    </row>
    <row r="8" spans="1:8" x14ac:dyDescent="0.25">
      <c r="A8" s="3">
        <v>2018</v>
      </c>
      <c r="B8">
        <v>37.014000000000003</v>
      </c>
      <c r="C8">
        <f t="shared" si="0"/>
        <v>0.12338</v>
      </c>
      <c r="D8">
        <f t="shared" si="1"/>
        <v>0.44865454545454542</v>
      </c>
      <c r="E8">
        <v>6.26</v>
      </c>
      <c r="F8">
        <f t="shared" ref="F8:F12" si="4">E8-E7</f>
        <v>1.1799999999999997</v>
      </c>
      <c r="G8">
        <f t="shared" si="2"/>
        <v>0.74775757575757573</v>
      </c>
      <c r="H8" s="2">
        <f t="shared" si="3"/>
        <v>0.633692860811505</v>
      </c>
    </row>
    <row r="9" spans="1:8" x14ac:dyDescent="0.25">
      <c r="A9" s="3">
        <v>2019</v>
      </c>
      <c r="B9">
        <v>17.203399999999998</v>
      </c>
      <c r="C9">
        <f t="shared" si="0"/>
        <v>5.7344666666666662E-2</v>
      </c>
      <c r="D9">
        <f t="shared" si="1"/>
        <v>0.20852606060606058</v>
      </c>
      <c r="E9">
        <v>6.64</v>
      </c>
      <c r="F9">
        <f t="shared" si="4"/>
        <v>0.37999999999999989</v>
      </c>
      <c r="G9">
        <f t="shared" si="2"/>
        <v>0.34754343434343432</v>
      </c>
      <c r="H9" s="2">
        <f t="shared" si="3"/>
        <v>0.91458798511430106</v>
      </c>
    </row>
    <row r="10" spans="1:8" x14ac:dyDescent="0.25">
      <c r="A10" s="3">
        <v>2020</v>
      </c>
      <c r="B10">
        <v>216.0078</v>
      </c>
      <c r="C10">
        <f t="shared" si="0"/>
        <v>0.72002600000000005</v>
      </c>
      <c r="D10">
        <f t="shared" si="1"/>
        <v>2.6182763636363635</v>
      </c>
      <c r="E10">
        <v>11.68</v>
      </c>
      <c r="F10">
        <f t="shared" si="4"/>
        <v>5.04</v>
      </c>
      <c r="G10">
        <f t="shared" si="2"/>
        <v>4.3637939393939398</v>
      </c>
      <c r="H10" s="2">
        <f t="shared" si="3"/>
        <v>0.86583213083213095</v>
      </c>
    </row>
    <row r="11" spans="1:8" x14ac:dyDescent="0.25">
      <c r="A11" s="3">
        <v>2021</v>
      </c>
      <c r="B11">
        <v>21.5122</v>
      </c>
      <c r="C11">
        <f t="shared" si="0"/>
        <v>7.1707333333333331E-2</v>
      </c>
      <c r="D11">
        <f t="shared" si="1"/>
        <v>0.26075393939393937</v>
      </c>
      <c r="E11">
        <v>10.89</v>
      </c>
      <c r="F11">
        <f t="shared" si="4"/>
        <v>-0.78999999999999915</v>
      </c>
      <c r="G11">
        <f t="shared" si="2"/>
        <v>0.43458989898989897</v>
      </c>
      <c r="H11" s="2">
        <f t="shared" si="3"/>
        <v>-0.5501137961897461</v>
      </c>
    </row>
    <row r="12" spans="1:8" x14ac:dyDescent="0.25">
      <c r="A12" s="3" t="s">
        <v>18</v>
      </c>
      <c r="B12">
        <v>66.104500000000002</v>
      </c>
      <c r="C12">
        <f t="shared" si="0"/>
        <v>0.22034833333333334</v>
      </c>
      <c r="D12">
        <f t="shared" si="1"/>
        <v>0.80126666666666668</v>
      </c>
      <c r="E12">
        <v>13.35</v>
      </c>
      <c r="F12">
        <f t="shared" si="4"/>
        <v>2.4599999999999991</v>
      </c>
      <c r="G12">
        <f t="shared" si="2"/>
        <v>1.3354444444444444</v>
      </c>
      <c r="H12" s="2">
        <f t="shared" si="3"/>
        <v>0.54286359530261985</v>
      </c>
    </row>
    <row r="13" spans="1:8" x14ac:dyDescent="0.25">
      <c r="A13" s="3" t="s">
        <v>19</v>
      </c>
      <c r="B13">
        <v>0.2203</v>
      </c>
      <c r="C13">
        <f>B13</f>
        <v>0.2203</v>
      </c>
      <c r="D13">
        <f t="shared" si="1"/>
        <v>0.80109090909090896</v>
      </c>
      <c r="E13">
        <v>13.35</v>
      </c>
      <c r="F13">
        <f>E13-E11</f>
        <v>2.4599999999999991</v>
      </c>
      <c r="G13">
        <f t="shared" si="2"/>
        <v>1.335151515151515</v>
      </c>
      <c r="H13" s="2">
        <f t="shared" si="3"/>
        <v>0.54274451835427462</v>
      </c>
    </row>
    <row r="14" spans="1:8" x14ac:dyDescent="0.25">
      <c r="A14" s="3">
        <v>2023</v>
      </c>
      <c r="B14">
        <v>1.2216</v>
      </c>
      <c r="C14">
        <f>B14</f>
        <v>1.2216</v>
      </c>
      <c r="D14">
        <f t="shared" si="1"/>
        <v>4.442181818181818</v>
      </c>
      <c r="E14">
        <v>20.309999999999999</v>
      </c>
      <c r="F14">
        <f>E14-E13</f>
        <v>6.9599999999999991</v>
      </c>
      <c r="G14">
        <f t="shared" si="2"/>
        <v>7.4036363636363633</v>
      </c>
      <c r="H14" s="2">
        <f t="shared" si="3"/>
        <v>1.0637408568443052</v>
      </c>
    </row>
    <row r="16" spans="1:8" x14ac:dyDescent="0.25">
      <c r="A16" t="s">
        <v>3</v>
      </c>
      <c r="C16">
        <f>SUM(C6:C12) + C14</f>
        <v>2.7402853333333335</v>
      </c>
      <c r="D16">
        <f>SUM(D6:D12) + D14</f>
        <v>9.9646739393939399</v>
      </c>
      <c r="G16" t="s">
        <v>24</v>
      </c>
      <c r="H16" s="4">
        <f>(SUM(H6:H10)+H13+H14)/7</f>
        <v>0.88347211665066949</v>
      </c>
    </row>
    <row r="17" spans="1:7" x14ac:dyDescent="0.25">
      <c r="A17" s="5" t="s">
        <v>25</v>
      </c>
      <c r="G17" t="s">
        <v>26</v>
      </c>
    </row>
    <row r="18" spans="1:7" x14ac:dyDescent="0.25">
      <c r="G18" t="s">
        <v>27</v>
      </c>
    </row>
    <row r="19" spans="1:7" x14ac:dyDescent="0.25">
      <c r="A19" t="s">
        <v>2</v>
      </c>
      <c r="C19">
        <f>C3+C16</f>
        <v>5.9902853333333335</v>
      </c>
    </row>
    <row r="20" spans="1:7" x14ac:dyDescent="0.25">
      <c r="A20" t="s">
        <v>8</v>
      </c>
      <c r="C20">
        <f>C3+D16</f>
        <v>13.21467393939394</v>
      </c>
    </row>
    <row r="22" spans="1:7" x14ac:dyDescent="0.25">
      <c r="A22" t="s">
        <v>4</v>
      </c>
      <c r="C22">
        <f>(C4-C20)*0.275</f>
        <v>1.9512146666666663</v>
      </c>
    </row>
    <row r="23" spans="1:7" x14ac:dyDescent="0.25">
      <c r="A23" t="s">
        <v>5</v>
      </c>
      <c r="C23">
        <f>C4-C22</f>
        <v>18.358785333333334</v>
      </c>
    </row>
    <row r="24" spans="1:7" x14ac:dyDescent="0.25">
      <c r="A24" t="s">
        <v>9</v>
      </c>
      <c r="C24">
        <f>C23-C19</f>
        <v>12.368500000000001</v>
      </c>
    </row>
    <row r="25" spans="1:7" x14ac:dyDescent="0.25">
      <c r="A25" t="s">
        <v>10</v>
      </c>
      <c r="C25" s="2">
        <f>C24/C19</f>
        <v>2.0647597421068871</v>
      </c>
    </row>
    <row r="30" spans="1:7" x14ac:dyDescent="0.25">
      <c r="A30" t="s">
        <v>13</v>
      </c>
    </row>
    <row r="31" spans="1:7" x14ac:dyDescent="0.25">
      <c r="A31" t="s">
        <v>12</v>
      </c>
    </row>
    <row r="32" spans="1:7" x14ac:dyDescent="0.25">
      <c r="A32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77CC3-90D5-4CBA-A465-8C93CB883022}">
  <dimension ref="A1:G32"/>
  <sheetViews>
    <sheetView tabSelected="1" workbookViewId="0">
      <selection activeCell="G17" sqref="G17"/>
    </sheetView>
  </sheetViews>
  <sheetFormatPr baseColWidth="10" defaultRowHeight="15" x14ac:dyDescent="0.25"/>
  <cols>
    <col min="2" max="2" width="17.5703125" bestFit="1" customWidth="1"/>
    <col min="3" max="3" width="22.7109375" bestFit="1" customWidth="1"/>
    <col min="4" max="4" width="23.140625" bestFit="1" customWidth="1"/>
    <col min="5" max="5" width="12.42578125" bestFit="1" customWidth="1"/>
    <col min="6" max="6" width="21" bestFit="1" customWidth="1"/>
    <col min="7" max="7" width="9.85546875" bestFit="1" customWidth="1"/>
  </cols>
  <sheetData>
    <row r="1" spans="1:7" x14ac:dyDescent="0.25">
      <c r="A1" t="s">
        <v>28</v>
      </c>
    </row>
    <row r="3" spans="1:7" x14ac:dyDescent="0.25">
      <c r="A3" t="s">
        <v>0</v>
      </c>
      <c r="B3" s="1">
        <v>42370</v>
      </c>
      <c r="C3">
        <v>52.38</v>
      </c>
    </row>
    <row r="4" spans="1:7" x14ac:dyDescent="0.25">
      <c r="A4" t="s">
        <v>1</v>
      </c>
      <c r="B4" s="1">
        <v>45291</v>
      </c>
      <c r="C4">
        <v>137.44999999999999</v>
      </c>
    </row>
    <row r="5" spans="1:7" x14ac:dyDescent="0.25">
      <c r="B5" t="s">
        <v>29</v>
      </c>
      <c r="C5" t="s">
        <v>6</v>
      </c>
      <c r="D5" t="s">
        <v>32</v>
      </c>
      <c r="E5" t="s">
        <v>21</v>
      </c>
      <c r="F5" t="s">
        <v>23</v>
      </c>
      <c r="G5" t="s">
        <v>22</v>
      </c>
    </row>
    <row r="6" spans="1:7" x14ac:dyDescent="0.25">
      <c r="A6">
        <v>2016</v>
      </c>
      <c r="B6">
        <v>0.29699999999999999</v>
      </c>
      <c r="C6">
        <f>B6/0.275</f>
        <v>1.0799999999999998</v>
      </c>
      <c r="D6">
        <v>58.22</v>
      </c>
      <c r="E6" s="6">
        <f>D6-C3</f>
        <v>5.8399999999999963</v>
      </c>
      <c r="F6">
        <f>C6/0.6</f>
        <v>1.7999999999999998</v>
      </c>
      <c r="G6" s="2">
        <f>F6/E6</f>
        <v>0.30821917808219196</v>
      </c>
    </row>
    <row r="7" spans="1:7" x14ac:dyDescent="0.25">
      <c r="A7">
        <v>2017</v>
      </c>
      <c r="B7">
        <v>0.4637</v>
      </c>
      <c r="C7">
        <f t="shared" ref="C7:C12" si="0">B7/0.275</f>
        <v>1.686181818181818</v>
      </c>
      <c r="D7">
        <v>71.3</v>
      </c>
      <c r="E7">
        <f>D7-D6</f>
        <v>13.079999999999998</v>
      </c>
      <c r="F7">
        <f t="shared" ref="F7:F13" si="1">C7/0.6</f>
        <v>2.8103030303030301</v>
      </c>
      <c r="G7" s="2">
        <f t="shared" ref="G7:G13" si="2">F7/E7</f>
        <v>0.2148549717357057</v>
      </c>
    </row>
    <row r="8" spans="1:7" x14ac:dyDescent="0.25">
      <c r="A8">
        <v>2018</v>
      </c>
      <c r="B8">
        <v>0.64980000000000004</v>
      </c>
      <c r="C8">
        <f t="shared" si="0"/>
        <v>2.3629090909090911</v>
      </c>
      <c r="D8">
        <v>66.7</v>
      </c>
      <c r="E8">
        <f t="shared" ref="E8:E13" si="3">D8-D7</f>
        <v>-4.5999999999999943</v>
      </c>
      <c r="F8">
        <f t="shared" si="1"/>
        <v>3.9381818181818184</v>
      </c>
      <c r="G8" s="2">
        <f t="shared" si="2"/>
        <v>-0.8561264822134399</v>
      </c>
    </row>
    <row r="9" spans="1:7" x14ac:dyDescent="0.25">
      <c r="A9">
        <v>2019</v>
      </c>
      <c r="B9">
        <v>1.0581</v>
      </c>
      <c r="C9">
        <f t="shared" si="0"/>
        <v>3.8476363636363633</v>
      </c>
      <c r="D9">
        <v>88.2</v>
      </c>
      <c r="E9">
        <f t="shared" si="3"/>
        <v>21.5</v>
      </c>
      <c r="F9">
        <f t="shared" si="1"/>
        <v>6.4127272727272722</v>
      </c>
      <c r="G9" s="2">
        <f t="shared" si="2"/>
        <v>0.29826638477801265</v>
      </c>
    </row>
    <row r="10" spans="1:7" x14ac:dyDescent="0.25">
      <c r="A10">
        <v>2020</v>
      </c>
      <c r="B10">
        <v>1.4998</v>
      </c>
      <c r="C10">
        <f t="shared" si="0"/>
        <v>5.4538181818181819</v>
      </c>
      <c r="D10">
        <v>106.67</v>
      </c>
      <c r="E10">
        <f t="shared" si="3"/>
        <v>18.47</v>
      </c>
      <c r="F10">
        <f t="shared" si="1"/>
        <v>9.0896969696969698</v>
      </c>
      <c r="G10" s="2">
        <f t="shared" si="2"/>
        <v>0.49213302488884519</v>
      </c>
    </row>
    <row r="11" spans="1:7" x14ac:dyDescent="0.25">
      <c r="A11">
        <v>2021</v>
      </c>
      <c r="B11">
        <v>1.6680999999999999</v>
      </c>
      <c r="C11">
        <f t="shared" si="0"/>
        <v>6.0658181818181811</v>
      </c>
      <c r="D11">
        <v>135.07</v>
      </c>
      <c r="E11">
        <f t="shared" si="3"/>
        <v>28.399999999999991</v>
      </c>
      <c r="F11">
        <f t="shared" si="1"/>
        <v>10.109696969696969</v>
      </c>
      <c r="G11" s="2">
        <f t="shared" si="2"/>
        <v>0.3559752454118652</v>
      </c>
    </row>
    <row r="12" spans="1:7" x14ac:dyDescent="0.25">
      <c r="A12">
        <v>2022</v>
      </c>
      <c r="B12">
        <v>1.7504</v>
      </c>
      <c r="C12">
        <f t="shared" si="0"/>
        <v>6.3650909090909087</v>
      </c>
      <c r="D12">
        <v>108.45</v>
      </c>
      <c r="E12">
        <f t="shared" si="3"/>
        <v>-26.61999999999999</v>
      </c>
      <c r="F12">
        <f t="shared" si="1"/>
        <v>10.608484848484848</v>
      </c>
      <c r="G12" s="2">
        <f t="shared" si="2"/>
        <v>-0.39851558409034005</v>
      </c>
    </row>
    <row r="13" spans="1:7" x14ac:dyDescent="0.25">
      <c r="A13">
        <v>2023</v>
      </c>
      <c r="B13">
        <v>0.91779999999999995</v>
      </c>
      <c r="C13">
        <f>B13/0.275</f>
        <v>3.3374545454545448</v>
      </c>
      <c r="D13">
        <v>137.44999999999999</v>
      </c>
      <c r="E13">
        <f t="shared" si="3"/>
        <v>28.999999999999986</v>
      </c>
      <c r="F13">
        <f t="shared" si="1"/>
        <v>5.5624242424242416</v>
      </c>
      <c r="G13" s="2">
        <f t="shared" si="2"/>
        <v>0.19180773249738772</v>
      </c>
    </row>
    <row r="14" spans="1:7" x14ac:dyDescent="0.25">
      <c r="G14" s="2"/>
    </row>
    <row r="15" spans="1:7" x14ac:dyDescent="0.25">
      <c r="A15" t="s">
        <v>3</v>
      </c>
      <c r="B15">
        <f>SUM(B6:B13)</f>
        <v>8.3047000000000004</v>
      </c>
      <c r="C15">
        <f>SUM(C6:C13)</f>
        <v>30.19890909090909</v>
      </c>
    </row>
    <row r="16" spans="1:7" x14ac:dyDescent="0.25">
      <c r="F16" t="s">
        <v>24</v>
      </c>
      <c r="G16" s="4">
        <f>(G6+G7+G9+G10+G11+G13)/6</f>
        <v>0.31020942289900139</v>
      </c>
    </row>
    <row r="17" spans="1:6" x14ac:dyDescent="0.25">
      <c r="F17" t="s">
        <v>33</v>
      </c>
    </row>
    <row r="18" spans="1:6" x14ac:dyDescent="0.25">
      <c r="A18" t="s">
        <v>2</v>
      </c>
      <c r="C18">
        <f>C3+B15</f>
        <v>60.684700000000007</v>
      </c>
    </row>
    <row r="19" spans="1:6" x14ac:dyDescent="0.25">
      <c r="A19" t="s">
        <v>8</v>
      </c>
      <c r="C19">
        <f>C3+C15</f>
        <v>82.578909090909093</v>
      </c>
    </row>
    <row r="21" spans="1:6" x14ac:dyDescent="0.25">
      <c r="A21" t="s">
        <v>4</v>
      </c>
      <c r="C21">
        <f>(C4-C19)*0.275</f>
        <v>15.089549999999997</v>
      </c>
    </row>
    <row r="22" spans="1:6" x14ac:dyDescent="0.25">
      <c r="A22" t="s">
        <v>5</v>
      </c>
      <c r="C22">
        <f>C4-C21</f>
        <v>122.36044999999999</v>
      </c>
    </row>
    <row r="23" spans="1:6" x14ac:dyDescent="0.25">
      <c r="A23" t="s">
        <v>9</v>
      </c>
      <c r="C23">
        <f>C22-C18</f>
        <v>61.675749999999979</v>
      </c>
    </row>
    <row r="24" spans="1:6" x14ac:dyDescent="0.25">
      <c r="A24" t="s">
        <v>10</v>
      </c>
      <c r="C24" s="2">
        <f>C23/C18</f>
        <v>1.0163311345363819</v>
      </c>
    </row>
    <row r="30" spans="1:6" x14ac:dyDescent="0.25">
      <c r="A30" t="s">
        <v>13</v>
      </c>
    </row>
    <row r="31" spans="1:6" x14ac:dyDescent="0.25">
      <c r="A31" t="s">
        <v>30</v>
      </c>
    </row>
    <row r="32" spans="1:6" x14ac:dyDescent="0.25">
      <c r="A32" t="s">
        <v>31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Amumbo</vt:lpstr>
      <vt:lpstr>Xtrackers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Steinbauer</dc:creator>
  <cp:lastModifiedBy>Michael Karl Steinbauer</cp:lastModifiedBy>
  <dcterms:created xsi:type="dcterms:W3CDTF">2015-06-05T18:19:34Z</dcterms:created>
  <dcterms:modified xsi:type="dcterms:W3CDTF">2025-05-01T11:09:55Z</dcterms:modified>
</cp:coreProperties>
</file>