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4ff7ece0e0f996/Documents/PROJECT/Major Project/MTP/Datasets/"/>
    </mc:Choice>
  </mc:AlternateContent>
  <xr:revisionPtr revIDLastSave="90" documentId="13_ncr:1_{E0622E52-7510-4412-AF88-F54CD15C339A}" xr6:coauthVersionLast="47" xr6:coauthVersionMax="47" xr10:uidLastSave="{E744C5FA-9DF2-441E-B51B-7A88F879EA26}"/>
  <bookViews>
    <workbookView xWindow="-108" yWindow="-108" windowWidth="23256" windowHeight="12456" tabRatio="597" xr2:uid="{E934B2E1-460C-4E4B-9CBD-8482165C5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36" i="1" l="1"/>
  <c r="S221" i="1"/>
  <c r="S232" i="1"/>
  <c r="S261" i="1"/>
  <c r="Q221" i="1"/>
  <c r="Q232" i="1"/>
  <c r="Q261" i="1"/>
  <c r="O221" i="1"/>
  <c r="O232" i="1"/>
  <c r="O261" i="1"/>
  <c r="S222" i="1"/>
  <c r="Q222" i="1"/>
  <c r="O222" i="1"/>
  <c r="U111" i="1"/>
  <c r="U79" i="1"/>
  <c r="U65" i="1"/>
  <c r="U59" i="1"/>
  <c r="U53" i="1"/>
  <c r="U39" i="1"/>
  <c r="U42" i="1"/>
  <c r="U249" i="1"/>
  <c r="U241" i="1"/>
  <c r="U234" i="1"/>
  <c r="X14" i="1"/>
  <c r="X23" i="1"/>
  <c r="X40" i="1"/>
  <c r="X98" i="1"/>
  <c r="X182" i="1"/>
  <c r="X16" i="1"/>
  <c r="X22" i="1"/>
  <c r="X35" i="1"/>
  <c r="X49" i="1"/>
  <c r="X121" i="1"/>
  <c r="C14" i="1"/>
  <c r="C182" i="1"/>
  <c r="C16" i="1"/>
  <c r="C121" i="1"/>
  <c r="U91" i="1"/>
  <c r="U223" i="1"/>
  <c r="X91" i="1"/>
  <c r="X223" i="1"/>
  <c r="C91" i="1"/>
  <c r="C223" i="1"/>
  <c r="U268" i="1"/>
  <c r="U11" i="1"/>
  <c r="U10" i="1"/>
  <c r="U8" i="1"/>
  <c r="U320" i="1"/>
  <c r="U297" i="1"/>
  <c r="U278" i="1"/>
  <c r="U254" i="1"/>
  <c r="U317" i="1"/>
  <c r="U197" i="1"/>
  <c r="U80" i="1"/>
  <c r="U26" i="1"/>
  <c r="C320" i="1"/>
  <c r="C297" i="1" s="1"/>
  <c r="X8" i="1"/>
  <c r="X10" i="1"/>
  <c r="X11" i="1"/>
  <c r="X26" i="1"/>
  <c r="X80" i="1"/>
  <c r="X197" i="1"/>
  <c r="C197" i="1"/>
  <c r="C80" i="1" s="1"/>
  <c r="C26" i="1" s="1"/>
  <c r="X6" i="1"/>
  <c r="X3" i="1"/>
  <c r="X4" i="1"/>
  <c r="X9" i="1"/>
  <c r="U305" i="1"/>
  <c r="U282" i="1"/>
  <c r="U259" i="1"/>
  <c r="U321" i="1"/>
  <c r="U306" i="1"/>
  <c r="U288" i="1"/>
  <c r="U255" i="1"/>
  <c r="U314" i="1"/>
  <c r="U277" i="1"/>
  <c r="U242" i="1"/>
  <c r="U217" i="1"/>
  <c r="U302" i="1"/>
  <c r="U290" i="1"/>
  <c r="U271" i="1"/>
  <c r="U225" i="1"/>
  <c r="U283" i="1"/>
  <c r="U235" i="1"/>
  <c r="U195" i="1"/>
  <c r="U139" i="1"/>
  <c r="U272" i="1"/>
  <c r="U240" i="1"/>
  <c r="U213" i="1"/>
  <c r="U155" i="1"/>
  <c r="U263" i="1"/>
  <c r="U220" i="1"/>
  <c r="U179" i="1"/>
  <c r="U99" i="1"/>
  <c r="U256" i="1"/>
  <c r="U224" i="1"/>
  <c r="U187" i="1"/>
  <c r="U108" i="1"/>
  <c r="C9" i="1"/>
  <c r="C4" i="1"/>
  <c r="U327" i="1"/>
  <c r="X99" i="1"/>
  <c r="X179" i="1"/>
  <c r="X220" i="1"/>
  <c r="X263" i="1"/>
  <c r="X108" i="1"/>
  <c r="X187" i="1"/>
  <c r="X224" i="1"/>
  <c r="X256" i="1"/>
  <c r="X225" i="1"/>
  <c r="X271" i="1"/>
  <c r="X290" i="1"/>
  <c r="X302" i="1"/>
  <c r="X217" i="1"/>
  <c r="X242" i="1"/>
  <c r="X277" i="1"/>
  <c r="X314" i="1"/>
  <c r="X255" i="1"/>
  <c r="X288" i="1"/>
  <c r="X306" i="1"/>
  <c r="X321" i="1"/>
  <c r="X259" i="1"/>
  <c r="X282" i="1"/>
  <c r="X305" i="1"/>
  <c r="X327" i="1"/>
  <c r="X213" i="1"/>
  <c r="X240" i="1"/>
  <c r="X272" i="1"/>
  <c r="X195" i="1"/>
  <c r="X235" i="1"/>
  <c r="X283" i="1"/>
  <c r="L108" i="1"/>
  <c r="L187" i="1"/>
  <c r="L224" i="1"/>
  <c r="L256" i="1"/>
  <c r="L99" i="1"/>
  <c r="L179" i="1"/>
  <c r="L220" i="1"/>
  <c r="L263" i="1"/>
  <c r="L225" i="1"/>
  <c r="L271" i="1"/>
  <c r="L290" i="1"/>
  <c r="L302" i="1"/>
  <c r="L217" i="1"/>
  <c r="L242" i="1"/>
  <c r="L277" i="1"/>
  <c r="L314" i="1"/>
  <c r="L255" i="1"/>
  <c r="L288" i="1"/>
  <c r="L306" i="1"/>
  <c r="L321" i="1"/>
  <c r="L259" i="1"/>
  <c r="L282" i="1"/>
  <c r="L305" i="1"/>
  <c r="L327" i="1"/>
  <c r="L272" i="1"/>
  <c r="L240" i="1"/>
  <c r="L213" i="1"/>
  <c r="L283" i="1"/>
  <c r="L235" i="1"/>
  <c r="L195" i="1"/>
  <c r="C187" i="1"/>
  <c r="C224" i="1" s="1"/>
  <c r="C256" i="1" s="1"/>
  <c r="C179" i="1"/>
  <c r="C220" i="1" s="1"/>
  <c r="C263" i="1" s="1"/>
  <c r="C271" i="1"/>
  <c r="C290" i="1" s="1"/>
  <c r="C302" i="1" s="1"/>
  <c r="C242" i="1"/>
  <c r="C288" i="1"/>
  <c r="C306" i="1" s="1"/>
  <c r="C321" i="1" s="1"/>
  <c r="C282" i="1"/>
  <c r="C305" i="1" s="1"/>
  <c r="C327" i="1" s="1"/>
  <c r="C213" i="1"/>
  <c r="C240" i="1" s="1"/>
  <c r="C272" i="1" s="1"/>
  <c r="C195" i="1"/>
  <c r="C235" i="1" s="1"/>
  <c r="C283" i="1" s="1"/>
  <c r="L155" i="1"/>
  <c r="L139" i="1"/>
  <c r="U215" i="1"/>
  <c r="X214" i="1"/>
  <c r="U84" i="1"/>
  <c r="U113" i="1"/>
  <c r="U180" i="1"/>
  <c r="U118" i="1"/>
  <c r="U204" i="1"/>
  <c r="U206" i="1"/>
  <c r="U174" i="1"/>
  <c r="U92" i="1"/>
  <c r="X206" i="1"/>
  <c r="X204" i="1"/>
  <c r="X118" i="1"/>
  <c r="X180" i="1"/>
  <c r="X113" i="1"/>
  <c r="X115" i="1"/>
  <c r="X161" i="1"/>
  <c r="X199" i="1"/>
  <c r="L115" i="1"/>
  <c r="L161" i="1"/>
  <c r="L199" i="1"/>
  <c r="U142" i="1" l="1"/>
  <c r="U90" i="1"/>
  <c r="U198" i="1"/>
  <c r="U67" i="1"/>
  <c r="X164" i="1"/>
  <c r="X150" i="1"/>
  <c r="X134" i="1"/>
  <c r="X156" i="1"/>
  <c r="U150" i="1"/>
  <c r="U164" i="1"/>
  <c r="U156" i="1"/>
  <c r="U134" i="1"/>
  <c r="U114" i="1"/>
  <c r="U173" i="1"/>
  <c r="U237" i="1"/>
  <c r="X32" i="1"/>
  <c r="X129" i="1"/>
  <c r="X188" i="1"/>
  <c r="X133" i="1"/>
  <c r="X71" i="1"/>
  <c r="X144" i="1"/>
  <c r="X74" i="1"/>
  <c r="X64" i="1"/>
  <c r="X81" i="1"/>
  <c r="X147" i="1"/>
  <c r="X105" i="1"/>
  <c r="X112" i="1"/>
  <c r="X104" i="1"/>
  <c r="X93" i="1"/>
  <c r="U60" i="1"/>
  <c r="U2" i="1"/>
  <c r="U94" i="1"/>
  <c r="U116" i="1"/>
  <c r="U145" i="1"/>
  <c r="U102" i="1"/>
  <c r="U130" i="1"/>
  <c r="U169" i="1"/>
  <c r="X2" i="1"/>
  <c r="X94" i="1"/>
  <c r="X116" i="1"/>
  <c r="X130" i="1"/>
  <c r="X145" i="1"/>
  <c r="X169" i="1"/>
  <c r="Q59" i="1"/>
  <c r="O59" i="1"/>
  <c r="X111" i="1" l="1"/>
  <c r="X79" i="1"/>
  <c r="X65" i="1"/>
  <c r="X59" i="1"/>
  <c r="X53" i="1"/>
  <c r="X42" i="1"/>
  <c r="X262" i="1"/>
  <c r="X261" i="1"/>
  <c r="X232" i="1"/>
  <c r="X222" i="1"/>
  <c r="X219" i="1"/>
  <c r="X207" i="1" l="1"/>
  <c r="X184" i="1"/>
  <c r="X162" i="1"/>
  <c r="X192" i="1"/>
  <c r="X212" i="1"/>
  <c r="X281" i="1"/>
  <c r="U264" i="1"/>
  <c r="U250" i="1"/>
  <c r="U158" i="1"/>
  <c r="U143" i="1"/>
  <c r="U151" i="1"/>
  <c r="U132" i="1"/>
  <c r="X250" i="1"/>
  <c r="X264" i="1"/>
  <c r="X295" i="1"/>
  <c r="X143" i="1"/>
  <c r="X158" i="1"/>
  <c r="X132" i="1"/>
  <c r="X151" i="1"/>
  <c r="U295" i="1"/>
  <c r="U248" i="1"/>
  <c r="U245" i="1"/>
  <c r="U211" i="1"/>
  <c r="U181" i="1"/>
  <c r="U171" i="1"/>
  <c r="U157" i="1"/>
  <c r="U107" i="1"/>
  <c r="U103" i="1"/>
  <c r="X85" i="1"/>
  <c r="X103" i="1"/>
  <c r="X107" i="1"/>
  <c r="X157" i="1"/>
  <c r="X171" i="1"/>
  <c r="X181" i="1"/>
  <c r="X211" i="1"/>
  <c r="X245" i="1"/>
  <c r="X248" i="1"/>
  <c r="C171" i="1"/>
  <c r="C157" i="1"/>
  <c r="C181" i="1"/>
  <c r="C245" i="1"/>
  <c r="C211" i="1"/>
  <c r="C248" i="1"/>
  <c r="X89" i="1"/>
  <c r="X55" i="1"/>
  <c r="U89" i="1"/>
  <c r="U55" i="1"/>
  <c r="C125" i="1"/>
  <c r="C58" i="1" s="1"/>
  <c r="C165" i="1"/>
  <c r="C101" i="1" s="1"/>
  <c r="S46" i="1"/>
  <c r="Q46" i="1"/>
  <c r="O46" i="1"/>
  <c r="S62" i="1"/>
  <c r="Q62" i="1"/>
  <c r="O62" i="1"/>
  <c r="S86" i="1"/>
  <c r="Q86" i="1"/>
  <c r="O86" i="1"/>
  <c r="S44" i="1"/>
  <c r="Q44" i="1"/>
  <c r="O44" i="1"/>
  <c r="X127" i="1" l="1"/>
  <c r="X168" i="1"/>
  <c r="X209" i="1"/>
  <c r="X230" i="1"/>
  <c r="X266" i="1"/>
  <c r="X318" i="1"/>
  <c r="X210" i="1"/>
  <c r="X243" i="1"/>
  <c r="X267" i="1"/>
  <c r="X294" i="1"/>
  <c r="X312" i="1"/>
  <c r="X322" i="1"/>
  <c r="U266" i="1"/>
  <c r="U230" i="1"/>
  <c r="U209" i="1"/>
  <c r="U168" i="1"/>
  <c r="U127" i="1"/>
  <c r="U318" i="1"/>
  <c r="U312" i="1"/>
  <c r="U294" i="1"/>
  <c r="U267" i="1"/>
  <c r="U243" i="1"/>
  <c r="U210" i="1"/>
  <c r="U322" i="1"/>
  <c r="C318" i="1"/>
  <c r="C266" i="1" s="1"/>
  <c r="C230" i="1" s="1"/>
  <c r="C209" i="1" s="1"/>
  <c r="C168" i="1" s="1"/>
  <c r="C127" i="1" s="1"/>
  <c r="C210" i="1"/>
  <c r="C243" i="1"/>
  <c r="C267" i="1"/>
  <c r="C294" i="1"/>
  <c r="C312" i="1"/>
  <c r="C322" i="1"/>
  <c r="Q123" i="1"/>
  <c r="O123" i="1"/>
  <c r="Q82" i="1"/>
  <c r="O82" i="1"/>
  <c r="U123" i="1"/>
  <c r="U82" i="1"/>
  <c r="U347" i="1"/>
  <c r="Q347" i="1"/>
  <c r="U325" i="1"/>
  <c r="Q325" i="1"/>
  <c r="U339" i="1"/>
  <c r="Q339" i="1"/>
  <c r="X347" i="1"/>
  <c r="X293" i="1"/>
  <c r="X292" i="1"/>
  <c r="X307" i="1"/>
  <c r="X311" i="1"/>
  <c r="U307" i="1"/>
  <c r="U289" i="1"/>
  <c r="U292" i="1"/>
  <c r="U293" i="1"/>
  <c r="U311" i="1"/>
  <c r="Q301" i="1"/>
  <c r="O301" i="1"/>
  <c r="O304" i="1"/>
  <c r="Q304" i="1"/>
  <c r="X304" i="1"/>
  <c r="U205" i="1"/>
  <c r="U203" i="1"/>
  <c r="U167" i="1"/>
  <c r="X167" i="1"/>
  <c r="U137" i="1"/>
  <c r="U176" i="1"/>
  <c r="U202" i="1"/>
  <c r="U246" i="1"/>
  <c r="U135" i="1" l="1"/>
  <c r="U367" i="1"/>
  <c r="U369" i="1"/>
  <c r="U365" i="1"/>
  <c r="Q368" i="1"/>
  <c r="U368" i="1" s="1"/>
  <c r="Q366" i="1"/>
  <c r="U366" i="1" s="1"/>
  <c r="U273" i="1"/>
  <c r="U68" i="1"/>
  <c r="U299" i="1"/>
  <c r="U45" i="1"/>
  <c r="X238" i="1"/>
  <c r="X244" i="1"/>
  <c r="X279" i="1"/>
  <c r="X308" i="1"/>
  <c r="X324" i="1"/>
  <c r="C238" i="1"/>
  <c r="C244" i="1"/>
  <c r="C279" i="1"/>
  <c r="C308" i="1"/>
  <c r="C324" i="1"/>
  <c r="X315" i="1"/>
  <c r="X340" i="1"/>
  <c r="X300" i="1"/>
  <c r="X337" i="1"/>
  <c r="X284" i="1"/>
  <c r="X328" i="1"/>
  <c r="X323" i="1"/>
  <c r="X291" i="1"/>
  <c r="X333" i="1"/>
  <c r="U315" i="1"/>
  <c r="U300" i="1"/>
  <c r="U284" i="1"/>
  <c r="U344" i="1"/>
  <c r="U323" i="1"/>
  <c r="U328" i="1"/>
  <c r="U337" i="1"/>
  <c r="U340" i="1"/>
  <c r="Q360" i="1"/>
  <c r="U360" i="1" s="1"/>
  <c r="Q361" i="1"/>
  <c r="U361" i="1" s="1"/>
  <c r="Q362" i="1"/>
  <c r="U362" i="1" s="1"/>
  <c r="Q363" i="1"/>
  <c r="U363" i="1" s="1"/>
  <c r="Q364" i="1"/>
  <c r="U364" i="1" s="1"/>
  <c r="Q359" i="1"/>
  <c r="U359" i="1" s="1"/>
  <c r="U287" i="1"/>
  <c r="U226" i="1"/>
  <c r="U201" i="1"/>
  <c r="U218" i="1"/>
  <c r="U208" i="1"/>
  <c r="U163" i="1"/>
  <c r="U270" i="1"/>
  <c r="U189" i="1"/>
  <c r="U303" i="1"/>
  <c r="U138" i="1"/>
  <c r="U214" i="1"/>
  <c r="U326" i="1"/>
  <c r="U349" i="1"/>
  <c r="U346" i="1"/>
  <c r="U342" i="1"/>
  <c r="U334" i="1"/>
  <c r="U330" i="1"/>
  <c r="U351" i="1"/>
  <c r="U350" i="1"/>
  <c r="U348" i="1"/>
  <c r="U341" i="1"/>
  <c r="C334" i="1"/>
  <c r="C342" i="1"/>
  <c r="C346" i="1"/>
  <c r="C349" i="1"/>
  <c r="C330" i="1"/>
  <c r="C341" i="1"/>
  <c r="C348" i="1"/>
  <c r="C350" i="1"/>
  <c r="C351" i="1"/>
  <c r="U335" i="1"/>
  <c r="U345" i="1"/>
  <c r="U336" i="1"/>
  <c r="U332" i="1"/>
  <c r="U154" i="1"/>
  <c r="U117" i="1"/>
  <c r="U126" i="1"/>
  <c r="U122" i="1"/>
  <c r="U200" i="1"/>
  <c r="X122" i="1"/>
  <c r="X126" i="1"/>
  <c r="X154" i="1"/>
  <c r="X200" i="1"/>
  <c r="X191" i="1"/>
  <c r="X136" i="1"/>
  <c r="X124" i="1"/>
  <c r="X36" i="1"/>
  <c r="X24" i="1"/>
  <c r="X19" i="1"/>
  <c r="X17" i="1"/>
  <c r="X15" i="1"/>
  <c r="U12" i="1"/>
  <c r="U258" i="1"/>
  <c r="U177" i="1"/>
  <c r="U131" i="1"/>
  <c r="U280" i="1"/>
  <c r="O355" i="1"/>
  <c r="U227" i="1"/>
  <c r="U175" i="1"/>
  <c r="U172" i="1"/>
  <c r="U85" i="1"/>
  <c r="U186" i="1"/>
  <c r="U54" i="1"/>
  <c r="U253" i="1"/>
  <c r="U194" i="1"/>
  <c r="O353" i="1"/>
  <c r="Q353" i="1"/>
  <c r="U353" i="1"/>
  <c r="O69" i="1"/>
  <c r="Q69" i="1"/>
  <c r="U185" i="1"/>
  <c r="U76" i="1"/>
  <c r="Q76" i="1"/>
  <c r="U120" i="1"/>
  <c r="U276" i="1"/>
  <c r="U260" i="1"/>
  <c r="O276" i="1"/>
  <c r="O260" i="1"/>
  <c r="C314" i="1" l="1"/>
  <c r="C10" i="1"/>
  <c r="C11" i="1"/>
  <c r="C8" i="1"/>
  <c r="C278" i="1"/>
  <c r="C277" i="1"/>
</calcChain>
</file>

<file path=xl/sharedStrings.xml><?xml version="1.0" encoding="utf-8"?>
<sst xmlns="http://schemas.openxmlformats.org/spreadsheetml/2006/main" count="1787" uniqueCount="341">
  <si>
    <t>H2/CO2</t>
  </si>
  <si>
    <t>H2/CO</t>
  </si>
  <si>
    <t>Catalyst</t>
  </si>
  <si>
    <t>Cu/Al2O3</t>
  </si>
  <si>
    <t>Cu-Ba/Al2O3</t>
  </si>
  <si>
    <t>Cu-K/Al2O3</t>
  </si>
  <si>
    <t>CuZnZr</t>
  </si>
  <si>
    <t>CuZnZrLa</t>
  </si>
  <si>
    <t>CuZnZrCe</t>
  </si>
  <si>
    <t>CuZnZrNd</t>
  </si>
  <si>
    <t>CuZnZrPr</t>
  </si>
  <si>
    <t>Cu/AlCeO</t>
  </si>
  <si>
    <t>Cu/CeO2</t>
  </si>
  <si>
    <t>CuNi2/CeO2-NT</t>
  </si>
  <si>
    <t>Cu1La0.2/SBA-15</t>
  </si>
  <si>
    <t>CuZn</t>
  </si>
  <si>
    <t>CuZnTi</t>
  </si>
  <si>
    <t>CuZnTi-Zr</t>
  </si>
  <si>
    <t>CuO-ZnO-ZrO2</t>
  </si>
  <si>
    <t>CuO-ZnO-ZrO2-Cr2O3</t>
  </si>
  <si>
    <t>CuO-ZnO-ZrO2-MoO3</t>
  </si>
  <si>
    <t>CuO-ZnO-ZrO2-WO3</t>
  </si>
  <si>
    <t>Cu/ZrO2</t>
  </si>
  <si>
    <t>(5wt%)Ag/Cu/ZrO2</t>
  </si>
  <si>
    <t>Cu/5 wt % g-C3N4-ZnO/Al2O3</t>
  </si>
  <si>
    <t>Cu/ZrO2(III)</t>
  </si>
  <si>
    <t>Cu/ZrO2(IV)</t>
  </si>
  <si>
    <t>Cu/HAl</t>
  </si>
  <si>
    <t>Cu/UAl</t>
  </si>
  <si>
    <t>CuZnMn/SBA-15</t>
  </si>
  <si>
    <t>CuZnMn/MCF</t>
  </si>
  <si>
    <t>CuZnMn/KIT-6</t>
  </si>
  <si>
    <t>Cu/ZrO2/CNT-3</t>
  </si>
  <si>
    <t>Cu/m-SiO2</t>
  </si>
  <si>
    <t>CHT-Y0.05</t>
  </si>
  <si>
    <t>CHT-Y0.1</t>
  </si>
  <si>
    <t>CHT-Y0.2</t>
  </si>
  <si>
    <t>CHT-Y0.5</t>
  </si>
  <si>
    <t>CuZnAl-4</t>
  </si>
  <si>
    <t>CuZnAl/HT(40%)</t>
  </si>
  <si>
    <t>ACE-calcined at 623 K [Cu/ZrO2 copper acetate hydrate as Cu precursor]</t>
  </si>
  <si>
    <t>AMM-350[copper ammine complex ]</t>
  </si>
  <si>
    <t>CuZnZr/HT    [CZZ/MgAL]</t>
  </si>
  <si>
    <t>CHT-A  [Cu/Zn/Al]</t>
  </si>
  <si>
    <t>CHT-AY  [Cu/Zn/Al]</t>
  </si>
  <si>
    <t>CHT-AMn  [Cu/Zn/Al]</t>
  </si>
  <si>
    <t>CHT-ALa  [Cu/Zn/Al]</t>
  </si>
  <si>
    <t>CHT-ACe  [Cu/Zn/Al]</t>
  </si>
  <si>
    <t>CHT-AZr  [Cu/Zn/Al]</t>
  </si>
  <si>
    <t>aCuZnZr-LDH</t>
  </si>
  <si>
    <t>Ni(OH)2</t>
  </si>
  <si>
    <t>CoMn LDHs</t>
  </si>
  <si>
    <t>NiTi LDHs</t>
  </si>
  <si>
    <t>NiCo LDHs</t>
  </si>
  <si>
    <t>CuZnAlZr-USP</t>
  </si>
  <si>
    <t>RE-CuZnO/SiO2</t>
  </si>
  <si>
    <t>S-Cu-Zn-Zr-600</t>
  </si>
  <si>
    <t>Cu-Zn-Zr-600</t>
  </si>
  <si>
    <t>CuZnAlZr-573</t>
  </si>
  <si>
    <t>Cu(ZnGa)</t>
  </si>
  <si>
    <t>(CuZnGa)microwave</t>
  </si>
  <si>
    <t>Cu/SiO2-AE</t>
  </si>
  <si>
    <t>CuZnAl-400</t>
  </si>
  <si>
    <t>CuZnAlZr-5Al-fixed-bed</t>
  </si>
  <si>
    <t>CuZnAlZr-5Al-slurry bed</t>
  </si>
  <si>
    <t>CuZnAlZr-slurry bed</t>
  </si>
  <si>
    <t>30Cu/Zn/ms-SiO2</t>
  </si>
  <si>
    <t>M-CZZ</t>
  </si>
  <si>
    <t>C-CZZ</t>
  </si>
  <si>
    <t>Pd/Ga2O3</t>
  </si>
  <si>
    <t>Pd/Al2O3</t>
  </si>
  <si>
    <t>Pd/Cr2O3</t>
  </si>
  <si>
    <t>Pd/SiO2</t>
  </si>
  <si>
    <t>Pd/TiO2</t>
  </si>
  <si>
    <t>Pd/ZnO</t>
  </si>
  <si>
    <t>Pd/ZrO2</t>
  </si>
  <si>
    <t>Pd/CNTs-in</t>
  </si>
  <si>
    <t>Pd/CNTs-out</t>
  </si>
  <si>
    <t>Pd/AC</t>
  </si>
  <si>
    <t>CuZnAlZr-fixed-bed</t>
  </si>
  <si>
    <t>Pd-Cu/CeO2</t>
  </si>
  <si>
    <t>Pd-Cu/ZrO2</t>
  </si>
  <si>
    <t>Pd-Cu/Al2O3</t>
  </si>
  <si>
    <t>1%Pd/ZnO, SI</t>
  </si>
  <si>
    <t>5%Pd/ZnO, SI</t>
  </si>
  <si>
    <t>1%Pd/ZnO, IM</t>
  </si>
  <si>
    <t>5%Pd/ZnO, IM</t>
  </si>
  <si>
    <t>5Pd5ZnZr</t>
  </si>
  <si>
    <t>0.5Ca5Pd5ZnZr</t>
  </si>
  <si>
    <t>Ag@Pd-ZnO</t>
  </si>
  <si>
    <t>Pd-ZnO</t>
  </si>
  <si>
    <t>PdZn/ZnO-3.93Al</t>
  </si>
  <si>
    <t>PdZn/ZnO</t>
  </si>
  <si>
    <t>0.5Ca5Pd5ZnCeO2</t>
  </si>
  <si>
    <t>5Pd5ZnCeO2</t>
  </si>
  <si>
    <t>37.5PdCuZn/SiC</t>
  </si>
  <si>
    <t>1%Pt4Co NWs/C</t>
  </si>
  <si>
    <t>3%Pt4Co NWs/C</t>
  </si>
  <si>
    <t>Pt4Co NWs/Al2O3</t>
  </si>
  <si>
    <t>Pt4Co NWs/P25</t>
  </si>
  <si>
    <t>Pt4Co NWs/SiO2</t>
  </si>
  <si>
    <t>ZnO-ZrO2</t>
  </si>
  <si>
    <t>CdZrOx</t>
  </si>
  <si>
    <t>GaZrOx</t>
  </si>
  <si>
    <t>In2O3</t>
  </si>
  <si>
    <t>In2.5/ZrO2</t>
  </si>
  <si>
    <t>In5/ZrO2</t>
  </si>
  <si>
    <t>hexagonal-In2O3</t>
  </si>
  <si>
    <t>Pd-P/In2O3</t>
  </si>
  <si>
    <t>Pd-I/In2O3</t>
  </si>
  <si>
    <t>In:Pd(2:1)/SiO2</t>
  </si>
  <si>
    <t>Pt/film/In2O3</t>
  </si>
  <si>
    <t>Pd/In2O3/SBA-15</t>
  </si>
  <si>
    <t>Cu0.25-In0.75-Zr0.5-O</t>
  </si>
  <si>
    <t>CuIn-350</t>
  </si>
  <si>
    <t>In@SiO2</t>
  </si>
  <si>
    <t>CuIn/SiO2</t>
  </si>
  <si>
    <t>1.5YIn2O3/ZrO2</t>
  </si>
  <si>
    <t>3La10In/ZrO2</t>
  </si>
  <si>
    <t>Ni5Ga3/SiO2−CP</t>
  </si>
  <si>
    <t>Pd1Ga10-CNT-h</t>
  </si>
  <si>
    <t>Pd1Ga10-CNT-p</t>
  </si>
  <si>
    <t>PdZnAl</t>
  </si>
  <si>
    <t>PdMgGa</t>
  </si>
  <si>
    <t>Cu</t>
  </si>
  <si>
    <t>Al2O3</t>
  </si>
  <si>
    <t>CeO2</t>
  </si>
  <si>
    <t>SiO2</t>
  </si>
  <si>
    <t>Zr</t>
  </si>
  <si>
    <t>ZrO2</t>
  </si>
  <si>
    <t>Ba</t>
  </si>
  <si>
    <t>K</t>
  </si>
  <si>
    <t>La</t>
  </si>
  <si>
    <t>Ce</t>
  </si>
  <si>
    <t>Nd</t>
  </si>
  <si>
    <t>Pr</t>
  </si>
  <si>
    <t>ZnO</t>
  </si>
  <si>
    <t>Ni</t>
  </si>
  <si>
    <t>Ti</t>
  </si>
  <si>
    <t>Cr2O3</t>
  </si>
  <si>
    <t>Ag</t>
  </si>
  <si>
    <t>C3N4</t>
  </si>
  <si>
    <t>TiO2</t>
  </si>
  <si>
    <t>CNTs</t>
  </si>
  <si>
    <t xml:space="preserve">CuZn/NrGOae-U    </t>
  </si>
  <si>
    <t>Hydrotalcite</t>
  </si>
  <si>
    <t>Mn</t>
  </si>
  <si>
    <t>Y</t>
  </si>
  <si>
    <t>CHT-Y0</t>
  </si>
  <si>
    <t>CHT0.24-F   [CuZnAlZrF]</t>
  </si>
  <si>
    <t>F</t>
  </si>
  <si>
    <t>Al2O3+ZrO2</t>
  </si>
  <si>
    <t>Ga2O3</t>
  </si>
  <si>
    <t>Co</t>
  </si>
  <si>
    <t>Cu/cylindrical ZnO</t>
  </si>
  <si>
    <t>Cu-Zn-Zr-300</t>
  </si>
  <si>
    <t>S-Cu-Zn-Zr-300</t>
  </si>
  <si>
    <t>Cu-Zn-Zr-400</t>
  </si>
  <si>
    <t>Cu-Zn-Zr-500</t>
  </si>
  <si>
    <t>S-Cu-Zn-Zr-400</t>
  </si>
  <si>
    <t>S-Cu-Zn-Zr-500</t>
  </si>
  <si>
    <t>C</t>
  </si>
  <si>
    <t>Ga</t>
  </si>
  <si>
    <t>Combustion method</t>
  </si>
  <si>
    <t>CuZnAl-C-1.00   (Citric acid)</t>
  </si>
  <si>
    <t>CuZnAl-O-1.00   (Oxalic acid)</t>
  </si>
  <si>
    <t>CuZnAl-U-1.00  (Urea)</t>
  </si>
  <si>
    <t>CuZnAlZr-10Al-fixed-bed</t>
  </si>
  <si>
    <t>CuZnAlZr-10Al-slurry bed</t>
  </si>
  <si>
    <t>CuZnAlZr-15Al-fixed-bed</t>
  </si>
  <si>
    <t>CuZnAlZr-15Al-slurry bed</t>
  </si>
  <si>
    <t>CuZnAlZr-20Al-fixed-bed</t>
  </si>
  <si>
    <t>CuZnAlZr-20Al-slurry bed</t>
  </si>
  <si>
    <t>10Cu/Zn/ms-SiO2</t>
  </si>
  <si>
    <t>20Cu/Zn/ms-SiO2</t>
  </si>
  <si>
    <t>50Cu/Zn/ms-SiO2</t>
  </si>
  <si>
    <t>Pd</t>
  </si>
  <si>
    <t>Pd-Cu/TiO2-P1</t>
  </si>
  <si>
    <t>Sol Immobilization Method</t>
  </si>
  <si>
    <t>Zn</t>
  </si>
  <si>
    <t>1.0 PdZn/CeO2</t>
  </si>
  <si>
    <t>Ca</t>
  </si>
  <si>
    <t>Pt</t>
  </si>
  <si>
    <t>Cd</t>
  </si>
  <si>
    <t>SiC</t>
  </si>
  <si>
    <t>Al</t>
  </si>
  <si>
    <t>P25</t>
  </si>
  <si>
    <t>In</t>
  </si>
  <si>
    <t>In0.1/ZrO2</t>
  </si>
  <si>
    <t>In10/ZrO2</t>
  </si>
  <si>
    <t xml:space="preserve">Thermal Synthesis-Peptide </t>
  </si>
  <si>
    <t>SBA-15</t>
  </si>
  <si>
    <t>In2O3/SiO2</t>
  </si>
  <si>
    <t>In:Pd(1:1)/SiO2</t>
  </si>
  <si>
    <t>In:Pd(1:2)/SiO2</t>
  </si>
  <si>
    <t xml:space="preserve">Pd-In2O3 </t>
  </si>
  <si>
    <t xml:space="preserve">CPPA </t>
  </si>
  <si>
    <t>Cu-Zr-O</t>
  </si>
  <si>
    <t>Cu0.75-In0.25-Zr-O</t>
  </si>
  <si>
    <t>Cu0.5-In0.5-Zr-O</t>
  </si>
  <si>
    <t>Cu0.25-In0.75-Zr-O</t>
  </si>
  <si>
    <t>In-Zr-O</t>
  </si>
  <si>
    <t>Cu0.25-In0.75-Zr0.25-O</t>
  </si>
  <si>
    <t>Cu0.25-In0.75-Zr2-O</t>
  </si>
  <si>
    <t>Pd-In2O4</t>
  </si>
  <si>
    <t>In2O3/ZrO2</t>
  </si>
  <si>
    <t>Ni5Ga3/SiO2-IWI</t>
  </si>
  <si>
    <t>Mg</t>
  </si>
  <si>
    <t>Ni5Ga3/0.5-SiO2/Al2O3/Al-fiber</t>
  </si>
  <si>
    <t>Ni5Ga3/1-SiO2/Al2O3/Al-fiber</t>
  </si>
  <si>
    <t>Ni5Ga3/3-SiO2/Al2O3/Al-fiber</t>
  </si>
  <si>
    <t>Ni5Ga3/5-SiO2/Al2O3/Al-fiber</t>
  </si>
  <si>
    <t>Ni5Ga3/Al2O3/Al-fiber</t>
  </si>
  <si>
    <t>PdMgAl</t>
  </si>
  <si>
    <t>Cu1La0/SBA-15</t>
  </si>
  <si>
    <t>CuZnCe</t>
  </si>
  <si>
    <t>CuZnCe/1 TNTs</t>
  </si>
  <si>
    <t>CuZnCe/5 TNTs</t>
  </si>
  <si>
    <t>CuZnCe/10 TNTs</t>
  </si>
  <si>
    <t>CuZnCe/10 P25</t>
  </si>
  <si>
    <t>CuZnCe/15 TNTs</t>
  </si>
  <si>
    <t>CuZnSBA-15_20_1</t>
  </si>
  <si>
    <t>CuZnZrSBA-15_20_1</t>
  </si>
  <si>
    <t>CuZnZrSBA-15_20_2.5</t>
  </si>
  <si>
    <t>CuZnZrSBA-15_35_2.5</t>
  </si>
  <si>
    <t>Cu/ZrO2/CNT-1</t>
  </si>
  <si>
    <t>Cu/ZrO2/CNT-2</t>
  </si>
  <si>
    <t>Cu a m-SiO2</t>
  </si>
  <si>
    <t>Cu/ZnO a m-SiO2</t>
  </si>
  <si>
    <t>NIT-500</t>
  </si>
  <si>
    <t>NIT-350 [copper nitrate hydrate]</t>
  </si>
  <si>
    <t>ACE-500</t>
  </si>
  <si>
    <t>RHT-6</t>
  </si>
  <si>
    <t>RHT-7</t>
  </si>
  <si>
    <t>RHT-8</t>
  </si>
  <si>
    <t>RHT-10</t>
  </si>
  <si>
    <t>RHT-11</t>
  </si>
  <si>
    <t>RHT-9       [Cu–Zn–Al–Zr catalyst via HTlcs and n is the pH during pptn]</t>
  </si>
  <si>
    <t>CuZnAl/HT(0%)</t>
  </si>
  <si>
    <t>CuZnAl/HT(20%)</t>
  </si>
  <si>
    <t>CuZnAl/HT(60%)</t>
  </si>
  <si>
    <t>CuZnAl/HT(80%)</t>
  </si>
  <si>
    <t>CuZnZr   [CZZ]</t>
  </si>
  <si>
    <t>CHT0.08-F   [CuZnAlZrF]</t>
  </si>
  <si>
    <t>CHT-F0</t>
  </si>
  <si>
    <t>CHT-F0.3</t>
  </si>
  <si>
    <t>CHT-F0.9</t>
  </si>
  <si>
    <t>CHT-F1.5</t>
  </si>
  <si>
    <t>CHT-F2.1</t>
  </si>
  <si>
    <t>CuZnAl-1</t>
  </si>
  <si>
    <t>CuZnAl-2</t>
  </si>
  <si>
    <t>CuZnAl-3</t>
  </si>
  <si>
    <t>CZ</t>
  </si>
  <si>
    <t>CZG5Ga</t>
  </si>
  <si>
    <t>CZG10Ga</t>
  </si>
  <si>
    <t>CZG30Ga</t>
  </si>
  <si>
    <t>CZG40Ga</t>
  </si>
  <si>
    <t xml:space="preserve">LDH30Ga </t>
  </si>
  <si>
    <t xml:space="preserve">LDH10Ga </t>
  </si>
  <si>
    <t xml:space="preserve">LDH20Ga </t>
  </si>
  <si>
    <t xml:space="preserve">LDH40Ga </t>
  </si>
  <si>
    <t>CZ-1</t>
  </si>
  <si>
    <t>CZ-2</t>
  </si>
  <si>
    <t>CZ-3</t>
  </si>
  <si>
    <t>CZ-4</t>
  </si>
  <si>
    <t>CuZnAlZr-FA-550</t>
  </si>
  <si>
    <t>CuZnAlZr-FA-350</t>
  </si>
  <si>
    <t>CuZnAlZr-UCP</t>
  </si>
  <si>
    <t>PdZn/ZnO-0.35Al</t>
  </si>
  <si>
    <t>PdZn/ZnO-1.85Al</t>
  </si>
  <si>
    <t>PdZn/ZnO-7.49Al</t>
  </si>
  <si>
    <t>PdZn/ZnO-12.14Al</t>
  </si>
  <si>
    <t>0.7 PdZn/CeO2</t>
  </si>
  <si>
    <t>0.9 PdZn/CeO2</t>
  </si>
  <si>
    <t>Pd-Cu/TiO2-P2</t>
  </si>
  <si>
    <t>Pd-Cu/TiO2-A1</t>
  </si>
  <si>
    <t>Pd-Cu/TiO2-A2</t>
  </si>
  <si>
    <t>Pd-Cu/TiO2-A</t>
  </si>
  <si>
    <t>Pd-Cu/TiO2-R</t>
  </si>
  <si>
    <t>Pd(0.34)-Cu/SiO2</t>
  </si>
  <si>
    <t>Pd-Cu(0.25)/SiO2</t>
  </si>
  <si>
    <t>Cu/ZnO</t>
  </si>
  <si>
    <t>60Cu/Zn/ms-SiO2</t>
  </si>
  <si>
    <t>Cu/SiO2-TI</t>
  </si>
  <si>
    <t>CuZnTiZr-SG</t>
  </si>
  <si>
    <t>CuZnTiZr-SR</t>
  </si>
  <si>
    <t>CuZnTiZr-SC</t>
  </si>
  <si>
    <t>Solid State Reaction</t>
  </si>
  <si>
    <t>Solution Combustion</t>
  </si>
  <si>
    <t>30CuZn-Z  (CP at constant pH)</t>
  </si>
  <si>
    <t>30CuZn-Z  M(Continuous CP)</t>
  </si>
  <si>
    <t>UE-CuZnO/SiO2</t>
  </si>
  <si>
    <t>Im-CuZnO/SiO2</t>
  </si>
  <si>
    <t>Catalyst E1</t>
  </si>
  <si>
    <t>Catalyst E2</t>
  </si>
  <si>
    <t>Catalyst E3</t>
  </si>
  <si>
    <t>Cr</t>
  </si>
  <si>
    <t>Mo</t>
  </si>
  <si>
    <t>W</t>
  </si>
  <si>
    <t>Si</t>
  </si>
  <si>
    <t>NrGO Aerogel</t>
  </si>
  <si>
    <t>LDH</t>
  </si>
  <si>
    <t>Catalyst E4</t>
  </si>
  <si>
    <t>Temp</t>
  </si>
  <si>
    <t>Pres</t>
  </si>
  <si>
    <t>PrepM</t>
  </si>
  <si>
    <t>GHSV</t>
  </si>
  <si>
    <t>W/F</t>
  </si>
  <si>
    <t>BET SA</t>
  </si>
  <si>
    <t>Pore Vol</t>
  </si>
  <si>
    <t>Pore Size</t>
  </si>
  <si>
    <t>Crystal Size</t>
  </si>
  <si>
    <t>Metal SA</t>
  </si>
  <si>
    <t>Comp E1</t>
  </si>
  <si>
    <t>Comp E2</t>
  </si>
  <si>
    <t>Comp E3</t>
  </si>
  <si>
    <t>Comp E4</t>
  </si>
  <si>
    <t>CO2 Conv</t>
  </si>
  <si>
    <t>CO Conv</t>
  </si>
  <si>
    <t>Methanol STY</t>
  </si>
  <si>
    <t>DME STY</t>
  </si>
  <si>
    <t>Methanol Sel</t>
  </si>
  <si>
    <t>DME Sel</t>
  </si>
  <si>
    <t>CP</t>
  </si>
  <si>
    <t>Reverse CP</t>
  </si>
  <si>
    <t>Ultrasonic CP</t>
  </si>
  <si>
    <t>Surfactant assisted CP</t>
  </si>
  <si>
    <t>IWI</t>
  </si>
  <si>
    <t>MW assisted IWI</t>
  </si>
  <si>
    <t>IMP</t>
  </si>
  <si>
    <t>CoIMP</t>
  </si>
  <si>
    <t>DPM</t>
  </si>
  <si>
    <t>AEM</t>
  </si>
  <si>
    <t>CCTM</t>
  </si>
  <si>
    <t>PM</t>
  </si>
  <si>
    <t>Ultrasonic Spray PM</t>
  </si>
  <si>
    <t>CAM</t>
  </si>
  <si>
    <t>StM</t>
  </si>
  <si>
    <t>SSIE</t>
  </si>
  <si>
    <t>SGM</t>
  </si>
  <si>
    <t>LRM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</si>
</sst>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2E2E2E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3" fillId="0" borderId="0" xfId="0" applyFont="1" applyFill="1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0141-CD96-41AE-834B-A19F68D8C42F}">
  <dimension ref="A1:AB369"/>
  <sheetViews>
    <sheetView tabSelected="1" zoomScale="55" zoomScaleNormal="55" workbookViewId="0">
      <selection activeCell="Y17" sqref="Y17"/>
    </sheetView>
  </sheetViews>
  <sheetFormatPr defaultRowHeight="14.4" x14ac:dyDescent="0.3"/>
  <cols>
    <col min="1" max="1" width="8.33203125" customWidth="1"/>
    <col min="2" max="2" width="7.88671875" customWidth="1"/>
    <col min="3" max="3" width="6.6640625" customWidth="1"/>
    <col min="4" max="4" width="7.109375" customWidth="1"/>
    <col min="5" max="5" width="13.6640625" customWidth="1"/>
    <col min="6" max="6" width="11.109375" customWidth="1"/>
    <col min="7" max="7" width="16.21875" customWidth="1"/>
    <col min="8" max="8" width="32.109375" customWidth="1"/>
    <col min="9" max="9" width="17.44140625" customWidth="1"/>
    <col min="10" max="10" width="12.44140625" customWidth="1"/>
    <col min="11" max="11" width="10" customWidth="1"/>
    <col min="12" max="12" width="11.77734375" customWidth="1"/>
    <col min="13" max="13" width="18.88671875" customWidth="1"/>
    <col min="14" max="14" width="10.109375" customWidth="1"/>
    <col min="15" max="15" width="12.77734375" customWidth="1"/>
    <col min="17" max="17" width="12.77734375" customWidth="1"/>
    <col min="18" max="18" width="10.44140625" customWidth="1"/>
    <col min="19" max="19" width="13" customWidth="1"/>
    <col min="20" max="20" width="10.77734375" style="1" customWidth="1"/>
    <col min="21" max="21" width="11" customWidth="1"/>
    <col min="22" max="22" width="10.109375" customWidth="1"/>
    <col min="24" max="24" width="14.6640625" customWidth="1"/>
    <col min="25" max="25" width="10.88671875" customWidth="1"/>
    <col min="26" max="26" width="13.44140625" customWidth="1"/>
    <col min="27" max="27" width="10" customWidth="1"/>
    <col min="28" max="28" width="8.88671875" customWidth="1"/>
  </cols>
  <sheetData>
    <row r="1" spans="1:27" ht="25.2" customHeight="1" thickBot="1" x14ac:dyDescent="0.35">
      <c r="A1" s="5" t="s">
        <v>0</v>
      </c>
      <c r="B1" s="5" t="s">
        <v>1</v>
      </c>
      <c r="C1" s="5" t="s">
        <v>303</v>
      </c>
      <c r="D1" s="5" t="s">
        <v>304</v>
      </c>
      <c r="E1" s="5" t="s">
        <v>305</v>
      </c>
      <c r="F1" s="5" t="s">
        <v>306</v>
      </c>
      <c r="G1" s="5" t="s">
        <v>307</v>
      </c>
      <c r="H1" s="7" t="s">
        <v>2</v>
      </c>
      <c r="I1" s="5" t="s">
        <v>308</v>
      </c>
      <c r="J1" s="5" t="s">
        <v>309</v>
      </c>
      <c r="K1" s="5" t="s">
        <v>310</v>
      </c>
      <c r="L1" s="5" t="s">
        <v>311</v>
      </c>
      <c r="M1" s="5" t="s">
        <v>312</v>
      </c>
      <c r="N1" s="8" t="s">
        <v>293</v>
      </c>
      <c r="O1" s="6" t="s">
        <v>313</v>
      </c>
      <c r="P1" s="8" t="s">
        <v>294</v>
      </c>
      <c r="Q1" s="5" t="s">
        <v>314</v>
      </c>
      <c r="R1" s="8" t="s">
        <v>295</v>
      </c>
      <c r="S1" s="5" t="s">
        <v>315</v>
      </c>
      <c r="T1" s="8" t="s">
        <v>302</v>
      </c>
      <c r="U1" s="5" t="s">
        <v>316</v>
      </c>
      <c r="V1" s="6" t="s">
        <v>317</v>
      </c>
      <c r="W1" s="6" t="s">
        <v>318</v>
      </c>
      <c r="X1" s="6" t="s">
        <v>319</v>
      </c>
      <c r="Y1" s="6" t="s">
        <v>320</v>
      </c>
      <c r="Z1" s="6" t="s">
        <v>321</v>
      </c>
      <c r="AA1" s="6" t="s">
        <v>322</v>
      </c>
    </row>
    <row r="2" spans="1:27" x14ac:dyDescent="0.3">
      <c r="A2">
        <v>3</v>
      </c>
      <c r="B2" s="2"/>
      <c r="C2" s="2">
        <v>513</v>
      </c>
      <c r="D2" s="2">
        <v>4</v>
      </c>
      <c r="E2" s="2" t="s">
        <v>331</v>
      </c>
      <c r="F2" s="2"/>
      <c r="G2" s="2">
        <v>14.93</v>
      </c>
      <c r="H2" s="2" t="s">
        <v>251</v>
      </c>
      <c r="I2">
        <v>90</v>
      </c>
      <c r="J2">
        <v>0.19</v>
      </c>
      <c r="K2">
        <v>5.67</v>
      </c>
      <c r="L2">
        <v>13.3</v>
      </c>
      <c r="M2">
        <v>31.6</v>
      </c>
      <c r="N2" s="9" t="s">
        <v>124</v>
      </c>
      <c r="O2" s="1">
        <v>0.23400000000000001</v>
      </c>
      <c r="P2" t="s">
        <v>179</v>
      </c>
      <c r="Q2" s="1">
        <v>0.10199999999999999</v>
      </c>
      <c r="R2" s="9"/>
      <c r="S2" s="2"/>
      <c r="T2" s="2" t="s">
        <v>125</v>
      </c>
      <c r="U2" s="1">
        <f>1-0.3361</f>
        <v>0.66389999999999993</v>
      </c>
      <c r="V2" s="2">
        <v>17.399999999999999</v>
      </c>
      <c r="W2" s="2"/>
      <c r="X2" s="2">
        <f>50/32</f>
        <v>1.5625</v>
      </c>
      <c r="Y2" s="2"/>
      <c r="Z2" s="2">
        <v>54.2</v>
      </c>
      <c r="AA2" s="2"/>
    </row>
    <row r="3" spans="1:27" x14ac:dyDescent="0.3">
      <c r="A3" s="1">
        <v>3.03</v>
      </c>
      <c r="B3" s="1"/>
      <c r="C3" s="1">
        <v>513</v>
      </c>
      <c r="D3" s="1">
        <v>4</v>
      </c>
      <c r="E3" s="4" t="s">
        <v>338</v>
      </c>
      <c r="F3" s="1"/>
      <c r="G3" s="1">
        <v>25.6</v>
      </c>
      <c r="H3" s="1" t="s">
        <v>62</v>
      </c>
      <c r="I3" s="1"/>
      <c r="J3" s="1"/>
      <c r="K3" s="1"/>
      <c r="L3" s="1"/>
      <c r="M3" s="1"/>
      <c r="N3" s="9" t="s">
        <v>124</v>
      </c>
      <c r="O3" s="1">
        <v>0.63749999999999996</v>
      </c>
      <c r="P3" s="9" t="s">
        <v>179</v>
      </c>
      <c r="Q3" s="1">
        <v>0.28299999999999997</v>
      </c>
      <c r="S3" s="1"/>
      <c r="T3" s="1" t="s">
        <v>125</v>
      </c>
      <c r="U3" s="1">
        <v>7.9000000000000001E-2</v>
      </c>
      <c r="V3" s="1">
        <v>59.8</v>
      </c>
      <c r="W3" s="1"/>
      <c r="X3" s="1">
        <f>0.126*45</f>
        <v>5.67</v>
      </c>
      <c r="Y3" s="1"/>
      <c r="Z3" s="1">
        <v>73.900000000000006</v>
      </c>
      <c r="AA3" s="1"/>
    </row>
    <row r="4" spans="1:27" x14ac:dyDescent="0.3">
      <c r="A4" s="1">
        <v>3.03</v>
      </c>
      <c r="B4" s="1"/>
      <c r="C4" s="1">
        <f>260+273</f>
        <v>533</v>
      </c>
      <c r="D4" s="1">
        <v>3</v>
      </c>
      <c r="E4" s="4" t="s">
        <v>338</v>
      </c>
      <c r="F4" s="1"/>
      <c r="G4" s="1">
        <v>25.6</v>
      </c>
      <c r="H4" s="1" t="s">
        <v>62</v>
      </c>
      <c r="I4" s="1"/>
      <c r="J4" s="1"/>
      <c r="K4" s="1"/>
      <c r="L4" s="1"/>
      <c r="M4" s="1"/>
      <c r="N4" s="9" t="s">
        <v>124</v>
      </c>
      <c r="O4" s="1">
        <v>0.63749999999999996</v>
      </c>
      <c r="P4" s="9" t="s">
        <v>179</v>
      </c>
      <c r="Q4" s="1">
        <v>0.28299999999999997</v>
      </c>
      <c r="S4" s="1"/>
      <c r="T4" s="1" t="s">
        <v>125</v>
      </c>
      <c r="U4" s="1">
        <v>7.9000000000000001E-2</v>
      </c>
      <c r="V4" s="1">
        <v>58.2</v>
      </c>
      <c r="W4" s="1"/>
      <c r="X4" s="1">
        <f>0.126*36.7</f>
        <v>4.6242000000000001</v>
      </c>
      <c r="Y4" s="1"/>
      <c r="Z4" s="1">
        <v>62.5</v>
      </c>
      <c r="AA4" s="1"/>
    </row>
    <row r="5" spans="1:27" x14ac:dyDescent="0.3">
      <c r="A5" s="1">
        <v>3.03</v>
      </c>
      <c r="B5" s="1"/>
      <c r="C5" s="1">
        <v>513</v>
      </c>
      <c r="D5" s="1">
        <v>3</v>
      </c>
      <c r="E5" s="4" t="s">
        <v>338</v>
      </c>
      <c r="F5" s="1"/>
      <c r="G5" s="1">
        <v>25.6</v>
      </c>
      <c r="H5" s="1" t="s">
        <v>62</v>
      </c>
      <c r="I5" s="1"/>
      <c r="J5" s="1"/>
      <c r="K5" s="1"/>
      <c r="L5" s="1"/>
      <c r="M5" s="1"/>
      <c r="N5" s="9" t="s">
        <v>124</v>
      </c>
      <c r="O5" s="1">
        <v>0.63749999999999996</v>
      </c>
      <c r="P5" s="9" t="s">
        <v>179</v>
      </c>
      <c r="Q5" s="1">
        <v>0.28299999999999997</v>
      </c>
      <c r="S5" s="1"/>
      <c r="T5" s="1" t="s">
        <v>125</v>
      </c>
      <c r="U5" s="1">
        <v>7.9000000000000001E-2</v>
      </c>
      <c r="V5" s="1">
        <v>49.9</v>
      </c>
      <c r="W5" s="1"/>
      <c r="X5" s="1">
        <v>4.09</v>
      </c>
      <c r="Y5" s="1"/>
      <c r="Z5" s="1">
        <v>64.5</v>
      </c>
      <c r="AA5" s="1"/>
    </row>
    <row r="6" spans="1:27" x14ac:dyDescent="0.3">
      <c r="A6" s="1">
        <v>3.03</v>
      </c>
      <c r="B6" s="1"/>
      <c r="C6" s="1">
        <v>513</v>
      </c>
      <c r="D6" s="1">
        <v>2</v>
      </c>
      <c r="E6" s="4" t="s">
        <v>338</v>
      </c>
      <c r="F6" s="1"/>
      <c r="G6" s="1">
        <v>25.6</v>
      </c>
      <c r="H6" s="1" t="s">
        <v>62</v>
      </c>
      <c r="I6" s="2"/>
      <c r="J6" s="1"/>
      <c r="K6" s="1"/>
      <c r="L6" s="1"/>
      <c r="M6" s="1"/>
      <c r="N6" s="9" t="s">
        <v>124</v>
      </c>
      <c r="O6" s="1">
        <v>0.63749999999999996</v>
      </c>
      <c r="P6" s="9" t="s">
        <v>179</v>
      </c>
      <c r="Q6" s="1">
        <v>0.28299999999999997</v>
      </c>
      <c r="S6" s="1"/>
      <c r="T6" s="1" t="s">
        <v>125</v>
      </c>
      <c r="U6" s="1">
        <v>7.9000000000000001E-2</v>
      </c>
      <c r="V6" s="1">
        <v>40</v>
      </c>
      <c r="W6" s="1"/>
      <c r="X6" s="1">
        <f>0.126*53.7</f>
        <v>6.7662000000000004</v>
      </c>
      <c r="Y6" s="1"/>
      <c r="Z6" s="1">
        <v>54.1</v>
      </c>
      <c r="AA6" s="1"/>
    </row>
    <row r="7" spans="1:27" x14ac:dyDescent="0.3">
      <c r="A7">
        <v>3</v>
      </c>
      <c r="C7">
        <v>303</v>
      </c>
      <c r="D7">
        <v>0.1</v>
      </c>
      <c r="E7" t="s">
        <v>196</v>
      </c>
      <c r="G7">
        <v>4.67</v>
      </c>
      <c r="H7" t="s">
        <v>111</v>
      </c>
      <c r="I7">
        <v>63.6</v>
      </c>
      <c r="N7" t="s">
        <v>182</v>
      </c>
      <c r="O7">
        <v>0.02</v>
      </c>
      <c r="T7" s="1" t="s">
        <v>104</v>
      </c>
      <c r="U7">
        <v>0.98</v>
      </c>
      <c r="V7">
        <v>37</v>
      </c>
      <c r="X7">
        <v>11.09</v>
      </c>
      <c r="Z7">
        <v>62.6</v>
      </c>
    </row>
    <row r="8" spans="1:27" x14ac:dyDescent="0.3">
      <c r="A8">
        <v>4</v>
      </c>
      <c r="C8">
        <f>C7+20</f>
        <v>323</v>
      </c>
      <c r="D8">
        <v>3</v>
      </c>
      <c r="E8" s="2" t="s">
        <v>332</v>
      </c>
      <c r="G8">
        <v>1.4</v>
      </c>
      <c r="H8" s="1" t="s">
        <v>61</v>
      </c>
      <c r="I8" s="2">
        <v>400.7</v>
      </c>
      <c r="J8">
        <v>0.59140000000000004</v>
      </c>
      <c r="K8">
        <v>5.2218999999999998</v>
      </c>
      <c r="M8">
        <v>31.8</v>
      </c>
      <c r="N8" s="9" t="s">
        <v>124</v>
      </c>
      <c r="O8">
        <v>0.107</v>
      </c>
      <c r="T8" s="1" t="s">
        <v>127</v>
      </c>
      <c r="U8">
        <f>1-O8</f>
        <v>0.89300000000000002</v>
      </c>
      <c r="V8">
        <v>35.1</v>
      </c>
      <c r="X8">
        <f>80/32</f>
        <v>2.5</v>
      </c>
      <c r="Z8">
        <v>6.1</v>
      </c>
    </row>
    <row r="9" spans="1:27" x14ac:dyDescent="0.3">
      <c r="A9" s="1">
        <v>3.03</v>
      </c>
      <c r="B9" s="1"/>
      <c r="C9" s="1">
        <f>220+273</f>
        <v>493</v>
      </c>
      <c r="D9" s="1">
        <v>3</v>
      </c>
      <c r="E9" s="4" t="s">
        <v>338</v>
      </c>
      <c r="F9" s="1"/>
      <c r="G9" s="1">
        <v>25.6</v>
      </c>
      <c r="H9" s="1" t="s">
        <v>62</v>
      </c>
      <c r="I9" s="1"/>
      <c r="J9" s="1"/>
      <c r="K9" s="1"/>
      <c r="L9" s="1"/>
      <c r="M9" s="1"/>
      <c r="N9" s="9" t="s">
        <v>124</v>
      </c>
      <c r="O9" s="1">
        <v>0.63749999999999996</v>
      </c>
      <c r="P9" s="9" t="s">
        <v>179</v>
      </c>
      <c r="Q9" s="1">
        <v>0.28299999999999997</v>
      </c>
      <c r="S9" s="1"/>
      <c r="T9" s="1" t="s">
        <v>125</v>
      </c>
      <c r="U9" s="1">
        <v>7.9000000000000001E-2</v>
      </c>
      <c r="V9" s="1">
        <v>34.200000000000003</v>
      </c>
      <c r="W9" s="1"/>
      <c r="X9" s="1">
        <f>0.126*22.8</f>
        <v>2.8728000000000002</v>
      </c>
      <c r="Y9" s="1"/>
      <c r="Z9" s="1">
        <v>67</v>
      </c>
      <c r="AA9" s="1"/>
    </row>
    <row r="10" spans="1:27" x14ac:dyDescent="0.3">
      <c r="A10">
        <v>4</v>
      </c>
      <c r="C10">
        <f>C9+20</f>
        <v>513</v>
      </c>
      <c r="D10">
        <v>3</v>
      </c>
      <c r="E10" s="2" t="s">
        <v>332</v>
      </c>
      <c r="G10">
        <v>1.4</v>
      </c>
      <c r="H10" s="1" t="s">
        <v>61</v>
      </c>
      <c r="I10" s="2">
        <v>400.7</v>
      </c>
      <c r="J10">
        <v>0.59140000000000004</v>
      </c>
      <c r="K10">
        <v>5.2218999999999998</v>
      </c>
      <c r="M10">
        <v>31.8</v>
      </c>
      <c r="N10" s="9" t="s">
        <v>124</v>
      </c>
      <c r="O10">
        <v>0.107</v>
      </c>
      <c r="T10" s="1" t="s">
        <v>127</v>
      </c>
      <c r="U10">
        <f>1-O10</f>
        <v>0.89300000000000002</v>
      </c>
      <c r="V10">
        <v>33.6</v>
      </c>
      <c r="X10">
        <f>115/32</f>
        <v>3.59375</v>
      </c>
      <c r="Z10">
        <v>9.8000000000000007</v>
      </c>
    </row>
    <row r="11" spans="1:27" x14ac:dyDescent="0.3">
      <c r="A11">
        <v>4</v>
      </c>
      <c r="C11">
        <f>C10+20</f>
        <v>533</v>
      </c>
      <c r="D11">
        <v>3</v>
      </c>
      <c r="E11" s="2" t="s">
        <v>332</v>
      </c>
      <c r="G11">
        <v>1.4</v>
      </c>
      <c r="H11" s="1" t="s">
        <v>61</v>
      </c>
      <c r="I11" s="2">
        <v>400.7</v>
      </c>
      <c r="J11">
        <v>0.59140000000000004</v>
      </c>
      <c r="K11">
        <v>5.2218999999999998</v>
      </c>
      <c r="M11">
        <v>31.8</v>
      </c>
      <c r="N11" s="9" t="s">
        <v>124</v>
      </c>
      <c r="O11">
        <v>0.107</v>
      </c>
      <c r="T11" s="1" t="s">
        <v>127</v>
      </c>
      <c r="U11">
        <f>1-O11</f>
        <v>0.89300000000000002</v>
      </c>
      <c r="V11">
        <v>29.5</v>
      </c>
      <c r="X11">
        <f>144/32</f>
        <v>4.5</v>
      </c>
      <c r="Z11">
        <v>11.2</v>
      </c>
    </row>
    <row r="12" spans="1:27" x14ac:dyDescent="0.3">
      <c r="A12">
        <v>4</v>
      </c>
      <c r="C12">
        <v>593</v>
      </c>
      <c r="D12">
        <v>3</v>
      </c>
      <c r="E12" s="2" t="s">
        <v>332</v>
      </c>
      <c r="G12">
        <v>1.4</v>
      </c>
      <c r="H12" s="1" t="s">
        <v>61</v>
      </c>
      <c r="I12" s="2">
        <v>400.7</v>
      </c>
      <c r="J12">
        <v>0.59140000000000004</v>
      </c>
      <c r="K12">
        <v>5.2218999999999998</v>
      </c>
      <c r="M12">
        <v>31.8</v>
      </c>
      <c r="N12" s="9" t="s">
        <v>124</v>
      </c>
      <c r="O12">
        <v>0.107</v>
      </c>
      <c r="T12" s="1" t="s">
        <v>127</v>
      </c>
      <c r="U12">
        <f>1-O12</f>
        <v>0.89300000000000002</v>
      </c>
      <c r="V12">
        <v>28</v>
      </c>
      <c r="X12">
        <v>8.1300000000000008</v>
      </c>
      <c r="Z12">
        <v>21.3</v>
      </c>
    </row>
    <row r="13" spans="1:27" x14ac:dyDescent="0.3">
      <c r="A13">
        <v>3</v>
      </c>
      <c r="C13">
        <v>523</v>
      </c>
      <c r="D13">
        <v>5</v>
      </c>
      <c r="E13" t="s">
        <v>323</v>
      </c>
      <c r="G13">
        <v>1.87</v>
      </c>
      <c r="H13" t="s">
        <v>44</v>
      </c>
      <c r="I13">
        <v>107</v>
      </c>
      <c r="J13">
        <v>0.62</v>
      </c>
      <c r="M13">
        <v>34.299999999999997</v>
      </c>
      <c r="N13" t="s">
        <v>124</v>
      </c>
      <c r="O13">
        <v>0.57699999999999996</v>
      </c>
      <c r="P13" t="s">
        <v>179</v>
      </c>
      <c r="Q13">
        <v>0.27300000000000002</v>
      </c>
      <c r="R13" t="s">
        <v>147</v>
      </c>
      <c r="S13">
        <v>4.1000000000000002E-2</v>
      </c>
      <c r="T13" s="1" t="s">
        <v>125</v>
      </c>
      <c r="U13">
        <v>0.1077</v>
      </c>
      <c r="V13">
        <v>26.9</v>
      </c>
      <c r="X13">
        <v>16.25</v>
      </c>
      <c r="Z13">
        <v>47.1</v>
      </c>
    </row>
    <row r="14" spans="1:27" x14ac:dyDescent="0.3">
      <c r="A14">
        <v>3.89</v>
      </c>
      <c r="C14">
        <f>320+273</f>
        <v>593</v>
      </c>
      <c r="D14">
        <v>5</v>
      </c>
      <c r="E14" s="2" t="s">
        <v>323</v>
      </c>
      <c r="F14">
        <v>10000</v>
      </c>
      <c r="H14" s="1"/>
      <c r="I14" s="2">
        <v>40</v>
      </c>
      <c r="J14">
        <v>0.37</v>
      </c>
      <c r="K14">
        <v>20</v>
      </c>
      <c r="L14">
        <v>9.6999999999999993</v>
      </c>
      <c r="M14">
        <v>14.5</v>
      </c>
      <c r="N14" s="9" t="s">
        <v>124</v>
      </c>
      <c r="O14" s="2">
        <v>0.375</v>
      </c>
      <c r="P14" s="9" t="s">
        <v>179</v>
      </c>
      <c r="Q14" s="2">
        <v>0.41</v>
      </c>
      <c r="T14" s="1" t="s">
        <v>129</v>
      </c>
      <c r="U14">
        <v>0.215</v>
      </c>
      <c r="V14">
        <v>26.8</v>
      </c>
      <c r="X14">
        <f>262/32</f>
        <v>8.1875</v>
      </c>
      <c r="Z14">
        <v>14</v>
      </c>
    </row>
    <row r="15" spans="1:27" x14ac:dyDescent="0.3">
      <c r="A15">
        <v>3</v>
      </c>
      <c r="C15">
        <v>523</v>
      </c>
      <c r="D15">
        <v>5</v>
      </c>
      <c r="E15" s="3" t="s">
        <v>323</v>
      </c>
      <c r="G15">
        <v>5.6</v>
      </c>
      <c r="H15" s="1" t="s">
        <v>79</v>
      </c>
      <c r="I15" s="2">
        <v>69</v>
      </c>
      <c r="J15">
        <v>0.49</v>
      </c>
      <c r="L15">
        <v>6.5</v>
      </c>
      <c r="N15" s="9" t="s">
        <v>124</v>
      </c>
      <c r="O15">
        <v>0.56399999999999995</v>
      </c>
      <c r="P15" s="9" t="s">
        <v>179</v>
      </c>
      <c r="Q15">
        <v>0.26600000000000001</v>
      </c>
      <c r="R15" t="s">
        <v>185</v>
      </c>
      <c r="S15">
        <v>0.13500000000000001</v>
      </c>
      <c r="T15" s="1" t="s">
        <v>129</v>
      </c>
      <c r="U15">
        <v>3.3000000000000002E-2</v>
      </c>
      <c r="V15">
        <v>25.9</v>
      </c>
      <c r="X15">
        <f>218.7/32</f>
        <v>6.8343749999999996</v>
      </c>
      <c r="Z15">
        <v>61.5</v>
      </c>
    </row>
    <row r="16" spans="1:27" x14ac:dyDescent="0.3">
      <c r="A16">
        <v>3.89</v>
      </c>
      <c r="C16">
        <f>320+273</f>
        <v>593</v>
      </c>
      <c r="D16">
        <v>5</v>
      </c>
      <c r="E16" s="2" t="s">
        <v>323</v>
      </c>
      <c r="F16">
        <v>10000</v>
      </c>
      <c r="H16" s="1"/>
      <c r="I16" s="2">
        <v>79</v>
      </c>
      <c r="J16">
        <v>0.38</v>
      </c>
      <c r="K16">
        <v>17</v>
      </c>
      <c r="L16">
        <v>10</v>
      </c>
      <c r="M16">
        <v>10.5</v>
      </c>
      <c r="N16" s="9" t="s">
        <v>124</v>
      </c>
      <c r="O16" s="2">
        <v>0.375</v>
      </c>
      <c r="P16" s="9" t="s">
        <v>179</v>
      </c>
      <c r="Q16" s="2">
        <v>0.41</v>
      </c>
      <c r="T16" s="1" t="s">
        <v>129</v>
      </c>
      <c r="U16">
        <v>0.215</v>
      </c>
      <c r="V16">
        <v>25.7</v>
      </c>
      <c r="X16">
        <f>165/32</f>
        <v>5.15625</v>
      </c>
      <c r="Z16">
        <v>14</v>
      </c>
    </row>
    <row r="17" spans="1:26" x14ac:dyDescent="0.3">
      <c r="A17">
        <v>3</v>
      </c>
      <c r="C17">
        <v>523</v>
      </c>
      <c r="D17">
        <v>5</v>
      </c>
      <c r="E17" s="3" t="s">
        <v>323</v>
      </c>
      <c r="G17">
        <v>5.6</v>
      </c>
      <c r="H17" s="1" t="s">
        <v>63</v>
      </c>
      <c r="I17" s="2">
        <v>75</v>
      </c>
      <c r="J17">
        <v>0.55000000000000004</v>
      </c>
      <c r="L17">
        <v>6.8</v>
      </c>
      <c r="N17" s="9" t="s">
        <v>124</v>
      </c>
      <c r="O17">
        <v>0.54700000000000004</v>
      </c>
      <c r="P17" s="9" t="s">
        <v>179</v>
      </c>
      <c r="Q17">
        <v>0.25700000000000001</v>
      </c>
      <c r="R17" t="s">
        <v>185</v>
      </c>
      <c r="S17">
        <v>0.16300000000000001</v>
      </c>
      <c r="T17" s="1" t="s">
        <v>129</v>
      </c>
      <c r="U17">
        <v>3.2000000000000001E-2</v>
      </c>
      <c r="V17">
        <v>25.2</v>
      </c>
      <c r="X17">
        <f>209.7/32</f>
        <v>6.5531249999999996</v>
      </c>
      <c r="Z17">
        <v>60.6</v>
      </c>
    </row>
    <row r="18" spans="1:26" x14ac:dyDescent="0.3">
      <c r="A18">
        <v>3</v>
      </c>
      <c r="C18">
        <v>523</v>
      </c>
      <c r="D18">
        <v>5</v>
      </c>
      <c r="E18" t="s">
        <v>323</v>
      </c>
      <c r="G18">
        <v>1.87</v>
      </c>
      <c r="H18" t="s">
        <v>48</v>
      </c>
      <c r="I18">
        <v>71</v>
      </c>
      <c r="J18">
        <v>0.42</v>
      </c>
      <c r="M18">
        <v>25</v>
      </c>
      <c r="N18" t="s">
        <v>124</v>
      </c>
      <c r="O18">
        <v>0.57299999999999995</v>
      </c>
      <c r="P18" t="s">
        <v>179</v>
      </c>
      <c r="Q18">
        <v>0.28499999999999998</v>
      </c>
      <c r="R18" t="s">
        <v>128</v>
      </c>
      <c r="S18">
        <v>3.6999999999999998E-2</v>
      </c>
      <c r="T18" s="1" t="s">
        <v>125</v>
      </c>
      <c r="U18">
        <v>0.104</v>
      </c>
      <c r="V18">
        <v>24.7</v>
      </c>
      <c r="X18">
        <v>15.31</v>
      </c>
      <c r="Z18">
        <v>48</v>
      </c>
    </row>
    <row r="19" spans="1:26" x14ac:dyDescent="0.3">
      <c r="A19">
        <v>3</v>
      </c>
      <c r="C19">
        <v>523</v>
      </c>
      <c r="D19">
        <v>5</v>
      </c>
      <c r="E19" s="3" t="s">
        <v>323</v>
      </c>
      <c r="G19">
        <v>5.6</v>
      </c>
      <c r="H19" s="1" t="s">
        <v>167</v>
      </c>
      <c r="I19">
        <v>78</v>
      </c>
      <c r="J19">
        <v>0.56999999999999995</v>
      </c>
      <c r="L19">
        <v>7</v>
      </c>
      <c r="N19" s="9" t="s">
        <v>124</v>
      </c>
      <c r="O19">
        <v>0.53200000000000003</v>
      </c>
      <c r="P19" s="9" t="s">
        <v>179</v>
      </c>
      <c r="Q19">
        <v>0.248</v>
      </c>
      <c r="R19" t="s">
        <v>185</v>
      </c>
      <c r="S19">
        <v>0.188</v>
      </c>
      <c r="T19" s="1" t="s">
        <v>129</v>
      </c>
      <c r="U19">
        <v>3.1E-2</v>
      </c>
      <c r="V19">
        <v>24.7</v>
      </c>
      <c r="X19">
        <f>199.1/32</f>
        <v>6.2218749999999998</v>
      </c>
      <c r="Z19">
        <v>58.7</v>
      </c>
    </row>
    <row r="20" spans="1:26" x14ac:dyDescent="0.3">
      <c r="A20">
        <v>3</v>
      </c>
      <c r="C20">
        <v>543</v>
      </c>
      <c r="D20">
        <v>5</v>
      </c>
      <c r="E20" s="2" t="s">
        <v>340</v>
      </c>
      <c r="F20">
        <v>4600</v>
      </c>
      <c r="I20" s="2">
        <v>50.8</v>
      </c>
      <c r="L20">
        <v>17.600000000000001</v>
      </c>
      <c r="M20">
        <v>18.600000000000001</v>
      </c>
      <c r="N20" s="9" t="s">
        <v>124</v>
      </c>
      <c r="O20">
        <v>0.59799999999999998</v>
      </c>
      <c r="P20" s="9" t="s">
        <v>179</v>
      </c>
      <c r="Q20">
        <v>0.308</v>
      </c>
      <c r="R20" t="s">
        <v>185</v>
      </c>
      <c r="S20">
        <v>2.1000000000000001E-2</v>
      </c>
      <c r="T20" s="1" t="s">
        <v>129</v>
      </c>
      <c r="U20">
        <v>7.1599999999999997E-2</v>
      </c>
      <c r="V20">
        <v>24.5</v>
      </c>
      <c r="Z20">
        <v>57.6</v>
      </c>
    </row>
    <row r="21" spans="1:26" x14ac:dyDescent="0.3">
      <c r="A21">
        <v>3</v>
      </c>
      <c r="C21">
        <v>523</v>
      </c>
      <c r="D21">
        <v>1.5</v>
      </c>
      <c r="E21" t="s">
        <v>327</v>
      </c>
      <c r="F21">
        <v>2444</v>
      </c>
      <c r="G21">
        <v>1.4</v>
      </c>
      <c r="H21" s="1" t="s">
        <v>144</v>
      </c>
      <c r="N21" t="s">
        <v>124</v>
      </c>
      <c r="O21">
        <v>7.3999999999999996E-2</v>
      </c>
      <c r="P21" t="s">
        <v>179</v>
      </c>
      <c r="Q21">
        <v>7.5999999999999998E-2</v>
      </c>
      <c r="T21" s="1" t="s">
        <v>300</v>
      </c>
      <c r="U21">
        <v>0.85</v>
      </c>
      <c r="V21">
        <v>24.16</v>
      </c>
      <c r="X21">
        <v>12.67</v>
      </c>
    </row>
    <row r="22" spans="1:26" x14ac:dyDescent="0.3">
      <c r="A22">
        <v>3.89</v>
      </c>
      <c r="C22">
        <v>573</v>
      </c>
      <c r="D22">
        <v>5</v>
      </c>
      <c r="E22" s="2" t="s">
        <v>323</v>
      </c>
      <c r="F22">
        <v>10000</v>
      </c>
      <c r="H22" s="1"/>
      <c r="I22" s="2">
        <v>79</v>
      </c>
      <c r="J22">
        <v>0.38</v>
      </c>
      <c r="K22">
        <v>17</v>
      </c>
      <c r="L22">
        <v>10</v>
      </c>
      <c r="M22">
        <v>10.5</v>
      </c>
      <c r="N22" s="9" t="s">
        <v>124</v>
      </c>
      <c r="O22" s="2">
        <v>0.375</v>
      </c>
      <c r="P22" s="9" t="s">
        <v>179</v>
      </c>
      <c r="Q22" s="2">
        <v>0.41</v>
      </c>
      <c r="T22" s="1" t="s">
        <v>129</v>
      </c>
      <c r="U22">
        <v>0.215</v>
      </c>
      <c r="V22">
        <v>24</v>
      </c>
      <c r="X22">
        <f>248/32</f>
        <v>7.75</v>
      </c>
      <c r="Z22">
        <v>22</v>
      </c>
    </row>
    <row r="23" spans="1:26" x14ac:dyDescent="0.3">
      <c r="A23">
        <v>3.89</v>
      </c>
      <c r="C23">
        <v>573</v>
      </c>
      <c r="D23">
        <v>5</v>
      </c>
      <c r="E23" s="2" t="s">
        <v>323</v>
      </c>
      <c r="F23">
        <v>10000</v>
      </c>
      <c r="H23" s="1"/>
      <c r="I23" s="2">
        <v>40</v>
      </c>
      <c r="J23">
        <v>0.37</v>
      </c>
      <c r="K23">
        <v>20</v>
      </c>
      <c r="L23">
        <v>9.6999999999999993</v>
      </c>
      <c r="M23">
        <v>14.5</v>
      </c>
      <c r="N23" s="9" t="s">
        <v>124</v>
      </c>
      <c r="O23" s="2">
        <v>0.375</v>
      </c>
      <c r="P23" s="9" t="s">
        <v>179</v>
      </c>
      <c r="Q23" s="2">
        <v>0.41</v>
      </c>
      <c r="T23" s="1" t="s">
        <v>129</v>
      </c>
      <c r="U23">
        <v>0.215</v>
      </c>
      <c r="V23">
        <v>23.9</v>
      </c>
      <c r="X23">
        <f>366/32</f>
        <v>11.4375</v>
      </c>
      <c r="Z23">
        <v>22</v>
      </c>
    </row>
    <row r="24" spans="1:26" x14ac:dyDescent="0.3">
      <c r="A24">
        <v>3</v>
      </c>
      <c r="C24">
        <v>523</v>
      </c>
      <c r="D24">
        <v>5</v>
      </c>
      <c r="E24" s="3" t="s">
        <v>323</v>
      </c>
      <c r="G24">
        <v>5.6</v>
      </c>
      <c r="H24" s="1" t="s">
        <v>169</v>
      </c>
      <c r="I24" s="2">
        <v>82</v>
      </c>
      <c r="J24">
        <v>0.59</v>
      </c>
      <c r="L24">
        <v>12.7</v>
      </c>
      <c r="N24" s="9" t="s">
        <v>124</v>
      </c>
      <c r="O24">
        <v>0.51400000000000001</v>
      </c>
      <c r="P24" s="9" t="s">
        <v>179</v>
      </c>
      <c r="Q24">
        <v>0.23699999999999999</v>
      </c>
      <c r="R24" t="s">
        <v>185</v>
      </c>
      <c r="S24">
        <v>0.219</v>
      </c>
      <c r="T24" s="1" t="s">
        <v>129</v>
      </c>
      <c r="U24">
        <v>2.9000000000000001E-2</v>
      </c>
      <c r="V24">
        <v>23.7</v>
      </c>
      <c r="X24">
        <f>187.8/32</f>
        <v>5.8687500000000004</v>
      </c>
      <c r="Z24">
        <v>57.7</v>
      </c>
    </row>
    <row r="25" spans="1:26" x14ac:dyDescent="0.3">
      <c r="A25">
        <v>3</v>
      </c>
      <c r="C25">
        <v>523</v>
      </c>
      <c r="D25">
        <v>5</v>
      </c>
      <c r="E25" t="s">
        <v>323</v>
      </c>
      <c r="G25">
        <v>1.87</v>
      </c>
      <c r="H25" t="s">
        <v>47</v>
      </c>
      <c r="I25">
        <v>59</v>
      </c>
      <c r="J25">
        <v>0.42</v>
      </c>
      <c r="M25">
        <v>21.2</v>
      </c>
      <c r="N25" t="s">
        <v>124</v>
      </c>
      <c r="O25">
        <v>0.56399999999999995</v>
      </c>
      <c r="P25" t="s">
        <v>179</v>
      </c>
      <c r="Q25">
        <v>0.27</v>
      </c>
      <c r="R25" t="s">
        <v>133</v>
      </c>
      <c r="S25">
        <v>6.0999999999999999E-2</v>
      </c>
      <c r="T25" s="1" t="s">
        <v>125</v>
      </c>
      <c r="U25">
        <v>0.105</v>
      </c>
      <c r="V25">
        <v>23.6</v>
      </c>
      <c r="X25">
        <v>14.06</v>
      </c>
      <c r="Z25">
        <v>45.9</v>
      </c>
    </row>
    <row r="26" spans="1:26" x14ac:dyDescent="0.3">
      <c r="A26">
        <v>4</v>
      </c>
      <c r="C26">
        <f>C25+20</f>
        <v>543</v>
      </c>
      <c r="D26">
        <v>3</v>
      </c>
      <c r="E26" s="2" t="s">
        <v>332</v>
      </c>
      <c r="G26">
        <v>1.4</v>
      </c>
      <c r="H26" s="1" t="s">
        <v>61</v>
      </c>
      <c r="I26" s="2">
        <v>400.7</v>
      </c>
      <c r="J26">
        <v>0.59140000000000004</v>
      </c>
      <c r="K26">
        <v>5.2218999999999998</v>
      </c>
      <c r="M26">
        <v>31.8</v>
      </c>
      <c r="N26" s="9" t="s">
        <v>124</v>
      </c>
      <c r="O26">
        <v>0.107</v>
      </c>
      <c r="P26" s="9"/>
      <c r="T26" s="1" t="s">
        <v>127</v>
      </c>
      <c r="U26">
        <f>1-O26</f>
        <v>0.89300000000000002</v>
      </c>
      <c r="V26">
        <v>23.5</v>
      </c>
      <c r="X26">
        <f>265/32</f>
        <v>8.28125</v>
      </c>
      <c r="Z26">
        <v>26.2</v>
      </c>
    </row>
    <row r="27" spans="1:26" x14ac:dyDescent="0.3">
      <c r="A27">
        <v>3</v>
      </c>
      <c r="C27">
        <v>533</v>
      </c>
      <c r="D27">
        <v>3</v>
      </c>
      <c r="E27" t="s">
        <v>331</v>
      </c>
      <c r="G27">
        <v>2.99</v>
      </c>
      <c r="H27" s="1" t="s">
        <v>218</v>
      </c>
      <c r="I27">
        <v>131.19999999999999</v>
      </c>
      <c r="J27">
        <v>0.502</v>
      </c>
      <c r="L27">
        <v>18.5</v>
      </c>
      <c r="M27">
        <v>29.6</v>
      </c>
      <c r="N27" t="s">
        <v>124</v>
      </c>
      <c r="O27">
        <v>0.54400000000000004</v>
      </c>
      <c r="P27" t="s">
        <v>136</v>
      </c>
      <c r="Q27">
        <v>0.28710000000000002</v>
      </c>
      <c r="R27" t="s">
        <v>133</v>
      </c>
      <c r="S27">
        <v>0.16850000000000001</v>
      </c>
      <c r="T27" s="1" t="s">
        <v>142</v>
      </c>
      <c r="U27">
        <v>8.9399999999999993E-2</v>
      </c>
      <c r="V27">
        <v>23.3</v>
      </c>
      <c r="X27">
        <v>9.33</v>
      </c>
      <c r="Z27">
        <v>59.8</v>
      </c>
    </row>
    <row r="28" spans="1:26" x14ac:dyDescent="0.3">
      <c r="A28">
        <v>3</v>
      </c>
      <c r="C28">
        <v>523</v>
      </c>
      <c r="D28">
        <v>5</v>
      </c>
      <c r="E28" t="s">
        <v>323</v>
      </c>
      <c r="G28">
        <v>1.87</v>
      </c>
      <c r="H28" t="s">
        <v>46</v>
      </c>
      <c r="I28">
        <v>57</v>
      </c>
      <c r="J28">
        <v>0.3</v>
      </c>
      <c r="M28">
        <v>20.5</v>
      </c>
      <c r="N28" t="s">
        <v>124</v>
      </c>
      <c r="O28">
        <v>0.56100000000000005</v>
      </c>
      <c r="P28" t="s">
        <v>179</v>
      </c>
      <c r="Q28">
        <v>0.27900000000000003</v>
      </c>
      <c r="R28" t="s">
        <v>132</v>
      </c>
      <c r="S28">
        <v>5.8000000000000003E-2</v>
      </c>
      <c r="T28" s="1" t="s">
        <v>125</v>
      </c>
      <c r="U28">
        <v>0.10299999999999999</v>
      </c>
      <c r="V28">
        <v>23.3</v>
      </c>
      <c r="X28">
        <v>13.75</v>
      </c>
      <c r="Z28">
        <v>43.8</v>
      </c>
    </row>
    <row r="29" spans="1:26" x14ac:dyDescent="0.3">
      <c r="A29">
        <v>3</v>
      </c>
      <c r="C29">
        <v>523</v>
      </c>
      <c r="D29">
        <v>3</v>
      </c>
      <c r="E29" s="2" t="s">
        <v>323</v>
      </c>
      <c r="F29">
        <v>4000</v>
      </c>
      <c r="H29" s="1" t="s">
        <v>265</v>
      </c>
      <c r="I29" s="2">
        <v>90.66</v>
      </c>
      <c r="J29">
        <v>0.48</v>
      </c>
      <c r="K29">
        <v>4.5</v>
      </c>
      <c r="L29">
        <v>3.03</v>
      </c>
      <c r="M29">
        <v>72.11</v>
      </c>
      <c r="N29" s="9" t="s">
        <v>124</v>
      </c>
      <c r="O29" s="2">
        <v>0.47499999999999998</v>
      </c>
      <c r="P29" s="9" t="s">
        <v>179</v>
      </c>
      <c r="Q29" s="2">
        <v>0.32600000000000001</v>
      </c>
      <c r="R29" t="s">
        <v>185</v>
      </c>
      <c r="S29">
        <v>0.107</v>
      </c>
      <c r="T29" s="2" t="s">
        <v>129</v>
      </c>
      <c r="U29">
        <v>9.0999999999999998E-2</v>
      </c>
      <c r="V29">
        <v>22.97</v>
      </c>
      <c r="X29">
        <v>6.68</v>
      </c>
      <c r="Z29">
        <v>51.16</v>
      </c>
    </row>
    <row r="30" spans="1:26" x14ac:dyDescent="0.3">
      <c r="A30">
        <v>3</v>
      </c>
      <c r="C30">
        <v>503</v>
      </c>
      <c r="D30">
        <v>3</v>
      </c>
      <c r="E30" t="s">
        <v>323</v>
      </c>
      <c r="G30">
        <v>10</v>
      </c>
      <c r="H30" t="s">
        <v>8</v>
      </c>
      <c r="I30">
        <v>61.2</v>
      </c>
      <c r="J30">
        <v>0.5</v>
      </c>
      <c r="K30">
        <v>20.100000000000001</v>
      </c>
      <c r="N30" t="s">
        <v>124</v>
      </c>
      <c r="O30">
        <v>0.54700000000000004</v>
      </c>
      <c r="P30" t="s">
        <v>179</v>
      </c>
      <c r="Q30">
        <v>0.25700000000000001</v>
      </c>
      <c r="R30" t="s">
        <v>133</v>
      </c>
      <c r="S30">
        <v>5.6000000000000001E-2</v>
      </c>
      <c r="T30" s="1" t="s">
        <v>129</v>
      </c>
      <c r="U30">
        <v>0.14000000000000001</v>
      </c>
      <c r="V30">
        <v>22.8</v>
      </c>
      <c r="X30">
        <v>3.2</v>
      </c>
      <c r="Z30">
        <v>53</v>
      </c>
    </row>
    <row r="31" spans="1:26" x14ac:dyDescent="0.3">
      <c r="A31">
        <v>3</v>
      </c>
      <c r="C31">
        <v>503</v>
      </c>
      <c r="D31">
        <v>3</v>
      </c>
      <c r="E31" s="2" t="s">
        <v>335</v>
      </c>
      <c r="F31">
        <v>10000</v>
      </c>
      <c r="H31" s="1" t="s">
        <v>54</v>
      </c>
      <c r="I31" s="2">
        <v>116</v>
      </c>
      <c r="L31">
        <v>7.1</v>
      </c>
      <c r="M31">
        <v>19.2</v>
      </c>
      <c r="N31" s="9" t="s">
        <v>124</v>
      </c>
      <c r="O31" s="2">
        <v>0.38500000000000001</v>
      </c>
      <c r="P31" s="9" t="s">
        <v>179</v>
      </c>
      <c r="Q31" s="2">
        <v>0.29699999999999999</v>
      </c>
      <c r="R31" t="s">
        <v>185</v>
      </c>
      <c r="S31">
        <v>4.1000000000000002E-2</v>
      </c>
      <c r="T31" s="2" t="s">
        <v>129</v>
      </c>
      <c r="U31">
        <v>0.27700000000000002</v>
      </c>
      <c r="V31">
        <v>22.5</v>
      </c>
      <c r="Z31">
        <v>22.6</v>
      </c>
    </row>
    <row r="32" spans="1:26" x14ac:dyDescent="0.3">
      <c r="A32">
        <v>3</v>
      </c>
      <c r="C32">
        <v>523</v>
      </c>
      <c r="D32">
        <v>3</v>
      </c>
      <c r="E32" s="2" t="s">
        <v>323</v>
      </c>
      <c r="F32">
        <v>4000</v>
      </c>
      <c r="H32" s="1" t="s">
        <v>266</v>
      </c>
      <c r="I32" s="2">
        <v>98.24</v>
      </c>
      <c r="J32">
        <v>0.62</v>
      </c>
      <c r="K32">
        <v>4.2</v>
      </c>
      <c r="L32">
        <v>2.42</v>
      </c>
      <c r="M32">
        <v>90.23</v>
      </c>
      <c r="N32" s="9" t="s">
        <v>124</v>
      </c>
      <c r="O32" s="2">
        <v>0.47499999999999998</v>
      </c>
      <c r="P32" s="9" t="s">
        <v>179</v>
      </c>
      <c r="Q32" s="2">
        <v>0.32600000000000001</v>
      </c>
      <c r="R32" t="s">
        <v>185</v>
      </c>
      <c r="S32">
        <v>0.107</v>
      </c>
      <c r="T32" s="2" t="s">
        <v>129</v>
      </c>
      <c r="U32">
        <v>9.0999999999999998E-2</v>
      </c>
      <c r="V32">
        <v>22.42</v>
      </c>
      <c r="X32">
        <f>205.81/32</f>
        <v>6.4315625000000001</v>
      </c>
      <c r="Z32">
        <v>50.2</v>
      </c>
    </row>
    <row r="33" spans="1:26" x14ac:dyDescent="0.3">
      <c r="A33">
        <v>3</v>
      </c>
      <c r="C33">
        <v>513</v>
      </c>
      <c r="D33">
        <v>5</v>
      </c>
      <c r="E33" t="s">
        <v>324</v>
      </c>
      <c r="G33">
        <v>2.2999999999999998</v>
      </c>
      <c r="H33" t="s">
        <v>6</v>
      </c>
      <c r="I33">
        <v>132</v>
      </c>
      <c r="J33">
        <v>0.28000000000000003</v>
      </c>
      <c r="K33">
        <v>3</v>
      </c>
      <c r="L33">
        <v>3</v>
      </c>
      <c r="M33">
        <v>73</v>
      </c>
      <c r="N33" t="s">
        <v>124</v>
      </c>
      <c r="O33">
        <v>0.432</v>
      </c>
      <c r="P33" t="s">
        <v>136</v>
      </c>
      <c r="Q33">
        <v>0.14499999999999999</v>
      </c>
      <c r="T33" s="1" t="s">
        <v>129</v>
      </c>
      <c r="U33">
        <v>0.42299999999999999</v>
      </c>
      <c r="V33">
        <v>22.4</v>
      </c>
      <c r="X33">
        <v>14.13</v>
      </c>
      <c r="Z33">
        <v>64</v>
      </c>
    </row>
    <row r="34" spans="1:26" x14ac:dyDescent="0.3">
      <c r="A34">
        <v>3</v>
      </c>
      <c r="C34">
        <v>523</v>
      </c>
      <c r="D34">
        <v>5</v>
      </c>
      <c r="E34" t="s">
        <v>323</v>
      </c>
      <c r="G34">
        <v>1.87</v>
      </c>
      <c r="H34" t="s">
        <v>45</v>
      </c>
      <c r="I34">
        <v>48</v>
      </c>
      <c r="J34">
        <v>0.28999999999999998</v>
      </c>
      <c r="M34">
        <v>17.3</v>
      </c>
      <c r="N34" t="s">
        <v>124</v>
      </c>
      <c r="O34">
        <v>0.58799999999999997</v>
      </c>
      <c r="P34" t="s">
        <v>179</v>
      </c>
      <c r="Q34">
        <v>0.27800000000000002</v>
      </c>
      <c r="R34" t="s">
        <v>146</v>
      </c>
      <c r="S34">
        <v>2.5000000000000001E-2</v>
      </c>
      <c r="T34" s="1" t="s">
        <v>125</v>
      </c>
      <c r="U34">
        <v>0.109</v>
      </c>
      <c r="V34">
        <v>22.3</v>
      </c>
      <c r="X34">
        <v>13.13</v>
      </c>
      <c r="Z34">
        <v>43</v>
      </c>
    </row>
    <row r="35" spans="1:26" x14ac:dyDescent="0.3">
      <c r="A35">
        <v>3.89</v>
      </c>
      <c r="C35">
        <v>553</v>
      </c>
      <c r="D35">
        <v>5</v>
      </c>
      <c r="E35" s="2" t="s">
        <v>323</v>
      </c>
      <c r="F35">
        <v>10000</v>
      </c>
      <c r="H35" s="1"/>
      <c r="I35" s="2">
        <v>79</v>
      </c>
      <c r="J35">
        <v>0.38</v>
      </c>
      <c r="K35">
        <v>17</v>
      </c>
      <c r="L35">
        <v>10</v>
      </c>
      <c r="M35">
        <v>10.5</v>
      </c>
      <c r="N35" s="9" t="s">
        <v>124</v>
      </c>
      <c r="O35" s="2">
        <v>0.375</v>
      </c>
      <c r="P35" s="9" t="s">
        <v>179</v>
      </c>
      <c r="Q35" s="2">
        <v>0.41</v>
      </c>
      <c r="T35" s="1" t="s">
        <v>129</v>
      </c>
      <c r="U35">
        <v>0.215</v>
      </c>
      <c r="V35">
        <v>22.2</v>
      </c>
      <c r="X35">
        <f>346/32</f>
        <v>10.8125</v>
      </c>
      <c r="Z35">
        <v>34</v>
      </c>
    </row>
    <row r="36" spans="1:26" x14ac:dyDescent="0.3">
      <c r="A36">
        <v>3</v>
      </c>
      <c r="C36">
        <v>523</v>
      </c>
      <c r="D36">
        <v>5</v>
      </c>
      <c r="E36" s="3" t="s">
        <v>323</v>
      </c>
      <c r="G36">
        <v>5.6</v>
      </c>
      <c r="H36" s="1" t="s">
        <v>171</v>
      </c>
      <c r="I36">
        <v>88</v>
      </c>
      <c r="J36">
        <v>0.62</v>
      </c>
      <c r="L36">
        <v>13.1</v>
      </c>
      <c r="N36" s="9" t="s">
        <v>124</v>
      </c>
      <c r="O36">
        <v>0.48899999999999999</v>
      </c>
      <c r="P36" s="9" t="s">
        <v>179</v>
      </c>
      <c r="Q36">
        <v>0.22800000000000001</v>
      </c>
      <c r="R36" t="s">
        <v>185</v>
      </c>
      <c r="S36">
        <v>0.254</v>
      </c>
      <c r="T36" s="1" t="s">
        <v>129</v>
      </c>
      <c r="U36">
        <v>2.86E-2</v>
      </c>
      <c r="V36">
        <v>22.2</v>
      </c>
      <c r="X36">
        <f>168.3/32</f>
        <v>5.2593750000000004</v>
      </c>
      <c r="Z36">
        <v>55.5</v>
      </c>
    </row>
    <row r="37" spans="1:26" x14ac:dyDescent="0.3">
      <c r="A37">
        <v>3</v>
      </c>
      <c r="C37">
        <v>503</v>
      </c>
      <c r="D37">
        <v>3</v>
      </c>
      <c r="E37" s="2" t="s">
        <v>325</v>
      </c>
      <c r="F37">
        <v>10000</v>
      </c>
      <c r="H37" s="1" t="s">
        <v>267</v>
      </c>
      <c r="I37" s="2">
        <v>114</v>
      </c>
      <c r="L37">
        <v>7.5</v>
      </c>
      <c r="M37">
        <v>16.600000000000001</v>
      </c>
      <c r="N37" s="9" t="s">
        <v>124</v>
      </c>
      <c r="O37" s="2">
        <v>0.38500000000000001</v>
      </c>
      <c r="P37" s="9" t="s">
        <v>179</v>
      </c>
      <c r="Q37" s="2">
        <v>0.29699999999999999</v>
      </c>
      <c r="R37" t="s">
        <v>185</v>
      </c>
      <c r="S37">
        <v>4.1000000000000002E-2</v>
      </c>
      <c r="T37" s="2" t="s">
        <v>129</v>
      </c>
      <c r="U37">
        <v>0.27700000000000002</v>
      </c>
      <c r="V37">
        <v>22</v>
      </c>
      <c r="Z37">
        <v>22.5</v>
      </c>
    </row>
    <row r="38" spans="1:26" x14ac:dyDescent="0.3">
      <c r="A38">
        <v>3</v>
      </c>
      <c r="C38">
        <v>523</v>
      </c>
      <c r="D38">
        <v>5</v>
      </c>
      <c r="E38" s="2" t="s">
        <v>340</v>
      </c>
      <c r="F38">
        <v>4600</v>
      </c>
      <c r="I38" s="2">
        <v>50.8</v>
      </c>
      <c r="L38">
        <v>17.600000000000001</v>
      </c>
      <c r="M38">
        <v>18.600000000000001</v>
      </c>
      <c r="N38" s="9" t="s">
        <v>124</v>
      </c>
      <c r="O38">
        <v>0.59799999999999998</v>
      </c>
      <c r="P38" s="9" t="s">
        <v>179</v>
      </c>
      <c r="Q38">
        <v>0.308</v>
      </c>
      <c r="R38" t="s">
        <v>185</v>
      </c>
      <c r="S38">
        <v>2.1000000000000001E-2</v>
      </c>
      <c r="T38" s="1" t="s">
        <v>129</v>
      </c>
      <c r="U38">
        <v>7.1599999999999997E-2</v>
      </c>
      <c r="V38">
        <v>22</v>
      </c>
      <c r="Z38">
        <v>60.9</v>
      </c>
    </row>
    <row r="39" spans="1:26" x14ac:dyDescent="0.3">
      <c r="A39">
        <v>3</v>
      </c>
      <c r="C39">
        <v>523</v>
      </c>
      <c r="D39">
        <v>5</v>
      </c>
      <c r="E39" t="s">
        <v>323</v>
      </c>
      <c r="F39">
        <v>4000</v>
      </c>
      <c r="H39" s="1" t="s">
        <v>149</v>
      </c>
      <c r="I39">
        <v>38</v>
      </c>
      <c r="M39">
        <v>22.2</v>
      </c>
      <c r="N39" t="s">
        <v>124</v>
      </c>
      <c r="O39">
        <v>0.497</v>
      </c>
      <c r="P39" t="s">
        <v>179</v>
      </c>
      <c r="Q39">
        <v>0.248</v>
      </c>
      <c r="R39" t="s">
        <v>150</v>
      </c>
      <c r="S39">
        <v>5.8999999999999999E-3</v>
      </c>
      <c r="T39" s="1" t="s">
        <v>151</v>
      </c>
      <c r="U39">
        <f>0.119+0.128</f>
        <v>0.247</v>
      </c>
      <c r="V39">
        <v>21.1</v>
      </c>
      <c r="X39">
        <v>13.75</v>
      </c>
      <c r="Z39">
        <v>53.5</v>
      </c>
    </row>
    <row r="40" spans="1:26" x14ac:dyDescent="0.3">
      <c r="A40">
        <v>3.89</v>
      </c>
      <c r="C40">
        <v>553</v>
      </c>
      <c r="D40">
        <v>5</v>
      </c>
      <c r="E40" s="2" t="s">
        <v>323</v>
      </c>
      <c r="F40">
        <v>10000</v>
      </c>
      <c r="H40" s="1"/>
      <c r="I40" s="2">
        <v>40</v>
      </c>
      <c r="J40">
        <v>0.37</v>
      </c>
      <c r="K40">
        <v>20</v>
      </c>
      <c r="L40">
        <v>9.6999999999999993</v>
      </c>
      <c r="M40">
        <v>14.5</v>
      </c>
      <c r="N40" s="9" t="s">
        <v>124</v>
      </c>
      <c r="O40" s="2">
        <v>0.375</v>
      </c>
      <c r="P40" s="9" t="s">
        <v>179</v>
      </c>
      <c r="Q40" s="2">
        <v>0.41</v>
      </c>
      <c r="T40" s="1" t="s">
        <v>129</v>
      </c>
      <c r="U40">
        <v>0.215</v>
      </c>
      <c r="V40">
        <v>21</v>
      </c>
      <c r="X40">
        <f>486/32</f>
        <v>15.1875</v>
      </c>
      <c r="Z40">
        <v>34</v>
      </c>
    </row>
    <row r="41" spans="1:26" x14ac:dyDescent="0.3">
      <c r="A41">
        <v>3</v>
      </c>
      <c r="C41">
        <v>503</v>
      </c>
      <c r="D41">
        <v>3</v>
      </c>
      <c r="E41" t="s">
        <v>323</v>
      </c>
      <c r="G41">
        <v>10</v>
      </c>
      <c r="H41" t="s">
        <v>7</v>
      </c>
      <c r="I41">
        <v>72.5</v>
      </c>
      <c r="J41">
        <v>0.47</v>
      </c>
      <c r="K41">
        <v>20</v>
      </c>
      <c r="N41" t="s">
        <v>124</v>
      </c>
      <c r="O41">
        <v>0.55500000000000005</v>
      </c>
      <c r="P41" t="s">
        <v>179</v>
      </c>
      <c r="Q41">
        <v>0.26500000000000001</v>
      </c>
      <c r="R41" t="s">
        <v>132</v>
      </c>
      <c r="S41">
        <v>0.05</v>
      </c>
      <c r="T41" s="1" t="s">
        <v>129</v>
      </c>
      <c r="U41">
        <v>0.13</v>
      </c>
      <c r="V41">
        <v>20.5</v>
      </c>
      <c r="X41">
        <v>2.7</v>
      </c>
      <c r="Z41">
        <v>49.8</v>
      </c>
    </row>
    <row r="42" spans="1:26" x14ac:dyDescent="0.3">
      <c r="A42">
        <v>3</v>
      </c>
      <c r="C42">
        <v>523</v>
      </c>
      <c r="D42">
        <v>5</v>
      </c>
      <c r="E42" t="s">
        <v>323</v>
      </c>
      <c r="F42">
        <v>4000</v>
      </c>
      <c r="H42" s="1" t="s">
        <v>243</v>
      </c>
      <c r="I42">
        <v>29</v>
      </c>
      <c r="M42">
        <v>19.399999999999999</v>
      </c>
      <c r="N42" t="s">
        <v>124</v>
      </c>
      <c r="O42">
        <v>0.497</v>
      </c>
      <c r="P42" t="s">
        <v>179</v>
      </c>
      <c r="Q42">
        <v>0.246</v>
      </c>
      <c r="R42" t="s">
        <v>150</v>
      </c>
      <c r="S42">
        <v>7.7000000000000002E-3</v>
      </c>
      <c r="T42" s="1" t="s">
        <v>151</v>
      </c>
      <c r="U42">
        <f>0.119+0.127</f>
        <v>0.246</v>
      </c>
      <c r="V42">
        <v>20.5</v>
      </c>
      <c r="X42">
        <f>430/32</f>
        <v>13.4375</v>
      </c>
      <c r="Z42">
        <v>52.3</v>
      </c>
    </row>
    <row r="43" spans="1:26" x14ac:dyDescent="0.3">
      <c r="A43">
        <v>3</v>
      </c>
      <c r="C43">
        <v>503</v>
      </c>
      <c r="D43">
        <v>5</v>
      </c>
      <c r="E43" t="s">
        <v>323</v>
      </c>
      <c r="G43">
        <v>2.2400000000000002</v>
      </c>
      <c r="H43" t="s">
        <v>35</v>
      </c>
      <c r="I43">
        <v>108</v>
      </c>
      <c r="J43">
        <v>0.61</v>
      </c>
      <c r="L43">
        <v>8.3000000000000007</v>
      </c>
      <c r="M43">
        <v>34.299999999999997</v>
      </c>
      <c r="N43" t="s">
        <v>124</v>
      </c>
      <c r="O43">
        <v>0.57399999999999995</v>
      </c>
      <c r="P43" t="s">
        <v>179</v>
      </c>
      <c r="Q43">
        <v>0.27179999999999999</v>
      </c>
      <c r="R43" t="s">
        <v>147</v>
      </c>
      <c r="S43">
        <v>4.7199999999999999E-2</v>
      </c>
      <c r="T43" s="1" t="s">
        <v>125</v>
      </c>
      <c r="U43">
        <v>0.107</v>
      </c>
      <c r="V43">
        <v>20.2</v>
      </c>
      <c r="X43">
        <v>12.19</v>
      </c>
      <c r="Z43">
        <v>69.3</v>
      </c>
    </row>
    <row r="44" spans="1:26" x14ac:dyDescent="0.3">
      <c r="A44">
        <v>3</v>
      </c>
      <c r="C44">
        <v>533</v>
      </c>
      <c r="D44">
        <v>3</v>
      </c>
      <c r="E44" t="s">
        <v>331</v>
      </c>
      <c r="G44">
        <v>2.99</v>
      </c>
      <c r="H44" s="1" t="s">
        <v>217</v>
      </c>
      <c r="I44">
        <v>118</v>
      </c>
      <c r="J44">
        <v>0.42199999999999999</v>
      </c>
      <c r="L44">
        <v>18.8</v>
      </c>
      <c r="M44">
        <v>27.7</v>
      </c>
      <c r="N44" t="s">
        <v>124</v>
      </c>
      <c r="O44">
        <f>0.538*(1-U44)</f>
        <v>0.50921700000000003</v>
      </c>
      <c r="P44" t="s">
        <v>136</v>
      </c>
      <c r="Q44">
        <f>0.291*(1-U44)</f>
        <v>0.2754315</v>
      </c>
      <c r="R44" t="s">
        <v>133</v>
      </c>
      <c r="S44">
        <f>(1-U44)*0.17</f>
        <v>0.16090500000000002</v>
      </c>
      <c r="T44" s="1" t="s">
        <v>142</v>
      </c>
      <c r="U44">
        <v>5.3499999999999999E-2</v>
      </c>
      <c r="V44">
        <v>20</v>
      </c>
      <c r="X44">
        <v>7.6</v>
      </c>
      <c r="Z44">
        <v>56</v>
      </c>
    </row>
    <row r="45" spans="1:26" x14ac:dyDescent="0.3">
      <c r="A45">
        <v>4</v>
      </c>
      <c r="C45">
        <v>573</v>
      </c>
      <c r="D45">
        <v>5</v>
      </c>
      <c r="E45" t="s">
        <v>190</v>
      </c>
      <c r="G45">
        <v>1.1000000000000001</v>
      </c>
      <c r="H45" t="s">
        <v>108</v>
      </c>
      <c r="L45">
        <v>3.6</v>
      </c>
      <c r="N45" t="s">
        <v>176</v>
      </c>
      <c r="O45">
        <v>9.1000000000000004E-3</v>
      </c>
      <c r="T45" s="1" t="s">
        <v>104</v>
      </c>
      <c r="U45">
        <f>1-O45</f>
        <v>0.9909</v>
      </c>
      <c r="V45">
        <v>20</v>
      </c>
      <c r="X45">
        <v>27.81</v>
      </c>
      <c r="Z45">
        <v>70</v>
      </c>
    </row>
    <row r="46" spans="1:26" x14ac:dyDescent="0.3">
      <c r="A46">
        <v>3</v>
      </c>
      <c r="C46">
        <v>533</v>
      </c>
      <c r="D46">
        <v>3</v>
      </c>
      <c r="E46" t="s">
        <v>331</v>
      </c>
      <c r="G46">
        <v>2.99</v>
      </c>
      <c r="H46" s="1" t="s">
        <v>220</v>
      </c>
      <c r="I46">
        <v>101.6</v>
      </c>
      <c r="J46">
        <v>0.41499999999999998</v>
      </c>
      <c r="L46">
        <v>19.100000000000001</v>
      </c>
      <c r="M46">
        <v>24.5</v>
      </c>
      <c r="N46" t="s">
        <v>124</v>
      </c>
      <c r="O46">
        <f>0.5375*(1-U46)</f>
        <v>0.46074499999999996</v>
      </c>
      <c r="P46" t="s">
        <v>136</v>
      </c>
      <c r="Q46">
        <f>0.29*(1-U46)</f>
        <v>0.24858799999999998</v>
      </c>
      <c r="R46" t="s">
        <v>133</v>
      </c>
      <c r="S46">
        <f>0.172*(1-U46)</f>
        <v>0.14743839999999997</v>
      </c>
      <c r="T46" s="1" t="s">
        <v>142</v>
      </c>
      <c r="U46">
        <v>0.14280000000000001</v>
      </c>
      <c r="V46">
        <v>19.7</v>
      </c>
      <c r="X46">
        <v>7</v>
      </c>
      <c r="Z46">
        <v>55</v>
      </c>
    </row>
    <row r="47" spans="1:26" x14ac:dyDescent="0.3">
      <c r="A47">
        <v>3</v>
      </c>
      <c r="C47">
        <v>523</v>
      </c>
      <c r="D47">
        <v>5</v>
      </c>
      <c r="E47" t="s">
        <v>323</v>
      </c>
      <c r="G47">
        <v>1.87</v>
      </c>
      <c r="H47" s="1" t="s">
        <v>43</v>
      </c>
      <c r="I47">
        <v>46</v>
      </c>
      <c r="J47">
        <v>0.3</v>
      </c>
      <c r="M47">
        <v>14.4</v>
      </c>
      <c r="N47" t="s">
        <v>124</v>
      </c>
      <c r="O47">
        <v>0.58699999999999997</v>
      </c>
      <c r="P47" t="s">
        <v>179</v>
      </c>
      <c r="Q47">
        <v>0.29399999999999998</v>
      </c>
      <c r="T47" s="1" t="s">
        <v>125</v>
      </c>
      <c r="U47">
        <v>0.11799999999999999</v>
      </c>
      <c r="V47">
        <v>19.7</v>
      </c>
      <c r="X47">
        <v>10.63</v>
      </c>
      <c r="Z47">
        <v>39.700000000000003</v>
      </c>
    </row>
    <row r="48" spans="1:26" x14ac:dyDescent="0.3">
      <c r="A48">
        <v>3</v>
      </c>
      <c r="C48">
        <v>503</v>
      </c>
      <c r="D48">
        <v>3</v>
      </c>
      <c r="E48" t="s">
        <v>323</v>
      </c>
      <c r="G48">
        <v>10</v>
      </c>
      <c r="H48" t="s">
        <v>6</v>
      </c>
      <c r="I48">
        <v>83.3</v>
      </c>
      <c r="J48">
        <v>0.46</v>
      </c>
      <c r="K48">
        <v>16.399999999999999</v>
      </c>
      <c r="N48" t="s">
        <v>124</v>
      </c>
      <c r="O48">
        <v>0.56200000000000006</v>
      </c>
      <c r="P48" t="s">
        <v>179</v>
      </c>
      <c r="Q48">
        <v>0.26700000000000002</v>
      </c>
      <c r="T48" s="1" t="s">
        <v>129</v>
      </c>
      <c r="U48">
        <v>0.17100000000000001</v>
      </c>
      <c r="V48">
        <v>19.600000000000001</v>
      </c>
      <c r="X48">
        <v>2.2999999999999998</v>
      </c>
      <c r="Z48">
        <v>44.4</v>
      </c>
    </row>
    <row r="49" spans="1:27" x14ac:dyDescent="0.3">
      <c r="A49">
        <v>3.89</v>
      </c>
      <c r="C49">
        <v>533</v>
      </c>
      <c r="D49">
        <v>5</v>
      </c>
      <c r="E49" s="2" t="s">
        <v>323</v>
      </c>
      <c r="F49">
        <v>10000</v>
      </c>
      <c r="H49" s="1"/>
      <c r="I49" s="2">
        <v>79</v>
      </c>
      <c r="J49">
        <v>0.38</v>
      </c>
      <c r="K49">
        <v>17</v>
      </c>
      <c r="L49">
        <v>10</v>
      </c>
      <c r="M49">
        <v>10.5</v>
      </c>
      <c r="N49" s="9" t="s">
        <v>124</v>
      </c>
      <c r="O49" s="2">
        <v>0.375</v>
      </c>
      <c r="P49" s="9" t="s">
        <v>179</v>
      </c>
      <c r="Q49" s="2">
        <v>0.41</v>
      </c>
      <c r="T49" s="1" t="s">
        <v>129</v>
      </c>
      <c r="U49">
        <v>0.215</v>
      </c>
      <c r="V49">
        <v>19.600000000000001</v>
      </c>
      <c r="X49">
        <f>453/32</f>
        <v>14.15625</v>
      </c>
      <c r="Z49">
        <v>50</v>
      </c>
    </row>
    <row r="50" spans="1:27" x14ac:dyDescent="0.3">
      <c r="A50">
        <v>3</v>
      </c>
      <c r="C50">
        <v>523</v>
      </c>
      <c r="D50">
        <v>5</v>
      </c>
      <c r="E50" s="2" t="s">
        <v>323</v>
      </c>
      <c r="G50">
        <v>1.24</v>
      </c>
      <c r="H50" s="1" t="s">
        <v>69</v>
      </c>
      <c r="N50" s="9" t="s">
        <v>176</v>
      </c>
      <c r="O50">
        <v>0.1</v>
      </c>
      <c r="T50" s="1" t="s">
        <v>152</v>
      </c>
      <c r="U50">
        <v>0.9</v>
      </c>
      <c r="V50">
        <v>19.600000000000001</v>
      </c>
      <c r="X50">
        <v>20.28</v>
      </c>
      <c r="Z50">
        <v>51.5</v>
      </c>
    </row>
    <row r="51" spans="1:27" x14ac:dyDescent="0.3">
      <c r="A51">
        <v>3</v>
      </c>
      <c r="C51">
        <v>513</v>
      </c>
      <c r="D51">
        <v>3</v>
      </c>
      <c r="E51" t="s">
        <v>323</v>
      </c>
      <c r="G51">
        <v>9.33</v>
      </c>
      <c r="H51" t="s">
        <v>21</v>
      </c>
      <c r="I51">
        <v>117.4</v>
      </c>
      <c r="J51">
        <v>0.43</v>
      </c>
      <c r="K51">
        <v>14.8</v>
      </c>
      <c r="L51">
        <v>9.4</v>
      </c>
      <c r="M51">
        <v>56</v>
      </c>
      <c r="N51" t="s">
        <v>124</v>
      </c>
      <c r="O51" s="1">
        <v>0.41299999999999998</v>
      </c>
      <c r="P51" t="s">
        <v>128</v>
      </c>
      <c r="Q51">
        <v>0.29699999999999999</v>
      </c>
      <c r="R51" t="s">
        <v>298</v>
      </c>
      <c r="S51">
        <v>0.1196</v>
      </c>
      <c r="T51" s="1" t="s">
        <v>136</v>
      </c>
      <c r="U51">
        <v>0.17</v>
      </c>
      <c r="V51">
        <v>19.399999999999999</v>
      </c>
      <c r="X51">
        <v>2.33</v>
      </c>
      <c r="Z51">
        <v>47.8</v>
      </c>
    </row>
    <row r="52" spans="1:27" x14ac:dyDescent="0.3">
      <c r="A52">
        <v>3</v>
      </c>
      <c r="C52">
        <v>503</v>
      </c>
      <c r="D52">
        <v>3</v>
      </c>
      <c r="E52" t="s">
        <v>323</v>
      </c>
      <c r="G52">
        <v>10</v>
      </c>
      <c r="H52" t="s">
        <v>10</v>
      </c>
      <c r="I52">
        <v>74.099999999999994</v>
      </c>
      <c r="J52">
        <v>0.5</v>
      </c>
      <c r="K52">
        <v>20.2</v>
      </c>
      <c r="N52" t="s">
        <v>124</v>
      </c>
      <c r="O52">
        <v>0.55000000000000004</v>
      </c>
      <c r="P52" t="s">
        <v>179</v>
      </c>
      <c r="Q52">
        <v>0.26100000000000001</v>
      </c>
      <c r="R52" t="s">
        <v>135</v>
      </c>
      <c r="S52">
        <v>5.2999999999999999E-2</v>
      </c>
      <c r="T52" s="1" t="s">
        <v>129</v>
      </c>
      <c r="U52">
        <v>0.13600000000000001</v>
      </c>
      <c r="V52">
        <v>19.3</v>
      </c>
      <c r="X52">
        <v>2.2000000000000002</v>
      </c>
      <c r="Z52">
        <v>42</v>
      </c>
    </row>
    <row r="53" spans="1:27" x14ac:dyDescent="0.3">
      <c r="A53">
        <v>3</v>
      </c>
      <c r="C53">
        <v>503</v>
      </c>
      <c r="D53">
        <v>5</v>
      </c>
      <c r="E53" t="s">
        <v>323</v>
      </c>
      <c r="G53">
        <v>2.64</v>
      </c>
      <c r="H53" s="1" t="s">
        <v>244</v>
      </c>
      <c r="I53">
        <v>68</v>
      </c>
      <c r="J53">
        <v>0.38</v>
      </c>
      <c r="L53">
        <v>13.4</v>
      </c>
      <c r="M53">
        <v>24</v>
      </c>
      <c r="N53" t="s">
        <v>124</v>
      </c>
      <c r="O53" s="1">
        <v>0.56259999999999999</v>
      </c>
      <c r="P53" t="s">
        <v>179</v>
      </c>
      <c r="Q53" s="1">
        <v>0.27500000000000002</v>
      </c>
      <c r="S53" s="1"/>
      <c r="T53" s="1" t="s">
        <v>151</v>
      </c>
      <c r="U53" s="1">
        <f>0.078+0.085</f>
        <v>0.16300000000000001</v>
      </c>
      <c r="V53">
        <v>19.3</v>
      </c>
      <c r="X53">
        <f>330/32</f>
        <v>10.3125</v>
      </c>
      <c r="Z53">
        <v>58.5</v>
      </c>
    </row>
    <row r="54" spans="1:27" x14ac:dyDescent="0.3">
      <c r="A54">
        <v>3</v>
      </c>
      <c r="C54">
        <v>523</v>
      </c>
      <c r="D54">
        <v>3</v>
      </c>
      <c r="E54" t="s">
        <v>329</v>
      </c>
      <c r="F54">
        <v>6600</v>
      </c>
      <c r="G54">
        <v>0.51</v>
      </c>
      <c r="H54" t="s">
        <v>222</v>
      </c>
      <c r="I54">
        <v>433</v>
      </c>
      <c r="J54">
        <v>0.73</v>
      </c>
      <c r="K54">
        <v>6.4</v>
      </c>
      <c r="M54">
        <v>20</v>
      </c>
      <c r="N54" t="s">
        <v>124</v>
      </c>
      <c r="O54">
        <v>6.3100000000000003E-2</v>
      </c>
      <c r="P54" t="s">
        <v>179</v>
      </c>
      <c r="Q54">
        <v>5.8900000000000001E-2</v>
      </c>
      <c r="R54" t="s">
        <v>128</v>
      </c>
      <c r="S54">
        <v>7.7399999999999997E-2</v>
      </c>
      <c r="T54" s="1" t="s">
        <v>127</v>
      </c>
      <c r="U54">
        <f>(1-O54-Q54-S54)</f>
        <v>0.80059999999999998</v>
      </c>
      <c r="V54">
        <v>19.2</v>
      </c>
      <c r="X54">
        <v>11.75</v>
      </c>
      <c r="Z54">
        <v>30.6</v>
      </c>
    </row>
    <row r="55" spans="1:27" x14ac:dyDescent="0.3">
      <c r="A55">
        <v>3</v>
      </c>
      <c r="C55">
        <v>523</v>
      </c>
      <c r="D55">
        <v>3</v>
      </c>
      <c r="E55" t="s">
        <v>329</v>
      </c>
      <c r="F55">
        <v>6600</v>
      </c>
      <c r="G55">
        <v>0.51</v>
      </c>
      <c r="H55" t="s">
        <v>223</v>
      </c>
      <c r="I55">
        <v>441</v>
      </c>
      <c r="J55">
        <v>0.74</v>
      </c>
      <c r="K55">
        <v>6.4</v>
      </c>
      <c r="N55" t="s">
        <v>124</v>
      </c>
      <c r="O55">
        <v>7.8100000000000003E-2</v>
      </c>
      <c r="P55" t="s">
        <v>179</v>
      </c>
      <c r="Q55">
        <v>3.78E-2</v>
      </c>
      <c r="R55" t="s">
        <v>128</v>
      </c>
      <c r="S55">
        <v>7.7200000000000005E-2</v>
      </c>
      <c r="T55" s="1" t="s">
        <v>127</v>
      </c>
      <c r="U55">
        <f>(1-O55-Q55-S55)</f>
        <v>0.80689999999999984</v>
      </c>
      <c r="V55">
        <v>19.100000000000001</v>
      </c>
      <c r="X55">
        <f>324.3/32</f>
        <v>10.134375</v>
      </c>
      <c r="Z55">
        <v>26.37</v>
      </c>
    </row>
    <row r="56" spans="1:27" x14ac:dyDescent="0.3">
      <c r="A56">
        <v>3</v>
      </c>
      <c r="C56">
        <v>503</v>
      </c>
      <c r="D56">
        <v>3</v>
      </c>
      <c r="E56" t="s">
        <v>323</v>
      </c>
      <c r="G56">
        <v>10</v>
      </c>
      <c r="H56" t="s">
        <v>9</v>
      </c>
      <c r="I56">
        <v>67.400000000000006</v>
      </c>
      <c r="J56">
        <v>0.54</v>
      </c>
      <c r="K56">
        <v>21.6</v>
      </c>
      <c r="N56" t="s">
        <v>124</v>
      </c>
      <c r="O56">
        <v>0.54800000000000004</v>
      </c>
      <c r="P56" t="s">
        <v>179</v>
      </c>
      <c r="Q56">
        <v>0.26</v>
      </c>
      <c r="R56" t="s">
        <v>134</v>
      </c>
      <c r="S56">
        <v>0.05</v>
      </c>
      <c r="T56" s="1" t="s">
        <v>129</v>
      </c>
      <c r="U56">
        <v>0.14199999999999999</v>
      </c>
      <c r="V56">
        <v>19</v>
      </c>
      <c r="X56">
        <v>2</v>
      </c>
      <c r="Z56">
        <v>40.5</v>
      </c>
    </row>
    <row r="57" spans="1:27" x14ac:dyDescent="0.3">
      <c r="A57">
        <v>3</v>
      </c>
      <c r="C57">
        <v>513</v>
      </c>
      <c r="D57">
        <v>3</v>
      </c>
      <c r="E57" t="s">
        <v>323</v>
      </c>
      <c r="G57">
        <v>9.33</v>
      </c>
      <c r="H57" t="s">
        <v>20</v>
      </c>
      <c r="I57">
        <v>101.4</v>
      </c>
      <c r="J57">
        <v>0.33</v>
      </c>
      <c r="K57">
        <v>13</v>
      </c>
      <c r="L57">
        <v>8.8000000000000007</v>
      </c>
      <c r="M57">
        <v>67</v>
      </c>
      <c r="N57" t="s">
        <v>124</v>
      </c>
      <c r="O57" s="1">
        <v>0.438</v>
      </c>
      <c r="P57" t="s">
        <v>128</v>
      </c>
      <c r="Q57">
        <v>0.314</v>
      </c>
      <c r="R57" t="s">
        <v>297</v>
      </c>
      <c r="S57">
        <v>6.6000000000000003E-2</v>
      </c>
      <c r="T57" s="1" t="s">
        <v>136</v>
      </c>
      <c r="U57">
        <v>0.18</v>
      </c>
      <c r="V57">
        <v>19</v>
      </c>
      <c r="X57">
        <v>2.23</v>
      </c>
      <c r="Z57">
        <v>46.7</v>
      </c>
    </row>
    <row r="58" spans="1:27" x14ac:dyDescent="0.3">
      <c r="A58">
        <v>3</v>
      </c>
      <c r="C58">
        <f>C57+20</f>
        <v>533</v>
      </c>
      <c r="D58">
        <v>3</v>
      </c>
      <c r="E58" t="s">
        <v>327</v>
      </c>
      <c r="G58">
        <v>3.11</v>
      </c>
      <c r="I58">
        <v>154</v>
      </c>
      <c r="J58">
        <v>0.28999999999999998</v>
      </c>
      <c r="M58">
        <v>1.87</v>
      </c>
      <c r="N58" t="s">
        <v>124</v>
      </c>
      <c r="O58">
        <v>0.10539999999999999</v>
      </c>
      <c r="T58" s="1" t="s">
        <v>125</v>
      </c>
      <c r="U58">
        <v>0.9</v>
      </c>
      <c r="V58">
        <v>18.8</v>
      </c>
      <c r="Z58">
        <v>16.100000000000001</v>
      </c>
      <c r="AA58">
        <v>8.1999999999999993</v>
      </c>
    </row>
    <row r="59" spans="1:27" x14ac:dyDescent="0.3">
      <c r="A59">
        <v>3</v>
      </c>
      <c r="C59">
        <v>503</v>
      </c>
      <c r="D59">
        <v>5</v>
      </c>
      <c r="E59" t="s">
        <v>323</v>
      </c>
      <c r="G59">
        <v>2.64</v>
      </c>
      <c r="H59" s="1" t="s">
        <v>245</v>
      </c>
      <c r="I59">
        <v>64</v>
      </c>
      <c r="J59">
        <v>0.33</v>
      </c>
      <c r="L59">
        <v>14.1</v>
      </c>
      <c r="M59">
        <v>22.2</v>
      </c>
      <c r="N59" t="s">
        <v>124</v>
      </c>
      <c r="O59" s="1">
        <f>0.565*0.99</f>
        <v>0.5593499999999999</v>
      </c>
      <c r="P59" t="s">
        <v>179</v>
      </c>
      <c r="Q59" s="1">
        <f>0.273*0.99</f>
        <v>0.27027000000000001</v>
      </c>
      <c r="R59" t="s">
        <v>150</v>
      </c>
      <c r="S59" s="1">
        <v>1.04E-2</v>
      </c>
      <c r="T59" s="1" t="s">
        <v>151</v>
      </c>
      <c r="U59" s="1">
        <f>0.077+0.084</f>
        <v>0.161</v>
      </c>
      <c r="V59">
        <v>18.7</v>
      </c>
      <c r="X59">
        <f>350/32</f>
        <v>10.9375</v>
      </c>
      <c r="Z59">
        <v>62.6</v>
      </c>
    </row>
    <row r="60" spans="1:27" x14ac:dyDescent="0.3">
      <c r="A60" s="2">
        <v>3</v>
      </c>
      <c r="B60" s="2"/>
      <c r="C60" s="2">
        <v>513</v>
      </c>
      <c r="D60" s="2">
        <v>4</v>
      </c>
      <c r="E60" s="2" t="s">
        <v>331</v>
      </c>
      <c r="F60" s="2"/>
      <c r="G60" s="2">
        <v>14.93</v>
      </c>
      <c r="H60" s="2" t="s">
        <v>38</v>
      </c>
      <c r="I60" s="2">
        <v>93</v>
      </c>
      <c r="J60" s="2">
        <v>0.21</v>
      </c>
      <c r="K60" s="2">
        <v>7.01</v>
      </c>
      <c r="L60" s="2">
        <v>14.4</v>
      </c>
      <c r="M60" s="2">
        <v>33.5</v>
      </c>
      <c r="N60" s="9" t="s">
        <v>124</v>
      </c>
      <c r="O60" s="2">
        <v>0.308</v>
      </c>
      <c r="P60" t="s">
        <v>179</v>
      </c>
      <c r="Q60" s="2">
        <v>0.13700000000000001</v>
      </c>
      <c r="R60" s="9"/>
      <c r="S60" s="2"/>
      <c r="T60" s="2" t="s">
        <v>125</v>
      </c>
      <c r="U60" s="2">
        <f>1-0.445</f>
        <v>0.55499999999999994</v>
      </c>
      <c r="V60" s="2">
        <v>18.3</v>
      </c>
      <c r="W60" s="2"/>
      <c r="X60" s="2">
        <v>1.71</v>
      </c>
      <c r="Y60" s="2"/>
      <c r="Z60" s="2">
        <v>56.5</v>
      </c>
      <c r="AA60" s="2"/>
    </row>
    <row r="61" spans="1:27" x14ac:dyDescent="0.3">
      <c r="A61">
        <v>3</v>
      </c>
      <c r="C61">
        <v>513</v>
      </c>
      <c r="D61">
        <v>3</v>
      </c>
      <c r="E61" t="s">
        <v>323</v>
      </c>
      <c r="H61" s="1" t="s">
        <v>18</v>
      </c>
      <c r="I61">
        <v>94.9</v>
      </c>
      <c r="J61">
        <v>0.36</v>
      </c>
      <c r="K61">
        <v>15.2</v>
      </c>
      <c r="L61">
        <v>12.6</v>
      </c>
      <c r="M61">
        <v>52</v>
      </c>
      <c r="N61" t="s">
        <v>124</v>
      </c>
      <c r="O61" s="1">
        <v>0.46899999999999997</v>
      </c>
      <c r="P61" t="s">
        <v>128</v>
      </c>
      <c r="Q61">
        <v>0.33700000000000002</v>
      </c>
      <c r="T61" s="1" t="s">
        <v>136</v>
      </c>
      <c r="U61">
        <v>0.193</v>
      </c>
      <c r="V61">
        <v>18.2</v>
      </c>
      <c r="X61">
        <v>1.91</v>
      </c>
      <c r="Z61">
        <v>41.6</v>
      </c>
    </row>
    <row r="62" spans="1:27" x14ac:dyDescent="0.3">
      <c r="A62">
        <v>3</v>
      </c>
      <c r="C62">
        <v>533</v>
      </c>
      <c r="D62">
        <v>3</v>
      </c>
      <c r="E62" t="s">
        <v>331</v>
      </c>
      <c r="G62">
        <v>2.99</v>
      </c>
      <c r="H62" s="1" t="s">
        <v>219</v>
      </c>
      <c r="I62">
        <v>94.6</v>
      </c>
      <c r="J62">
        <v>0.36699999999999999</v>
      </c>
      <c r="L62">
        <v>19.3</v>
      </c>
      <c r="M62">
        <v>24.1</v>
      </c>
      <c r="N62" t="s">
        <v>124</v>
      </c>
      <c r="O62">
        <f>0.54*(1-U62)</f>
        <v>0.49059000000000003</v>
      </c>
      <c r="P62" t="s">
        <v>136</v>
      </c>
      <c r="Q62">
        <f>0.288*(1-U62)</f>
        <v>0.26164799999999999</v>
      </c>
      <c r="R62" t="s">
        <v>133</v>
      </c>
      <c r="S62">
        <f>0.172*(1-U62)</f>
        <v>0.15626199999999998</v>
      </c>
      <c r="T62" s="1" t="s">
        <v>142</v>
      </c>
      <c r="U62">
        <v>9.1499999999999998E-2</v>
      </c>
      <c r="V62">
        <v>18.2</v>
      </c>
      <c r="X62">
        <v>6.7</v>
      </c>
      <c r="Z62">
        <v>55</v>
      </c>
    </row>
    <row r="63" spans="1:27" x14ac:dyDescent="0.3">
      <c r="A63">
        <v>3</v>
      </c>
      <c r="C63">
        <v>513</v>
      </c>
      <c r="D63">
        <v>3</v>
      </c>
      <c r="E63" t="s">
        <v>323</v>
      </c>
      <c r="G63">
        <v>9.33</v>
      </c>
      <c r="H63" t="s">
        <v>19</v>
      </c>
      <c r="I63">
        <v>66.2</v>
      </c>
      <c r="J63">
        <v>0.17</v>
      </c>
      <c r="K63">
        <v>10.199999999999999</v>
      </c>
      <c r="L63">
        <v>13</v>
      </c>
      <c r="M63">
        <v>42</v>
      </c>
      <c r="N63" t="s">
        <v>124</v>
      </c>
      <c r="O63" s="1">
        <v>0.45200000000000001</v>
      </c>
      <c r="P63" t="s">
        <v>128</v>
      </c>
      <c r="Q63">
        <v>0.32400000000000001</v>
      </c>
      <c r="R63" t="s">
        <v>296</v>
      </c>
      <c r="S63">
        <v>3.6999999999999998E-2</v>
      </c>
      <c r="T63" s="1" t="s">
        <v>136</v>
      </c>
      <c r="U63">
        <v>0.186</v>
      </c>
      <c r="V63">
        <v>18.100000000000001</v>
      </c>
      <c r="X63">
        <v>1.82</v>
      </c>
      <c r="Z63">
        <v>40</v>
      </c>
    </row>
    <row r="64" spans="1:27" x14ac:dyDescent="0.3">
      <c r="A64" s="2">
        <v>3</v>
      </c>
      <c r="B64" s="2"/>
      <c r="C64" s="2">
        <v>543</v>
      </c>
      <c r="D64" s="2">
        <v>4.5</v>
      </c>
      <c r="E64" s="2" t="s">
        <v>323</v>
      </c>
      <c r="F64" s="2"/>
      <c r="G64" s="2">
        <v>1.24</v>
      </c>
      <c r="H64" s="2" t="s">
        <v>259</v>
      </c>
      <c r="I64" s="2"/>
      <c r="J64" s="2"/>
      <c r="K64" s="2"/>
      <c r="L64" s="2"/>
      <c r="M64" s="2">
        <v>72.8</v>
      </c>
      <c r="N64" s="9" t="s">
        <v>124</v>
      </c>
      <c r="O64" s="2">
        <v>0.44</v>
      </c>
      <c r="P64" s="9" t="s">
        <v>179</v>
      </c>
      <c r="Q64" s="2">
        <v>0.41</v>
      </c>
      <c r="S64" s="2"/>
      <c r="T64" s="2" t="s">
        <v>152</v>
      </c>
      <c r="U64" s="2">
        <v>0.15</v>
      </c>
      <c r="V64" s="2">
        <v>18.100000000000001</v>
      </c>
      <c r="W64" s="2"/>
      <c r="X64" s="2">
        <f>6.9*2.17</f>
        <v>14.973000000000001</v>
      </c>
      <c r="Y64" s="2"/>
      <c r="Z64" s="2">
        <v>37</v>
      </c>
      <c r="AA64" s="2"/>
    </row>
    <row r="65" spans="1:27" x14ac:dyDescent="0.3">
      <c r="A65">
        <v>3</v>
      </c>
      <c r="C65">
        <v>503</v>
      </c>
      <c r="D65">
        <v>5</v>
      </c>
      <c r="E65" t="s">
        <v>323</v>
      </c>
      <c r="G65">
        <v>2.64</v>
      </c>
      <c r="H65" s="1" t="s">
        <v>246</v>
      </c>
      <c r="I65">
        <v>62</v>
      </c>
      <c r="J65">
        <v>0.3</v>
      </c>
      <c r="L65">
        <v>14.8</v>
      </c>
      <c r="M65">
        <v>21.6</v>
      </c>
      <c r="N65" t="s">
        <v>124</v>
      </c>
      <c r="O65" s="1">
        <v>0.54700000000000004</v>
      </c>
      <c r="P65" t="s">
        <v>179</v>
      </c>
      <c r="Q65" s="1">
        <v>2.6200000000000001E-2</v>
      </c>
      <c r="R65" t="s">
        <v>150</v>
      </c>
      <c r="S65" s="1">
        <v>3.3300000000000003E-2</v>
      </c>
      <c r="T65" s="1" t="s">
        <v>151</v>
      </c>
      <c r="U65" s="1">
        <f>0.075+0.082</f>
        <v>0.157</v>
      </c>
      <c r="V65">
        <v>18</v>
      </c>
      <c r="X65">
        <f>380/32</f>
        <v>11.875</v>
      </c>
      <c r="Z65">
        <v>68.400000000000006</v>
      </c>
    </row>
    <row r="66" spans="1:27" x14ac:dyDescent="0.3">
      <c r="A66" s="2">
        <v>3</v>
      </c>
      <c r="B66" s="2"/>
      <c r="C66" s="2">
        <v>543</v>
      </c>
      <c r="D66" s="2">
        <v>4.5</v>
      </c>
      <c r="E66" s="2" t="s">
        <v>323</v>
      </c>
      <c r="F66" s="2"/>
      <c r="G66" s="2">
        <v>1.24</v>
      </c>
      <c r="H66" s="2" t="s">
        <v>257</v>
      </c>
      <c r="I66" s="2"/>
      <c r="J66" s="2"/>
      <c r="K66" s="2"/>
      <c r="L66" s="2"/>
      <c r="M66" s="2">
        <v>99.2</v>
      </c>
      <c r="N66" s="9" t="s">
        <v>124</v>
      </c>
      <c r="O66" s="2">
        <v>0.45</v>
      </c>
      <c r="P66" s="9" t="s">
        <v>179</v>
      </c>
      <c r="Q66" s="2">
        <v>0.32</v>
      </c>
      <c r="S66" s="2"/>
      <c r="T66" s="2" t="s">
        <v>152</v>
      </c>
      <c r="U66" s="2">
        <v>0.23</v>
      </c>
      <c r="V66" s="2">
        <v>18</v>
      </c>
      <c r="W66" s="2"/>
      <c r="X66" s="2">
        <v>18.440000000000001</v>
      </c>
      <c r="Y66" s="2"/>
      <c r="Z66" s="2">
        <v>48</v>
      </c>
      <c r="AA66" s="2"/>
    </row>
    <row r="67" spans="1:27" x14ac:dyDescent="0.3">
      <c r="A67">
        <v>3</v>
      </c>
      <c r="C67">
        <v>543</v>
      </c>
      <c r="D67">
        <v>4.5</v>
      </c>
      <c r="E67" s="2" t="s">
        <v>334</v>
      </c>
      <c r="G67">
        <v>2.33</v>
      </c>
      <c r="H67" s="1" t="s">
        <v>89</v>
      </c>
      <c r="N67" s="9" t="s">
        <v>176</v>
      </c>
      <c r="O67">
        <v>2.1299999999999999E-2</v>
      </c>
      <c r="R67" t="s">
        <v>140</v>
      </c>
      <c r="S67">
        <v>2.2499999999999999E-2</v>
      </c>
      <c r="T67" s="1" t="s">
        <v>136</v>
      </c>
      <c r="U67">
        <f>1-O67-S67</f>
        <v>0.95620000000000005</v>
      </c>
      <c r="V67">
        <v>18</v>
      </c>
      <c r="X67">
        <v>8.75</v>
      </c>
      <c r="Z67">
        <v>46</v>
      </c>
    </row>
    <row r="68" spans="1:27" x14ac:dyDescent="0.3">
      <c r="A68">
        <v>4</v>
      </c>
      <c r="C68">
        <v>573</v>
      </c>
      <c r="D68">
        <v>5</v>
      </c>
      <c r="E68" t="s">
        <v>327</v>
      </c>
      <c r="G68">
        <v>1.1000000000000001</v>
      </c>
      <c r="H68" t="s">
        <v>109</v>
      </c>
      <c r="L68">
        <v>7.4</v>
      </c>
      <c r="N68" t="s">
        <v>176</v>
      </c>
      <c r="O68">
        <v>9.7000000000000003E-3</v>
      </c>
      <c r="T68" s="1" t="s">
        <v>104</v>
      </c>
      <c r="U68">
        <f>1-O68</f>
        <v>0.99029999999999996</v>
      </c>
      <c r="V68">
        <v>18</v>
      </c>
      <c r="X68">
        <v>25</v>
      </c>
      <c r="Z68">
        <v>70</v>
      </c>
    </row>
    <row r="69" spans="1:27" x14ac:dyDescent="0.3">
      <c r="A69">
        <v>3</v>
      </c>
      <c r="C69">
        <v>533</v>
      </c>
      <c r="D69">
        <v>3</v>
      </c>
      <c r="E69" t="s">
        <v>329</v>
      </c>
      <c r="F69">
        <v>6000</v>
      </c>
      <c r="H69" t="s">
        <v>13</v>
      </c>
      <c r="I69">
        <v>33.6</v>
      </c>
      <c r="J69">
        <v>0.13700000000000001</v>
      </c>
      <c r="K69">
        <v>0.54049999999999998</v>
      </c>
      <c r="M69">
        <v>13.5</v>
      </c>
      <c r="N69" t="s">
        <v>124</v>
      </c>
      <c r="O69">
        <f>0.1/3</f>
        <v>3.3333333333333333E-2</v>
      </c>
      <c r="P69" t="s">
        <v>137</v>
      </c>
      <c r="Q69">
        <f>(0.1*2)/3</f>
        <v>6.6666666666666666E-2</v>
      </c>
      <c r="T69" s="1" t="s">
        <v>126</v>
      </c>
      <c r="U69">
        <v>0.9</v>
      </c>
      <c r="V69">
        <v>17.8</v>
      </c>
      <c r="X69">
        <v>18.100000000000001</v>
      </c>
      <c r="Z69">
        <v>78.8</v>
      </c>
    </row>
    <row r="70" spans="1:27" x14ac:dyDescent="0.3">
      <c r="A70">
        <v>3</v>
      </c>
      <c r="C70">
        <v>503</v>
      </c>
      <c r="D70">
        <v>5</v>
      </c>
      <c r="E70" t="s">
        <v>323</v>
      </c>
      <c r="G70">
        <v>2.2400000000000002</v>
      </c>
      <c r="H70" t="s">
        <v>36</v>
      </c>
      <c r="I70">
        <v>108</v>
      </c>
      <c r="J70">
        <v>0.76</v>
      </c>
      <c r="L70">
        <v>8.8000000000000007</v>
      </c>
      <c r="M70">
        <v>33.799999999999997</v>
      </c>
      <c r="N70" t="s">
        <v>124</v>
      </c>
      <c r="O70">
        <v>0.55469999999999997</v>
      </c>
      <c r="P70" t="s">
        <v>179</v>
      </c>
      <c r="Q70">
        <v>0.2676</v>
      </c>
      <c r="R70" t="s">
        <v>147</v>
      </c>
      <c r="S70">
        <v>8.8400000000000006E-2</v>
      </c>
      <c r="T70" s="1" t="s">
        <v>125</v>
      </c>
      <c r="U70">
        <v>8.8999999999999996E-2</v>
      </c>
      <c r="V70">
        <v>17.8</v>
      </c>
      <c r="X70">
        <v>10.94</v>
      </c>
      <c r="Z70">
        <v>70.5</v>
      </c>
    </row>
    <row r="71" spans="1:27" x14ac:dyDescent="0.3">
      <c r="A71">
        <v>3</v>
      </c>
      <c r="C71">
        <v>513</v>
      </c>
      <c r="D71">
        <v>3</v>
      </c>
      <c r="E71" s="2" t="s">
        <v>323</v>
      </c>
      <c r="G71">
        <v>1.85</v>
      </c>
      <c r="H71" s="1" t="s">
        <v>262</v>
      </c>
      <c r="I71" s="2">
        <v>35.5</v>
      </c>
      <c r="L71">
        <v>7.3</v>
      </c>
      <c r="M71">
        <v>12.3</v>
      </c>
      <c r="N71" s="9" t="s">
        <v>124</v>
      </c>
      <c r="O71" s="2">
        <v>0.65600000000000003</v>
      </c>
      <c r="P71" s="9"/>
      <c r="Q71" s="2"/>
      <c r="T71" s="2" t="s">
        <v>136</v>
      </c>
      <c r="U71">
        <v>0.34399999999999997</v>
      </c>
      <c r="V71">
        <v>17.8</v>
      </c>
      <c r="X71">
        <f>500/32</f>
        <v>15.625</v>
      </c>
      <c r="Z71">
        <v>64.7</v>
      </c>
    </row>
    <row r="72" spans="1:27" x14ac:dyDescent="0.3">
      <c r="A72">
        <v>3</v>
      </c>
      <c r="C72">
        <v>513</v>
      </c>
      <c r="D72">
        <v>3</v>
      </c>
      <c r="E72" t="s">
        <v>323</v>
      </c>
      <c r="G72">
        <v>9.3000000000000007</v>
      </c>
      <c r="H72" t="s">
        <v>17</v>
      </c>
      <c r="I72">
        <v>38.700000000000003</v>
      </c>
      <c r="J72">
        <v>0.19</v>
      </c>
      <c r="K72">
        <v>19.5</v>
      </c>
      <c r="M72">
        <v>9.2100000000000009</v>
      </c>
      <c r="N72" t="s">
        <v>124</v>
      </c>
      <c r="O72">
        <v>0.38800000000000001</v>
      </c>
      <c r="P72" t="s">
        <v>138</v>
      </c>
      <c r="Q72">
        <v>7.1400000000000005E-2</v>
      </c>
      <c r="R72" t="s">
        <v>128</v>
      </c>
      <c r="S72">
        <v>0.13600000000000001</v>
      </c>
      <c r="T72" s="1" t="s">
        <v>136</v>
      </c>
      <c r="U72">
        <v>0.40300000000000002</v>
      </c>
      <c r="V72">
        <v>17.399999999999999</v>
      </c>
      <c r="X72">
        <v>1.79</v>
      </c>
      <c r="Z72">
        <v>43.8</v>
      </c>
    </row>
    <row r="73" spans="1:27" x14ac:dyDescent="0.3">
      <c r="A73">
        <v>3</v>
      </c>
      <c r="C73">
        <v>503</v>
      </c>
      <c r="D73">
        <v>5</v>
      </c>
      <c r="E73" t="s">
        <v>323</v>
      </c>
      <c r="G73">
        <v>2.2400000000000002</v>
      </c>
      <c r="H73" t="s">
        <v>34</v>
      </c>
      <c r="I73">
        <v>74</v>
      </c>
      <c r="J73">
        <v>0.44</v>
      </c>
      <c r="L73">
        <v>11</v>
      </c>
      <c r="M73">
        <v>30.8</v>
      </c>
      <c r="N73" t="s">
        <v>124</v>
      </c>
      <c r="O73">
        <v>0.58699999999999997</v>
      </c>
      <c r="P73" t="s">
        <v>179</v>
      </c>
      <c r="Q73">
        <v>0.27639999999999998</v>
      </c>
      <c r="R73" t="s">
        <v>147</v>
      </c>
      <c r="S73">
        <v>2.3900000000000001E-2</v>
      </c>
      <c r="T73" s="1" t="s">
        <v>125</v>
      </c>
      <c r="U73">
        <v>0.113</v>
      </c>
      <c r="V73">
        <v>17.399999999999999</v>
      </c>
      <c r="X73">
        <v>10.31</v>
      </c>
      <c r="Z73">
        <v>63.2</v>
      </c>
    </row>
    <row r="74" spans="1:27" x14ac:dyDescent="0.3">
      <c r="A74" s="2">
        <v>3</v>
      </c>
      <c r="B74" s="2"/>
      <c r="C74" s="2">
        <v>543</v>
      </c>
      <c r="D74" s="2">
        <v>4.5</v>
      </c>
      <c r="E74" s="2" t="s">
        <v>323</v>
      </c>
      <c r="F74" s="2"/>
      <c r="G74" s="2">
        <v>1.24</v>
      </c>
      <c r="H74" s="2" t="s">
        <v>260</v>
      </c>
      <c r="I74" s="2"/>
      <c r="J74" s="2"/>
      <c r="K74" s="2"/>
      <c r="L74" s="2"/>
      <c r="M74" s="2">
        <v>55.3</v>
      </c>
      <c r="N74" s="9" t="s">
        <v>124</v>
      </c>
      <c r="O74" s="2">
        <v>0.47</v>
      </c>
      <c r="P74" s="9" t="s">
        <v>179</v>
      </c>
      <c r="Q74" s="2">
        <v>0.22</v>
      </c>
      <c r="S74" s="2"/>
      <c r="T74" s="2" t="s">
        <v>152</v>
      </c>
      <c r="U74" s="2">
        <v>0.31</v>
      </c>
      <c r="V74" s="2">
        <v>17.3</v>
      </c>
      <c r="W74" s="2"/>
      <c r="X74" s="2">
        <f>5.9*2.17</f>
        <v>12.803000000000001</v>
      </c>
      <c r="Y74" s="2"/>
      <c r="Z74" s="2">
        <v>34.1</v>
      </c>
      <c r="AA74" s="2"/>
    </row>
    <row r="75" spans="1:27" x14ac:dyDescent="0.3">
      <c r="A75">
        <v>3</v>
      </c>
      <c r="C75">
        <v>503</v>
      </c>
      <c r="D75">
        <v>5</v>
      </c>
      <c r="E75" s="2" t="s">
        <v>340</v>
      </c>
      <c r="F75">
        <v>4600</v>
      </c>
      <c r="H75" s="1" t="s">
        <v>58</v>
      </c>
      <c r="I75" s="2">
        <v>50.8</v>
      </c>
      <c r="L75">
        <v>17.600000000000001</v>
      </c>
      <c r="M75">
        <v>18.600000000000001</v>
      </c>
      <c r="N75" s="9" t="s">
        <v>124</v>
      </c>
      <c r="O75">
        <v>0.59799999999999998</v>
      </c>
      <c r="P75" s="9" t="s">
        <v>179</v>
      </c>
      <c r="Q75">
        <v>0.308</v>
      </c>
      <c r="R75" t="s">
        <v>185</v>
      </c>
      <c r="S75">
        <v>2.1000000000000001E-2</v>
      </c>
      <c r="T75" s="1" t="s">
        <v>129</v>
      </c>
      <c r="U75">
        <v>7.1599999999999997E-2</v>
      </c>
      <c r="V75">
        <v>17.3</v>
      </c>
      <c r="Z75">
        <v>62.1</v>
      </c>
    </row>
    <row r="76" spans="1:27" x14ac:dyDescent="0.3">
      <c r="A76">
        <v>3</v>
      </c>
      <c r="C76">
        <v>533</v>
      </c>
      <c r="D76">
        <v>3</v>
      </c>
      <c r="E76" t="s">
        <v>323</v>
      </c>
      <c r="G76">
        <v>1.56</v>
      </c>
      <c r="H76" t="s">
        <v>11</v>
      </c>
      <c r="I76">
        <v>80</v>
      </c>
      <c r="J76">
        <v>0.5</v>
      </c>
      <c r="K76">
        <v>22.7</v>
      </c>
      <c r="M76">
        <v>41.4</v>
      </c>
      <c r="N76" t="s">
        <v>124</v>
      </c>
      <c r="O76">
        <v>0.61199999999999999</v>
      </c>
      <c r="P76" t="s">
        <v>133</v>
      </c>
      <c r="Q76">
        <f>0.388/2</f>
        <v>0.19400000000000001</v>
      </c>
      <c r="T76" s="1" t="s">
        <v>125</v>
      </c>
      <c r="U76">
        <f>0.388/2</f>
        <v>0.19400000000000001</v>
      </c>
      <c r="V76">
        <v>17</v>
      </c>
      <c r="X76">
        <v>11.9</v>
      </c>
      <c r="Z76">
        <v>44.7</v>
      </c>
    </row>
    <row r="77" spans="1:27" x14ac:dyDescent="0.3">
      <c r="A77">
        <v>3</v>
      </c>
      <c r="C77">
        <v>513</v>
      </c>
      <c r="D77">
        <v>3</v>
      </c>
      <c r="E77" t="s">
        <v>323</v>
      </c>
      <c r="G77">
        <v>9.3000000000000007</v>
      </c>
      <c r="H77" t="s">
        <v>6</v>
      </c>
      <c r="I77">
        <v>39.1</v>
      </c>
      <c r="J77">
        <v>0.18</v>
      </c>
      <c r="K77">
        <v>18.899999999999999</v>
      </c>
      <c r="M77">
        <v>6.62</v>
      </c>
      <c r="N77" t="s">
        <v>124</v>
      </c>
      <c r="O77">
        <v>0.376</v>
      </c>
      <c r="P77" t="s">
        <v>128</v>
      </c>
      <c r="Q77">
        <v>0.26900000000000002</v>
      </c>
      <c r="T77" s="1" t="s">
        <v>136</v>
      </c>
      <c r="U77">
        <v>0.35399999999999998</v>
      </c>
      <c r="V77">
        <v>17</v>
      </c>
      <c r="X77">
        <v>1.65</v>
      </c>
      <c r="Z77">
        <v>41.5</v>
      </c>
    </row>
    <row r="78" spans="1:27" x14ac:dyDescent="0.3">
      <c r="A78">
        <v>3</v>
      </c>
      <c r="C78">
        <v>513</v>
      </c>
      <c r="D78">
        <v>3</v>
      </c>
      <c r="E78" s="2" t="s">
        <v>339</v>
      </c>
      <c r="G78">
        <v>9.33</v>
      </c>
      <c r="H78" s="1" t="s">
        <v>284</v>
      </c>
      <c r="I78" s="2"/>
      <c r="M78">
        <v>2.25</v>
      </c>
      <c r="N78" s="9" t="s">
        <v>124</v>
      </c>
      <c r="O78">
        <v>0.38800000000000001</v>
      </c>
      <c r="P78" s="9" t="s">
        <v>179</v>
      </c>
      <c r="Q78">
        <v>0.39900000000000002</v>
      </c>
      <c r="R78" t="s">
        <v>138</v>
      </c>
      <c r="S78">
        <v>7.2999999999999995E-2</v>
      </c>
      <c r="T78" s="1" t="s">
        <v>129</v>
      </c>
      <c r="U78">
        <v>0.13900000000000001</v>
      </c>
      <c r="V78">
        <v>17</v>
      </c>
      <c r="X78">
        <v>1.76</v>
      </c>
      <c r="Z78">
        <v>44</v>
      </c>
    </row>
    <row r="79" spans="1:27" x14ac:dyDescent="0.3">
      <c r="A79">
        <v>3</v>
      </c>
      <c r="C79">
        <v>503</v>
      </c>
      <c r="D79">
        <v>5</v>
      </c>
      <c r="E79" t="s">
        <v>323</v>
      </c>
      <c r="G79">
        <v>2.64</v>
      </c>
      <c r="H79" s="1" t="s">
        <v>247</v>
      </c>
      <c r="I79">
        <v>58</v>
      </c>
      <c r="J79">
        <v>0.25</v>
      </c>
      <c r="L79">
        <v>17.3</v>
      </c>
      <c r="M79">
        <v>19.2</v>
      </c>
      <c r="N79" t="s">
        <v>124</v>
      </c>
      <c r="O79" s="1">
        <v>0.53200000000000003</v>
      </c>
      <c r="P79" t="s">
        <v>179</v>
      </c>
      <c r="Q79" s="1">
        <v>0.25800000000000001</v>
      </c>
      <c r="R79" t="s">
        <v>150</v>
      </c>
      <c r="S79" s="1">
        <v>5.7000000000000002E-2</v>
      </c>
      <c r="T79" s="1" t="s">
        <v>151</v>
      </c>
      <c r="U79" s="1">
        <f>0.0735+0.0784</f>
        <v>0.15189999999999998</v>
      </c>
      <c r="V79">
        <v>16.8</v>
      </c>
      <c r="X79">
        <f>320/32</f>
        <v>10</v>
      </c>
      <c r="Z79">
        <v>63.1</v>
      </c>
    </row>
    <row r="80" spans="1:27" x14ac:dyDescent="0.3">
      <c r="A80">
        <v>4</v>
      </c>
      <c r="C80">
        <f>C79+20</f>
        <v>523</v>
      </c>
      <c r="D80">
        <v>3</v>
      </c>
      <c r="E80" s="2" t="s">
        <v>332</v>
      </c>
      <c r="G80">
        <v>1.4</v>
      </c>
      <c r="H80" s="1" t="s">
        <v>61</v>
      </c>
      <c r="I80" s="2">
        <v>400.7</v>
      </c>
      <c r="J80">
        <v>0.59140000000000004</v>
      </c>
      <c r="K80">
        <v>5.2218999999999998</v>
      </c>
      <c r="M80">
        <v>31.8</v>
      </c>
      <c r="N80" s="9" t="s">
        <v>124</v>
      </c>
      <c r="O80">
        <v>0.107</v>
      </c>
      <c r="P80" s="9"/>
      <c r="T80" s="1" t="s">
        <v>127</v>
      </c>
      <c r="U80">
        <f>1-O80</f>
        <v>0.89300000000000002</v>
      </c>
      <c r="V80">
        <v>16.7</v>
      </c>
      <c r="X80">
        <f>215/32</f>
        <v>6.71875</v>
      </c>
      <c r="Z80">
        <v>29.8</v>
      </c>
    </row>
    <row r="81" spans="1:27" x14ac:dyDescent="0.3">
      <c r="A81" s="2">
        <v>3</v>
      </c>
      <c r="C81" s="2">
        <v>543</v>
      </c>
      <c r="D81" s="2">
        <v>4.5</v>
      </c>
      <c r="E81" s="2" t="s">
        <v>323</v>
      </c>
      <c r="G81" s="2">
        <v>1.24</v>
      </c>
      <c r="H81" s="2" t="s">
        <v>258</v>
      </c>
      <c r="I81" s="1"/>
      <c r="J81" s="1"/>
      <c r="K81" s="1"/>
      <c r="L81" s="1"/>
      <c r="M81" s="2">
        <v>53.8</v>
      </c>
      <c r="N81" s="9" t="s">
        <v>124</v>
      </c>
      <c r="O81" s="2">
        <v>0.43</v>
      </c>
      <c r="P81" s="9" t="s">
        <v>179</v>
      </c>
      <c r="Q81" s="1">
        <v>0.5</v>
      </c>
      <c r="S81" s="1"/>
      <c r="T81" s="2" t="s">
        <v>152</v>
      </c>
      <c r="U81" s="2">
        <v>7.0000000000000007E-2</v>
      </c>
      <c r="V81" s="2">
        <v>16.5</v>
      </c>
      <c r="X81">
        <f>5.6*2.17</f>
        <v>12.151999999999999</v>
      </c>
      <c r="Z81" s="2">
        <v>34.1</v>
      </c>
    </row>
    <row r="82" spans="1:27" x14ac:dyDescent="0.3">
      <c r="A82">
        <v>3</v>
      </c>
      <c r="C82">
        <v>523</v>
      </c>
      <c r="D82">
        <v>5</v>
      </c>
      <c r="E82" t="s">
        <v>323</v>
      </c>
      <c r="G82">
        <v>1.24</v>
      </c>
      <c r="H82" t="s">
        <v>120</v>
      </c>
      <c r="N82" t="s">
        <v>176</v>
      </c>
      <c r="O82">
        <f>0.126*0.022</f>
        <v>2.7719999999999997E-3</v>
      </c>
      <c r="P82" t="s">
        <v>162</v>
      </c>
      <c r="Q82">
        <f>0.126*0.978</f>
        <v>0.123228</v>
      </c>
      <c r="T82" s="1" t="s">
        <v>143</v>
      </c>
      <c r="U82">
        <f>1-0.126</f>
        <v>0.874</v>
      </c>
      <c r="V82">
        <v>16.5</v>
      </c>
      <c r="X82">
        <v>16</v>
      </c>
      <c r="Z82">
        <v>96.2</v>
      </c>
    </row>
    <row r="83" spans="1:27" x14ac:dyDescent="0.3">
      <c r="A83">
        <v>3</v>
      </c>
      <c r="C83">
        <v>513</v>
      </c>
      <c r="D83">
        <v>3</v>
      </c>
      <c r="E83" t="s">
        <v>323</v>
      </c>
      <c r="G83">
        <v>9.3000000000000007</v>
      </c>
      <c r="H83" t="s">
        <v>16</v>
      </c>
      <c r="I83">
        <v>37.299999999999997</v>
      </c>
      <c r="J83">
        <v>0.21</v>
      </c>
      <c r="K83">
        <v>22.2</v>
      </c>
      <c r="M83">
        <v>5.17</v>
      </c>
      <c r="N83" t="s">
        <v>124</v>
      </c>
      <c r="O83">
        <v>0.39900000000000002</v>
      </c>
      <c r="P83" t="s">
        <v>138</v>
      </c>
      <c r="Q83">
        <v>0.14599999999999999</v>
      </c>
      <c r="T83" s="1" t="s">
        <v>136</v>
      </c>
      <c r="U83">
        <v>0.45400000000000001</v>
      </c>
      <c r="V83">
        <v>16.399999999999999</v>
      </c>
      <c r="X83">
        <v>1.51</v>
      </c>
      <c r="Z83">
        <v>38.799999999999997</v>
      </c>
    </row>
    <row r="84" spans="1:27" x14ac:dyDescent="0.3">
      <c r="A84">
        <v>3</v>
      </c>
      <c r="C84">
        <v>523</v>
      </c>
      <c r="D84">
        <v>4.0999999999999996</v>
      </c>
      <c r="E84" s="2" t="s">
        <v>330</v>
      </c>
      <c r="G84">
        <v>6.2</v>
      </c>
      <c r="H84" s="1" t="s">
        <v>177</v>
      </c>
      <c r="I84">
        <v>38</v>
      </c>
      <c r="J84">
        <v>0.23</v>
      </c>
      <c r="K84">
        <v>29.5</v>
      </c>
      <c r="L84">
        <v>14</v>
      </c>
      <c r="N84" s="9" t="s">
        <v>176</v>
      </c>
      <c r="O84">
        <v>5.7000000000000002E-2</v>
      </c>
      <c r="P84" t="s">
        <v>124</v>
      </c>
      <c r="Q84">
        <v>0.1</v>
      </c>
      <c r="T84" s="1" t="s">
        <v>142</v>
      </c>
      <c r="U84">
        <f>1-O84-Q84</f>
        <v>0.84299999999999997</v>
      </c>
      <c r="V84">
        <v>16.399999999999999</v>
      </c>
      <c r="X84">
        <v>1.8</v>
      </c>
      <c r="Z84">
        <v>25.7</v>
      </c>
    </row>
    <row r="85" spans="1:27" x14ac:dyDescent="0.3">
      <c r="A85">
        <v>3</v>
      </c>
      <c r="C85">
        <v>533</v>
      </c>
      <c r="D85">
        <v>3</v>
      </c>
      <c r="E85" t="s">
        <v>331</v>
      </c>
      <c r="F85">
        <v>3600</v>
      </c>
      <c r="H85" s="1" t="s">
        <v>32</v>
      </c>
      <c r="I85">
        <v>128</v>
      </c>
      <c r="J85">
        <v>0.31</v>
      </c>
      <c r="K85">
        <v>2.2999999999999998</v>
      </c>
      <c r="L85">
        <v>15.5</v>
      </c>
      <c r="N85" t="s">
        <v>124</v>
      </c>
      <c r="O85">
        <v>0.10299999999999999</v>
      </c>
      <c r="P85" t="s">
        <v>128</v>
      </c>
      <c r="Q85">
        <v>0.32700000000000001</v>
      </c>
      <c r="T85" s="1" t="s">
        <v>143</v>
      </c>
      <c r="U85">
        <f>(1-O85-Q85-S85)</f>
        <v>0.57000000000000006</v>
      </c>
      <c r="V85">
        <v>16.3</v>
      </c>
      <c r="X85">
        <f>83.9/32</f>
        <v>2.6218750000000002</v>
      </c>
      <c r="Z85">
        <v>43.5</v>
      </c>
    </row>
    <row r="86" spans="1:27" x14ac:dyDescent="0.3">
      <c r="A86">
        <v>3</v>
      </c>
      <c r="C86">
        <v>533</v>
      </c>
      <c r="D86">
        <v>3</v>
      </c>
      <c r="E86" t="s">
        <v>331</v>
      </c>
      <c r="G86">
        <v>2.99</v>
      </c>
      <c r="H86" s="1" t="s">
        <v>216</v>
      </c>
      <c r="I86">
        <v>89.6</v>
      </c>
      <c r="J86">
        <v>0.36399999999999999</v>
      </c>
      <c r="L86">
        <v>19.2</v>
      </c>
      <c r="M86">
        <v>23.4</v>
      </c>
      <c r="N86" t="s">
        <v>124</v>
      </c>
      <c r="O86">
        <f>0.531*(1-0.0095)</f>
        <v>0.52595550000000002</v>
      </c>
      <c r="P86" t="s">
        <v>136</v>
      </c>
      <c r="Q86">
        <f>0.286*(1-0.0095)</f>
        <v>0.28328300000000001</v>
      </c>
      <c r="R86" t="s">
        <v>133</v>
      </c>
      <c r="S86">
        <f>0.183*(1-0.0095)</f>
        <v>0.18126149999999999</v>
      </c>
      <c r="T86" s="1" t="s">
        <v>142</v>
      </c>
      <c r="U86">
        <v>9.4999999999999998E-3</v>
      </c>
      <c r="V86">
        <v>16.2</v>
      </c>
      <c r="X86">
        <v>5.9</v>
      </c>
      <c r="Z86">
        <v>53</v>
      </c>
    </row>
    <row r="87" spans="1:27" x14ac:dyDescent="0.3">
      <c r="A87">
        <v>3</v>
      </c>
      <c r="C87">
        <v>513</v>
      </c>
      <c r="D87">
        <v>3</v>
      </c>
      <c r="E87" s="2" t="s">
        <v>287</v>
      </c>
      <c r="G87">
        <v>9.33</v>
      </c>
      <c r="H87" s="1" t="s">
        <v>285</v>
      </c>
      <c r="I87" s="2"/>
      <c r="M87">
        <v>2.15</v>
      </c>
      <c r="N87" s="9" t="s">
        <v>124</v>
      </c>
      <c r="O87">
        <v>0.38800000000000001</v>
      </c>
      <c r="P87" s="9" t="s">
        <v>179</v>
      </c>
      <c r="Q87">
        <v>0.39900000000000002</v>
      </c>
      <c r="R87" t="s">
        <v>138</v>
      </c>
      <c r="S87">
        <v>7.2999999999999995E-2</v>
      </c>
      <c r="T87" s="1" t="s">
        <v>129</v>
      </c>
      <c r="U87">
        <v>0.13900000000000001</v>
      </c>
      <c r="V87">
        <v>16.2</v>
      </c>
      <c r="X87">
        <v>1.67</v>
      </c>
      <c r="Z87">
        <v>43.7</v>
      </c>
    </row>
    <row r="88" spans="1:27" x14ac:dyDescent="0.3">
      <c r="A88">
        <v>3</v>
      </c>
      <c r="C88">
        <v>513</v>
      </c>
      <c r="D88">
        <v>3</v>
      </c>
      <c r="E88" t="s">
        <v>323</v>
      </c>
      <c r="G88">
        <v>9.3000000000000007</v>
      </c>
      <c r="H88" s="1" t="s">
        <v>15</v>
      </c>
      <c r="I88">
        <v>26.3</v>
      </c>
      <c r="J88">
        <v>0.18</v>
      </c>
      <c r="K88">
        <v>27.7</v>
      </c>
      <c r="M88">
        <v>4.8899999999999997</v>
      </c>
      <c r="N88" t="s">
        <v>124</v>
      </c>
      <c r="O88">
        <v>0.48699999999999999</v>
      </c>
      <c r="T88" s="1" t="s">
        <v>136</v>
      </c>
      <c r="U88">
        <v>0.51200000000000001</v>
      </c>
      <c r="V88">
        <v>16.100000000000001</v>
      </c>
      <c r="X88">
        <v>1.39</v>
      </c>
      <c r="Z88">
        <v>36.5</v>
      </c>
    </row>
    <row r="89" spans="1:27" x14ac:dyDescent="0.3">
      <c r="A89">
        <v>3</v>
      </c>
      <c r="C89">
        <v>523</v>
      </c>
      <c r="D89">
        <v>3</v>
      </c>
      <c r="E89" t="s">
        <v>329</v>
      </c>
      <c r="F89">
        <v>6600</v>
      </c>
      <c r="G89">
        <v>0.51</v>
      </c>
      <c r="H89" t="s">
        <v>224</v>
      </c>
      <c r="I89">
        <v>325</v>
      </c>
      <c r="J89">
        <v>0.53</v>
      </c>
      <c r="K89">
        <v>6.2</v>
      </c>
      <c r="N89" t="s">
        <v>124</v>
      </c>
      <c r="O89">
        <v>0.14610000000000001</v>
      </c>
      <c r="P89" t="s">
        <v>179</v>
      </c>
      <c r="Q89">
        <v>7.2800000000000004E-2</v>
      </c>
      <c r="R89" t="s">
        <v>128</v>
      </c>
      <c r="S89">
        <v>0.15160000000000001</v>
      </c>
      <c r="T89" s="1" t="s">
        <v>127</v>
      </c>
      <c r="U89">
        <f>(1-O89-Q89-S89)</f>
        <v>0.62949999999999995</v>
      </c>
      <c r="V89">
        <v>16</v>
      </c>
      <c r="X89">
        <f>250.2/32</f>
        <v>7.8187499999999996</v>
      </c>
      <c r="Z89">
        <v>24.35</v>
      </c>
    </row>
    <row r="90" spans="1:27" x14ac:dyDescent="0.3">
      <c r="A90">
        <v>3</v>
      </c>
      <c r="C90">
        <v>543</v>
      </c>
      <c r="D90">
        <v>4.5</v>
      </c>
      <c r="E90" s="2" t="s">
        <v>334</v>
      </c>
      <c r="G90">
        <v>2.33</v>
      </c>
      <c r="H90" s="1" t="s">
        <v>90</v>
      </c>
      <c r="N90" s="9" t="s">
        <v>176</v>
      </c>
      <c r="O90">
        <v>5.2999999999999999E-2</v>
      </c>
      <c r="T90" s="1" t="s">
        <v>136</v>
      </c>
      <c r="U90">
        <f>1-O90-S90</f>
        <v>0.94699999999999995</v>
      </c>
      <c r="V90">
        <v>16</v>
      </c>
      <c r="X90">
        <v>6.88</v>
      </c>
      <c r="Z90">
        <v>40</v>
      </c>
    </row>
    <row r="91" spans="1:27" x14ac:dyDescent="0.3">
      <c r="A91">
        <v>3</v>
      </c>
      <c r="C91">
        <f>270+273</f>
        <v>543</v>
      </c>
      <c r="D91">
        <v>3</v>
      </c>
      <c r="E91" s="2" t="s">
        <v>328</v>
      </c>
      <c r="F91">
        <v>3000</v>
      </c>
      <c r="H91" s="1"/>
      <c r="I91" s="2">
        <v>17</v>
      </c>
      <c r="J91">
        <v>0.16800000000000001</v>
      </c>
      <c r="L91">
        <v>19</v>
      </c>
      <c r="M91">
        <v>7.3</v>
      </c>
      <c r="N91" s="9" t="s">
        <v>124</v>
      </c>
      <c r="O91">
        <v>0.16600000000000001</v>
      </c>
      <c r="P91" s="9" t="s">
        <v>162</v>
      </c>
      <c r="Q91">
        <v>4.9000000000000002E-2</v>
      </c>
      <c r="T91" s="1" t="s">
        <v>136</v>
      </c>
      <c r="U91">
        <f>1-O91-Q91</f>
        <v>0.78499999999999992</v>
      </c>
      <c r="V91">
        <v>15.9</v>
      </c>
      <c r="X91">
        <f>4241/1000</f>
        <v>4.2409999999999997</v>
      </c>
      <c r="Z91">
        <v>29.7</v>
      </c>
    </row>
    <row r="92" spans="1:27" x14ac:dyDescent="0.3">
      <c r="A92">
        <v>3</v>
      </c>
      <c r="C92">
        <v>523</v>
      </c>
      <c r="D92">
        <v>4.0999999999999996</v>
      </c>
      <c r="E92" s="2" t="s">
        <v>330</v>
      </c>
      <c r="G92">
        <v>6.2</v>
      </c>
      <c r="H92" s="1" t="s">
        <v>81</v>
      </c>
      <c r="I92">
        <v>53</v>
      </c>
      <c r="J92">
        <v>0.2</v>
      </c>
      <c r="K92">
        <v>11.5</v>
      </c>
      <c r="L92">
        <v>16</v>
      </c>
      <c r="N92" s="9" t="s">
        <v>176</v>
      </c>
      <c r="O92">
        <v>5.7000000000000002E-2</v>
      </c>
      <c r="P92" t="s">
        <v>124</v>
      </c>
      <c r="Q92">
        <v>0.1</v>
      </c>
      <c r="T92" s="1" t="s">
        <v>129</v>
      </c>
      <c r="U92">
        <f>1-O92-Q92</f>
        <v>0.84299999999999997</v>
      </c>
      <c r="V92">
        <v>15.8</v>
      </c>
      <c r="X92">
        <v>1.87</v>
      </c>
      <c r="Z92">
        <v>26.8</v>
      </c>
    </row>
    <row r="93" spans="1:27" x14ac:dyDescent="0.3">
      <c r="A93" s="2">
        <v>3</v>
      </c>
      <c r="B93" s="2"/>
      <c r="C93" s="2">
        <v>543</v>
      </c>
      <c r="D93" s="2">
        <v>4.5</v>
      </c>
      <c r="E93" s="2" t="s">
        <v>323</v>
      </c>
      <c r="F93" s="2"/>
      <c r="G93" s="2">
        <v>1.24</v>
      </c>
      <c r="H93" s="2" t="s">
        <v>253</v>
      </c>
      <c r="I93" s="2"/>
      <c r="J93" s="2"/>
      <c r="K93" s="2"/>
      <c r="L93" s="2"/>
      <c r="M93" s="2">
        <v>45.2</v>
      </c>
      <c r="N93" s="9" t="s">
        <v>124</v>
      </c>
      <c r="O93" s="2">
        <v>0.43</v>
      </c>
      <c r="P93" s="9" t="s">
        <v>179</v>
      </c>
      <c r="Q93" s="1">
        <v>0.51</v>
      </c>
      <c r="S93" s="2"/>
      <c r="T93" s="2" t="s">
        <v>152</v>
      </c>
      <c r="U93" s="2">
        <v>0.06</v>
      </c>
      <c r="V93" s="2">
        <v>15.7</v>
      </c>
      <c r="W93" s="2"/>
      <c r="X93" s="2">
        <f>370/32</f>
        <v>11.5625</v>
      </c>
      <c r="Y93" s="2"/>
      <c r="Z93" s="2">
        <v>38.799999999999997</v>
      </c>
      <c r="AA93" s="2"/>
    </row>
    <row r="94" spans="1:27" x14ac:dyDescent="0.3">
      <c r="A94">
        <v>3</v>
      </c>
      <c r="B94" s="2"/>
      <c r="C94" s="2">
        <v>513</v>
      </c>
      <c r="D94" s="2">
        <v>4</v>
      </c>
      <c r="E94" s="2" t="s">
        <v>331</v>
      </c>
      <c r="F94" s="2"/>
      <c r="G94" s="2">
        <v>14.93</v>
      </c>
      <c r="H94" s="2" t="s">
        <v>250</v>
      </c>
      <c r="I94">
        <v>126</v>
      </c>
      <c r="J94">
        <v>0.21</v>
      </c>
      <c r="K94">
        <v>5.17</v>
      </c>
      <c r="L94">
        <v>12.5</v>
      </c>
      <c r="M94">
        <v>22.9</v>
      </c>
      <c r="N94" s="9" t="s">
        <v>124</v>
      </c>
      <c r="O94" s="1">
        <v>0.1588</v>
      </c>
      <c r="P94" t="s">
        <v>179</v>
      </c>
      <c r="Q94" s="1">
        <v>6.8000000000000005E-2</v>
      </c>
      <c r="R94" s="9"/>
      <c r="S94" s="2"/>
      <c r="T94" s="2" t="s">
        <v>125</v>
      </c>
      <c r="U94" s="1">
        <f>1-0.2276</f>
        <v>0.77239999999999998</v>
      </c>
      <c r="V94" s="2">
        <v>15.6</v>
      </c>
      <c r="W94" s="2"/>
      <c r="X94" s="2">
        <f>42.4/32</f>
        <v>1.325</v>
      </c>
      <c r="Y94" s="2"/>
      <c r="Z94" s="2">
        <v>51.3</v>
      </c>
      <c r="AA94" s="2"/>
    </row>
    <row r="95" spans="1:27" x14ac:dyDescent="0.3">
      <c r="A95">
        <v>3</v>
      </c>
      <c r="C95">
        <v>513</v>
      </c>
      <c r="D95">
        <v>3</v>
      </c>
      <c r="E95" s="2" t="s">
        <v>288</v>
      </c>
      <c r="G95">
        <v>9.33</v>
      </c>
      <c r="H95" s="1" t="s">
        <v>286</v>
      </c>
      <c r="I95" s="2"/>
      <c r="M95">
        <v>1.88</v>
      </c>
      <c r="N95" s="9" t="s">
        <v>124</v>
      </c>
      <c r="O95">
        <v>0.38800000000000001</v>
      </c>
      <c r="P95" s="9" t="s">
        <v>179</v>
      </c>
      <c r="Q95">
        <v>0.39900000000000002</v>
      </c>
      <c r="R95" t="s">
        <v>138</v>
      </c>
      <c r="S95">
        <v>7.2999999999999995E-2</v>
      </c>
      <c r="T95" s="1" t="s">
        <v>129</v>
      </c>
      <c r="U95">
        <v>0.13900000000000001</v>
      </c>
      <c r="V95">
        <v>15.6</v>
      </c>
      <c r="X95">
        <v>1.54</v>
      </c>
      <c r="Z95">
        <v>41.9</v>
      </c>
    </row>
    <row r="96" spans="1:27" x14ac:dyDescent="0.3">
      <c r="A96">
        <v>3</v>
      </c>
      <c r="C96">
        <v>523</v>
      </c>
      <c r="D96">
        <v>5</v>
      </c>
      <c r="E96" s="2" t="s">
        <v>323</v>
      </c>
      <c r="G96">
        <v>1.24</v>
      </c>
      <c r="H96" s="1" t="s">
        <v>73</v>
      </c>
      <c r="N96" s="9" t="s">
        <v>176</v>
      </c>
      <c r="O96">
        <v>0.1</v>
      </c>
      <c r="T96" s="1" t="s">
        <v>142</v>
      </c>
      <c r="U96">
        <v>0.9</v>
      </c>
      <c r="V96">
        <v>15.5</v>
      </c>
      <c r="X96">
        <v>1.21</v>
      </c>
      <c r="Z96">
        <v>3.9</v>
      </c>
    </row>
    <row r="97" spans="1:27" x14ac:dyDescent="0.3">
      <c r="A97">
        <v>3</v>
      </c>
      <c r="C97">
        <v>503</v>
      </c>
      <c r="D97">
        <v>5</v>
      </c>
      <c r="E97" t="s">
        <v>323</v>
      </c>
      <c r="G97">
        <v>2.2400000000000002</v>
      </c>
      <c r="H97" t="s">
        <v>37</v>
      </c>
      <c r="I97">
        <v>98</v>
      </c>
      <c r="J97">
        <v>0.77</v>
      </c>
      <c r="L97">
        <v>9.3000000000000007</v>
      </c>
      <c r="M97">
        <v>33.4</v>
      </c>
      <c r="N97" t="s">
        <v>124</v>
      </c>
      <c r="O97">
        <v>0.50160000000000005</v>
      </c>
      <c r="P97" t="s">
        <v>179</v>
      </c>
      <c r="Q97">
        <v>0.24379999999999999</v>
      </c>
      <c r="R97" t="s">
        <v>147</v>
      </c>
      <c r="S97">
        <v>0.2039</v>
      </c>
      <c r="T97" s="1" t="s">
        <v>125</v>
      </c>
      <c r="U97">
        <v>5.0999999999999997E-2</v>
      </c>
      <c r="V97">
        <v>15.1</v>
      </c>
      <c r="X97">
        <v>9.06</v>
      </c>
      <c r="Z97">
        <v>66.599999999999994</v>
      </c>
    </row>
    <row r="98" spans="1:27" x14ac:dyDescent="0.3">
      <c r="A98">
        <v>3.89</v>
      </c>
      <c r="C98">
        <v>533</v>
      </c>
      <c r="D98">
        <v>5</v>
      </c>
      <c r="E98" s="2" t="s">
        <v>323</v>
      </c>
      <c r="F98">
        <v>10000</v>
      </c>
      <c r="H98" s="1"/>
      <c r="I98" s="2">
        <v>40</v>
      </c>
      <c r="J98">
        <v>0.37</v>
      </c>
      <c r="K98">
        <v>20</v>
      </c>
      <c r="L98">
        <v>9.6999999999999993</v>
      </c>
      <c r="M98">
        <v>14.5</v>
      </c>
      <c r="N98" s="9" t="s">
        <v>124</v>
      </c>
      <c r="O98" s="2">
        <v>0.375</v>
      </c>
      <c r="P98" s="9" t="s">
        <v>179</v>
      </c>
      <c r="Q98" s="2">
        <v>0.41</v>
      </c>
      <c r="T98" s="1" t="s">
        <v>129</v>
      </c>
      <c r="U98">
        <v>0.215</v>
      </c>
      <c r="V98">
        <v>15.1</v>
      </c>
      <c r="X98">
        <f>429/32</f>
        <v>13.40625</v>
      </c>
      <c r="Z98">
        <v>42</v>
      </c>
    </row>
    <row r="99" spans="1:27" x14ac:dyDescent="0.3">
      <c r="A99">
        <v>3.1</v>
      </c>
      <c r="C99">
        <v>513</v>
      </c>
      <c r="D99">
        <v>4</v>
      </c>
      <c r="E99" s="2" t="s">
        <v>333</v>
      </c>
      <c r="G99">
        <v>1.24</v>
      </c>
      <c r="H99" s="1" t="s">
        <v>67</v>
      </c>
      <c r="I99">
        <v>44.3</v>
      </c>
      <c r="L99">
        <f>(36.3+22.3)/2</f>
        <v>29.299999999999997</v>
      </c>
      <c r="M99">
        <v>9.6999999999999993</v>
      </c>
      <c r="N99" s="9" t="s">
        <v>124</v>
      </c>
      <c r="O99">
        <v>0.43969999999999998</v>
      </c>
      <c r="P99" s="9" t="s">
        <v>179</v>
      </c>
      <c r="Q99">
        <v>0.1812</v>
      </c>
      <c r="T99" s="1" t="s">
        <v>129</v>
      </c>
      <c r="U99">
        <f>1-O99-Q99</f>
        <v>0.37909999999999999</v>
      </c>
      <c r="V99">
        <v>15.1</v>
      </c>
      <c r="X99">
        <f>746.7/32</f>
        <v>23.334375000000001</v>
      </c>
      <c r="Z99">
        <v>78</v>
      </c>
    </row>
    <row r="100" spans="1:27" x14ac:dyDescent="0.3">
      <c r="A100">
        <v>3</v>
      </c>
      <c r="C100">
        <v>533</v>
      </c>
      <c r="D100">
        <v>8</v>
      </c>
      <c r="E100" t="s">
        <v>336</v>
      </c>
      <c r="F100">
        <v>3600</v>
      </c>
      <c r="H100" s="2" t="s">
        <v>25</v>
      </c>
      <c r="I100">
        <v>101</v>
      </c>
      <c r="L100">
        <v>6.5</v>
      </c>
      <c r="M100">
        <v>2.77</v>
      </c>
      <c r="N100" t="s">
        <v>124</v>
      </c>
      <c r="O100">
        <v>7.0000000000000007E-2</v>
      </c>
      <c r="T100" s="1" t="s">
        <v>129</v>
      </c>
      <c r="U100">
        <v>0.93</v>
      </c>
      <c r="V100">
        <v>15</v>
      </c>
      <c r="X100">
        <v>6.45</v>
      </c>
      <c r="Z100">
        <v>86</v>
      </c>
    </row>
    <row r="101" spans="1:27" x14ac:dyDescent="0.3">
      <c r="A101">
        <v>3</v>
      </c>
      <c r="C101">
        <f>C100+20</f>
        <v>553</v>
      </c>
      <c r="D101">
        <v>3</v>
      </c>
      <c r="E101" t="s">
        <v>327</v>
      </c>
      <c r="G101">
        <v>3.11</v>
      </c>
      <c r="H101" s="1"/>
      <c r="I101">
        <v>124</v>
      </c>
      <c r="J101">
        <v>0.24</v>
      </c>
      <c r="M101">
        <v>1.5</v>
      </c>
      <c r="N101" t="s">
        <v>124</v>
      </c>
      <c r="O101">
        <v>0.1024</v>
      </c>
      <c r="T101" s="1" t="s">
        <v>125</v>
      </c>
      <c r="U101">
        <v>0.9</v>
      </c>
      <c r="V101">
        <v>15</v>
      </c>
      <c r="Z101">
        <v>21.7</v>
      </c>
      <c r="AA101">
        <v>6.5</v>
      </c>
    </row>
    <row r="102" spans="1:27" x14ac:dyDescent="0.3">
      <c r="A102">
        <v>3</v>
      </c>
      <c r="B102" s="2"/>
      <c r="C102" s="2">
        <v>493</v>
      </c>
      <c r="D102" s="2">
        <v>4</v>
      </c>
      <c r="E102" s="2" t="s">
        <v>331</v>
      </c>
      <c r="F102" s="2"/>
      <c r="G102" s="2">
        <v>14.93</v>
      </c>
      <c r="H102" s="2" t="s">
        <v>38</v>
      </c>
      <c r="I102" s="2">
        <v>93</v>
      </c>
      <c r="J102" s="2">
        <v>0.21</v>
      </c>
      <c r="K102" s="2">
        <v>7.01</v>
      </c>
      <c r="L102" s="2">
        <v>14.4</v>
      </c>
      <c r="M102" s="2">
        <v>33.5</v>
      </c>
      <c r="N102" s="9" t="s">
        <v>124</v>
      </c>
      <c r="O102" s="2">
        <v>0.308</v>
      </c>
      <c r="P102" t="s">
        <v>179</v>
      </c>
      <c r="Q102" s="2">
        <v>0.13700000000000001</v>
      </c>
      <c r="R102" s="9"/>
      <c r="S102" s="2"/>
      <c r="T102" s="2" t="s">
        <v>125</v>
      </c>
      <c r="U102" s="2">
        <f>1-0.445</f>
        <v>0.55499999999999994</v>
      </c>
      <c r="V102" s="2">
        <v>15</v>
      </c>
      <c r="W102" s="2"/>
      <c r="X102" s="2">
        <v>1.46</v>
      </c>
      <c r="Y102" s="2"/>
      <c r="Z102" s="2">
        <v>58.9</v>
      </c>
      <c r="AA102" s="2"/>
    </row>
    <row r="103" spans="1:27" x14ac:dyDescent="0.3">
      <c r="A103">
        <v>3</v>
      </c>
      <c r="C103">
        <v>533</v>
      </c>
      <c r="D103">
        <v>3</v>
      </c>
      <c r="E103" t="s">
        <v>331</v>
      </c>
      <c r="F103">
        <v>3600</v>
      </c>
      <c r="H103" s="1" t="s">
        <v>226</v>
      </c>
      <c r="I103">
        <v>161</v>
      </c>
      <c r="J103">
        <v>0.41</v>
      </c>
      <c r="K103">
        <v>2.2000000000000002</v>
      </c>
      <c r="L103">
        <v>18.8</v>
      </c>
      <c r="N103" t="s">
        <v>124</v>
      </c>
      <c r="O103">
        <v>0.123</v>
      </c>
      <c r="P103" t="s">
        <v>128</v>
      </c>
      <c r="Q103">
        <v>0.35099999999999998</v>
      </c>
      <c r="T103" s="1" t="s">
        <v>143</v>
      </c>
      <c r="U103">
        <f>(1-O103-Q103-S103)</f>
        <v>0.52600000000000002</v>
      </c>
      <c r="V103">
        <v>14.9</v>
      </c>
      <c r="X103">
        <f>70.7/32</f>
        <v>2.2093750000000001</v>
      </c>
      <c r="Z103">
        <v>40.1</v>
      </c>
    </row>
    <row r="104" spans="1:27" x14ac:dyDescent="0.3">
      <c r="A104" s="2">
        <v>3</v>
      </c>
      <c r="B104" s="2"/>
      <c r="C104" s="2">
        <v>543</v>
      </c>
      <c r="D104" s="2">
        <v>4.5</v>
      </c>
      <c r="E104" s="2" t="s">
        <v>323</v>
      </c>
      <c r="F104" s="2"/>
      <c r="G104" s="2">
        <v>1.24</v>
      </c>
      <c r="H104" s="2" t="s">
        <v>252</v>
      </c>
      <c r="I104" s="2"/>
      <c r="J104" s="2"/>
      <c r="K104" s="2"/>
      <c r="L104" s="2"/>
      <c r="M104" s="2">
        <v>43</v>
      </c>
      <c r="N104" s="9" t="s">
        <v>124</v>
      </c>
      <c r="O104" s="2">
        <v>0.45</v>
      </c>
      <c r="S104" s="2"/>
      <c r="T104" s="2" t="s">
        <v>136</v>
      </c>
      <c r="U104" s="2">
        <v>0.55000000000000004</v>
      </c>
      <c r="V104" s="2">
        <v>14.9</v>
      </c>
      <c r="W104" s="2"/>
      <c r="X104" s="2">
        <f>3*1.99</f>
        <v>5.97</v>
      </c>
      <c r="Y104" s="2"/>
      <c r="Z104" s="2">
        <v>25</v>
      </c>
      <c r="AA104" s="2"/>
    </row>
    <row r="105" spans="1:27" x14ac:dyDescent="0.3">
      <c r="A105" s="2">
        <v>3</v>
      </c>
      <c r="B105" s="2"/>
      <c r="C105" s="2">
        <v>543</v>
      </c>
      <c r="D105" s="2">
        <v>4.5</v>
      </c>
      <c r="E105" s="2" t="s">
        <v>323</v>
      </c>
      <c r="F105" s="2"/>
      <c r="G105" s="2">
        <v>1.24</v>
      </c>
      <c r="H105" s="2" t="s">
        <v>255</v>
      </c>
      <c r="I105" s="2"/>
      <c r="J105" s="2"/>
      <c r="K105" s="2"/>
      <c r="L105" s="2"/>
      <c r="M105" s="2">
        <v>41.3</v>
      </c>
      <c r="N105" s="9" t="s">
        <v>124</v>
      </c>
      <c r="O105" s="2">
        <v>0.44</v>
      </c>
      <c r="P105" s="9" t="s">
        <v>179</v>
      </c>
      <c r="Q105" s="1">
        <v>0.26</v>
      </c>
      <c r="S105" s="2"/>
      <c r="T105" s="2" t="s">
        <v>152</v>
      </c>
      <c r="U105" s="2">
        <v>0.3</v>
      </c>
      <c r="V105" s="2">
        <v>14.9</v>
      </c>
      <c r="W105" s="2"/>
      <c r="X105" s="2">
        <f>4.1*1.99</f>
        <v>8.1589999999999989</v>
      </c>
      <c r="Y105" s="2"/>
      <c r="Z105" s="2">
        <v>26.7</v>
      </c>
      <c r="AA105" s="2"/>
    </row>
    <row r="106" spans="1:27" x14ac:dyDescent="0.3">
      <c r="A106">
        <v>3</v>
      </c>
      <c r="C106">
        <v>513</v>
      </c>
      <c r="D106">
        <v>3</v>
      </c>
      <c r="E106" s="3" t="s">
        <v>163</v>
      </c>
      <c r="F106">
        <v>3600</v>
      </c>
      <c r="H106" s="1" t="s">
        <v>164</v>
      </c>
      <c r="I106" s="2">
        <v>64.8</v>
      </c>
      <c r="L106">
        <v>9.1999999999999993</v>
      </c>
      <c r="M106">
        <v>46</v>
      </c>
      <c r="N106" s="9" t="s">
        <v>124</v>
      </c>
      <c r="O106">
        <v>0.65100000000000002</v>
      </c>
      <c r="P106" s="9" t="s">
        <v>179</v>
      </c>
      <c r="Q106">
        <v>0.27900000000000003</v>
      </c>
      <c r="T106" s="1" t="s">
        <v>125</v>
      </c>
      <c r="U106">
        <v>6.9000000000000006E-2</v>
      </c>
      <c r="V106">
        <v>14.6</v>
      </c>
      <c r="X106">
        <v>3.75</v>
      </c>
      <c r="Z106">
        <v>63.6</v>
      </c>
    </row>
    <row r="107" spans="1:27" x14ac:dyDescent="0.3">
      <c r="A107">
        <v>3</v>
      </c>
      <c r="C107">
        <v>533</v>
      </c>
      <c r="D107">
        <v>3</v>
      </c>
      <c r="E107" t="s">
        <v>331</v>
      </c>
      <c r="F107">
        <v>3600</v>
      </c>
      <c r="H107" s="1" t="s">
        <v>225</v>
      </c>
      <c r="I107">
        <v>156</v>
      </c>
      <c r="J107">
        <v>0.33</v>
      </c>
      <c r="K107">
        <v>2.6</v>
      </c>
      <c r="L107">
        <v>21.1</v>
      </c>
      <c r="N107" t="s">
        <v>124</v>
      </c>
      <c r="O107">
        <v>0.128</v>
      </c>
      <c r="P107" t="s">
        <v>128</v>
      </c>
      <c r="Q107">
        <v>0.35799999999999998</v>
      </c>
      <c r="T107" s="1" t="s">
        <v>143</v>
      </c>
      <c r="U107">
        <f>(1-O107-Q107-S107)</f>
        <v>0.51400000000000001</v>
      </c>
      <c r="V107">
        <v>14.4</v>
      </c>
      <c r="X107">
        <f>62.2/32</f>
        <v>1.9437500000000001</v>
      </c>
      <c r="Z107">
        <v>36.5</v>
      </c>
    </row>
    <row r="108" spans="1:27" x14ac:dyDescent="0.3">
      <c r="A108">
        <v>3.1</v>
      </c>
      <c r="C108">
        <v>513</v>
      </c>
      <c r="D108">
        <v>4</v>
      </c>
      <c r="E108" s="2" t="s">
        <v>323</v>
      </c>
      <c r="G108">
        <v>1.24</v>
      </c>
      <c r="H108" s="1" t="s">
        <v>68</v>
      </c>
      <c r="I108">
        <v>69.7</v>
      </c>
      <c r="L108">
        <f>(25.2+20.9)/2</f>
        <v>23.049999999999997</v>
      </c>
      <c r="M108">
        <v>14.3</v>
      </c>
      <c r="N108" s="9" t="s">
        <v>124</v>
      </c>
      <c r="O108">
        <v>0.43969999999999998</v>
      </c>
      <c r="P108" s="9" t="s">
        <v>179</v>
      </c>
      <c r="Q108">
        <v>0.1812</v>
      </c>
      <c r="T108" s="1" t="s">
        <v>129</v>
      </c>
      <c r="U108">
        <f>1-O108-Q108</f>
        <v>0.37909999999999999</v>
      </c>
      <c r="V108">
        <v>14.4</v>
      </c>
      <c r="X108">
        <f>534.9/32</f>
        <v>16.715624999999999</v>
      </c>
      <c r="Z108">
        <v>58.6</v>
      </c>
    </row>
    <row r="109" spans="1:27" x14ac:dyDescent="0.3">
      <c r="A109">
        <v>3</v>
      </c>
      <c r="C109">
        <v>513</v>
      </c>
      <c r="D109">
        <v>3</v>
      </c>
      <c r="E109" s="2" t="s">
        <v>323</v>
      </c>
      <c r="F109">
        <v>3600</v>
      </c>
      <c r="H109" s="1" t="s">
        <v>155</v>
      </c>
      <c r="I109" s="2">
        <v>121.1</v>
      </c>
      <c r="J109">
        <v>0.1</v>
      </c>
      <c r="K109">
        <v>1.2</v>
      </c>
      <c r="L109">
        <v>15.9</v>
      </c>
      <c r="M109">
        <v>3.85</v>
      </c>
      <c r="N109" s="9" t="s">
        <v>124</v>
      </c>
      <c r="O109" s="2">
        <v>0.36399999999999999</v>
      </c>
      <c r="P109" s="9" t="s">
        <v>179</v>
      </c>
      <c r="Q109" s="2">
        <v>0.13900000000000001</v>
      </c>
      <c r="T109" s="1" t="s">
        <v>129</v>
      </c>
      <c r="U109">
        <v>0.218</v>
      </c>
      <c r="V109" s="1">
        <v>14.3</v>
      </c>
      <c r="Z109">
        <v>32.5</v>
      </c>
    </row>
    <row r="110" spans="1:27" x14ac:dyDescent="0.3">
      <c r="A110">
        <v>3</v>
      </c>
      <c r="C110">
        <v>533</v>
      </c>
      <c r="D110">
        <v>3</v>
      </c>
      <c r="E110" t="s">
        <v>331</v>
      </c>
      <c r="G110">
        <v>2.99</v>
      </c>
      <c r="H110" s="1" t="s">
        <v>215</v>
      </c>
      <c r="I110">
        <v>80.400000000000006</v>
      </c>
      <c r="J110">
        <v>0.34</v>
      </c>
      <c r="L110">
        <v>21.2</v>
      </c>
      <c r="M110">
        <v>20</v>
      </c>
      <c r="N110" t="s">
        <v>124</v>
      </c>
      <c r="O110">
        <v>0.54</v>
      </c>
      <c r="P110" t="s">
        <v>136</v>
      </c>
      <c r="Q110">
        <v>0.28399999999999997</v>
      </c>
      <c r="T110" s="1" t="s">
        <v>126</v>
      </c>
      <c r="U110">
        <v>0.17599999999999999</v>
      </c>
      <c r="V110">
        <v>14.2</v>
      </c>
      <c r="X110">
        <v>4.8</v>
      </c>
      <c r="Z110">
        <v>49.9</v>
      </c>
    </row>
    <row r="111" spans="1:27" x14ac:dyDescent="0.3">
      <c r="A111">
        <v>3</v>
      </c>
      <c r="C111">
        <v>503</v>
      </c>
      <c r="D111">
        <v>5</v>
      </c>
      <c r="E111" t="s">
        <v>323</v>
      </c>
      <c r="G111">
        <v>2.64</v>
      </c>
      <c r="H111" s="1" t="s">
        <v>248</v>
      </c>
      <c r="I111">
        <v>53</v>
      </c>
      <c r="J111">
        <v>0.24</v>
      </c>
      <c r="L111">
        <v>20.100000000000001</v>
      </c>
      <c r="M111">
        <v>15.9</v>
      </c>
      <c r="N111" t="s">
        <v>124</v>
      </c>
      <c r="O111" s="1">
        <v>0.53100000000000003</v>
      </c>
      <c r="P111" t="s">
        <v>179</v>
      </c>
      <c r="Q111" s="1">
        <v>0.25800000000000001</v>
      </c>
      <c r="R111" t="s">
        <v>150</v>
      </c>
      <c r="S111" s="1">
        <v>6.0499999999999998E-2</v>
      </c>
      <c r="T111" s="1" t="s">
        <v>151</v>
      </c>
      <c r="U111" s="1">
        <f>0.069+0.0805</f>
        <v>0.14950000000000002</v>
      </c>
      <c r="V111">
        <v>14.2</v>
      </c>
      <c r="X111">
        <f>270/32</f>
        <v>8.4375</v>
      </c>
      <c r="Z111">
        <v>61.9</v>
      </c>
    </row>
    <row r="112" spans="1:27" x14ac:dyDescent="0.3">
      <c r="A112" s="2">
        <v>3</v>
      </c>
      <c r="B112" s="2"/>
      <c r="C112" s="2">
        <v>543</v>
      </c>
      <c r="D112" s="2">
        <v>4.5</v>
      </c>
      <c r="E112" s="2" t="s">
        <v>323</v>
      </c>
      <c r="F112" s="2"/>
      <c r="G112" s="2">
        <v>1.24</v>
      </c>
      <c r="H112" s="2" t="s">
        <v>254</v>
      </c>
      <c r="I112" s="2"/>
      <c r="J112" s="2"/>
      <c r="K112" s="2"/>
      <c r="L112" s="2"/>
      <c r="M112" s="2">
        <v>42.7</v>
      </c>
      <c r="N112" s="9" t="s">
        <v>124</v>
      </c>
      <c r="O112" s="2">
        <v>0.44</v>
      </c>
      <c r="P112" s="9" t="s">
        <v>179</v>
      </c>
      <c r="Q112" s="1">
        <v>0.46</v>
      </c>
      <c r="S112" s="2"/>
      <c r="T112" s="2" t="s">
        <v>152</v>
      </c>
      <c r="U112" s="2">
        <v>0.1</v>
      </c>
      <c r="V112" s="2">
        <v>14.2</v>
      </c>
      <c r="W112" s="2"/>
      <c r="X112" s="2">
        <f>5.1*1.99</f>
        <v>10.148999999999999</v>
      </c>
      <c r="Y112" s="2"/>
      <c r="Z112" s="2">
        <v>38.799999999999997</v>
      </c>
      <c r="AA112" s="2"/>
    </row>
    <row r="113" spans="1:28" x14ac:dyDescent="0.3">
      <c r="A113">
        <v>3</v>
      </c>
      <c r="C113">
        <v>523</v>
      </c>
      <c r="D113">
        <v>4.0999999999999996</v>
      </c>
      <c r="E113" s="2" t="s">
        <v>330</v>
      </c>
      <c r="G113">
        <v>6.2</v>
      </c>
      <c r="H113" s="1" t="s">
        <v>274</v>
      </c>
      <c r="I113">
        <v>13</v>
      </c>
      <c r="J113">
        <v>0.11</v>
      </c>
      <c r="K113">
        <v>40.299999999999997</v>
      </c>
      <c r="L113">
        <v>16</v>
      </c>
      <c r="N113" s="9" t="s">
        <v>176</v>
      </c>
      <c r="O113">
        <v>5.7000000000000002E-2</v>
      </c>
      <c r="P113" t="s">
        <v>124</v>
      </c>
      <c r="Q113">
        <v>0.1</v>
      </c>
      <c r="T113" s="1" t="s">
        <v>142</v>
      </c>
      <c r="U113">
        <f>1-O113-Q113</f>
        <v>0.84299999999999997</v>
      </c>
      <c r="V113">
        <v>14.2</v>
      </c>
      <c r="X113">
        <f>0.43*3600/1000</f>
        <v>1.548</v>
      </c>
      <c r="Z113">
        <v>24.8</v>
      </c>
    </row>
    <row r="114" spans="1:28" x14ac:dyDescent="0.3">
      <c r="A114">
        <v>3</v>
      </c>
      <c r="C114">
        <v>523</v>
      </c>
      <c r="D114">
        <v>3</v>
      </c>
      <c r="E114" t="s">
        <v>331</v>
      </c>
      <c r="G114">
        <v>3.73</v>
      </c>
      <c r="H114" s="1" t="s">
        <v>91</v>
      </c>
      <c r="I114">
        <v>44</v>
      </c>
      <c r="L114">
        <v>10</v>
      </c>
      <c r="N114" s="9" t="s">
        <v>176</v>
      </c>
      <c r="O114">
        <v>2.6599999999999999E-2</v>
      </c>
      <c r="R114" t="s">
        <v>185</v>
      </c>
      <c r="S114">
        <v>3.9300000000000002E-2</v>
      </c>
      <c r="T114" s="1" t="s">
        <v>136</v>
      </c>
      <c r="U114">
        <f>1-O114-S114</f>
        <v>0.93410000000000004</v>
      </c>
      <c r="V114">
        <v>14.2</v>
      </c>
      <c r="X114">
        <v>4.51</v>
      </c>
      <c r="Z114">
        <v>51.6</v>
      </c>
    </row>
    <row r="115" spans="1:28" x14ac:dyDescent="0.3">
      <c r="A115">
        <v>3</v>
      </c>
      <c r="C115">
        <v>493</v>
      </c>
      <c r="D115">
        <v>2</v>
      </c>
      <c r="E115" s="2" t="s">
        <v>339</v>
      </c>
      <c r="F115">
        <v>2400</v>
      </c>
      <c r="G115">
        <v>9.3000000000000007</v>
      </c>
      <c r="H115" s="1" t="s">
        <v>180</v>
      </c>
      <c r="I115">
        <v>38</v>
      </c>
      <c r="J115">
        <v>8.8999999999999996E-2</v>
      </c>
      <c r="K115">
        <v>5.2</v>
      </c>
      <c r="L115">
        <f>(15.2+12.2+9.4)/3</f>
        <v>12.266666666666666</v>
      </c>
      <c r="N115" s="9" t="s">
        <v>176</v>
      </c>
      <c r="O115">
        <v>9.2299999999999993E-2</v>
      </c>
      <c r="P115" t="s">
        <v>179</v>
      </c>
      <c r="Q115">
        <v>5.2299999999999999E-2</v>
      </c>
      <c r="T115" s="1" t="s">
        <v>126</v>
      </c>
      <c r="U115">
        <v>0.85529999999999995</v>
      </c>
      <c r="V115">
        <v>14.12</v>
      </c>
      <c r="X115">
        <f>114.3/32</f>
        <v>3.5718749999999999</v>
      </c>
      <c r="Z115">
        <v>94.5</v>
      </c>
    </row>
    <row r="116" spans="1:28" x14ac:dyDescent="0.3">
      <c r="A116">
        <v>3</v>
      </c>
      <c r="B116" s="2"/>
      <c r="C116" s="2">
        <v>513</v>
      </c>
      <c r="D116" s="2">
        <v>4</v>
      </c>
      <c r="E116" s="2" t="s">
        <v>331</v>
      </c>
      <c r="F116" s="2"/>
      <c r="G116" s="2">
        <v>14.93</v>
      </c>
      <c r="H116" s="2" t="s">
        <v>249</v>
      </c>
      <c r="I116">
        <v>141</v>
      </c>
      <c r="J116">
        <v>2.5999999999999999E-2</v>
      </c>
      <c r="K116">
        <v>6.25</v>
      </c>
      <c r="M116">
        <v>16.3</v>
      </c>
      <c r="N116" s="9" t="s">
        <v>124</v>
      </c>
      <c r="O116" s="1">
        <v>6.8599999999999994E-2</v>
      </c>
      <c r="P116" t="s">
        <v>179</v>
      </c>
      <c r="Q116" s="1">
        <v>3.0700000000000002E-2</v>
      </c>
      <c r="R116" s="9"/>
      <c r="S116" s="2"/>
      <c r="T116" s="2" t="s">
        <v>125</v>
      </c>
      <c r="U116" s="1">
        <f>1-0.0994</f>
        <v>0.90059999999999996</v>
      </c>
      <c r="V116" s="2">
        <v>14.1</v>
      </c>
      <c r="W116" s="2"/>
      <c r="X116" s="2">
        <f>25.2/32</f>
        <v>0.78749999999999998</v>
      </c>
      <c r="Y116" s="2"/>
      <c r="Z116" s="2">
        <v>33.6</v>
      </c>
      <c r="AA116" s="2"/>
    </row>
    <row r="117" spans="1:28" x14ac:dyDescent="0.3">
      <c r="A117">
        <v>3</v>
      </c>
      <c r="C117">
        <v>493</v>
      </c>
      <c r="D117">
        <v>3</v>
      </c>
      <c r="E117" s="2" t="s">
        <v>332</v>
      </c>
      <c r="G117">
        <v>11.2</v>
      </c>
      <c r="H117" s="1" t="s">
        <v>66</v>
      </c>
      <c r="I117">
        <v>448</v>
      </c>
      <c r="J117">
        <v>0.75</v>
      </c>
      <c r="K117">
        <v>6.4</v>
      </c>
      <c r="N117" s="9" t="s">
        <v>124</v>
      </c>
      <c r="O117">
        <v>0.22900000000000001</v>
      </c>
      <c r="P117" s="9" t="s">
        <v>179</v>
      </c>
      <c r="Q117">
        <v>9.5000000000000001E-2</v>
      </c>
      <c r="T117" s="1" t="s">
        <v>127</v>
      </c>
      <c r="U117">
        <f>1-O117-Q117</f>
        <v>0.67600000000000005</v>
      </c>
      <c r="V117">
        <v>14.1</v>
      </c>
      <c r="X117">
        <v>1.73</v>
      </c>
      <c r="Z117">
        <v>57.2</v>
      </c>
    </row>
    <row r="118" spans="1:28" x14ac:dyDescent="0.3">
      <c r="A118">
        <v>3</v>
      </c>
      <c r="C118">
        <v>523</v>
      </c>
      <c r="D118">
        <v>4.0999999999999996</v>
      </c>
      <c r="E118" s="2" t="s">
        <v>330</v>
      </c>
      <c r="G118">
        <v>6.2</v>
      </c>
      <c r="H118" s="1" t="s">
        <v>276</v>
      </c>
      <c r="I118">
        <v>12</v>
      </c>
      <c r="J118">
        <v>0.1</v>
      </c>
      <c r="K118">
        <v>23.6</v>
      </c>
      <c r="L118">
        <v>15</v>
      </c>
      <c r="N118" s="9" t="s">
        <v>176</v>
      </c>
      <c r="O118">
        <v>5.7000000000000002E-2</v>
      </c>
      <c r="P118" t="s">
        <v>124</v>
      </c>
      <c r="Q118">
        <v>0.1</v>
      </c>
      <c r="T118" s="1" t="s">
        <v>142</v>
      </c>
      <c r="U118">
        <f>1-O118-Q118</f>
        <v>0.84299999999999997</v>
      </c>
      <c r="V118">
        <v>13.9</v>
      </c>
      <c r="X118">
        <f>0.33*3.6</f>
        <v>1.1880000000000002</v>
      </c>
      <c r="Z118">
        <v>19.399999999999999</v>
      </c>
    </row>
    <row r="119" spans="1:28" x14ac:dyDescent="0.3">
      <c r="A119">
        <v>3</v>
      </c>
      <c r="C119">
        <v>523</v>
      </c>
      <c r="D119">
        <v>5</v>
      </c>
      <c r="E119" s="2" t="s">
        <v>323</v>
      </c>
      <c r="G119">
        <v>1.24</v>
      </c>
      <c r="H119" s="1" t="s">
        <v>74</v>
      </c>
      <c r="N119" s="9" t="s">
        <v>176</v>
      </c>
      <c r="O119">
        <v>0.1</v>
      </c>
      <c r="T119" s="1" t="s">
        <v>136</v>
      </c>
      <c r="U119">
        <v>0.9</v>
      </c>
      <c r="V119">
        <v>13.8</v>
      </c>
      <c r="X119">
        <v>10.4</v>
      </c>
      <c r="Z119">
        <v>37.5</v>
      </c>
    </row>
    <row r="120" spans="1:28" x14ac:dyDescent="0.3">
      <c r="A120">
        <v>3</v>
      </c>
      <c r="C120">
        <v>533</v>
      </c>
      <c r="D120">
        <v>3</v>
      </c>
      <c r="E120" t="s">
        <v>323</v>
      </c>
      <c r="G120">
        <v>1.56</v>
      </c>
      <c r="H120" t="s">
        <v>3</v>
      </c>
      <c r="I120">
        <v>139</v>
      </c>
      <c r="J120">
        <v>0.53</v>
      </c>
      <c r="K120">
        <v>14.4</v>
      </c>
      <c r="M120">
        <v>52.8</v>
      </c>
      <c r="N120" t="s">
        <v>124</v>
      </c>
      <c r="O120">
        <v>0.60899999999999999</v>
      </c>
      <c r="T120" s="1" t="s">
        <v>125</v>
      </c>
      <c r="U120">
        <f>(1-O120)</f>
        <v>0.39100000000000001</v>
      </c>
      <c r="V120">
        <v>13.7</v>
      </c>
      <c r="X120">
        <v>5.9</v>
      </c>
      <c r="Z120">
        <v>27.5</v>
      </c>
      <c r="AB120" s="2"/>
    </row>
    <row r="121" spans="1:28" x14ac:dyDescent="0.3">
      <c r="A121">
        <v>3.89</v>
      </c>
      <c r="C121">
        <f>240+273</f>
        <v>513</v>
      </c>
      <c r="D121">
        <v>5</v>
      </c>
      <c r="E121" s="2" t="s">
        <v>323</v>
      </c>
      <c r="F121">
        <v>10000</v>
      </c>
      <c r="H121" s="1" t="s">
        <v>289</v>
      </c>
      <c r="I121" s="2">
        <v>79</v>
      </c>
      <c r="J121">
        <v>0.38</v>
      </c>
      <c r="K121">
        <v>17</v>
      </c>
      <c r="L121">
        <v>10</v>
      </c>
      <c r="M121">
        <v>10.5</v>
      </c>
      <c r="N121" s="9" t="s">
        <v>124</v>
      </c>
      <c r="O121" s="2">
        <v>0.375</v>
      </c>
      <c r="P121" s="9" t="s">
        <v>179</v>
      </c>
      <c r="Q121" s="2">
        <v>0.41</v>
      </c>
      <c r="T121" s="1" t="s">
        <v>129</v>
      </c>
      <c r="U121">
        <v>0.215</v>
      </c>
      <c r="V121">
        <v>13.7</v>
      </c>
      <c r="X121">
        <f>314/32</f>
        <v>9.8125</v>
      </c>
      <c r="Z121">
        <v>50</v>
      </c>
      <c r="AB121" s="2"/>
    </row>
    <row r="122" spans="1:28" x14ac:dyDescent="0.3">
      <c r="A122">
        <v>3</v>
      </c>
      <c r="C122">
        <v>493</v>
      </c>
      <c r="D122">
        <v>3</v>
      </c>
      <c r="E122" s="2" t="s">
        <v>332</v>
      </c>
      <c r="G122">
        <v>11.2</v>
      </c>
      <c r="H122" s="1" t="s">
        <v>282</v>
      </c>
      <c r="I122">
        <v>419</v>
      </c>
      <c r="J122">
        <v>0.62</v>
      </c>
      <c r="K122">
        <v>5.5</v>
      </c>
      <c r="N122" s="9" t="s">
        <v>124</v>
      </c>
      <c r="O122">
        <v>0.45400000000000001</v>
      </c>
      <c r="P122" s="9" t="s">
        <v>179</v>
      </c>
      <c r="Q122">
        <v>0.20399999999999999</v>
      </c>
      <c r="T122" s="1" t="s">
        <v>127</v>
      </c>
      <c r="U122">
        <f>1-O122-Q122</f>
        <v>0.34200000000000008</v>
      </c>
      <c r="V122">
        <v>13.7</v>
      </c>
      <c r="X122">
        <f>54.9/32</f>
        <v>1.715625</v>
      </c>
      <c r="Z122">
        <v>58.6</v>
      </c>
      <c r="AB122" s="2"/>
    </row>
    <row r="123" spans="1:28" x14ac:dyDescent="0.3">
      <c r="A123">
        <v>3</v>
      </c>
      <c r="C123">
        <v>523</v>
      </c>
      <c r="D123">
        <v>5</v>
      </c>
      <c r="E123" t="s">
        <v>323</v>
      </c>
      <c r="G123">
        <v>1.24</v>
      </c>
      <c r="H123" t="s">
        <v>121</v>
      </c>
      <c r="N123" t="s">
        <v>176</v>
      </c>
      <c r="O123">
        <f>0.126*0.022</f>
        <v>2.7719999999999997E-3</v>
      </c>
      <c r="P123" t="s">
        <v>162</v>
      </c>
      <c r="Q123">
        <f>0.126*0.978</f>
        <v>0.123228</v>
      </c>
      <c r="T123" s="1" t="s">
        <v>143</v>
      </c>
      <c r="U123">
        <f>1-0.126</f>
        <v>0.874</v>
      </c>
      <c r="V123">
        <v>13.7</v>
      </c>
      <c r="X123">
        <v>13.38</v>
      </c>
      <c r="Z123">
        <v>96.6</v>
      </c>
      <c r="AB123" s="2"/>
    </row>
    <row r="124" spans="1:28" x14ac:dyDescent="0.3">
      <c r="A124">
        <v>3</v>
      </c>
      <c r="C124">
        <v>493</v>
      </c>
      <c r="D124">
        <v>5</v>
      </c>
      <c r="E124" s="3" t="s">
        <v>323</v>
      </c>
      <c r="G124">
        <v>11.2</v>
      </c>
      <c r="H124" s="1" t="s">
        <v>168</v>
      </c>
      <c r="I124">
        <v>78</v>
      </c>
      <c r="J124">
        <v>0.56999999999999995</v>
      </c>
      <c r="L124">
        <v>7</v>
      </c>
      <c r="N124" s="9" t="s">
        <v>124</v>
      </c>
      <c r="O124">
        <v>0.53200000000000003</v>
      </c>
      <c r="P124" s="9" t="s">
        <v>179</v>
      </c>
      <c r="Q124">
        <v>0.248</v>
      </c>
      <c r="R124" t="s">
        <v>185</v>
      </c>
      <c r="S124">
        <v>0.188</v>
      </c>
      <c r="T124" s="1" t="s">
        <v>129</v>
      </c>
      <c r="U124">
        <v>3.1E-2</v>
      </c>
      <c r="V124">
        <v>13.6</v>
      </c>
      <c r="X124">
        <f>57.6/32</f>
        <v>1.8</v>
      </c>
      <c r="Z124">
        <v>61.7</v>
      </c>
      <c r="AB124" s="2"/>
    </row>
    <row r="125" spans="1:28" x14ac:dyDescent="0.3">
      <c r="A125">
        <v>3</v>
      </c>
      <c r="C125">
        <f>C124+20</f>
        <v>513</v>
      </c>
      <c r="D125">
        <v>3</v>
      </c>
      <c r="E125" t="s">
        <v>327</v>
      </c>
      <c r="G125">
        <v>3.11</v>
      </c>
      <c r="I125">
        <v>154</v>
      </c>
      <c r="J125">
        <v>0.28999999999999998</v>
      </c>
      <c r="M125">
        <v>1.87</v>
      </c>
      <c r="N125" t="s">
        <v>124</v>
      </c>
      <c r="O125">
        <v>0.10539999999999999</v>
      </c>
      <c r="T125" s="1" t="s">
        <v>125</v>
      </c>
      <c r="U125">
        <v>0.9</v>
      </c>
      <c r="V125">
        <v>13.5</v>
      </c>
      <c r="Z125">
        <v>23.1</v>
      </c>
      <c r="AA125">
        <v>7.1</v>
      </c>
      <c r="AB125" s="2"/>
    </row>
    <row r="126" spans="1:28" x14ac:dyDescent="0.3">
      <c r="A126">
        <v>3</v>
      </c>
      <c r="C126">
        <v>493</v>
      </c>
      <c r="D126">
        <v>3</v>
      </c>
      <c r="E126" s="2" t="s">
        <v>332</v>
      </c>
      <c r="G126">
        <v>11.2</v>
      </c>
      <c r="H126" s="1" t="s">
        <v>175</v>
      </c>
      <c r="I126">
        <v>560</v>
      </c>
      <c r="J126">
        <v>0.56000000000000005</v>
      </c>
      <c r="K126">
        <v>4</v>
      </c>
      <c r="N126" s="9" t="s">
        <v>124</v>
      </c>
      <c r="O126">
        <v>0.376</v>
      </c>
      <c r="P126" s="9" t="s">
        <v>179</v>
      </c>
      <c r="Q126">
        <v>0.16700000000000001</v>
      </c>
      <c r="T126" s="1" t="s">
        <v>127</v>
      </c>
      <c r="U126">
        <f>1-O126-Q126</f>
        <v>0.45699999999999996</v>
      </c>
      <c r="V126">
        <v>13.5</v>
      </c>
      <c r="X126">
        <f>53.2/32</f>
        <v>1.6625000000000001</v>
      </c>
      <c r="Z126">
        <v>57.2</v>
      </c>
      <c r="AB126" s="2"/>
    </row>
    <row r="127" spans="1:28" x14ac:dyDescent="0.3">
      <c r="A127">
        <v>3</v>
      </c>
      <c r="C127">
        <f>C126+20</f>
        <v>513</v>
      </c>
      <c r="D127">
        <v>3</v>
      </c>
      <c r="E127" t="s">
        <v>323</v>
      </c>
      <c r="G127">
        <v>1.87</v>
      </c>
      <c r="H127" s="1"/>
      <c r="I127">
        <v>470.3</v>
      </c>
      <c r="J127">
        <v>0.57999999999999996</v>
      </c>
      <c r="K127">
        <v>5.3</v>
      </c>
      <c r="L127">
        <v>3.8</v>
      </c>
      <c r="M127">
        <v>76.400000000000006</v>
      </c>
      <c r="N127" t="s">
        <v>124</v>
      </c>
      <c r="O127">
        <v>8.1000000000000003E-2</v>
      </c>
      <c r="R127" t="s">
        <v>132</v>
      </c>
      <c r="S127">
        <v>4.2000000000000003E-2</v>
      </c>
      <c r="T127" s="1" t="s">
        <v>127</v>
      </c>
      <c r="U127">
        <f>1-O127-S127</f>
        <v>0.877</v>
      </c>
      <c r="V127">
        <v>13.4</v>
      </c>
      <c r="X127">
        <f>252.9/32</f>
        <v>7.9031250000000002</v>
      </c>
      <c r="Z127">
        <v>45.8</v>
      </c>
      <c r="AB127" s="2"/>
    </row>
    <row r="128" spans="1:28" x14ac:dyDescent="0.3">
      <c r="A128">
        <v>3</v>
      </c>
      <c r="C128">
        <v>503</v>
      </c>
      <c r="D128">
        <v>5</v>
      </c>
      <c r="E128" t="s">
        <v>323</v>
      </c>
      <c r="G128">
        <v>2.2400000000000002</v>
      </c>
      <c r="H128" s="1" t="s">
        <v>148</v>
      </c>
      <c r="I128">
        <v>39</v>
      </c>
      <c r="J128">
        <v>0.2</v>
      </c>
      <c r="L128">
        <v>13.7</v>
      </c>
      <c r="M128">
        <v>17.5</v>
      </c>
      <c r="N128" t="s">
        <v>124</v>
      </c>
      <c r="O128">
        <v>0.58740000000000003</v>
      </c>
      <c r="P128" t="s">
        <v>179</v>
      </c>
      <c r="Q128">
        <v>0.29409999999999997</v>
      </c>
      <c r="T128" s="1" t="s">
        <v>125</v>
      </c>
      <c r="U128">
        <v>0.11899999999999999</v>
      </c>
      <c r="V128">
        <v>13.4</v>
      </c>
      <c r="X128">
        <v>7.8125</v>
      </c>
      <c r="Z128">
        <v>58.1</v>
      </c>
      <c r="AB128" s="2"/>
    </row>
    <row r="129" spans="1:28" x14ac:dyDescent="0.3">
      <c r="A129">
        <v>3</v>
      </c>
      <c r="C129">
        <v>513</v>
      </c>
      <c r="D129">
        <v>3</v>
      </c>
      <c r="E129" s="2" t="s">
        <v>323</v>
      </c>
      <c r="G129">
        <v>1.85</v>
      </c>
      <c r="H129" s="1" t="s">
        <v>154</v>
      </c>
      <c r="I129" s="2">
        <v>38.799999999999997</v>
      </c>
      <c r="L129">
        <v>10.5</v>
      </c>
      <c r="M129">
        <v>10.9</v>
      </c>
      <c r="N129" s="9" t="s">
        <v>124</v>
      </c>
      <c r="O129" s="2">
        <v>0.66200000000000003</v>
      </c>
      <c r="P129" s="9"/>
      <c r="T129" s="2" t="s">
        <v>136</v>
      </c>
      <c r="U129">
        <v>0.33800000000000002</v>
      </c>
      <c r="V129">
        <v>13.2</v>
      </c>
      <c r="X129">
        <f>280/32</f>
        <v>8.75</v>
      </c>
      <c r="Z129">
        <v>49.9</v>
      </c>
      <c r="AB129" s="2"/>
    </row>
    <row r="130" spans="1:28" x14ac:dyDescent="0.3">
      <c r="A130">
        <v>3</v>
      </c>
      <c r="C130" s="2">
        <v>493</v>
      </c>
      <c r="D130" s="2">
        <v>4</v>
      </c>
      <c r="E130" s="2" t="s">
        <v>331</v>
      </c>
      <c r="G130" s="2">
        <v>14.93</v>
      </c>
      <c r="H130" s="2" t="s">
        <v>251</v>
      </c>
      <c r="I130">
        <v>90</v>
      </c>
      <c r="J130">
        <v>0.19</v>
      </c>
      <c r="K130">
        <v>5.67</v>
      </c>
      <c r="L130">
        <v>13.3</v>
      </c>
      <c r="M130">
        <v>31.6</v>
      </c>
      <c r="N130" s="9" t="s">
        <v>124</v>
      </c>
      <c r="O130" s="1">
        <v>0.23400000000000001</v>
      </c>
      <c r="P130" t="s">
        <v>179</v>
      </c>
      <c r="Q130" s="1">
        <v>0.10199999999999999</v>
      </c>
      <c r="S130" s="1"/>
      <c r="T130" s="2" t="s">
        <v>125</v>
      </c>
      <c r="U130" s="1">
        <f>1-0.3361</f>
        <v>0.66389999999999993</v>
      </c>
      <c r="V130" s="2">
        <v>12.7</v>
      </c>
      <c r="X130">
        <f>39.3/32</f>
        <v>1.2281249999999999</v>
      </c>
      <c r="Z130">
        <v>56.2</v>
      </c>
      <c r="AB130" s="1"/>
    </row>
    <row r="131" spans="1:28" x14ac:dyDescent="0.3">
      <c r="A131">
        <v>3</v>
      </c>
      <c r="C131">
        <v>533</v>
      </c>
      <c r="D131">
        <v>3</v>
      </c>
      <c r="E131" s="2" t="s">
        <v>328</v>
      </c>
      <c r="F131">
        <v>3000</v>
      </c>
      <c r="H131" s="1"/>
      <c r="I131" s="2">
        <v>17</v>
      </c>
      <c r="J131">
        <v>0.16800000000000001</v>
      </c>
      <c r="L131">
        <v>19</v>
      </c>
      <c r="M131">
        <v>7.3</v>
      </c>
      <c r="N131" s="9" t="s">
        <v>124</v>
      </c>
      <c r="O131">
        <v>0.16600000000000001</v>
      </c>
      <c r="P131" s="9" t="s">
        <v>162</v>
      </c>
      <c r="Q131">
        <v>4.9000000000000002E-2</v>
      </c>
      <c r="T131" s="1" t="s">
        <v>136</v>
      </c>
      <c r="U131">
        <f>1-O131-Q131</f>
        <v>0.78499999999999992</v>
      </c>
      <c r="V131">
        <v>12.7</v>
      </c>
      <c r="X131">
        <v>4.2</v>
      </c>
      <c r="Z131">
        <v>36.5</v>
      </c>
      <c r="AB131" s="2"/>
    </row>
    <row r="132" spans="1:28" x14ac:dyDescent="0.3">
      <c r="A132">
        <v>3</v>
      </c>
      <c r="C132">
        <v>543</v>
      </c>
      <c r="D132">
        <v>5</v>
      </c>
      <c r="E132" t="s">
        <v>327</v>
      </c>
      <c r="G132">
        <v>3.73</v>
      </c>
      <c r="I132">
        <v>618</v>
      </c>
      <c r="J132">
        <v>0.68500000000000005</v>
      </c>
      <c r="K132">
        <v>4.4000000000000004</v>
      </c>
      <c r="L132" s="1">
        <v>4.7</v>
      </c>
      <c r="M132">
        <v>9.9600000000000009</v>
      </c>
      <c r="N132" t="s">
        <v>124</v>
      </c>
      <c r="O132">
        <v>0.1196</v>
      </c>
      <c r="T132" s="1" t="s">
        <v>127</v>
      </c>
      <c r="U132">
        <f>(1-O132-Q132-S132)</f>
        <v>0.88039999999999996</v>
      </c>
      <c r="V132">
        <v>12.6</v>
      </c>
      <c r="X132">
        <f>46.9/32</f>
        <v>1.465625</v>
      </c>
      <c r="Z132">
        <v>17.8</v>
      </c>
      <c r="AB132" s="2"/>
    </row>
    <row r="133" spans="1:28" x14ac:dyDescent="0.3">
      <c r="A133">
        <v>3</v>
      </c>
      <c r="C133">
        <v>513</v>
      </c>
      <c r="D133">
        <v>3</v>
      </c>
      <c r="E133" s="2" t="s">
        <v>323</v>
      </c>
      <c r="G133">
        <v>1.85</v>
      </c>
      <c r="H133" s="1" t="s">
        <v>263</v>
      </c>
      <c r="I133" s="2">
        <v>26.3</v>
      </c>
      <c r="L133">
        <v>13.2</v>
      </c>
      <c r="M133">
        <v>9.6</v>
      </c>
      <c r="N133" s="9" t="s">
        <v>124</v>
      </c>
      <c r="O133" s="2">
        <v>0.73799999999999999</v>
      </c>
      <c r="P133" s="9"/>
      <c r="Q133" s="2"/>
      <c r="T133" s="2" t="s">
        <v>136</v>
      </c>
      <c r="U133">
        <v>0.2616</v>
      </c>
      <c r="V133">
        <v>12.6</v>
      </c>
      <c r="X133">
        <f>300/32</f>
        <v>9.375</v>
      </c>
      <c r="Z133">
        <v>54.2</v>
      </c>
      <c r="AB133" s="2"/>
    </row>
    <row r="134" spans="1:28" x14ac:dyDescent="0.3">
      <c r="A134">
        <v>3</v>
      </c>
      <c r="C134">
        <v>523</v>
      </c>
      <c r="D134">
        <v>3</v>
      </c>
      <c r="E134" t="s">
        <v>331</v>
      </c>
      <c r="G134">
        <v>3.73</v>
      </c>
      <c r="H134" s="1" t="s">
        <v>269</v>
      </c>
      <c r="I134">
        <v>32</v>
      </c>
      <c r="L134">
        <v>9</v>
      </c>
      <c r="N134" s="9" t="s">
        <v>176</v>
      </c>
      <c r="O134">
        <v>2.5100000000000001E-2</v>
      </c>
      <c r="R134" t="s">
        <v>185</v>
      </c>
      <c r="S134">
        <v>1.8499999999999999E-2</v>
      </c>
      <c r="T134" s="1" t="s">
        <v>136</v>
      </c>
      <c r="U134">
        <f>1-O134-S134</f>
        <v>0.95640000000000003</v>
      </c>
      <c r="V134">
        <v>12.6</v>
      </c>
      <c r="X134">
        <f>6.9*0.635</f>
        <v>4.3815</v>
      </c>
      <c r="Z134">
        <v>57</v>
      </c>
      <c r="AB134" s="2"/>
    </row>
    <row r="135" spans="1:28" x14ac:dyDescent="0.3">
      <c r="A135">
        <v>4</v>
      </c>
      <c r="C135">
        <v>533</v>
      </c>
      <c r="D135">
        <v>5</v>
      </c>
      <c r="E135" t="s">
        <v>336</v>
      </c>
      <c r="G135">
        <v>1.49</v>
      </c>
      <c r="H135" t="s">
        <v>112</v>
      </c>
      <c r="I135">
        <v>428.8</v>
      </c>
      <c r="J135">
        <v>0.97</v>
      </c>
      <c r="K135">
        <v>9.06</v>
      </c>
      <c r="L135">
        <v>6.75</v>
      </c>
      <c r="N135" t="s">
        <v>176</v>
      </c>
      <c r="O135">
        <v>8.3000000000000004E-2</v>
      </c>
      <c r="P135" t="s">
        <v>187</v>
      </c>
      <c r="Q135">
        <v>7.5999999999999998E-2</v>
      </c>
      <c r="T135" s="1" t="s">
        <v>191</v>
      </c>
      <c r="U135">
        <f>1-O135-Q135</f>
        <v>0.84100000000000008</v>
      </c>
      <c r="V135">
        <v>12.6</v>
      </c>
      <c r="X135">
        <v>11</v>
      </c>
      <c r="Z135">
        <v>83.9</v>
      </c>
    </row>
    <row r="136" spans="1:28" x14ac:dyDescent="0.3">
      <c r="A136">
        <v>3</v>
      </c>
      <c r="C136">
        <v>493</v>
      </c>
      <c r="D136">
        <v>5</v>
      </c>
      <c r="E136" s="3" t="s">
        <v>323</v>
      </c>
      <c r="G136">
        <v>11.2</v>
      </c>
      <c r="H136" s="1" t="s">
        <v>170</v>
      </c>
      <c r="I136">
        <v>82</v>
      </c>
      <c r="J136">
        <v>0.59</v>
      </c>
      <c r="L136">
        <v>12.7</v>
      </c>
      <c r="N136" s="9" t="s">
        <v>124</v>
      </c>
      <c r="O136">
        <v>0.51400000000000001</v>
      </c>
      <c r="P136" s="9" t="s">
        <v>179</v>
      </c>
      <c r="Q136">
        <v>0.23699999999999999</v>
      </c>
      <c r="R136" t="s">
        <v>185</v>
      </c>
      <c r="S136">
        <v>0.219</v>
      </c>
      <c r="T136" s="1" t="s">
        <v>129</v>
      </c>
      <c r="U136">
        <v>2.9000000000000001E-2</v>
      </c>
      <c r="V136">
        <v>12.5</v>
      </c>
      <c r="X136">
        <f>50/32</f>
        <v>1.5625</v>
      </c>
      <c r="Z136">
        <v>58.2</v>
      </c>
    </row>
    <row r="137" spans="1:28" x14ac:dyDescent="0.3">
      <c r="A137">
        <v>3</v>
      </c>
      <c r="C137">
        <v>553</v>
      </c>
      <c r="D137">
        <v>3</v>
      </c>
      <c r="E137" t="s">
        <v>337</v>
      </c>
      <c r="G137">
        <v>2.99</v>
      </c>
      <c r="H137" t="s">
        <v>116</v>
      </c>
      <c r="I137">
        <v>161.6</v>
      </c>
      <c r="J137">
        <v>0.19800000000000001</v>
      </c>
      <c r="K137">
        <v>4.9000000000000004</v>
      </c>
      <c r="M137">
        <v>8.1999999999999993</v>
      </c>
      <c r="N137" t="s">
        <v>124</v>
      </c>
      <c r="O137">
        <v>0.08</v>
      </c>
      <c r="P137" t="s">
        <v>187</v>
      </c>
      <c r="Q137">
        <v>6.6000000000000003E-2</v>
      </c>
      <c r="T137" s="1" t="s">
        <v>127</v>
      </c>
      <c r="U137">
        <f>1-O137-Q137</f>
        <v>0.85400000000000009</v>
      </c>
      <c r="V137">
        <v>12.5</v>
      </c>
      <c r="X137">
        <v>6.55</v>
      </c>
      <c r="Z137">
        <v>78.2</v>
      </c>
    </row>
    <row r="138" spans="1:28" x14ac:dyDescent="0.3">
      <c r="A138">
        <v>3</v>
      </c>
      <c r="C138">
        <v>523</v>
      </c>
      <c r="D138">
        <v>4.0999999999999996</v>
      </c>
      <c r="E138" s="2" t="s">
        <v>330</v>
      </c>
      <c r="G138">
        <v>6.2</v>
      </c>
      <c r="H138" s="1" t="s">
        <v>82</v>
      </c>
      <c r="I138">
        <v>126</v>
      </c>
      <c r="J138">
        <v>0.76</v>
      </c>
      <c r="K138">
        <v>24.2</v>
      </c>
      <c r="L138">
        <v>11</v>
      </c>
      <c r="N138" s="9" t="s">
        <v>176</v>
      </c>
      <c r="O138">
        <v>5.7000000000000002E-2</v>
      </c>
      <c r="P138" t="s">
        <v>124</v>
      </c>
      <c r="Q138">
        <v>0.1</v>
      </c>
      <c r="T138" s="1" t="s">
        <v>125</v>
      </c>
      <c r="U138">
        <f>1-O138-Q138</f>
        <v>0.84299999999999997</v>
      </c>
      <c r="V138">
        <v>12.4</v>
      </c>
      <c r="X138">
        <v>1.69</v>
      </c>
      <c r="Z138">
        <v>31.4</v>
      </c>
    </row>
    <row r="139" spans="1:28" x14ac:dyDescent="0.3">
      <c r="A139">
        <v>3.1</v>
      </c>
      <c r="C139">
        <v>513</v>
      </c>
      <c r="D139">
        <v>3</v>
      </c>
      <c r="E139" s="2" t="s">
        <v>333</v>
      </c>
      <c r="G139">
        <v>1.24</v>
      </c>
      <c r="H139" s="1" t="s">
        <v>67</v>
      </c>
      <c r="I139">
        <v>44.3</v>
      </c>
      <c r="L139">
        <f>(36.3+22.3)/2</f>
        <v>29.299999999999997</v>
      </c>
      <c r="M139">
        <v>9.6999999999999993</v>
      </c>
      <c r="N139" s="9" t="s">
        <v>124</v>
      </c>
      <c r="O139">
        <v>0.43969999999999998</v>
      </c>
      <c r="P139" s="9" t="s">
        <v>179</v>
      </c>
      <c r="Q139">
        <v>0.1812</v>
      </c>
      <c r="T139" s="1" t="s">
        <v>129</v>
      </c>
      <c r="U139">
        <f>1-O139-Q139</f>
        <v>0.37909999999999999</v>
      </c>
      <c r="V139">
        <v>12.3</v>
      </c>
      <c r="X139">
        <v>18.22</v>
      </c>
      <c r="Z139">
        <v>74.8</v>
      </c>
    </row>
    <row r="140" spans="1:28" x14ac:dyDescent="0.3">
      <c r="A140">
        <v>3</v>
      </c>
      <c r="C140">
        <v>513</v>
      </c>
      <c r="D140">
        <v>3</v>
      </c>
      <c r="E140" s="2" t="s">
        <v>326</v>
      </c>
      <c r="F140">
        <v>3600</v>
      </c>
      <c r="H140" s="1" t="s">
        <v>156</v>
      </c>
      <c r="I140" s="2">
        <v>116.5</v>
      </c>
      <c r="J140">
        <v>0.15</v>
      </c>
      <c r="K140">
        <v>2.4</v>
      </c>
      <c r="L140">
        <v>16.5</v>
      </c>
      <c r="M140">
        <v>3.28</v>
      </c>
      <c r="N140" s="9" t="s">
        <v>124</v>
      </c>
      <c r="O140">
        <v>0.34</v>
      </c>
      <c r="P140" s="9" t="s">
        <v>179</v>
      </c>
      <c r="Q140">
        <v>0.13200000000000001</v>
      </c>
      <c r="R140" t="s">
        <v>161</v>
      </c>
      <c r="S140">
        <v>2.7E-2</v>
      </c>
      <c r="T140" s="1" t="s">
        <v>129</v>
      </c>
      <c r="U140">
        <v>0.27900000000000003</v>
      </c>
      <c r="V140">
        <v>12.1</v>
      </c>
      <c r="Z140">
        <v>54.1</v>
      </c>
    </row>
    <row r="141" spans="1:28" x14ac:dyDescent="0.3">
      <c r="A141">
        <v>3</v>
      </c>
      <c r="C141">
        <v>513</v>
      </c>
      <c r="D141">
        <v>3</v>
      </c>
      <c r="E141" s="3" t="s">
        <v>163</v>
      </c>
      <c r="F141">
        <v>3600</v>
      </c>
      <c r="H141" s="1" t="s">
        <v>165</v>
      </c>
      <c r="I141" s="2">
        <v>54.3</v>
      </c>
      <c r="L141">
        <v>12.3</v>
      </c>
      <c r="M141">
        <v>44</v>
      </c>
      <c r="N141" s="9" t="s">
        <v>124</v>
      </c>
      <c r="O141">
        <v>0.65100000000000002</v>
      </c>
      <c r="P141" s="9" t="s">
        <v>179</v>
      </c>
      <c r="Q141">
        <v>0.27900000000000003</v>
      </c>
      <c r="T141" s="1" t="s">
        <v>125</v>
      </c>
      <c r="U141">
        <v>6.9000000000000006E-2</v>
      </c>
      <c r="V141">
        <v>12.1</v>
      </c>
      <c r="X141">
        <v>3.13</v>
      </c>
      <c r="Z141">
        <v>62.6</v>
      </c>
    </row>
    <row r="142" spans="1:28" x14ac:dyDescent="0.3">
      <c r="A142">
        <v>3</v>
      </c>
      <c r="C142">
        <v>503</v>
      </c>
      <c r="D142">
        <v>4.5</v>
      </c>
      <c r="E142" s="2" t="s">
        <v>334</v>
      </c>
      <c r="G142">
        <v>2.33</v>
      </c>
      <c r="H142" s="1"/>
      <c r="N142" s="9" t="s">
        <v>176</v>
      </c>
      <c r="O142">
        <v>2.1299999999999999E-2</v>
      </c>
      <c r="R142" t="s">
        <v>140</v>
      </c>
      <c r="S142">
        <v>2.2499999999999999E-2</v>
      </c>
      <c r="T142" s="1" t="s">
        <v>136</v>
      </c>
      <c r="U142">
        <f>1-O142-S142</f>
        <v>0.95620000000000005</v>
      </c>
      <c r="V142">
        <v>12</v>
      </c>
      <c r="X142">
        <v>7.5</v>
      </c>
      <c r="Z142">
        <v>62</v>
      </c>
    </row>
    <row r="143" spans="1:28" x14ac:dyDescent="0.3">
      <c r="A143">
        <v>3</v>
      </c>
      <c r="C143">
        <v>543</v>
      </c>
      <c r="D143">
        <v>5</v>
      </c>
      <c r="E143" t="s">
        <v>327</v>
      </c>
      <c r="G143">
        <v>3.73</v>
      </c>
      <c r="I143">
        <v>589</v>
      </c>
      <c r="J143">
        <v>0.57099999999999995</v>
      </c>
      <c r="K143">
        <v>4</v>
      </c>
      <c r="L143" s="1">
        <v>4.7</v>
      </c>
      <c r="M143">
        <v>9.69</v>
      </c>
      <c r="N143" t="s">
        <v>124</v>
      </c>
      <c r="O143">
        <v>0.11749999999999999</v>
      </c>
      <c r="P143" t="s">
        <v>179</v>
      </c>
      <c r="Q143">
        <v>5.45E-2</v>
      </c>
      <c r="T143" s="1" t="s">
        <v>127</v>
      </c>
      <c r="U143">
        <f>(1-O143-Q143-S143)</f>
        <v>0.82800000000000007</v>
      </c>
      <c r="V143">
        <v>11.9</v>
      </c>
      <c r="X143">
        <f>153.9/32</f>
        <v>4.8093750000000002</v>
      </c>
      <c r="Z143">
        <v>61.8</v>
      </c>
    </row>
    <row r="144" spans="1:28" x14ac:dyDescent="0.3">
      <c r="A144">
        <v>3</v>
      </c>
      <c r="C144">
        <v>513</v>
      </c>
      <c r="D144">
        <v>3</v>
      </c>
      <c r="E144" s="2" t="s">
        <v>323</v>
      </c>
      <c r="G144">
        <v>1.85</v>
      </c>
      <c r="H144" s="1" t="s">
        <v>261</v>
      </c>
      <c r="I144" s="2">
        <v>23.7</v>
      </c>
      <c r="L144">
        <v>9.6</v>
      </c>
      <c r="M144">
        <v>8.1999999999999993</v>
      </c>
      <c r="N144" s="9" t="s">
        <v>124</v>
      </c>
      <c r="O144" s="2">
        <v>0.48499999999999999</v>
      </c>
      <c r="P144" s="9"/>
      <c r="Q144" s="2"/>
      <c r="T144" s="2" t="s">
        <v>136</v>
      </c>
      <c r="U144">
        <v>0.51500000000000001</v>
      </c>
      <c r="V144">
        <v>11.9</v>
      </c>
      <c r="X144">
        <f>370/32</f>
        <v>11.5625</v>
      </c>
      <c r="Z144">
        <v>71.5</v>
      </c>
    </row>
    <row r="145" spans="1:27" x14ac:dyDescent="0.3">
      <c r="A145">
        <v>3</v>
      </c>
      <c r="C145" s="2">
        <v>493</v>
      </c>
      <c r="D145" s="2">
        <v>4</v>
      </c>
      <c r="E145" s="2" t="s">
        <v>331</v>
      </c>
      <c r="G145" s="2">
        <v>14.93</v>
      </c>
      <c r="H145" s="2" t="s">
        <v>250</v>
      </c>
      <c r="I145">
        <v>126</v>
      </c>
      <c r="J145">
        <v>0.21</v>
      </c>
      <c r="K145">
        <v>5.17</v>
      </c>
      <c r="L145">
        <v>12.5</v>
      </c>
      <c r="M145">
        <v>22.9</v>
      </c>
      <c r="N145" s="9" t="s">
        <v>124</v>
      </c>
      <c r="O145" s="1">
        <v>0.1588</v>
      </c>
      <c r="P145" t="s">
        <v>179</v>
      </c>
      <c r="Q145" s="1">
        <v>6.8000000000000005E-2</v>
      </c>
      <c r="S145" s="1"/>
      <c r="T145" s="2" t="s">
        <v>125</v>
      </c>
      <c r="U145" s="1">
        <f>1-0.2276</f>
        <v>0.77239999999999998</v>
      </c>
      <c r="V145" s="2">
        <v>11.8</v>
      </c>
      <c r="X145">
        <f>34.9/32</f>
        <v>1.090625</v>
      </c>
      <c r="Z145">
        <v>35.9</v>
      </c>
    </row>
    <row r="146" spans="1:27" x14ac:dyDescent="0.3">
      <c r="A146">
        <v>3</v>
      </c>
      <c r="C146">
        <v>493</v>
      </c>
      <c r="D146">
        <v>5</v>
      </c>
      <c r="E146" s="3" t="s">
        <v>323</v>
      </c>
      <c r="G146">
        <v>11.2</v>
      </c>
      <c r="H146" s="1" t="s">
        <v>64</v>
      </c>
      <c r="I146" s="2">
        <v>75</v>
      </c>
      <c r="J146">
        <v>0.55000000000000004</v>
      </c>
      <c r="L146">
        <v>6.8</v>
      </c>
      <c r="N146" s="9" t="s">
        <v>124</v>
      </c>
      <c r="O146">
        <v>0.54700000000000004</v>
      </c>
      <c r="P146" s="9" t="s">
        <v>179</v>
      </c>
      <c r="Q146">
        <v>0.25700000000000001</v>
      </c>
      <c r="R146" t="s">
        <v>185</v>
      </c>
      <c r="S146">
        <v>0.16300000000000001</v>
      </c>
      <c r="T146" s="1" t="s">
        <v>129</v>
      </c>
      <c r="U146">
        <v>3.2000000000000001E-2</v>
      </c>
      <c r="V146">
        <v>11.8</v>
      </c>
      <c r="X146">
        <v>1.61</v>
      </c>
      <c r="Z146">
        <v>63.5</v>
      </c>
    </row>
    <row r="147" spans="1:27" x14ac:dyDescent="0.3">
      <c r="A147" s="2">
        <v>3</v>
      </c>
      <c r="B147" s="2"/>
      <c r="C147" s="2">
        <v>543</v>
      </c>
      <c r="D147" s="2">
        <v>4.5</v>
      </c>
      <c r="E147" s="2" t="s">
        <v>323</v>
      </c>
      <c r="F147" s="2"/>
      <c r="G147" s="2">
        <v>1.24</v>
      </c>
      <c r="H147" s="2" t="s">
        <v>256</v>
      </c>
      <c r="I147" s="2"/>
      <c r="J147" s="2"/>
      <c r="K147" s="2"/>
      <c r="L147" s="2"/>
      <c r="M147" s="2">
        <v>45.5</v>
      </c>
      <c r="N147" s="9" t="s">
        <v>124</v>
      </c>
      <c r="O147" s="2">
        <v>0.42</v>
      </c>
      <c r="P147" s="9" t="s">
        <v>179</v>
      </c>
      <c r="Q147" s="2">
        <v>0.17</v>
      </c>
      <c r="S147" s="2"/>
      <c r="T147" s="2" t="s">
        <v>152</v>
      </c>
      <c r="U147" s="2">
        <v>0.41</v>
      </c>
      <c r="V147" s="2">
        <v>11.7</v>
      </c>
      <c r="W147" s="2"/>
      <c r="X147" s="2">
        <f>3*1.99</f>
        <v>5.97</v>
      </c>
      <c r="Y147" s="2"/>
      <c r="Z147" s="2">
        <v>26.7</v>
      </c>
      <c r="AA147" s="2"/>
    </row>
    <row r="148" spans="1:27" s="1" customFormat="1" x14ac:dyDescent="0.3">
      <c r="A148">
        <v>3</v>
      </c>
      <c r="B148"/>
      <c r="C148">
        <v>513</v>
      </c>
      <c r="D148">
        <v>3</v>
      </c>
      <c r="E148" s="2" t="s">
        <v>323</v>
      </c>
      <c r="F148">
        <v>3600</v>
      </c>
      <c r="G148"/>
      <c r="H148" s="1" t="s">
        <v>157</v>
      </c>
      <c r="I148" s="2">
        <v>99.4</v>
      </c>
      <c r="J148">
        <v>9.8000000000000004E-2</v>
      </c>
      <c r="K148">
        <v>1.4</v>
      </c>
      <c r="L148">
        <v>17.899999999999999</v>
      </c>
      <c r="M148">
        <v>3.68</v>
      </c>
      <c r="N148" s="9" t="s">
        <v>124</v>
      </c>
      <c r="O148">
        <v>0.35799999999999998</v>
      </c>
      <c r="P148" s="9" t="s">
        <v>179</v>
      </c>
      <c r="Q148">
        <v>0.13600000000000001</v>
      </c>
      <c r="R148"/>
      <c r="S148"/>
      <c r="T148" s="1" t="s">
        <v>129</v>
      </c>
      <c r="U148">
        <v>0.22500000000000001</v>
      </c>
      <c r="V148">
        <v>11.7</v>
      </c>
      <c r="W148"/>
      <c r="X148"/>
      <c r="Y148"/>
      <c r="Z148">
        <v>33.200000000000003</v>
      </c>
      <c r="AA148"/>
    </row>
    <row r="149" spans="1:27" s="1" customFormat="1" x14ac:dyDescent="0.3">
      <c r="A149">
        <v>3</v>
      </c>
      <c r="B149"/>
      <c r="C149">
        <v>523</v>
      </c>
      <c r="D149">
        <v>5</v>
      </c>
      <c r="E149" s="2" t="s">
        <v>323</v>
      </c>
      <c r="F149"/>
      <c r="G149">
        <v>1.24</v>
      </c>
      <c r="H149" s="1" t="s">
        <v>281</v>
      </c>
      <c r="I149"/>
      <c r="J149"/>
      <c r="K149"/>
      <c r="L149"/>
      <c r="M149"/>
      <c r="N149" s="9" t="s">
        <v>124</v>
      </c>
      <c r="O149">
        <v>0.1</v>
      </c>
      <c r="P149"/>
      <c r="Q149"/>
      <c r="R149"/>
      <c r="S149"/>
      <c r="T149" s="1" t="s">
        <v>136</v>
      </c>
      <c r="U149">
        <v>0.9</v>
      </c>
      <c r="V149">
        <v>11.7</v>
      </c>
      <c r="W149"/>
      <c r="X149">
        <v>10</v>
      </c>
      <c r="Y149"/>
      <c r="Z149">
        <v>36.1</v>
      </c>
      <c r="AA149"/>
    </row>
    <row r="150" spans="1:27" s="1" customFormat="1" x14ac:dyDescent="0.3">
      <c r="A150">
        <v>3</v>
      </c>
      <c r="B150"/>
      <c r="C150">
        <v>523</v>
      </c>
      <c r="D150">
        <v>3</v>
      </c>
      <c r="E150" t="s">
        <v>331</v>
      </c>
      <c r="F150"/>
      <c r="G150">
        <v>3.73</v>
      </c>
      <c r="H150" s="1" t="s">
        <v>270</v>
      </c>
      <c r="I150">
        <v>84</v>
      </c>
      <c r="J150"/>
      <c r="K150"/>
      <c r="L150">
        <v>12</v>
      </c>
      <c r="M150"/>
      <c r="N150" s="9" t="s">
        <v>176</v>
      </c>
      <c r="O150">
        <v>2.69E-2</v>
      </c>
      <c r="P150"/>
      <c r="Q150"/>
      <c r="R150" t="s">
        <v>185</v>
      </c>
      <c r="S150">
        <v>7.4899999999999994E-2</v>
      </c>
      <c r="T150" s="1" t="s">
        <v>136</v>
      </c>
      <c r="U150">
        <f>1-O150-S150</f>
        <v>0.8982</v>
      </c>
      <c r="V150">
        <v>11.7</v>
      </c>
      <c r="W150"/>
      <c r="X150">
        <f>4.9*0.635</f>
        <v>3.1115000000000004</v>
      </c>
      <c r="Y150"/>
      <c r="Z150">
        <v>40.6</v>
      </c>
      <c r="AA150"/>
    </row>
    <row r="151" spans="1:27" x14ac:dyDescent="0.3">
      <c r="A151">
        <v>3</v>
      </c>
      <c r="C151">
        <v>533</v>
      </c>
      <c r="D151">
        <v>5</v>
      </c>
      <c r="E151" t="s">
        <v>327</v>
      </c>
      <c r="G151">
        <v>3.73</v>
      </c>
      <c r="I151">
        <v>618</v>
      </c>
      <c r="J151">
        <v>0.68500000000000005</v>
      </c>
      <c r="K151">
        <v>4.4000000000000004</v>
      </c>
      <c r="L151" s="1">
        <v>4.7</v>
      </c>
      <c r="M151">
        <v>9.9600000000000009</v>
      </c>
      <c r="N151" t="s">
        <v>124</v>
      </c>
      <c r="O151">
        <v>0.1196</v>
      </c>
      <c r="T151" s="1" t="s">
        <v>127</v>
      </c>
      <c r="U151">
        <f>(1-O151-Q151-S151)</f>
        <v>0.88039999999999996</v>
      </c>
      <c r="V151">
        <v>11.5</v>
      </c>
      <c r="X151">
        <f>51/32</f>
        <v>1.59375</v>
      </c>
      <c r="Z151">
        <v>21.2</v>
      </c>
    </row>
    <row r="152" spans="1:27" x14ac:dyDescent="0.3">
      <c r="A152" s="1">
        <v>3</v>
      </c>
      <c r="B152" s="1"/>
      <c r="C152" s="1">
        <v>523</v>
      </c>
      <c r="D152" s="1">
        <v>3</v>
      </c>
      <c r="E152" s="2" t="s">
        <v>331</v>
      </c>
      <c r="F152" s="1"/>
      <c r="G152" s="1"/>
      <c r="H152" s="1" t="s">
        <v>55</v>
      </c>
      <c r="I152" s="2">
        <v>229.8</v>
      </c>
      <c r="J152" s="1">
        <v>0.9</v>
      </c>
      <c r="K152" s="1">
        <v>11.4</v>
      </c>
      <c r="L152" s="1">
        <v>5.6</v>
      </c>
      <c r="M152" s="1">
        <v>125.3</v>
      </c>
      <c r="N152" s="9" t="s">
        <v>124</v>
      </c>
      <c r="O152" s="1">
        <v>0.187</v>
      </c>
      <c r="P152" s="9" t="s">
        <v>179</v>
      </c>
      <c r="Q152" s="1">
        <v>0.14099999999999999</v>
      </c>
      <c r="S152" s="1"/>
      <c r="T152" s="2" t="s">
        <v>127</v>
      </c>
      <c r="U152" s="1">
        <v>0.67200000000000004</v>
      </c>
      <c r="V152" s="1">
        <v>11.4</v>
      </c>
      <c r="W152" s="1"/>
      <c r="X152" s="1"/>
      <c r="Y152" s="1"/>
      <c r="Z152" s="1">
        <v>35.5</v>
      </c>
      <c r="AA152" s="1"/>
    </row>
    <row r="153" spans="1:27" x14ac:dyDescent="0.3">
      <c r="A153">
        <v>3</v>
      </c>
      <c r="C153">
        <v>553</v>
      </c>
      <c r="D153">
        <v>3</v>
      </c>
      <c r="E153" t="s">
        <v>323</v>
      </c>
      <c r="G153">
        <v>2.99</v>
      </c>
      <c r="H153" t="s">
        <v>114</v>
      </c>
      <c r="L153">
        <v>36</v>
      </c>
      <c r="N153" t="s">
        <v>124</v>
      </c>
      <c r="O153">
        <v>0.22800000000000001</v>
      </c>
      <c r="T153" s="1" t="s">
        <v>104</v>
      </c>
      <c r="U153">
        <v>0.77200000000000002</v>
      </c>
      <c r="V153">
        <v>11.4</v>
      </c>
      <c r="X153">
        <v>6.14</v>
      </c>
      <c r="Z153">
        <v>80.5</v>
      </c>
    </row>
    <row r="154" spans="1:27" x14ac:dyDescent="0.3">
      <c r="A154">
        <v>3</v>
      </c>
      <c r="C154">
        <v>493</v>
      </c>
      <c r="D154">
        <v>3</v>
      </c>
      <c r="E154" s="2" t="s">
        <v>332</v>
      </c>
      <c r="G154">
        <v>11.2</v>
      </c>
      <c r="H154" s="1" t="s">
        <v>174</v>
      </c>
      <c r="I154">
        <v>348</v>
      </c>
      <c r="J154">
        <v>1.02</v>
      </c>
      <c r="K154">
        <v>11.7</v>
      </c>
      <c r="N154" s="9" t="s">
        <v>124</v>
      </c>
      <c r="O154">
        <v>0.154</v>
      </c>
      <c r="P154" s="9" t="s">
        <v>179</v>
      </c>
      <c r="Q154">
        <v>6.5000000000000002E-2</v>
      </c>
      <c r="T154" s="1" t="s">
        <v>127</v>
      </c>
      <c r="U154">
        <f>1-O154-Q154</f>
        <v>0.78099999999999992</v>
      </c>
      <c r="V154">
        <v>11.2</v>
      </c>
      <c r="X154">
        <f>40.7/32</f>
        <v>1.2718750000000001</v>
      </c>
      <c r="Z154">
        <v>53.1</v>
      </c>
    </row>
    <row r="155" spans="1:27" x14ac:dyDescent="0.3">
      <c r="A155">
        <v>3.1</v>
      </c>
      <c r="C155">
        <v>513</v>
      </c>
      <c r="D155">
        <v>3</v>
      </c>
      <c r="E155" s="2" t="s">
        <v>323</v>
      </c>
      <c r="G155">
        <v>1.24</v>
      </c>
      <c r="H155" s="1" t="s">
        <v>68</v>
      </c>
      <c r="I155">
        <v>69.7</v>
      </c>
      <c r="L155">
        <f>(25.2+20.9)/2</f>
        <v>23.049999999999997</v>
      </c>
      <c r="M155">
        <v>14.3</v>
      </c>
      <c r="N155" s="9" t="s">
        <v>124</v>
      </c>
      <c r="O155">
        <v>0.43969999999999998</v>
      </c>
      <c r="P155" s="9" t="s">
        <v>179</v>
      </c>
      <c r="Q155">
        <v>0.1812</v>
      </c>
      <c r="T155" s="1" t="s">
        <v>129</v>
      </c>
      <c r="U155">
        <f>1-O155-Q155</f>
        <v>0.37909999999999999</v>
      </c>
      <c r="V155">
        <v>11.2</v>
      </c>
      <c r="X155">
        <v>12.48</v>
      </c>
      <c r="Z155">
        <v>56.2</v>
      </c>
    </row>
    <row r="156" spans="1:27" x14ac:dyDescent="0.3">
      <c r="A156">
        <v>3</v>
      </c>
      <c r="C156">
        <v>523</v>
      </c>
      <c r="D156">
        <v>3</v>
      </c>
      <c r="E156" t="s">
        <v>331</v>
      </c>
      <c r="G156">
        <v>3.73</v>
      </c>
      <c r="H156" s="1" t="s">
        <v>268</v>
      </c>
      <c r="I156">
        <v>25</v>
      </c>
      <c r="L156">
        <v>13</v>
      </c>
      <c r="N156" s="9" t="s">
        <v>176</v>
      </c>
      <c r="O156">
        <v>2.8199999999999999E-2</v>
      </c>
      <c r="R156" t="s">
        <v>185</v>
      </c>
      <c r="S156">
        <v>3.5000000000000001E-3</v>
      </c>
      <c r="T156" s="1" t="s">
        <v>136</v>
      </c>
      <c r="U156">
        <f>1-O156-S156</f>
        <v>0.96830000000000005</v>
      </c>
      <c r="V156">
        <v>11.2</v>
      </c>
      <c r="X156">
        <f>0.635*6.8</f>
        <v>4.3179999999999996</v>
      </c>
      <c r="Z156">
        <v>61.8</v>
      </c>
    </row>
    <row r="157" spans="1:27" x14ac:dyDescent="0.3">
      <c r="A157">
        <v>3</v>
      </c>
      <c r="C157">
        <f>240+273</f>
        <v>513</v>
      </c>
      <c r="D157">
        <v>3</v>
      </c>
      <c r="E157" t="s">
        <v>331</v>
      </c>
      <c r="F157">
        <v>3600</v>
      </c>
      <c r="H157" s="1" t="s">
        <v>32</v>
      </c>
      <c r="I157">
        <v>128</v>
      </c>
      <c r="J157">
        <v>0.31</v>
      </c>
      <c r="K157">
        <v>2.2999999999999998</v>
      </c>
      <c r="L157">
        <v>15.5</v>
      </c>
      <c r="N157" t="s">
        <v>124</v>
      </c>
      <c r="O157">
        <v>0.10299999999999999</v>
      </c>
      <c r="P157" t="s">
        <v>128</v>
      </c>
      <c r="Q157">
        <v>0.32700000000000001</v>
      </c>
      <c r="T157" s="1" t="s">
        <v>143</v>
      </c>
      <c r="U157">
        <f>(1-O157-Q157-S157)</f>
        <v>0.57000000000000006</v>
      </c>
      <c r="V157">
        <v>11.1</v>
      </c>
      <c r="X157">
        <f>70.5/32</f>
        <v>2.203125</v>
      </c>
      <c r="Z157">
        <v>54</v>
      </c>
    </row>
    <row r="158" spans="1:27" x14ac:dyDescent="0.3">
      <c r="A158">
        <v>3</v>
      </c>
      <c r="C158">
        <v>533</v>
      </c>
      <c r="D158">
        <v>5</v>
      </c>
      <c r="E158" t="s">
        <v>327</v>
      </c>
      <c r="G158">
        <v>3.73</v>
      </c>
      <c r="I158">
        <v>589</v>
      </c>
      <c r="J158">
        <v>0.57099999999999995</v>
      </c>
      <c r="K158">
        <v>4</v>
      </c>
      <c r="L158" s="1">
        <v>4.7</v>
      </c>
      <c r="M158">
        <v>9.69</v>
      </c>
      <c r="N158" t="s">
        <v>124</v>
      </c>
      <c r="O158">
        <v>0.11749999999999999</v>
      </c>
      <c r="P158" t="s">
        <v>179</v>
      </c>
      <c r="Q158">
        <v>5.45E-2</v>
      </c>
      <c r="T158" s="1" t="s">
        <v>127</v>
      </c>
      <c r="U158">
        <f>(1-O158-Q158-S158)</f>
        <v>0.82800000000000007</v>
      </c>
      <c r="V158">
        <v>11</v>
      </c>
      <c r="X158">
        <f>146.2/32</f>
        <v>4.5687499999999996</v>
      </c>
      <c r="Z158">
        <v>63.5</v>
      </c>
    </row>
    <row r="159" spans="1:27" x14ac:dyDescent="0.3">
      <c r="A159" s="1">
        <v>3</v>
      </c>
      <c r="B159" s="1"/>
      <c r="C159" s="1">
        <v>523</v>
      </c>
      <c r="D159" s="1">
        <v>3</v>
      </c>
      <c r="E159" s="2" t="s">
        <v>331</v>
      </c>
      <c r="F159" s="1"/>
      <c r="G159" s="1"/>
      <c r="H159" s="1" t="s">
        <v>291</v>
      </c>
      <c r="I159" s="2">
        <v>241.9</v>
      </c>
      <c r="J159" s="1">
        <v>0.91</v>
      </c>
      <c r="K159" s="1">
        <v>11.9</v>
      </c>
      <c r="L159" s="1">
        <v>6.1</v>
      </c>
      <c r="M159" s="1">
        <v>114.7</v>
      </c>
      <c r="N159" s="9" t="s">
        <v>124</v>
      </c>
      <c r="O159" s="1">
        <v>0.187</v>
      </c>
      <c r="P159" s="9" t="s">
        <v>179</v>
      </c>
      <c r="Q159" s="1">
        <v>0.14099999999999999</v>
      </c>
      <c r="S159" s="1"/>
      <c r="T159" s="2" t="s">
        <v>127</v>
      </c>
      <c r="U159" s="1">
        <v>0.67200000000000004</v>
      </c>
      <c r="V159" s="1">
        <v>11</v>
      </c>
      <c r="W159" s="1"/>
      <c r="X159" s="1"/>
      <c r="Y159" s="1"/>
      <c r="Z159" s="1">
        <v>34.1</v>
      </c>
      <c r="AA159" s="1"/>
    </row>
    <row r="160" spans="1:27" x14ac:dyDescent="0.3">
      <c r="A160">
        <v>3</v>
      </c>
      <c r="C160">
        <v>513</v>
      </c>
      <c r="D160">
        <v>3</v>
      </c>
      <c r="E160" s="2" t="s">
        <v>323</v>
      </c>
      <c r="F160">
        <v>3600</v>
      </c>
      <c r="H160" s="1" t="s">
        <v>159</v>
      </c>
      <c r="I160" s="2">
        <v>95.2</v>
      </c>
      <c r="J160">
        <v>0.14399999999999999</v>
      </c>
      <c r="K160">
        <v>2.7</v>
      </c>
      <c r="L160">
        <v>18.3</v>
      </c>
      <c r="M160">
        <v>3.21</v>
      </c>
      <c r="N160" s="9" t="s">
        <v>124</v>
      </c>
      <c r="O160">
        <v>0.33800000000000002</v>
      </c>
      <c r="P160" s="9" t="s">
        <v>179</v>
      </c>
      <c r="Q160">
        <v>0.13200000000000001</v>
      </c>
      <c r="R160" t="s">
        <v>161</v>
      </c>
      <c r="S160">
        <v>0.02</v>
      </c>
      <c r="T160" s="1" t="s">
        <v>129</v>
      </c>
      <c r="U160">
        <v>0.28799999999999998</v>
      </c>
      <c r="V160">
        <v>11</v>
      </c>
      <c r="Z160">
        <v>55.4</v>
      </c>
    </row>
    <row r="161" spans="1:27" x14ac:dyDescent="0.3">
      <c r="A161">
        <v>3</v>
      </c>
      <c r="C161">
        <v>493</v>
      </c>
      <c r="D161">
        <v>2</v>
      </c>
      <c r="E161" s="2" t="s">
        <v>339</v>
      </c>
      <c r="F161">
        <v>2400</v>
      </c>
      <c r="G161">
        <v>9.3000000000000007</v>
      </c>
      <c r="H161" s="1" t="s">
        <v>273</v>
      </c>
      <c r="I161">
        <v>44</v>
      </c>
      <c r="J161">
        <v>7.2999999999999995E-2</v>
      </c>
      <c r="K161">
        <v>4.74</v>
      </c>
      <c r="L161">
        <f>(14.9+14.4+9.3)/3</f>
        <v>12.866666666666667</v>
      </c>
      <c r="N161" s="9" t="s">
        <v>176</v>
      </c>
      <c r="O161">
        <v>6.2899999999999998E-2</v>
      </c>
      <c r="P161" t="s">
        <v>179</v>
      </c>
      <c r="Q161">
        <v>5.0299999999999997E-2</v>
      </c>
      <c r="T161" s="1" t="s">
        <v>126</v>
      </c>
      <c r="U161">
        <v>0.77159999999999995</v>
      </c>
      <c r="V161">
        <v>10.79</v>
      </c>
      <c r="X161">
        <f>82.5/32</f>
        <v>2.578125</v>
      </c>
      <c r="Z161">
        <v>96.4</v>
      </c>
    </row>
    <row r="162" spans="1:27" x14ac:dyDescent="0.3">
      <c r="A162">
        <v>3</v>
      </c>
      <c r="C162">
        <v>463</v>
      </c>
      <c r="D162">
        <v>5</v>
      </c>
      <c r="E162" t="s">
        <v>323</v>
      </c>
      <c r="F162">
        <v>4000</v>
      </c>
      <c r="H162" s="1" t="s">
        <v>237</v>
      </c>
      <c r="I162">
        <v>68</v>
      </c>
      <c r="L162">
        <v>6.5</v>
      </c>
      <c r="M162">
        <v>19.399999999999999</v>
      </c>
      <c r="N162" t="s">
        <v>124</v>
      </c>
      <c r="O162">
        <v>0.58099999999999996</v>
      </c>
      <c r="P162" t="s">
        <v>179</v>
      </c>
      <c r="Q162">
        <v>0.26200000000000001</v>
      </c>
      <c r="R162" t="s">
        <v>185</v>
      </c>
      <c r="S162">
        <v>0.128</v>
      </c>
      <c r="T162" s="1" t="s">
        <v>129</v>
      </c>
      <c r="U162">
        <v>2.8000000000000001E-2</v>
      </c>
      <c r="V162">
        <v>10.7</v>
      </c>
      <c r="X162">
        <f>87/32</f>
        <v>2.71875</v>
      </c>
      <c r="Z162">
        <v>81.8</v>
      </c>
    </row>
    <row r="163" spans="1:27" x14ac:dyDescent="0.3">
      <c r="A163">
        <v>3</v>
      </c>
      <c r="C163">
        <v>523</v>
      </c>
      <c r="D163">
        <v>2</v>
      </c>
      <c r="E163" s="2" t="s">
        <v>178</v>
      </c>
      <c r="G163">
        <v>6.22</v>
      </c>
      <c r="H163" s="1" t="s">
        <v>84</v>
      </c>
      <c r="L163">
        <v>11.3</v>
      </c>
      <c r="N163" s="9" t="s">
        <v>176</v>
      </c>
      <c r="O163">
        <v>0.05</v>
      </c>
      <c r="T163" s="1" t="s">
        <v>136</v>
      </c>
      <c r="U163">
        <f>1-O163</f>
        <v>0.95</v>
      </c>
      <c r="V163">
        <v>10.7</v>
      </c>
      <c r="X163">
        <v>2.42</v>
      </c>
      <c r="Z163">
        <v>60</v>
      </c>
    </row>
    <row r="164" spans="1:27" x14ac:dyDescent="0.3">
      <c r="A164">
        <v>3</v>
      </c>
      <c r="C164">
        <v>523</v>
      </c>
      <c r="D164">
        <v>3</v>
      </c>
      <c r="E164" t="s">
        <v>331</v>
      </c>
      <c r="G164">
        <v>3.73</v>
      </c>
      <c r="H164" s="1" t="s">
        <v>271</v>
      </c>
      <c r="I164">
        <v>94</v>
      </c>
      <c r="L164">
        <v>11</v>
      </c>
      <c r="N164" s="9" t="s">
        <v>176</v>
      </c>
      <c r="O164">
        <v>2.75E-2</v>
      </c>
      <c r="R164" t="s">
        <v>185</v>
      </c>
      <c r="S164">
        <v>0.12139999999999999</v>
      </c>
      <c r="T164" s="1" t="s">
        <v>136</v>
      </c>
      <c r="U164">
        <f>1-O164-S164</f>
        <v>0.85110000000000008</v>
      </c>
      <c r="V164">
        <v>10.7</v>
      </c>
      <c r="X164">
        <f>3.4*0.635</f>
        <v>2.1589999999999998</v>
      </c>
      <c r="Z164">
        <v>31.7</v>
      </c>
    </row>
    <row r="165" spans="1:27" x14ac:dyDescent="0.3">
      <c r="A165">
        <v>3</v>
      </c>
      <c r="C165">
        <f>C164+20</f>
        <v>543</v>
      </c>
      <c r="D165">
        <v>3</v>
      </c>
      <c r="E165" t="s">
        <v>327</v>
      </c>
      <c r="G165">
        <v>3.11</v>
      </c>
      <c r="H165" s="1"/>
      <c r="I165">
        <v>124</v>
      </c>
      <c r="J165">
        <v>0.24</v>
      </c>
      <c r="M165">
        <v>1.5</v>
      </c>
      <c r="N165" t="s">
        <v>124</v>
      </c>
      <c r="O165">
        <v>0.1024</v>
      </c>
      <c r="T165" s="1" t="s">
        <v>125</v>
      </c>
      <c r="U165">
        <v>0.9</v>
      </c>
      <c r="V165">
        <v>10.5</v>
      </c>
      <c r="Z165">
        <v>30.3</v>
      </c>
      <c r="AA165">
        <v>5.9</v>
      </c>
    </row>
    <row r="166" spans="1:27" x14ac:dyDescent="0.3">
      <c r="A166" s="1">
        <v>3</v>
      </c>
      <c r="B166" s="1"/>
      <c r="C166" s="1">
        <v>523</v>
      </c>
      <c r="D166" s="1">
        <v>3</v>
      </c>
      <c r="E166" s="2" t="s">
        <v>331</v>
      </c>
      <c r="F166" s="1"/>
      <c r="G166" s="1"/>
      <c r="H166" s="1" t="s">
        <v>292</v>
      </c>
      <c r="I166" s="2">
        <v>244.3</v>
      </c>
      <c r="J166" s="1">
        <v>1.05</v>
      </c>
      <c r="K166" s="1">
        <v>13.1</v>
      </c>
      <c r="L166" s="1">
        <v>8.3000000000000007</v>
      </c>
      <c r="M166" s="1">
        <v>85</v>
      </c>
      <c r="N166" s="9" t="s">
        <v>124</v>
      </c>
      <c r="O166" s="1">
        <v>0.187</v>
      </c>
      <c r="P166" s="9" t="s">
        <v>179</v>
      </c>
      <c r="Q166" s="1">
        <v>0.14099999999999999</v>
      </c>
      <c r="S166" s="1"/>
      <c r="T166" s="2" t="s">
        <v>127</v>
      </c>
      <c r="U166" s="1">
        <v>0.67200000000000004</v>
      </c>
      <c r="V166" s="1">
        <v>10.5</v>
      </c>
      <c r="W166" s="1"/>
      <c r="X166" s="1"/>
      <c r="Y166" s="1"/>
      <c r="Z166" s="1">
        <v>36.6</v>
      </c>
      <c r="AA166" s="1"/>
    </row>
    <row r="167" spans="1:27" x14ac:dyDescent="0.3">
      <c r="A167">
        <v>4</v>
      </c>
      <c r="C167">
        <v>573</v>
      </c>
      <c r="D167">
        <v>4</v>
      </c>
      <c r="E167" t="s">
        <v>327</v>
      </c>
      <c r="G167">
        <v>0.43</v>
      </c>
      <c r="H167" t="s">
        <v>205</v>
      </c>
      <c r="I167">
        <v>87</v>
      </c>
      <c r="J167">
        <v>0.22</v>
      </c>
      <c r="N167" t="s">
        <v>187</v>
      </c>
      <c r="O167">
        <v>0.127</v>
      </c>
      <c r="T167" s="1" t="s">
        <v>129</v>
      </c>
      <c r="U167">
        <f>1-O167-Q167</f>
        <v>0.873</v>
      </c>
      <c r="V167">
        <v>10.5</v>
      </c>
      <c r="X167">
        <f>465/32</f>
        <v>14.53125</v>
      </c>
      <c r="Z167">
        <v>53</v>
      </c>
    </row>
    <row r="168" spans="1:27" x14ac:dyDescent="0.3">
      <c r="A168">
        <v>3</v>
      </c>
      <c r="C168">
        <f>C167+20</f>
        <v>593</v>
      </c>
      <c r="D168">
        <v>3</v>
      </c>
      <c r="E168" t="s">
        <v>323</v>
      </c>
      <c r="G168">
        <v>1.87</v>
      </c>
      <c r="H168" s="1"/>
      <c r="I168">
        <v>470.3</v>
      </c>
      <c r="J168">
        <v>0.57999999999999996</v>
      </c>
      <c r="K168">
        <v>5.3</v>
      </c>
      <c r="L168">
        <v>3.8</v>
      </c>
      <c r="M168">
        <v>76.400000000000006</v>
      </c>
      <c r="N168" t="s">
        <v>124</v>
      </c>
      <c r="O168">
        <v>8.1000000000000003E-2</v>
      </c>
      <c r="R168" t="s">
        <v>132</v>
      </c>
      <c r="S168">
        <v>4.2000000000000003E-2</v>
      </c>
      <c r="T168" s="1" t="s">
        <v>127</v>
      </c>
      <c r="U168">
        <f>1-O168-S168</f>
        <v>0.877</v>
      </c>
      <c r="V168">
        <v>10.4</v>
      </c>
      <c r="X168">
        <f>240.4/32</f>
        <v>7.5125000000000002</v>
      </c>
      <c r="Z168">
        <v>56.2</v>
      </c>
    </row>
    <row r="169" spans="1:27" x14ac:dyDescent="0.3">
      <c r="A169">
        <v>3</v>
      </c>
      <c r="C169" s="2">
        <v>493</v>
      </c>
      <c r="D169" s="2">
        <v>4</v>
      </c>
      <c r="E169" s="2" t="s">
        <v>331</v>
      </c>
      <c r="G169" s="2">
        <v>14.93</v>
      </c>
      <c r="H169" s="2" t="s">
        <v>249</v>
      </c>
      <c r="I169">
        <v>141</v>
      </c>
      <c r="J169">
        <v>2.5999999999999999E-2</v>
      </c>
      <c r="K169">
        <v>6.25</v>
      </c>
      <c r="M169">
        <v>16.3</v>
      </c>
      <c r="N169" s="9" t="s">
        <v>124</v>
      </c>
      <c r="O169" s="1">
        <v>6.8599999999999994E-2</v>
      </c>
      <c r="P169" t="s">
        <v>179</v>
      </c>
      <c r="Q169" s="1">
        <v>3.0700000000000002E-2</v>
      </c>
      <c r="S169" s="1"/>
      <c r="T169" s="2" t="s">
        <v>125</v>
      </c>
      <c r="U169" s="1">
        <f>1-0.0994</f>
        <v>0.90059999999999996</v>
      </c>
      <c r="V169" s="2">
        <v>10.4</v>
      </c>
      <c r="X169">
        <f>19.8/32</f>
        <v>0.61875000000000002</v>
      </c>
      <c r="Z169">
        <v>85.2</v>
      </c>
    </row>
    <row r="170" spans="1:27" x14ac:dyDescent="0.3">
      <c r="A170">
        <v>3</v>
      </c>
      <c r="C170">
        <v>513</v>
      </c>
      <c r="D170">
        <v>3</v>
      </c>
      <c r="E170" s="2" t="s">
        <v>323</v>
      </c>
      <c r="F170">
        <v>3600</v>
      </c>
      <c r="H170" s="1" t="s">
        <v>158</v>
      </c>
      <c r="I170" s="2">
        <v>56.2</v>
      </c>
      <c r="J170">
        <v>9.0999999999999998E-2</v>
      </c>
      <c r="K170">
        <v>1.9</v>
      </c>
      <c r="L170">
        <v>18.2</v>
      </c>
      <c r="M170">
        <v>3.59</v>
      </c>
      <c r="N170" s="9" t="s">
        <v>124</v>
      </c>
      <c r="O170">
        <v>0.34499999999999997</v>
      </c>
      <c r="P170" s="9" t="s">
        <v>179</v>
      </c>
      <c r="Q170">
        <v>0.13500000000000001</v>
      </c>
      <c r="T170" s="1" t="s">
        <v>129</v>
      </c>
      <c r="U170">
        <v>0.23400000000000001</v>
      </c>
      <c r="V170">
        <v>10.4</v>
      </c>
      <c r="Z170">
        <v>36.5</v>
      </c>
    </row>
    <row r="171" spans="1:27" x14ac:dyDescent="0.3">
      <c r="A171">
        <v>3</v>
      </c>
      <c r="C171">
        <f>240+273</f>
        <v>513</v>
      </c>
      <c r="D171">
        <v>3</v>
      </c>
      <c r="E171" t="s">
        <v>331</v>
      </c>
      <c r="F171">
        <v>3600</v>
      </c>
      <c r="H171" s="1" t="s">
        <v>226</v>
      </c>
      <c r="I171">
        <v>161</v>
      </c>
      <c r="J171">
        <v>0.41</v>
      </c>
      <c r="K171">
        <v>2.2000000000000002</v>
      </c>
      <c r="L171">
        <v>18.8</v>
      </c>
      <c r="N171" t="s">
        <v>124</v>
      </c>
      <c r="O171">
        <v>0.123</v>
      </c>
      <c r="P171" t="s">
        <v>128</v>
      </c>
      <c r="Q171">
        <v>0.35099999999999998</v>
      </c>
      <c r="T171" s="1" t="s">
        <v>143</v>
      </c>
      <c r="U171">
        <f>(1-O171-Q171-S171)</f>
        <v>0.52600000000000002</v>
      </c>
      <c r="V171">
        <v>10.199999999999999</v>
      </c>
      <c r="X171">
        <f>61.8/32</f>
        <v>1.9312499999999999</v>
      </c>
      <c r="Z171">
        <v>51.2</v>
      </c>
    </row>
    <row r="172" spans="1:27" x14ac:dyDescent="0.3">
      <c r="A172">
        <v>3</v>
      </c>
      <c r="C172">
        <v>523</v>
      </c>
      <c r="D172">
        <v>5</v>
      </c>
      <c r="E172" t="s">
        <v>327</v>
      </c>
      <c r="G172">
        <v>3.73</v>
      </c>
      <c r="H172" t="s">
        <v>227</v>
      </c>
      <c r="I172">
        <v>618</v>
      </c>
      <c r="J172">
        <v>0.68500000000000005</v>
      </c>
      <c r="K172">
        <v>4.4000000000000004</v>
      </c>
      <c r="L172" s="1">
        <v>4.7</v>
      </c>
      <c r="M172">
        <v>9.9600000000000009</v>
      </c>
      <c r="N172" t="s">
        <v>124</v>
      </c>
      <c r="O172">
        <v>0.1196</v>
      </c>
      <c r="T172" s="1" t="s">
        <v>127</v>
      </c>
      <c r="U172">
        <f>(1-O172-Q172-S172)</f>
        <v>0.88039999999999996</v>
      </c>
      <c r="V172">
        <v>10.199999999999999</v>
      </c>
      <c r="X172">
        <v>1.77</v>
      </c>
      <c r="Z172">
        <v>26.5</v>
      </c>
    </row>
    <row r="173" spans="1:27" x14ac:dyDescent="0.3">
      <c r="A173">
        <v>3</v>
      </c>
      <c r="C173">
        <v>593</v>
      </c>
      <c r="D173">
        <v>5</v>
      </c>
      <c r="E173" t="s">
        <v>323</v>
      </c>
      <c r="G173">
        <v>0.93</v>
      </c>
      <c r="I173">
        <v>44.3</v>
      </c>
      <c r="N173" t="s">
        <v>179</v>
      </c>
      <c r="O173">
        <v>9.6500000000000002E-2</v>
      </c>
      <c r="T173" s="1" t="s">
        <v>129</v>
      </c>
      <c r="U173">
        <f>1-O173</f>
        <v>0.90349999999999997</v>
      </c>
      <c r="V173">
        <v>10</v>
      </c>
      <c r="X173">
        <v>23.04</v>
      </c>
      <c r="Z173">
        <v>85.2</v>
      </c>
    </row>
    <row r="174" spans="1:27" x14ac:dyDescent="0.3">
      <c r="A174">
        <v>3</v>
      </c>
      <c r="C174">
        <v>523</v>
      </c>
      <c r="D174">
        <v>4.0999999999999996</v>
      </c>
      <c r="E174" s="2" t="s">
        <v>330</v>
      </c>
      <c r="G174">
        <v>6.2</v>
      </c>
      <c r="H174" s="1" t="s">
        <v>80</v>
      </c>
      <c r="I174">
        <v>65</v>
      </c>
      <c r="J174">
        <v>0.18</v>
      </c>
      <c r="K174">
        <v>9.1</v>
      </c>
      <c r="L174">
        <v>13</v>
      </c>
      <c r="N174" s="9" t="s">
        <v>176</v>
      </c>
      <c r="O174">
        <v>5.7000000000000002E-2</v>
      </c>
      <c r="P174" t="s">
        <v>124</v>
      </c>
      <c r="Q174">
        <v>0.1</v>
      </c>
      <c r="T174" s="1" t="s">
        <v>126</v>
      </c>
      <c r="U174">
        <f>1-O174-Q174</f>
        <v>0.84299999999999997</v>
      </c>
      <c r="V174">
        <v>9.9</v>
      </c>
      <c r="X174">
        <v>1.37</v>
      </c>
      <c r="Z174">
        <v>28.4</v>
      </c>
    </row>
    <row r="175" spans="1:27" x14ac:dyDescent="0.3">
      <c r="A175">
        <v>3</v>
      </c>
      <c r="C175">
        <v>523</v>
      </c>
      <c r="D175">
        <v>5</v>
      </c>
      <c r="E175" t="s">
        <v>327</v>
      </c>
      <c r="G175">
        <v>3.73</v>
      </c>
      <c r="H175" t="s">
        <v>228</v>
      </c>
      <c r="I175">
        <v>589</v>
      </c>
      <c r="J175">
        <v>0.57099999999999995</v>
      </c>
      <c r="K175">
        <v>4</v>
      </c>
      <c r="L175" s="1">
        <v>4.7</v>
      </c>
      <c r="M175">
        <v>9.69</v>
      </c>
      <c r="N175" t="s">
        <v>124</v>
      </c>
      <c r="O175">
        <v>0.11749999999999999</v>
      </c>
      <c r="P175" t="s">
        <v>179</v>
      </c>
      <c r="Q175">
        <v>5.45E-2</v>
      </c>
      <c r="T175" s="1" t="s">
        <v>127</v>
      </c>
      <c r="U175">
        <f>(1-O175-Q175-S175)</f>
        <v>0.82800000000000007</v>
      </c>
      <c r="V175">
        <v>9.8000000000000007</v>
      </c>
      <c r="X175">
        <v>4.2699999999999996</v>
      </c>
      <c r="Z175">
        <v>66.599999999999994</v>
      </c>
    </row>
    <row r="176" spans="1:27" x14ac:dyDescent="0.3">
      <c r="A176">
        <v>3</v>
      </c>
      <c r="C176">
        <v>553</v>
      </c>
      <c r="D176">
        <v>3</v>
      </c>
      <c r="E176" t="s">
        <v>337</v>
      </c>
      <c r="G176">
        <v>1.1200000000000001</v>
      </c>
      <c r="I176">
        <v>161.6</v>
      </c>
      <c r="J176">
        <v>0.19800000000000001</v>
      </c>
      <c r="K176">
        <v>4.9000000000000004</v>
      </c>
      <c r="M176">
        <v>8.1999999999999993</v>
      </c>
      <c r="N176" t="s">
        <v>124</v>
      </c>
      <c r="O176">
        <v>0.08</v>
      </c>
      <c r="P176" t="s">
        <v>187</v>
      </c>
      <c r="Q176">
        <v>6.6000000000000003E-2</v>
      </c>
      <c r="T176" s="1" t="s">
        <v>127</v>
      </c>
      <c r="U176">
        <f>1-O176-Q176</f>
        <v>0.85400000000000009</v>
      </c>
      <c r="V176">
        <v>9.8000000000000007</v>
      </c>
      <c r="X176">
        <v>13.7</v>
      </c>
      <c r="Z176">
        <v>78.099999999999994</v>
      </c>
    </row>
    <row r="177" spans="1:26" x14ac:dyDescent="0.3">
      <c r="A177">
        <v>3</v>
      </c>
      <c r="C177">
        <v>523</v>
      </c>
      <c r="D177">
        <v>3</v>
      </c>
      <c r="E177" s="2" t="s">
        <v>328</v>
      </c>
      <c r="F177">
        <v>3000</v>
      </c>
      <c r="H177" s="1" t="s">
        <v>60</v>
      </c>
      <c r="I177" s="2">
        <v>17</v>
      </c>
      <c r="J177">
        <v>0.16800000000000001</v>
      </c>
      <c r="L177">
        <v>19</v>
      </c>
      <c r="M177">
        <v>7.3</v>
      </c>
      <c r="N177" s="9" t="s">
        <v>124</v>
      </c>
      <c r="O177">
        <v>0.16600000000000001</v>
      </c>
      <c r="P177" s="9" t="s">
        <v>162</v>
      </c>
      <c r="Q177">
        <v>4.9000000000000002E-2</v>
      </c>
      <c r="T177" s="1" t="s">
        <v>136</v>
      </c>
      <c r="U177">
        <f>1-O177-Q177</f>
        <v>0.78499999999999992</v>
      </c>
      <c r="V177">
        <v>9.77</v>
      </c>
      <c r="X177">
        <v>3.71</v>
      </c>
      <c r="Z177">
        <v>42.8</v>
      </c>
    </row>
    <row r="178" spans="1:26" x14ac:dyDescent="0.3">
      <c r="A178">
        <v>3</v>
      </c>
      <c r="C178">
        <v>513</v>
      </c>
      <c r="D178">
        <v>5</v>
      </c>
      <c r="E178" t="s">
        <v>324</v>
      </c>
      <c r="G178">
        <v>0.4</v>
      </c>
      <c r="H178" t="s">
        <v>6</v>
      </c>
      <c r="I178">
        <v>132</v>
      </c>
      <c r="J178">
        <v>0.28000000000000003</v>
      </c>
      <c r="K178">
        <v>3</v>
      </c>
      <c r="N178" t="s">
        <v>124</v>
      </c>
      <c r="O178">
        <v>0.432</v>
      </c>
      <c r="P178" t="s">
        <v>136</v>
      </c>
      <c r="Q178">
        <v>0.14499999999999999</v>
      </c>
      <c r="T178" s="1" t="s">
        <v>129</v>
      </c>
      <c r="U178">
        <v>0.42299999999999999</v>
      </c>
      <c r="V178">
        <v>9.6999999999999993</v>
      </c>
      <c r="X178">
        <v>37.049999999999997</v>
      </c>
      <c r="Z178">
        <v>62</v>
      </c>
    </row>
    <row r="179" spans="1:26" x14ac:dyDescent="0.3">
      <c r="A179">
        <v>3.1</v>
      </c>
      <c r="C179">
        <f>C180-20</f>
        <v>503</v>
      </c>
      <c r="D179">
        <v>4</v>
      </c>
      <c r="E179" s="2" t="s">
        <v>333</v>
      </c>
      <c r="G179">
        <v>1.24</v>
      </c>
      <c r="H179" s="1" t="s">
        <v>67</v>
      </c>
      <c r="I179">
        <v>44.3</v>
      </c>
      <c r="L179">
        <f>(36.3+22.3)/2</f>
        <v>29.299999999999997</v>
      </c>
      <c r="M179">
        <v>9.6999999999999993</v>
      </c>
      <c r="N179" s="9" t="s">
        <v>124</v>
      </c>
      <c r="O179">
        <v>0.43969999999999998</v>
      </c>
      <c r="P179" s="9" t="s">
        <v>179</v>
      </c>
      <c r="Q179">
        <v>0.1812</v>
      </c>
      <c r="T179" s="1" t="s">
        <v>129</v>
      </c>
      <c r="U179">
        <f>1-O179-Q179</f>
        <v>0.37909999999999999</v>
      </c>
      <c r="V179">
        <v>9.6999999999999993</v>
      </c>
      <c r="X179">
        <f>528.8/32</f>
        <v>16.524999999999999</v>
      </c>
      <c r="Z179">
        <v>86</v>
      </c>
    </row>
    <row r="180" spans="1:26" x14ac:dyDescent="0.3">
      <c r="A180">
        <v>3</v>
      </c>
      <c r="C180">
        <v>523</v>
      </c>
      <c r="D180">
        <v>4.0999999999999996</v>
      </c>
      <c r="E180" s="2" t="s">
        <v>330</v>
      </c>
      <c r="G180">
        <v>6.2</v>
      </c>
      <c r="H180" s="1" t="s">
        <v>275</v>
      </c>
      <c r="I180">
        <v>70</v>
      </c>
      <c r="J180">
        <v>0.27</v>
      </c>
      <c r="K180">
        <v>13.7</v>
      </c>
      <c r="L180">
        <v>14</v>
      </c>
      <c r="N180" s="9" t="s">
        <v>176</v>
      </c>
      <c r="O180">
        <v>5.7000000000000002E-2</v>
      </c>
      <c r="P180" t="s">
        <v>124</v>
      </c>
      <c r="Q180">
        <v>0.1</v>
      </c>
      <c r="T180" s="1" t="s">
        <v>142</v>
      </c>
      <c r="U180">
        <f>1-O180-Q180</f>
        <v>0.84299999999999997</v>
      </c>
      <c r="V180">
        <v>9.6999999999999993</v>
      </c>
      <c r="X180">
        <f>0.26*3.6</f>
        <v>0.93600000000000005</v>
      </c>
      <c r="Z180">
        <v>22.1</v>
      </c>
    </row>
    <row r="181" spans="1:26" x14ac:dyDescent="0.3">
      <c r="A181">
        <v>3</v>
      </c>
      <c r="C181">
        <f>240+273</f>
        <v>513</v>
      </c>
      <c r="D181">
        <v>3</v>
      </c>
      <c r="E181" t="s">
        <v>331</v>
      </c>
      <c r="F181">
        <v>3600</v>
      </c>
      <c r="H181" s="1" t="s">
        <v>225</v>
      </c>
      <c r="I181">
        <v>156</v>
      </c>
      <c r="J181">
        <v>0.33</v>
      </c>
      <c r="K181">
        <v>2.6</v>
      </c>
      <c r="L181">
        <v>21.1</v>
      </c>
      <c r="N181" t="s">
        <v>124</v>
      </c>
      <c r="O181">
        <v>0.128</v>
      </c>
      <c r="P181" t="s">
        <v>128</v>
      </c>
      <c r="Q181">
        <v>0.35799999999999998</v>
      </c>
      <c r="T181" s="1" t="s">
        <v>143</v>
      </c>
      <c r="U181">
        <f>(1-O181-Q181-S181)</f>
        <v>0.51400000000000001</v>
      </c>
      <c r="V181">
        <v>9.5</v>
      </c>
      <c r="X181">
        <f>49.4/32</f>
        <v>1.54375</v>
      </c>
      <c r="Z181">
        <v>44</v>
      </c>
    </row>
    <row r="182" spans="1:26" x14ac:dyDescent="0.3">
      <c r="A182">
        <v>3.89</v>
      </c>
      <c r="C182">
        <f>240+273</f>
        <v>513</v>
      </c>
      <c r="D182">
        <v>5</v>
      </c>
      <c r="E182" s="2" t="s">
        <v>323</v>
      </c>
      <c r="F182">
        <v>10000</v>
      </c>
      <c r="H182" s="1" t="s">
        <v>290</v>
      </c>
      <c r="I182" s="2">
        <v>40</v>
      </c>
      <c r="J182">
        <v>0.37</v>
      </c>
      <c r="K182">
        <v>20</v>
      </c>
      <c r="L182">
        <v>9.6999999999999993</v>
      </c>
      <c r="M182">
        <v>14.5</v>
      </c>
      <c r="N182" s="9" t="s">
        <v>124</v>
      </c>
      <c r="O182" s="2">
        <v>0.375</v>
      </c>
      <c r="P182" s="9" t="s">
        <v>179</v>
      </c>
      <c r="Q182" s="2">
        <v>0.41</v>
      </c>
      <c r="T182" s="1" t="s">
        <v>129</v>
      </c>
      <c r="U182">
        <v>0.215</v>
      </c>
      <c r="V182">
        <v>9.3000000000000007</v>
      </c>
      <c r="X182">
        <f>298/32</f>
        <v>9.3125</v>
      </c>
      <c r="Z182">
        <v>37</v>
      </c>
    </row>
    <row r="183" spans="1:26" x14ac:dyDescent="0.3">
      <c r="A183">
        <v>3</v>
      </c>
      <c r="C183">
        <v>513</v>
      </c>
      <c r="D183">
        <v>3</v>
      </c>
      <c r="E183" s="2" t="s">
        <v>323</v>
      </c>
      <c r="F183">
        <v>3600</v>
      </c>
      <c r="H183" s="1" t="s">
        <v>160</v>
      </c>
      <c r="I183" s="2">
        <v>51.8</v>
      </c>
      <c r="J183">
        <v>0.13300000000000001</v>
      </c>
      <c r="K183">
        <v>4.3</v>
      </c>
      <c r="L183">
        <v>18.5</v>
      </c>
      <c r="M183">
        <v>3.12</v>
      </c>
      <c r="N183" s="9" t="s">
        <v>124</v>
      </c>
      <c r="O183">
        <v>0.33500000000000002</v>
      </c>
      <c r="P183" s="9" t="s">
        <v>179</v>
      </c>
      <c r="Q183">
        <v>0.14000000000000001</v>
      </c>
      <c r="R183" t="s">
        <v>161</v>
      </c>
      <c r="S183">
        <v>1.2999999999999999E-2</v>
      </c>
      <c r="T183" s="1" t="s">
        <v>129</v>
      </c>
      <c r="U183">
        <v>0.28899999999999998</v>
      </c>
      <c r="V183">
        <v>9.3000000000000007</v>
      </c>
      <c r="Z183">
        <v>58.9</v>
      </c>
    </row>
    <row r="184" spans="1:26" x14ac:dyDescent="0.3">
      <c r="A184">
        <v>3</v>
      </c>
      <c r="C184">
        <v>463</v>
      </c>
      <c r="D184">
        <v>5</v>
      </c>
      <c r="E184" t="s">
        <v>323</v>
      </c>
      <c r="F184">
        <v>4000</v>
      </c>
      <c r="H184" s="1" t="s">
        <v>235</v>
      </c>
      <c r="I184">
        <v>59</v>
      </c>
      <c r="L184">
        <v>8.1</v>
      </c>
      <c r="M184">
        <v>16.899999999999999</v>
      </c>
      <c r="N184" t="s">
        <v>124</v>
      </c>
      <c r="O184">
        <v>0.56499999999999995</v>
      </c>
      <c r="P184" t="s">
        <v>179</v>
      </c>
      <c r="Q184">
        <v>0.27500000000000002</v>
      </c>
      <c r="R184" t="s">
        <v>185</v>
      </c>
      <c r="S184">
        <v>0.129</v>
      </c>
      <c r="T184" s="1" t="s">
        <v>129</v>
      </c>
      <c r="U184">
        <v>3.0599999999999999E-2</v>
      </c>
      <c r="V184">
        <v>9</v>
      </c>
      <c r="X184">
        <f>74/32</f>
        <v>2.3125</v>
      </c>
      <c r="Z184">
        <v>81.599999999999994</v>
      </c>
    </row>
    <row r="185" spans="1:26" x14ac:dyDescent="0.3">
      <c r="A185">
        <v>3</v>
      </c>
      <c r="C185">
        <v>533</v>
      </c>
      <c r="D185">
        <v>3</v>
      </c>
      <c r="E185" t="s">
        <v>323</v>
      </c>
      <c r="G185">
        <v>1.56</v>
      </c>
      <c r="H185" t="s">
        <v>12</v>
      </c>
      <c r="I185">
        <v>52</v>
      </c>
      <c r="J185">
        <v>0.14000000000000001</v>
      </c>
      <c r="K185">
        <v>12.1</v>
      </c>
      <c r="M185">
        <v>34.9</v>
      </c>
      <c r="N185" t="s">
        <v>124</v>
      </c>
      <c r="O185">
        <v>0.58099999999999996</v>
      </c>
      <c r="T185" s="1" t="s">
        <v>126</v>
      </c>
      <c r="U185">
        <f>0.419</f>
        <v>0.41899999999999998</v>
      </c>
      <c r="V185">
        <v>8.9</v>
      </c>
      <c r="X185">
        <v>7.7</v>
      </c>
      <c r="Z185">
        <v>54.8</v>
      </c>
    </row>
    <row r="186" spans="1:26" x14ac:dyDescent="0.3">
      <c r="A186">
        <v>3</v>
      </c>
      <c r="C186">
        <v>523</v>
      </c>
      <c r="D186">
        <v>3</v>
      </c>
      <c r="E186" t="s">
        <v>329</v>
      </c>
      <c r="F186">
        <v>6600</v>
      </c>
      <c r="G186">
        <v>0.51</v>
      </c>
      <c r="H186" s="1" t="s">
        <v>221</v>
      </c>
      <c r="I186">
        <v>447</v>
      </c>
      <c r="J186">
        <v>0.81</v>
      </c>
      <c r="K186">
        <v>6.5</v>
      </c>
      <c r="N186" t="s">
        <v>124</v>
      </c>
      <c r="O186">
        <v>8.6300000000000002E-2</v>
      </c>
      <c r="P186" t="s">
        <v>179</v>
      </c>
      <c r="Q186">
        <v>8.1500000000000003E-2</v>
      </c>
      <c r="T186" s="1" t="s">
        <v>127</v>
      </c>
      <c r="U186">
        <f>(1-O186-Q186-S186)</f>
        <v>0.83219999999999994</v>
      </c>
      <c r="V186">
        <v>8.9</v>
      </c>
      <c r="X186">
        <v>4.9400000000000004</v>
      </c>
      <c r="Z186">
        <v>27.7</v>
      </c>
    </row>
    <row r="187" spans="1:26" x14ac:dyDescent="0.3">
      <c r="A187">
        <v>3.1</v>
      </c>
      <c r="C187">
        <f>C188-20</f>
        <v>493</v>
      </c>
      <c r="D187">
        <v>4</v>
      </c>
      <c r="E187" s="2" t="s">
        <v>323</v>
      </c>
      <c r="G187">
        <v>1.24</v>
      </c>
      <c r="H187" s="1" t="s">
        <v>68</v>
      </c>
      <c r="I187">
        <v>69.7</v>
      </c>
      <c r="L187">
        <f>(25.2+20.9)/2</f>
        <v>23.049999999999997</v>
      </c>
      <c r="M187">
        <v>14.3</v>
      </c>
      <c r="N187" s="9" t="s">
        <v>124</v>
      </c>
      <c r="O187">
        <v>0.43969999999999998</v>
      </c>
      <c r="P187" s="9" t="s">
        <v>179</v>
      </c>
      <c r="Q187">
        <v>0.1812</v>
      </c>
      <c r="T187" s="1" t="s">
        <v>129</v>
      </c>
      <c r="U187">
        <f>1-O187-Q187</f>
        <v>0.37909999999999999</v>
      </c>
      <c r="V187">
        <v>8.8000000000000007</v>
      </c>
      <c r="X187">
        <f>381.6/32</f>
        <v>11.925000000000001</v>
      </c>
      <c r="Z187">
        <v>68.400000000000006</v>
      </c>
    </row>
    <row r="188" spans="1:26" x14ac:dyDescent="0.3">
      <c r="A188">
        <v>3</v>
      </c>
      <c r="C188">
        <v>513</v>
      </c>
      <c r="D188">
        <v>3</v>
      </c>
      <c r="E188" s="2" t="s">
        <v>323</v>
      </c>
      <c r="G188">
        <v>1.85</v>
      </c>
      <c r="H188" s="1" t="s">
        <v>264</v>
      </c>
      <c r="I188" s="2">
        <v>21.2</v>
      </c>
      <c r="L188">
        <v>14.1</v>
      </c>
      <c r="M188">
        <v>7.4</v>
      </c>
      <c r="N188" s="9" t="s">
        <v>124</v>
      </c>
      <c r="O188" s="2">
        <v>0.79100000000000004</v>
      </c>
      <c r="P188" s="9"/>
      <c r="Q188" s="2"/>
      <c r="T188" s="2" t="s">
        <v>136</v>
      </c>
      <c r="U188">
        <v>0.20880000000000001</v>
      </c>
      <c r="V188">
        <v>8.6999999999999993</v>
      </c>
      <c r="X188">
        <f>180/32</f>
        <v>5.625</v>
      </c>
      <c r="Z188">
        <v>48.3</v>
      </c>
    </row>
    <row r="189" spans="1:26" x14ac:dyDescent="0.3">
      <c r="A189">
        <v>3</v>
      </c>
      <c r="C189">
        <v>523</v>
      </c>
      <c r="D189">
        <v>2</v>
      </c>
      <c r="E189" s="2" t="s">
        <v>327</v>
      </c>
      <c r="G189">
        <v>6.22</v>
      </c>
      <c r="H189" s="1" t="s">
        <v>86</v>
      </c>
      <c r="L189">
        <v>11.3</v>
      </c>
      <c r="N189" s="9" t="s">
        <v>176</v>
      </c>
      <c r="O189">
        <v>0.05</v>
      </c>
      <c r="T189" s="1" t="s">
        <v>136</v>
      </c>
      <c r="U189">
        <f>1-O189</f>
        <v>0.95</v>
      </c>
      <c r="V189">
        <v>8.6999999999999993</v>
      </c>
      <c r="X189">
        <v>5.5E-2</v>
      </c>
      <c r="Z189">
        <v>1</v>
      </c>
    </row>
    <row r="190" spans="1:26" x14ac:dyDescent="0.3">
      <c r="A190">
        <v>3</v>
      </c>
      <c r="C190">
        <v>533</v>
      </c>
      <c r="D190">
        <v>8</v>
      </c>
      <c r="E190" t="s">
        <v>336</v>
      </c>
      <c r="F190">
        <v>3600</v>
      </c>
      <c r="H190" t="s">
        <v>26</v>
      </c>
      <c r="I190">
        <v>85.5</v>
      </c>
      <c r="J190">
        <v>0.05</v>
      </c>
      <c r="K190">
        <v>4</v>
      </c>
      <c r="L190">
        <v>7.1</v>
      </c>
      <c r="M190">
        <v>1.73</v>
      </c>
      <c r="N190" t="s">
        <v>124</v>
      </c>
      <c r="O190">
        <v>7.0000000000000007E-2</v>
      </c>
      <c r="T190" s="1" t="s">
        <v>129</v>
      </c>
      <c r="U190">
        <v>0.93</v>
      </c>
      <c r="V190">
        <v>8.6</v>
      </c>
      <c r="X190">
        <v>4.8099999999999996</v>
      </c>
      <c r="Z190">
        <v>92</v>
      </c>
    </row>
    <row r="191" spans="1:26" x14ac:dyDescent="0.3">
      <c r="A191">
        <v>3</v>
      </c>
      <c r="C191">
        <v>493</v>
      </c>
      <c r="D191">
        <v>5</v>
      </c>
      <c r="E191" s="3" t="s">
        <v>323</v>
      </c>
      <c r="G191">
        <v>11.2</v>
      </c>
      <c r="H191" s="1" t="s">
        <v>172</v>
      </c>
      <c r="I191">
        <v>88</v>
      </c>
      <c r="J191">
        <v>0.62</v>
      </c>
      <c r="L191">
        <v>13.1</v>
      </c>
      <c r="N191" s="9" t="s">
        <v>124</v>
      </c>
      <c r="O191">
        <v>0.48899999999999999</v>
      </c>
      <c r="P191" s="9" t="s">
        <v>179</v>
      </c>
      <c r="Q191">
        <v>0.22800000000000001</v>
      </c>
      <c r="R191" t="s">
        <v>185</v>
      </c>
      <c r="S191">
        <v>0.254</v>
      </c>
      <c r="T191" s="1" t="s">
        <v>129</v>
      </c>
      <c r="U191">
        <v>2.86E-2</v>
      </c>
      <c r="V191">
        <v>8.6</v>
      </c>
      <c r="X191">
        <f>31.8/32</f>
        <v>0.99375000000000002</v>
      </c>
      <c r="Z191">
        <v>53.8</v>
      </c>
    </row>
    <row r="192" spans="1:26" x14ac:dyDescent="0.3">
      <c r="A192">
        <v>3</v>
      </c>
      <c r="C192">
        <v>463</v>
      </c>
      <c r="D192">
        <v>5</v>
      </c>
      <c r="E192" t="s">
        <v>323</v>
      </c>
      <c r="F192">
        <v>4000</v>
      </c>
      <c r="H192" s="1" t="s">
        <v>234</v>
      </c>
      <c r="I192">
        <v>79</v>
      </c>
      <c r="L192">
        <v>11.7</v>
      </c>
      <c r="M192">
        <v>21.9</v>
      </c>
      <c r="N192" t="s">
        <v>124</v>
      </c>
      <c r="O192">
        <v>0.56499999999999995</v>
      </c>
      <c r="P192" t="s">
        <v>179</v>
      </c>
      <c r="Q192">
        <v>0.26329999999999998</v>
      </c>
      <c r="R192" t="s">
        <v>185</v>
      </c>
      <c r="S192">
        <v>0.13500000000000001</v>
      </c>
      <c r="T192" s="1" t="s">
        <v>129</v>
      </c>
      <c r="U192">
        <v>3.6700000000000003E-2</v>
      </c>
      <c r="V192">
        <v>8.5</v>
      </c>
      <c r="X192">
        <f>68/32</f>
        <v>2.125</v>
      </c>
      <c r="Z192">
        <v>80.599999999999994</v>
      </c>
    </row>
    <row r="193" spans="1:27" x14ac:dyDescent="0.3">
      <c r="A193">
        <v>3</v>
      </c>
      <c r="C193">
        <v>493</v>
      </c>
      <c r="D193">
        <v>5</v>
      </c>
      <c r="E193" s="3" t="s">
        <v>323</v>
      </c>
      <c r="G193">
        <v>11.2</v>
      </c>
      <c r="H193" s="1" t="s">
        <v>65</v>
      </c>
      <c r="I193" s="2">
        <v>69</v>
      </c>
      <c r="J193">
        <v>0.49</v>
      </c>
      <c r="L193">
        <v>6.5</v>
      </c>
      <c r="N193" s="9" t="s">
        <v>124</v>
      </c>
      <c r="O193">
        <v>0.56399999999999995</v>
      </c>
      <c r="P193" s="9" t="s">
        <v>179</v>
      </c>
      <c r="Q193">
        <v>0.26600000000000001</v>
      </c>
      <c r="R193" t="s">
        <v>185</v>
      </c>
      <c r="S193">
        <v>0.13500000000000001</v>
      </c>
      <c r="T193" s="1" t="s">
        <v>129</v>
      </c>
      <c r="U193">
        <v>3.3000000000000002E-2</v>
      </c>
      <c r="V193">
        <v>8.5</v>
      </c>
      <c r="X193">
        <v>1.1100000000000001</v>
      </c>
      <c r="Z193">
        <v>61.1</v>
      </c>
    </row>
    <row r="194" spans="1:27" x14ac:dyDescent="0.3">
      <c r="A194">
        <v>3</v>
      </c>
      <c r="C194">
        <v>453</v>
      </c>
      <c r="D194">
        <v>4</v>
      </c>
      <c r="E194" t="s">
        <v>329</v>
      </c>
      <c r="G194">
        <v>0.19</v>
      </c>
      <c r="H194" t="s">
        <v>31</v>
      </c>
      <c r="I194">
        <v>265</v>
      </c>
      <c r="J194">
        <v>0.61</v>
      </c>
      <c r="K194">
        <v>8.32</v>
      </c>
      <c r="L194">
        <v>7.08</v>
      </c>
      <c r="M194">
        <v>29.2</v>
      </c>
      <c r="N194" t="s">
        <v>124</v>
      </c>
      <c r="O194">
        <v>0.38900000000000001</v>
      </c>
      <c r="P194" t="s">
        <v>179</v>
      </c>
      <c r="Q194">
        <v>9.9000000000000005E-2</v>
      </c>
      <c r="R194" t="s">
        <v>146</v>
      </c>
      <c r="S194">
        <v>2.5999999999999999E-2</v>
      </c>
      <c r="T194" s="1" t="s">
        <v>127</v>
      </c>
      <c r="U194">
        <f>(1-O194-Q194-S194)</f>
        <v>0.48599999999999999</v>
      </c>
      <c r="V194">
        <v>8.1999999999999993</v>
      </c>
      <c r="X194">
        <v>105.3</v>
      </c>
      <c r="Z194">
        <v>99.2</v>
      </c>
    </row>
    <row r="195" spans="1:27" x14ac:dyDescent="0.3">
      <c r="A195">
        <v>3.1</v>
      </c>
      <c r="C195">
        <f>C196-20</f>
        <v>493</v>
      </c>
      <c r="D195">
        <v>3</v>
      </c>
      <c r="E195" s="2" t="s">
        <v>333</v>
      </c>
      <c r="G195">
        <v>1.24</v>
      </c>
      <c r="H195" s="1" t="s">
        <v>67</v>
      </c>
      <c r="I195">
        <v>44.3</v>
      </c>
      <c r="L195">
        <f>(36.3+22.3)/2</f>
        <v>29.299999999999997</v>
      </c>
      <c r="M195">
        <v>9.6999999999999993</v>
      </c>
      <c r="N195" s="9" t="s">
        <v>124</v>
      </c>
      <c r="O195">
        <v>0.43969999999999998</v>
      </c>
      <c r="P195" s="9" t="s">
        <v>179</v>
      </c>
      <c r="Q195">
        <v>0.1812</v>
      </c>
      <c r="T195" s="1" t="s">
        <v>129</v>
      </c>
      <c r="U195">
        <f>1-O195-Q195</f>
        <v>0.37909999999999999</v>
      </c>
      <c r="V195">
        <v>8.1999999999999993</v>
      </c>
      <c r="X195">
        <f>435.6/32</f>
        <v>13.612500000000001</v>
      </c>
      <c r="Z195">
        <v>83.8</v>
      </c>
    </row>
    <row r="196" spans="1:27" x14ac:dyDescent="0.3">
      <c r="A196">
        <v>3</v>
      </c>
      <c r="C196">
        <v>513</v>
      </c>
      <c r="D196">
        <v>3</v>
      </c>
      <c r="E196" s="2" t="s">
        <v>323</v>
      </c>
      <c r="F196">
        <v>3600</v>
      </c>
      <c r="H196" s="1" t="s">
        <v>57</v>
      </c>
      <c r="I196" s="2">
        <v>28.8</v>
      </c>
      <c r="J196">
        <v>5.8999999999999997E-2</v>
      </c>
      <c r="K196">
        <v>4.9000000000000004</v>
      </c>
      <c r="L196">
        <v>19.399999999999999</v>
      </c>
      <c r="M196">
        <v>3.09</v>
      </c>
      <c r="N196" s="9" t="s">
        <v>124</v>
      </c>
      <c r="O196">
        <v>0.30399999999999999</v>
      </c>
      <c r="P196" s="9" t="s">
        <v>179</v>
      </c>
      <c r="Q196">
        <v>0.13300000000000001</v>
      </c>
      <c r="T196" s="1" t="s">
        <v>129</v>
      </c>
      <c r="U196">
        <v>0.29199999999999998</v>
      </c>
      <c r="V196">
        <v>8.1</v>
      </c>
      <c r="Z196">
        <v>38.6</v>
      </c>
    </row>
    <row r="197" spans="1:27" s="1" customFormat="1" x14ac:dyDescent="0.3">
      <c r="A197">
        <v>4</v>
      </c>
      <c r="B197"/>
      <c r="C197">
        <f>260+273</f>
        <v>533</v>
      </c>
      <c r="D197">
        <v>3</v>
      </c>
      <c r="E197" s="2" t="s">
        <v>332</v>
      </c>
      <c r="F197"/>
      <c r="G197">
        <v>1.4</v>
      </c>
      <c r="H197" s="1" t="s">
        <v>61</v>
      </c>
      <c r="I197" s="2">
        <v>400.7</v>
      </c>
      <c r="J197">
        <v>0.59140000000000004</v>
      </c>
      <c r="K197">
        <v>5.2218999999999998</v>
      </c>
      <c r="L197"/>
      <c r="M197">
        <v>31.8</v>
      </c>
      <c r="N197" s="9" t="s">
        <v>124</v>
      </c>
      <c r="O197">
        <v>0.107</v>
      </c>
      <c r="P197" s="9"/>
      <c r="Q197"/>
      <c r="R197"/>
      <c r="S197"/>
      <c r="T197" s="1" t="s">
        <v>127</v>
      </c>
      <c r="U197">
        <f>1-O197</f>
        <v>0.89300000000000002</v>
      </c>
      <c r="V197">
        <v>8.1</v>
      </c>
      <c r="W197"/>
      <c r="X197">
        <f>145/32</f>
        <v>4.53125</v>
      </c>
      <c r="Y197"/>
      <c r="Z197">
        <v>40.1</v>
      </c>
      <c r="AA197"/>
    </row>
    <row r="198" spans="1:27" s="1" customFormat="1" x14ac:dyDescent="0.3">
      <c r="A198">
        <v>3</v>
      </c>
      <c r="B198"/>
      <c r="C198">
        <v>503</v>
      </c>
      <c r="D198">
        <v>4.5</v>
      </c>
      <c r="E198" s="2" t="s">
        <v>334</v>
      </c>
      <c r="F198"/>
      <c r="G198">
        <v>2.33</v>
      </c>
      <c r="I198"/>
      <c r="J198"/>
      <c r="K198"/>
      <c r="L198"/>
      <c r="M198"/>
      <c r="N198" s="9" t="s">
        <v>176</v>
      </c>
      <c r="O198">
        <v>5.2999999999999999E-2</v>
      </c>
      <c r="P198"/>
      <c r="Q198"/>
      <c r="R198"/>
      <c r="S198"/>
      <c r="T198" s="1" t="s">
        <v>136</v>
      </c>
      <c r="U198">
        <f>1-O198-S198</f>
        <v>0.94699999999999995</v>
      </c>
      <c r="V198">
        <v>8</v>
      </c>
      <c r="W198"/>
      <c r="X198">
        <v>4.6900000000000004</v>
      </c>
      <c r="Y198"/>
      <c r="Z198">
        <v>52</v>
      </c>
      <c r="AA198"/>
    </row>
    <row r="199" spans="1:27" s="1" customFormat="1" x14ac:dyDescent="0.3">
      <c r="A199">
        <v>3</v>
      </c>
      <c r="B199"/>
      <c r="C199">
        <v>493</v>
      </c>
      <c r="D199">
        <v>2</v>
      </c>
      <c r="E199" s="2" t="s">
        <v>339</v>
      </c>
      <c r="F199">
        <v>2400</v>
      </c>
      <c r="G199">
        <v>9.3000000000000007</v>
      </c>
      <c r="H199" s="1" t="s">
        <v>272</v>
      </c>
      <c r="I199">
        <v>42</v>
      </c>
      <c r="J199">
        <v>6.4000000000000001E-2</v>
      </c>
      <c r="K199">
        <v>3.79</v>
      </c>
      <c r="L199">
        <f>(14.3+11.5+9.8)/3</f>
        <v>11.866666666666667</v>
      </c>
      <c r="M199"/>
      <c r="N199" s="9" t="s">
        <v>176</v>
      </c>
      <c r="O199">
        <v>4.99E-2</v>
      </c>
      <c r="P199" t="s">
        <v>179</v>
      </c>
      <c r="Q199">
        <v>4.7800000000000002E-2</v>
      </c>
      <c r="R199"/>
      <c r="S199"/>
      <c r="T199" s="1" t="s">
        <v>126</v>
      </c>
      <c r="U199">
        <v>0.86609999999999998</v>
      </c>
      <c r="V199">
        <v>7.92</v>
      </c>
      <c r="W199"/>
      <c r="X199">
        <f>61.62/32</f>
        <v>1.9256249999999999</v>
      </c>
      <c r="Y199"/>
      <c r="Z199">
        <v>98.9</v>
      </c>
      <c r="AA199"/>
    </row>
    <row r="200" spans="1:27" s="1" customFormat="1" x14ac:dyDescent="0.3">
      <c r="A200">
        <v>3</v>
      </c>
      <c r="B200"/>
      <c r="C200">
        <v>493</v>
      </c>
      <c r="D200">
        <v>3</v>
      </c>
      <c r="E200" s="2" t="s">
        <v>332</v>
      </c>
      <c r="F200"/>
      <c r="G200">
        <v>11.2</v>
      </c>
      <c r="H200" s="1" t="s">
        <v>173</v>
      </c>
      <c r="I200">
        <v>247</v>
      </c>
      <c r="J200">
        <v>1.37</v>
      </c>
      <c r="K200">
        <v>22.2</v>
      </c>
      <c r="L200"/>
      <c r="M200"/>
      <c r="N200" s="9" t="s">
        <v>124</v>
      </c>
      <c r="O200">
        <v>8.2000000000000003E-2</v>
      </c>
      <c r="P200" s="9" t="s">
        <v>179</v>
      </c>
      <c r="Q200">
        <v>3.4000000000000002E-2</v>
      </c>
      <c r="R200"/>
      <c r="S200"/>
      <c r="T200" s="1" t="s">
        <v>127</v>
      </c>
      <c r="U200">
        <f>1-O200-Q200</f>
        <v>0.88400000000000001</v>
      </c>
      <c r="V200">
        <v>7.8</v>
      </c>
      <c r="W200"/>
      <c r="X200">
        <f>26.4/32</f>
        <v>0.82499999999999996</v>
      </c>
      <c r="Y200"/>
      <c r="Z200">
        <v>49.4</v>
      </c>
      <c r="AA200"/>
    </row>
    <row r="201" spans="1:27" s="1" customFormat="1" x14ac:dyDescent="0.3">
      <c r="A201">
        <v>3</v>
      </c>
      <c r="B201"/>
      <c r="C201">
        <v>493</v>
      </c>
      <c r="D201">
        <v>3</v>
      </c>
      <c r="E201" t="s">
        <v>329</v>
      </c>
      <c r="F201"/>
      <c r="G201">
        <v>9.33</v>
      </c>
      <c r="H201" s="1" t="s">
        <v>93</v>
      </c>
      <c r="I201">
        <v>67.39</v>
      </c>
      <c r="J201">
        <v>8.7999999999999995E-2</v>
      </c>
      <c r="K201">
        <v>3.63</v>
      </c>
      <c r="L201"/>
      <c r="M201">
        <v>0.68</v>
      </c>
      <c r="N201" s="9" t="s">
        <v>176</v>
      </c>
      <c r="O201">
        <v>0.05</v>
      </c>
      <c r="P201" t="s">
        <v>179</v>
      </c>
      <c r="Q201">
        <v>0.05</v>
      </c>
      <c r="R201" t="s">
        <v>181</v>
      </c>
      <c r="S201">
        <v>5.0000000000000001E-3</v>
      </c>
      <c r="T201" s="1" t="s">
        <v>126</v>
      </c>
      <c r="U201">
        <f>1-O201-Q201-S201</f>
        <v>0.89499999999999991</v>
      </c>
      <c r="V201">
        <v>7.8</v>
      </c>
      <c r="W201"/>
      <c r="X201">
        <v>2.06</v>
      </c>
      <c r="Y201"/>
      <c r="Z201">
        <v>100</v>
      </c>
      <c r="AA201"/>
    </row>
    <row r="202" spans="1:27" x14ac:dyDescent="0.3">
      <c r="A202">
        <v>3</v>
      </c>
      <c r="C202">
        <v>553</v>
      </c>
      <c r="D202">
        <v>3</v>
      </c>
      <c r="E202" t="s">
        <v>337</v>
      </c>
      <c r="G202">
        <v>2.99</v>
      </c>
      <c r="H202" t="s">
        <v>116</v>
      </c>
      <c r="I202">
        <v>134.6</v>
      </c>
      <c r="J202">
        <v>0.113</v>
      </c>
      <c r="K202">
        <v>3.4</v>
      </c>
      <c r="M202">
        <v>5.8</v>
      </c>
      <c r="N202" t="s">
        <v>124</v>
      </c>
      <c r="O202">
        <v>0.08</v>
      </c>
      <c r="P202" t="s">
        <v>187</v>
      </c>
      <c r="Q202">
        <v>6.6000000000000003E-2</v>
      </c>
      <c r="T202" s="1" t="s">
        <v>127</v>
      </c>
      <c r="U202">
        <f>1-O202-Q202</f>
        <v>0.85400000000000009</v>
      </c>
      <c r="V202">
        <v>7.7</v>
      </c>
      <c r="X202">
        <v>4.22</v>
      </c>
      <c r="Z202">
        <v>81.8</v>
      </c>
    </row>
    <row r="203" spans="1:27" x14ac:dyDescent="0.3">
      <c r="A203">
        <v>4</v>
      </c>
      <c r="C203">
        <v>573</v>
      </c>
      <c r="D203">
        <v>4</v>
      </c>
      <c r="E203" t="s">
        <v>327</v>
      </c>
      <c r="G203">
        <v>0.43</v>
      </c>
      <c r="H203" t="s">
        <v>118</v>
      </c>
      <c r="I203">
        <v>84</v>
      </c>
      <c r="J203">
        <v>0.21</v>
      </c>
      <c r="N203" t="s">
        <v>187</v>
      </c>
      <c r="O203">
        <v>0.115</v>
      </c>
      <c r="P203" t="s">
        <v>132</v>
      </c>
      <c r="Q203">
        <v>7.0000000000000001E-3</v>
      </c>
      <c r="T203" s="1" t="s">
        <v>129</v>
      </c>
      <c r="U203">
        <f>1-O203-Q203</f>
        <v>0.878</v>
      </c>
      <c r="V203">
        <v>7.7</v>
      </c>
      <c r="X203">
        <v>13.13</v>
      </c>
      <c r="Z203">
        <v>66</v>
      </c>
    </row>
    <row r="204" spans="1:27" x14ac:dyDescent="0.3">
      <c r="A204">
        <v>3</v>
      </c>
      <c r="C204">
        <v>523</v>
      </c>
      <c r="D204">
        <v>4.0999999999999996</v>
      </c>
      <c r="E204" s="2" t="s">
        <v>330</v>
      </c>
      <c r="G204">
        <v>6.2</v>
      </c>
      <c r="H204" s="1" t="s">
        <v>277</v>
      </c>
      <c r="I204">
        <v>12</v>
      </c>
      <c r="J204">
        <v>0.05</v>
      </c>
      <c r="K204">
        <v>15</v>
      </c>
      <c r="L204">
        <v>16</v>
      </c>
      <c r="N204" s="9" t="s">
        <v>176</v>
      </c>
      <c r="O204">
        <v>5.7000000000000002E-2</v>
      </c>
      <c r="P204" t="s">
        <v>124</v>
      </c>
      <c r="Q204">
        <v>0.1</v>
      </c>
      <c r="T204" s="1" t="s">
        <v>142</v>
      </c>
      <c r="U204">
        <f>1-O204-Q204</f>
        <v>0.84299999999999997</v>
      </c>
      <c r="V204">
        <v>7.6</v>
      </c>
      <c r="X204">
        <f>0.17*3.6</f>
        <v>0.6120000000000001</v>
      </c>
      <c r="Z204">
        <v>18.7</v>
      </c>
    </row>
    <row r="205" spans="1:27" x14ac:dyDescent="0.3">
      <c r="A205">
        <v>4</v>
      </c>
      <c r="C205">
        <v>573</v>
      </c>
      <c r="D205">
        <v>4</v>
      </c>
      <c r="E205" t="s">
        <v>327</v>
      </c>
      <c r="G205">
        <v>0.43</v>
      </c>
      <c r="H205" t="s">
        <v>117</v>
      </c>
      <c r="I205">
        <v>84</v>
      </c>
      <c r="J205">
        <v>0.23</v>
      </c>
      <c r="N205" t="s">
        <v>187</v>
      </c>
      <c r="O205">
        <v>9.1999999999999998E-2</v>
      </c>
      <c r="P205" t="s">
        <v>147</v>
      </c>
      <c r="Q205">
        <v>3.1E-2</v>
      </c>
      <c r="T205" s="1" t="s">
        <v>129</v>
      </c>
      <c r="U205">
        <f>1-O205-Q205</f>
        <v>0.877</v>
      </c>
      <c r="V205">
        <v>7.6</v>
      </c>
      <c r="X205">
        <v>13.13</v>
      </c>
      <c r="Z205">
        <v>69</v>
      </c>
    </row>
    <row r="206" spans="1:27" x14ac:dyDescent="0.3">
      <c r="A206">
        <v>3</v>
      </c>
      <c r="C206">
        <v>523</v>
      </c>
      <c r="D206">
        <v>4.0999999999999996</v>
      </c>
      <c r="E206" s="2" t="s">
        <v>330</v>
      </c>
      <c r="G206">
        <v>6.2</v>
      </c>
      <c r="H206" s="1" t="s">
        <v>278</v>
      </c>
      <c r="I206">
        <v>2</v>
      </c>
      <c r="J206">
        <v>0.01</v>
      </c>
      <c r="K206">
        <v>39.200000000000003</v>
      </c>
      <c r="L206">
        <v>24</v>
      </c>
      <c r="N206" s="9" t="s">
        <v>176</v>
      </c>
      <c r="O206">
        <v>5.7000000000000002E-2</v>
      </c>
      <c r="P206" t="s">
        <v>124</v>
      </c>
      <c r="Q206">
        <v>0.1</v>
      </c>
      <c r="T206" s="1" t="s">
        <v>142</v>
      </c>
      <c r="U206">
        <f>1-O206-Q206</f>
        <v>0.84299999999999997</v>
      </c>
      <c r="V206">
        <v>7.5</v>
      </c>
      <c r="X206">
        <f>0.21*3.6</f>
        <v>0.75600000000000001</v>
      </c>
      <c r="Z206">
        <v>24.5</v>
      </c>
    </row>
    <row r="207" spans="1:27" x14ac:dyDescent="0.3">
      <c r="A207">
        <v>3</v>
      </c>
      <c r="C207">
        <v>463</v>
      </c>
      <c r="D207">
        <v>5</v>
      </c>
      <c r="E207" t="s">
        <v>323</v>
      </c>
      <c r="F207">
        <v>4000</v>
      </c>
      <c r="H207" s="1" t="s">
        <v>236</v>
      </c>
      <c r="I207">
        <v>46</v>
      </c>
      <c r="L207">
        <v>13.8</v>
      </c>
      <c r="M207">
        <v>16.600000000000001</v>
      </c>
      <c r="N207" t="s">
        <v>124</v>
      </c>
      <c r="O207">
        <v>0.58550000000000002</v>
      </c>
      <c r="P207" t="s">
        <v>179</v>
      </c>
      <c r="Q207">
        <v>0.26300000000000001</v>
      </c>
      <c r="R207" t="s">
        <v>185</v>
      </c>
      <c r="S207">
        <v>0.122</v>
      </c>
      <c r="T207" s="1" t="s">
        <v>129</v>
      </c>
      <c r="U207">
        <v>2.9000000000000001E-2</v>
      </c>
      <c r="V207">
        <v>7.3</v>
      </c>
      <c r="X207">
        <f>59/32</f>
        <v>1.84375</v>
      </c>
      <c r="Z207">
        <v>81.3</v>
      </c>
    </row>
    <row r="208" spans="1:27" x14ac:dyDescent="0.3">
      <c r="A208">
        <v>3</v>
      </c>
      <c r="C208">
        <v>503</v>
      </c>
      <c r="D208">
        <v>3</v>
      </c>
      <c r="E208" s="2" t="s">
        <v>327</v>
      </c>
      <c r="F208">
        <v>2400</v>
      </c>
      <c r="G208">
        <v>9.3000000000000007</v>
      </c>
      <c r="H208" s="1" t="s">
        <v>88</v>
      </c>
      <c r="I208">
        <v>6.12</v>
      </c>
      <c r="J208">
        <v>0.01</v>
      </c>
      <c r="K208">
        <v>3.32</v>
      </c>
      <c r="M208">
        <v>0.5</v>
      </c>
      <c r="N208" s="9" t="s">
        <v>176</v>
      </c>
      <c r="O208">
        <v>0.05</v>
      </c>
      <c r="P208" t="s">
        <v>179</v>
      </c>
      <c r="Q208">
        <v>0.05</v>
      </c>
      <c r="R208" t="s">
        <v>181</v>
      </c>
      <c r="S208">
        <v>5.0000000000000001E-3</v>
      </c>
      <c r="T208" s="1" t="s">
        <v>129</v>
      </c>
      <c r="U208">
        <f>1-O208-Q208-S208</f>
        <v>0.89499999999999991</v>
      </c>
      <c r="V208">
        <v>7.2</v>
      </c>
      <c r="X208">
        <v>1.93</v>
      </c>
      <c r="Z208">
        <v>100</v>
      </c>
    </row>
    <row r="209" spans="1:27" x14ac:dyDescent="0.3">
      <c r="A209">
        <v>3</v>
      </c>
      <c r="C209">
        <f>C208+20</f>
        <v>523</v>
      </c>
      <c r="D209">
        <v>3</v>
      </c>
      <c r="E209" t="s">
        <v>323</v>
      </c>
      <c r="G209">
        <v>1.87</v>
      </c>
      <c r="H209" s="1"/>
      <c r="I209">
        <v>470.3</v>
      </c>
      <c r="J209">
        <v>0.57999999999999996</v>
      </c>
      <c r="K209">
        <v>5.3</v>
      </c>
      <c r="L209">
        <v>3.8</v>
      </c>
      <c r="M209">
        <v>76.400000000000006</v>
      </c>
      <c r="N209" t="s">
        <v>124</v>
      </c>
      <c r="O209">
        <v>8.1000000000000003E-2</v>
      </c>
      <c r="R209" t="s">
        <v>132</v>
      </c>
      <c r="S209">
        <v>4.2000000000000003E-2</v>
      </c>
      <c r="T209" s="1" t="s">
        <v>127</v>
      </c>
      <c r="U209">
        <f>1-O209-S209</f>
        <v>0.877</v>
      </c>
      <c r="V209">
        <v>7</v>
      </c>
      <c r="X209">
        <f>199/32</f>
        <v>6.21875</v>
      </c>
      <c r="Z209">
        <v>68.7</v>
      </c>
    </row>
    <row r="210" spans="1:27" x14ac:dyDescent="0.3">
      <c r="A210">
        <v>3</v>
      </c>
      <c r="C210">
        <f>300+273</f>
        <v>573</v>
      </c>
      <c r="D210">
        <v>3</v>
      </c>
      <c r="E210" t="s">
        <v>323</v>
      </c>
      <c r="G210">
        <v>1.87</v>
      </c>
      <c r="I210">
        <v>324.7</v>
      </c>
      <c r="J210">
        <v>0.49</v>
      </c>
      <c r="K210">
        <v>4.8</v>
      </c>
      <c r="L210">
        <v>15.2</v>
      </c>
      <c r="M210">
        <v>38.200000000000003</v>
      </c>
      <c r="N210" t="s">
        <v>124</v>
      </c>
      <c r="O210">
        <v>8.4000000000000005E-2</v>
      </c>
      <c r="T210" s="1" t="s">
        <v>127</v>
      </c>
      <c r="U210">
        <f>1-O210</f>
        <v>0.91600000000000004</v>
      </c>
      <c r="V210">
        <v>6.9</v>
      </c>
      <c r="X210">
        <f>15.3/32</f>
        <v>0.47812500000000002</v>
      </c>
      <c r="Z210">
        <v>5.4</v>
      </c>
    </row>
    <row r="211" spans="1:27" x14ac:dyDescent="0.3">
      <c r="A211">
        <v>3</v>
      </c>
      <c r="C211">
        <f>220+273</f>
        <v>493</v>
      </c>
      <c r="D211">
        <v>3</v>
      </c>
      <c r="E211" t="s">
        <v>331</v>
      </c>
      <c r="F211">
        <v>3600</v>
      </c>
      <c r="H211" s="1" t="s">
        <v>32</v>
      </c>
      <c r="I211">
        <v>128</v>
      </c>
      <c r="J211">
        <v>0.31</v>
      </c>
      <c r="K211">
        <v>2.2999999999999998</v>
      </c>
      <c r="L211">
        <v>15.5</v>
      </c>
      <c r="N211" t="s">
        <v>124</v>
      </c>
      <c r="O211">
        <v>0.10299999999999999</v>
      </c>
      <c r="P211" t="s">
        <v>128</v>
      </c>
      <c r="Q211">
        <v>0.32700000000000001</v>
      </c>
      <c r="T211" s="1" t="s">
        <v>143</v>
      </c>
      <c r="U211">
        <f>(1-O211-Q211-S211)</f>
        <v>0.57000000000000006</v>
      </c>
      <c r="V211">
        <v>6.9</v>
      </c>
      <c r="X211">
        <f>55.5/32</f>
        <v>1.734375</v>
      </c>
      <c r="Z211">
        <v>68.5</v>
      </c>
    </row>
    <row r="212" spans="1:27" x14ac:dyDescent="0.3">
      <c r="A212">
        <v>3</v>
      </c>
      <c r="C212">
        <v>463</v>
      </c>
      <c r="D212">
        <v>5</v>
      </c>
      <c r="E212" t="s">
        <v>323</v>
      </c>
      <c r="F212">
        <v>4000</v>
      </c>
      <c r="H212" s="1" t="s">
        <v>233</v>
      </c>
      <c r="I212">
        <v>112</v>
      </c>
      <c r="L212">
        <v>14.6</v>
      </c>
      <c r="M212">
        <v>29.2</v>
      </c>
      <c r="N212" t="s">
        <v>124</v>
      </c>
      <c r="O212">
        <v>0.57899999999999996</v>
      </c>
      <c r="P212" t="s">
        <v>179</v>
      </c>
      <c r="Q212">
        <v>0.26500000000000001</v>
      </c>
      <c r="R212" t="s">
        <v>185</v>
      </c>
      <c r="S212">
        <v>0.1225</v>
      </c>
      <c r="T212" s="1" t="s">
        <v>129</v>
      </c>
      <c r="U212">
        <v>3.3300000000000003E-2</v>
      </c>
      <c r="V212">
        <v>6.9</v>
      </c>
      <c r="X212">
        <f>55/32</f>
        <v>1.71875</v>
      </c>
      <c r="Z212">
        <v>81.099999999999994</v>
      </c>
    </row>
    <row r="213" spans="1:27" x14ac:dyDescent="0.3">
      <c r="A213">
        <v>3.1</v>
      </c>
      <c r="C213">
        <f>C214-20</f>
        <v>503</v>
      </c>
      <c r="D213">
        <v>3</v>
      </c>
      <c r="E213" s="2" t="s">
        <v>323</v>
      </c>
      <c r="G213">
        <v>1.24</v>
      </c>
      <c r="H213" s="1" t="s">
        <v>68</v>
      </c>
      <c r="I213">
        <v>69.7</v>
      </c>
      <c r="L213">
        <f>(25.2+20.9)/2</f>
        <v>23.049999999999997</v>
      </c>
      <c r="M213">
        <v>14.3</v>
      </c>
      <c r="N213" s="9" t="s">
        <v>124</v>
      </c>
      <c r="O213">
        <v>0.43969999999999998</v>
      </c>
      <c r="P213" s="9" t="s">
        <v>179</v>
      </c>
      <c r="Q213">
        <v>0.1812</v>
      </c>
      <c r="T213" s="1" t="s">
        <v>129</v>
      </c>
      <c r="U213">
        <f>1-O213-Q213</f>
        <v>0.37909999999999999</v>
      </c>
      <c r="V213">
        <v>6.8</v>
      </c>
      <c r="X213">
        <f>287.9/32</f>
        <v>8.9968749999999993</v>
      </c>
      <c r="Z213">
        <v>65.900000000000006</v>
      </c>
    </row>
    <row r="214" spans="1:27" x14ac:dyDescent="0.3">
      <c r="A214">
        <v>3</v>
      </c>
      <c r="C214">
        <v>523</v>
      </c>
      <c r="D214">
        <v>4.0999999999999996</v>
      </c>
      <c r="E214" s="2" t="s">
        <v>330</v>
      </c>
      <c r="G214">
        <v>6.2</v>
      </c>
      <c r="H214" s="1" t="s">
        <v>280</v>
      </c>
      <c r="I214">
        <v>305</v>
      </c>
      <c r="J214">
        <v>0.9</v>
      </c>
      <c r="K214">
        <v>9.4</v>
      </c>
      <c r="N214" s="9" t="s">
        <v>176</v>
      </c>
      <c r="O214">
        <v>5.7000000000000002E-2</v>
      </c>
      <c r="P214" t="s">
        <v>124</v>
      </c>
      <c r="Q214">
        <v>0.1</v>
      </c>
      <c r="T214" s="1" t="s">
        <v>127</v>
      </c>
      <c r="U214">
        <f>1-O214-Q214</f>
        <v>0.84299999999999997</v>
      </c>
      <c r="V214">
        <v>6.7</v>
      </c>
      <c r="X214">
        <f>0.28*3.6</f>
        <v>1.0080000000000002</v>
      </c>
      <c r="Z214">
        <v>30</v>
      </c>
    </row>
    <row r="215" spans="1:27" x14ac:dyDescent="0.3">
      <c r="A215">
        <v>3</v>
      </c>
      <c r="C215">
        <v>523</v>
      </c>
      <c r="D215">
        <v>4.0999999999999996</v>
      </c>
      <c r="E215" s="2" t="s">
        <v>330</v>
      </c>
      <c r="G215">
        <v>6.2</v>
      </c>
      <c r="H215" s="1" t="s">
        <v>279</v>
      </c>
      <c r="I215">
        <v>309</v>
      </c>
      <c r="J215">
        <v>0.8</v>
      </c>
      <c r="K215">
        <v>9.3000000000000007</v>
      </c>
      <c r="N215" s="9" t="s">
        <v>176</v>
      </c>
      <c r="O215">
        <v>8.6999999999999994E-2</v>
      </c>
      <c r="P215" t="s">
        <v>124</v>
      </c>
      <c r="Q215">
        <v>0.1</v>
      </c>
      <c r="T215" s="1" t="s">
        <v>127</v>
      </c>
      <c r="U215">
        <f>1-O215-Q215</f>
        <v>0.81300000000000006</v>
      </c>
      <c r="V215">
        <v>6.6</v>
      </c>
      <c r="X215">
        <v>1.1200000000000001</v>
      </c>
      <c r="Z215">
        <v>34</v>
      </c>
    </row>
    <row r="216" spans="1:27" x14ac:dyDescent="0.3">
      <c r="A216">
        <v>3</v>
      </c>
      <c r="C216">
        <v>513</v>
      </c>
      <c r="D216">
        <v>3</v>
      </c>
      <c r="E216" t="s">
        <v>327</v>
      </c>
      <c r="G216">
        <v>3.11</v>
      </c>
      <c r="H216" t="s">
        <v>28</v>
      </c>
      <c r="I216">
        <v>154</v>
      </c>
      <c r="J216">
        <v>0.28999999999999998</v>
      </c>
      <c r="M216">
        <v>1.87</v>
      </c>
      <c r="N216" t="s">
        <v>124</v>
      </c>
      <c r="O216">
        <v>0.10539999999999999</v>
      </c>
      <c r="T216" s="1" t="s">
        <v>125</v>
      </c>
      <c r="U216">
        <v>0.9</v>
      </c>
      <c r="V216">
        <v>6.4</v>
      </c>
      <c r="X216">
        <v>1.84</v>
      </c>
      <c r="Z216">
        <v>35.700000000000003</v>
      </c>
      <c r="AA216">
        <v>6.3</v>
      </c>
    </row>
    <row r="217" spans="1:27" x14ac:dyDescent="0.3">
      <c r="A217">
        <v>3.1</v>
      </c>
      <c r="C217">
        <v>513</v>
      </c>
      <c r="D217">
        <v>2</v>
      </c>
      <c r="E217" s="2" t="s">
        <v>333</v>
      </c>
      <c r="G217">
        <v>1.24</v>
      </c>
      <c r="H217" s="1" t="s">
        <v>67</v>
      </c>
      <c r="I217">
        <v>44.3</v>
      </c>
      <c r="L217">
        <f>(36.3+22.3)/2</f>
        <v>29.299999999999997</v>
      </c>
      <c r="M217">
        <v>9.6999999999999993</v>
      </c>
      <c r="N217" s="9" t="s">
        <v>124</v>
      </c>
      <c r="O217">
        <v>0.43969999999999998</v>
      </c>
      <c r="P217" s="9" t="s">
        <v>179</v>
      </c>
      <c r="Q217">
        <v>0.1812</v>
      </c>
      <c r="T217" s="1" t="s">
        <v>129</v>
      </c>
      <c r="U217">
        <f>1-O217-Q217</f>
        <v>0.37909999999999999</v>
      </c>
      <c r="V217">
        <v>6.3</v>
      </c>
      <c r="X217">
        <f>255.2/32</f>
        <v>7.9749999999999996</v>
      </c>
      <c r="Z217">
        <v>63.9</v>
      </c>
    </row>
    <row r="218" spans="1:27" x14ac:dyDescent="0.3">
      <c r="A218">
        <v>3</v>
      </c>
      <c r="C218">
        <v>493</v>
      </c>
      <c r="D218">
        <v>3</v>
      </c>
      <c r="E218" t="s">
        <v>329</v>
      </c>
      <c r="G218">
        <v>9.33</v>
      </c>
      <c r="H218" s="1" t="s">
        <v>94</v>
      </c>
      <c r="I218">
        <v>80.67</v>
      </c>
      <c r="J218">
        <v>0.115</v>
      </c>
      <c r="K218">
        <v>3.63</v>
      </c>
      <c r="M218">
        <v>1.55</v>
      </c>
      <c r="N218" s="9" t="s">
        <v>176</v>
      </c>
      <c r="O218">
        <v>0.05</v>
      </c>
      <c r="P218" t="s">
        <v>179</v>
      </c>
      <c r="Q218">
        <v>0.05</v>
      </c>
      <c r="T218" s="1" t="s">
        <v>126</v>
      </c>
      <c r="U218">
        <f>1-O218-Q218-S218</f>
        <v>0.89999999999999991</v>
      </c>
      <c r="V218">
        <v>6.3</v>
      </c>
      <c r="X218">
        <v>1.69</v>
      </c>
      <c r="Z218">
        <v>100</v>
      </c>
    </row>
    <row r="219" spans="1:27" x14ac:dyDescent="0.3">
      <c r="A219">
        <v>3</v>
      </c>
      <c r="C219">
        <v>523</v>
      </c>
      <c r="D219">
        <v>3</v>
      </c>
      <c r="E219" t="s">
        <v>323</v>
      </c>
      <c r="G219">
        <v>8.6199999999999992</v>
      </c>
      <c r="H219" s="1" t="s">
        <v>238</v>
      </c>
      <c r="I219">
        <v>37</v>
      </c>
      <c r="J219">
        <v>0.154</v>
      </c>
      <c r="M219">
        <v>48.1</v>
      </c>
      <c r="N219" t="s">
        <v>124</v>
      </c>
      <c r="O219" s="8">
        <v>0.3</v>
      </c>
      <c r="P219" t="s">
        <v>179</v>
      </c>
      <c r="Q219" s="8">
        <v>0.1</v>
      </c>
      <c r="T219" s="1" t="s">
        <v>125</v>
      </c>
      <c r="U219" s="1">
        <v>0.6</v>
      </c>
      <c r="V219">
        <v>6.25</v>
      </c>
      <c r="X219">
        <f>0.9*28.97/32</f>
        <v>0.81478125000000001</v>
      </c>
      <c r="Z219">
        <v>68.349999999999994</v>
      </c>
    </row>
    <row r="220" spans="1:27" x14ac:dyDescent="0.3">
      <c r="A220">
        <v>3.1</v>
      </c>
      <c r="C220">
        <f>C221-20</f>
        <v>503</v>
      </c>
      <c r="D220">
        <v>4</v>
      </c>
      <c r="E220" s="2" t="s">
        <v>333</v>
      </c>
      <c r="G220">
        <v>1.24</v>
      </c>
      <c r="H220" s="1" t="s">
        <v>67</v>
      </c>
      <c r="I220">
        <v>44.3</v>
      </c>
      <c r="L220">
        <f>(36.3+22.3)/2</f>
        <v>29.299999999999997</v>
      </c>
      <c r="M220">
        <v>9.6999999999999993</v>
      </c>
      <c r="N220" s="9" t="s">
        <v>124</v>
      </c>
      <c r="O220">
        <v>0.43969999999999998</v>
      </c>
      <c r="P220" s="9" t="s">
        <v>179</v>
      </c>
      <c r="Q220">
        <v>0.1812</v>
      </c>
      <c r="T220" s="1" t="s">
        <v>129</v>
      </c>
      <c r="U220">
        <f>1-O220-Q220</f>
        <v>0.37909999999999999</v>
      </c>
      <c r="V220">
        <v>6.2</v>
      </c>
      <c r="X220">
        <f>362.8/32</f>
        <v>11.3375</v>
      </c>
      <c r="Z220">
        <v>92.3</v>
      </c>
    </row>
    <row r="221" spans="1:27" x14ac:dyDescent="0.3">
      <c r="A221">
        <v>3</v>
      </c>
      <c r="C221">
        <v>523</v>
      </c>
      <c r="D221">
        <v>3</v>
      </c>
      <c r="E221" t="s">
        <v>323</v>
      </c>
      <c r="G221">
        <v>8.6199999999999992</v>
      </c>
      <c r="H221" s="1" t="s">
        <v>39</v>
      </c>
      <c r="I221">
        <v>138</v>
      </c>
      <c r="J221">
        <v>0.248</v>
      </c>
      <c r="M221">
        <v>48.1</v>
      </c>
      <c r="N221" t="s">
        <v>124</v>
      </c>
      <c r="O221" s="8">
        <f>0.3*(1-U221)</f>
        <v>0.18</v>
      </c>
      <c r="P221" t="s">
        <v>179</v>
      </c>
      <c r="Q221" s="8">
        <f>0.1*(1-U221)</f>
        <v>0.06</v>
      </c>
      <c r="R221" t="s">
        <v>185</v>
      </c>
      <c r="S221" s="8">
        <f>0.6*(1-U221)</f>
        <v>0.36</v>
      </c>
      <c r="T221" s="1" t="s">
        <v>145</v>
      </c>
      <c r="U221">
        <v>0.4</v>
      </c>
      <c r="V221">
        <v>6.16</v>
      </c>
      <c r="X221">
        <v>1.34</v>
      </c>
      <c r="Z221">
        <v>73.400000000000006</v>
      </c>
    </row>
    <row r="222" spans="1:27" x14ac:dyDescent="0.3">
      <c r="A222">
        <v>3</v>
      </c>
      <c r="C222">
        <v>523</v>
      </c>
      <c r="D222">
        <v>3</v>
      </c>
      <c r="E222" t="s">
        <v>323</v>
      </c>
      <c r="G222">
        <v>8.6199999999999992</v>
      </c>
      <c r="H222" s="1" t="s">
        <v>239</v>
      </c>
      <c r="I222">
        <v>128</v>
      </c>
      <c r="J222">
        <v>0.23</v>
      </c>
      <c r="M222">
        <v>48.1</v>
      </c>
      <c r="N222" t="s">
        <v>124</v>
      </c>
      <c r="O222" s="8">
        <f>0.3*(1-U222)</f>
        <v>0.24</v>
      </c>
      <c r="P222" t="s">
        <v>179</v>
      </c>
      <c r="Q222" s="8">
        <f>0.1*(1-U222)</f>
        <v>8.0000000000000016E-2</v>
      </c>
      <c r="R222" t="s">
        <v>185</v>
      </c>
      <c r="S222" s="8">
        <f>0.6*(1-U222)</f>
        <v>0.48</v>
      </c>
      <c r="T222" s="1" t="s">
        <v>145</v>
      </c>
      <c r="U222">
        <v>0.2</v>
      </c>
      <c r="V222">
        <v>6.08</v>
      </c>
      <c r="X222">
        <f>1.2*28.97/32</f>
        <v>1.0863749999999999</v>
      </c>
      <c r="Z222">
        <v>70.400000000000006</v>
      </c>
    </row>
    <row r="223" spans="1:27" x14ac:dyDescent="0.3">
      <c r="A223">
        <v>3</v>
      </c>
      <c r="C223">
        <f>270+273</f>
        <v>543</v>
      </c>
      <c r="D223">
        <v>3</v>
      </c>
      <c r="E223" s="2" t="s">
        <v>327</v>
      </c>
      <c r="F223">
        <v>3000</v>
      </c>
      <c r="H223" s="1"/>
      <c r="I223" s="2">
        <v>10</v>
      </c>
      <c r="J223">
        <v>8.4000000000000005E-2</v>
      </c>
      <c r="L223">
        <v>39</v>
      </c>
      <c r="M223">
        <v>3.7</v>
      </c>
      <c r="N223" s="9" t="s">
        <v>124</v>
      </c>
      <c r="O223">
        <v>0.14199999999999999</v>
      </c>
      <c r="P223" s="9" t="s">
        <v>162</v>
      </c>
      <c r="Q223">
        <v>4.2000000000000003E-2</v>
      </c>
      <c r="T223" s="1" t="s">
        <v>136</v>
      </c>
      <c r="U223">
        <f>1-O223-Q223</f>
        <v>0.81599999999999995</v>
      </c>
      <c r="V223">
        <v>6.01</v>
      </c>
      <c r="X223">
        <f>1443/1000</f>
        <v>1.4430000000000001</v>
      </c>
      <c r="Z223">
        <v>28.2</v>
      </c>
    </row>
    <row r="224" spans="1:27" x14ac:dyDescent="0.3">
      <c r="A224">
        <v>3.1</v>
      </c>
      <c r="C224">
        <f>C225-20</f>
        <v>493</v>
      </c>
      <c r="D224">
        <v>4</v>
      </c>
      <c r="E224" s="2" t="s">
        <v>323</v>
      </c>
      <c r="G224">
        <v>1.24</v>
      </c>
      <c r="H224" s="1" t="s">
        <v>68</v>
      </c>
      <c r="I224">
        <v>69.7</v>
      </c>
      <c r="L224">
        <f>(25.2+20.9)/2</f>
        <v>23.049999999999997</v>
      </c>
      <c r="M224">
        <v>14.3</v>
      </c>
      <c r="N224" s="9" t="s">
        <v>124</v>
      </c>
      <c r="O224">
        <v>0.43969999999999998</v>
      </c>
      <c r="P224" s="9" t="s">
        <v>179</v>
      </c>
      <c r="Q224">
        <v>0.1812</v>
      </c>
      <c r="T224" s="1" t="s">
        <v>129</v>
      </c>
      <c r="U224">
        <f>1-O224-Q224</f>
        <v>0.37909999999999999</v>
      </c>
      <c r="V224">
        <v>6</v>
      </c>
      <c r="X224">
        <f>316.1/32</f>
        <v>9.8781250000000007</v>
      </c>
      <c r="Z224">
        <v>83.1</v>
      </c>
    </row>
    <row r="225" spans="1:27" x14ac:dyDescent="0.3">
      <c r="A225">
        <v>3.1</v>
      </c>
      <c r="C225">
        <v>513</v>
      </c>
      <c r="D225">
        <v>2</v>
      </c>
      <c r="E225" s="2" t="s">
        <v>323</v>
      </c>
      <c r="G225">
        <v>1.24</v>
      </c>
      <c r="H225" s="1" t="s">
        <v>68</v>
      </c>
      <c r="I225">
        <v>69.7</v>
      </c>
      <c r="L225">
        <f>(25.2+20.9)/2</f>
        <v>23.049999999999997</v>
      </c>
      <c r="M225">
        <v>14.3</v>
      </c>
      <c r="N225" s="9" t="s">
        <v>124</v>
      </c>
      <c r="O225">
        <v>0.43969999999999998</v>
      </c>
      <c r="P225" s="9" t="s">
        <v>179</v>
      </c>
      <c r="Q225">
        <v>0.1812</v>
      </c>
      <c r="T225" s="1" t="s">
        <v>129</v>
      </c>
      <c r="U225">
        <f>1-O225-Q225</f>
        <v>0.37909999999999999</v>
      </c>
      <c r="V225">
        <v>5.8</v>
      </c>
      <c r="X225">
        <f>199.3/32</f>
        <v>6.2281250000000004</v>
      </c>
      <c r="Z225">
        <v>54.2</v>
      </c>
    </row>
    <row r="226" spans="1:27" x14ac:dyDescent="0.3">
      <c r="A226">
        <v>3</v>
      </c>
      <c r="C226">
        <v>523</v>
      </c>
      <c r="D226">
        <v>3</v>
      </c>
      <c r="E226" t="s">
        <v>331</v>
      </c>
      <c r="G226">
        <v>3.73</v>
      </c>
      <c r="H226" s="1" t="s">
        <v>92</v>
      </c>
      <c r="I226">
        <v>17</v>
      </c>
      <c r="L226">
        <v>14</v>
      </c>
      <c r="N226" s="9" t="s">
        <v>176</v>
      </c>
      <c r="O226">
        <v>2.6700000000000002E-2</v>
      </c>
      <c r="T226" s="1" t="s">
        <v>136</v>
      </c>
      <c r="U226">
        <f>1-O226</f>
        <v>0.97330000000000005</v>
      </c>
      <c r="V226">
        <v>5.8</v>
      </c>
      <c r="X226">
        <v>2.4900000000000002</v>
      </c>
      <c r="Z226">
        <v>69.7</v>
      </c>
    </row>
    <row r="227" spans="1:27" x14ac:dyDescent="0.3">
      <c r="A227">
        <v>3</v>
      </c>
      <c r="C227">
        <v>453</v>
      </c>
      <c r="D227">
        <v>4</v>
      </c>
      <c r="E227" t="s">
        <v>327</v>
      </c>
      <c r="G227">
        <v>0.19</v>
      </c>
      <c r="H227" s="1" t="s">
        <v>29</v>
      </c>
      <c r="I227">
        <v>218</v>
      </c>
      <c r="J227">
        <v>0.46</v>
      </c>
      <c r="K227">
        <v>7.46</v>
      </c>
      <c r="L227">
        <v>7.74</v>
      </c>
      <c r="M227">
        <v>26.7</v>
      </c>
      <c r="N227" t="s">
        <v>124</v>
      </c>
      <c r="O227">
        <v>0.38800000000000001</v>
      </c>
      <c r="P227" t="s">
        <v>179</v>
      </c>
      <c r="Q227">
        <v>0.1</v>
      </c>
      <c r="R227" t="s">
        <v>146</v>
      </c>
      <c r="S227">
        <v>2.5999999999999999E-2</v>
      </c>
      <c r="T227" s="1" t="s">
        <v>127</v>
      </c>
      <c r="U227">
        <f>(1-O227-Q227-S227)</f>
        <v>0.48599999999999999</v>
      </c>
      <c r="V227">
        <v>5.7</v>
      </c>
      <c r="X227">
        <v>69.8</v>
      </c>
      <c r="Z227">
        <v>99.1</v>
      </c>
    </row>
    <row r="228" spans="1:27" x14ac:dyDescent="0.3">
      <c r="A228">
        <v>3</v>
      </c>
      <c r="C228">
        <v>503</v>
      </c>
      <c r="D228">
        <v>3</v>
      </c>
      <c r="E228" s="2" t="s">
        <v>327</v>
      </c>
      <c r="F228">
        <v>2400</v>
      </c>
      <c r="G228">
        <v>9.3000000000000007</v>
      </c>
      <c r="H228" s="1" t="s">
        <v>87</v>
      </c>
      <c r="I228">
        <v>6.13</v>
      </c>
      <c r="J228">
        <v>0.02</v>
      </c>
      <c r="K228">
        <v>3.17</v>
      </c>
      <c r="M228">
        <v>0.74</v>
      </c>
      <c r="N228" s="9" t="s">
        <v>176</v>
      </c>
      <c r="O228">
        <v>0.05</v>
      </c>
      <c r="P228" t="s">
        <v>179</v>
      </c>
      <c r="Q228">
        <v>0.05</v>
      </c>
      <c r="T228" s="1" t="s">
        <v>129</v>
      </c>
      <c r="U228">
        <v>0.9</v>
      </c>
      <c r="V228">
        <v>5.7</v>
      </c>
      <c r="X228">
        <v>1.53</v>
      </c>
      <c r="Z228">
        <v>100</v>
      </c>
    </row>
    <row r="229" spans="1:27" x14ac:dyDescent="0.3">
      <c r="A229">
        <v>3</v>
      </c>
      <c r="C229">
        <v>513</v>
      </c>
      <c r="D229">
        <v>3</v>
      </c>
      <c r="E229" t="s">
        <v>327</v>
      </c>
      <c r="G229">
        <v>3.11</v>
      </c>
      <c r="H229" s="1" t="s">
        <v>27</v>
      </c>
      <c r="I229">
        <v>124</v>
      </c>
      <c r="J229">
        <v>0.24</v>
      </c>
      <c r="M229">
        <v>1.5</v>
      </c>
      <c r="N229" t="s">
        <v>124</v>
      </c>
      <c r="O229">
        <v>0.1024</v>
      </c>
      <c r="T229" s="1" t="s">
        <v>125</v>
      </c>
      <c r="U229">
        <v>0.9</v>
      </c>
      <c r="V229">
        <v>5.6</v>
      </c>
      <c r="X229">
        <v>1.88</v>
      </c>
      <c r="Z229">
        <v>41.7</v>
      </c>
      <c r="AA229">
        <v>5.8</v>
      </c>
    </row>
    <row r="230" spans="1:27" x14ac:dyDescent="0.3">
      <c r="A230">
        <v>3</v>
      </c>
      <c r="C230">
        <f>C229+20</f>
        <v>533</v>
      </c>
      <c r="D230">
        <v>3</v>
      </c>
      <c r="E230" t="s">
        <v>323</v>
      </c>
      <c r="G230">
        <v>1.87</v>
      </c>
      <c r="I230">
        <v>470.3</v>
      </c>
      <c r="J230">
        <v>0.57999999999999996</v>
      </c>
      <c r="K230">
        <v>5.3</v>
      </c>
      <c r="L230">
        <v>3.8</v>
      </c>
      <c r="M230">
        <v>76.400000000000006</v>
      </c>
      <c r="N230" t="s">
        <v>124</v>
      </c>
      <c r="O230">
        <v>8.1000000000000003E-2</v>
      </c>
      <c r="R230" t="s">
        <v>132</v>
      </c>
      <c r="S230">
        <v>4.2000000000000003E-2</v>
      </c>
      <c r="T230" s="1" t="s">
        <v>127</v>
      </c>
      <c r="U230">
        <f>1-O230-S230</f>
        <v>0.877</v>
      </c>
      <c r="V230">
        <v>5.5</v>
      </c>
      <c r="X230">
        <f>181.3/32</f>
        <v>5.6656250000000004</v>
      </c>
      <c r="Z230">
        <v>80.400000000000006</v>
      </c>
    </row>
    <row r="231" spans="1:27" x14ac:dyDescent="0.3">
      <c r="A231">
        <v>3</v>
      </c>
      <c r="C231">
        <v>523</v>
      </c>
      <c r="D231">
        <v>2.5</v>
      </c>
      <c r="E231" t="s">
        <v>323</v>
      </c>
      <c r="G231">
        <v>1.24</v>
      </c>
      <c r="H231" t="s">
        <v>197</v>
      </c>
      <c r="L231">
        <v>26.4</v>
      </c>
      <c r="N231" t="s">
        <v>124</v>
      </c>
      <c r="O231">
        <v>0.47399999999999998</v>
      </c>
      <c r="T231" s="1" t="s">
        <v>129</v>
      </c>
      <c r="U231">
        <v>0.52600000000000002</v>
      </c>
      <c r="V231">
        <v>5.5</v>
      </c>
      <c r="X231">
        <v>2.38</v>
      </c>
      <c r="Z231">
        <v>32</v>
      </c>
    </row>
    <row r="232" spans="1:27" x14ac:dyDescent="0.3">
      <c r="A232">
        <v>3</v>
      </c>
      <c r="C232">
        <v>523</v>
      </c>
      <c r="D232">
        <v>3</v>
      </c>
      <c r="E232" t="s">
        <v>323</v>
      </c>
      <c r="G232">
        <v>8.6199999999999992</v>
      </c>
      <c r="H232" s="1" t="s">
        <v>240</v>
      </c>
      <c r="I232">
        <v>150</v>
      </c>
      <c r="J232">
        <v>0.255</v>
      </c>
      <c r="M232">
        <v>48.1</v>
      </c>
      <c r="N232" t="s">
        <v>124</v>
      </c>
      <c r="O232" s="8">
        <f>0.3*(1-U232)</f>
        <v>0.12</v>
      </c>
      <c r="P232" t="s">
        <v>179</v>
      </c>
      <c r="Q232" s="8">
        <f>0.1*(1-U232)</f>
        <v>4.0000000000000008E-2</v>
      </c>
      <c r="R232" t="s">
        <v>185</v>
      </c>
      <c r="S232" s="8">
        <f>0.6*(1-U232)</f>
        <v>0.24</v>
      </c>
      <c r="T232" s="1" t="s">
        <v>145</v>
      </c>
      <c r="U232">
        <v>0.6</v>
      </c>
      <c r="V232">
        <v>5.4</v>
      </c>
      <c r="X232">
        <f>1.9*28.97/32</f>
        <v>1.7200937499999998</v>
      </c>
      <c r="Z232">
        <v>72.2</v>
      </c>
    </row>
    <row r="233" spans="1:27" x14ac:dyDescent="0.3">
      <c r="A233">
        <v>3</v>
      </c>
      <c r="C233">
        <v>573</v>
      </c>
      <c r="D233">
        <v>2</v>
      </c>
      <c r="E233" t="s">
        <v>323</v>
      </c>
      <c r="F233">
        <v>24000</v>
      </c>
      <c r="H233" s="1" t="s">
        <v>102</v>
      </c>
      <c r="I233">
        <v>52</v>
      </c>
      <c r="N233" t="s">
        <v>183</v>
      </c>
      <c r="O233">
        <v>0.13800000000000001</v>
      </c>
      <c r="T233" s="1" t="s">
        <v>129</v>
      </c>
      <c r="U233">
        <v>0.86199999999999999</v>
      </c>
      <c r="V233">
        <v>5.4</v>
      </c>
      <c r="Z233">
        <v>80</v>
      </c>
    </row>
    <row r="234" spans="1:27" x14ac:dyDescent="0.3">
      <c r="A234">
        <v>3</v>
      </c>
      <c r="C234">
        <v>523</v>
      </c>
      <c r="D234">
        <v>3</v>
      </c>
      <c r="E234" t="s">
        <v>323</v>
      </c>
      <c r="G234">
        <v>5.6</v>
      </c>
      <c r="H234" s="1" t="s">
        <v>42</v>
      </c>
      <c r="I234">
        <v>130.4</v>
      </c>
      <c r="K234">
        <v>11.6</v>
      </c>
      <c r="M234">
        <v>48.2</v>
      </c>
      <c r="N234" t="s">
        <v>124</v>
      </c>
      <c r="O234">
        <v>0.17699999999999999</v>
      </c>
      <c r="P234" t="s">
        <v>179</v>
      </c>
      <c r="Q234">
        <v>0.109</v>
      </c>
      <c r="R234" t="s">
        <v>128</v>
      </c>
      <c r="S234">
        <v>6.6000000000000003E-2</v>
      </c>
      <c r="T234" s="1" t="s">
        <v>145</v>
      </c>
      <c r="U234">
        <f>0.14+0.17</f>
        <v>0.31000000000000005</v>
      </c>
      <c r="V234">
        <v>5.3</v>
      </c>
      <c r="X234">
        <v>2.02</v>
      </c>
      <c r="Z234">
        <v>83</v>
      </c>
    </row>
    <row r="235" spans="1:27" x14ac:dyDescent="0.3">
      <c r="A235">
        <v>3.1</v>
      </c>
      <c r="C235">
        <f>C236-20</f>
        <v>503</v>
      </c>
      <c r="D235">
        <v>3</v>
      </c>
      <c r="E235" s="2" t="s">
        <v>333</v>
      </c>
      <c r="G235">
        <v>1.24</v>
      </c>
      <c r="H235" s="1" t="s">
        <v>67</v>
      </c>
      <c r="I235">
        <v>44.3</v>
      </c>
      <c r="L235">
        <f>(36.3+22.3)/2</f>
        <v>29.299999999999997</v>
      </c>
      <c r="M235">
        <v>9.6999999999999993</v>
      </c>
      <c r="N235" s="9" t="s">
        <v>124</v>
      </c>
      <c r="O235">
        <v>0.43969999999999998</v>
      </c>
      <c r="P235" s="9" t="s">
        <v>179</v>
      </c>
      <c r="Q235">
        <v>0.1812</v>
      </c>
      <c r="T235" s="1" t="s">
        <v>129</v>
      </c>
      <c r="U235">
        <f>1-O235-Q235</f>
        <v>0.37909999999999999</v>
      </c>
      <c r="V235">
        <v>5.0999999999999996</v>
      </c>
      <c r="X235">
        <f>293.3/32</f>
        <v>9.1656250000000004</v>
      </c>
      <c r="Z235">
        <v>90.7</v>
      </c>
    </row>
    <row r="236" spans="1:27" x14ac:dyDescent="0.3">
      <c r="A236" s="2">
        <v>3</v>
      </c>
      <c r="B236" s="2"/>
      <c r="C236" s="2">
        <v>523</v>
      </c>
      <c r="D236" s="2">
        <v>3</v>
      </c>
      <c r="E236" s="2" t="s">
        <v>323</v>
      </c>
      <c r="F236" s="2">
        <v>2000</v>
      </c>
      <c r="G236" s="2"/>
      <c r="H236" s="2" t="s">
        <v>49</v>
      </c>
      <c r="I236" s="2">
        <v>136</v>
      </c>
      <c r="J236" s="2">
        <v>0.26300000000000001</v>
      </c>
      <c r="K236" s="2"/>
      <c r="L236" s="2"/>
      <c r="M236" s="2">
        <v>29.9</v>
      </c>
      <c r="N236" s="9" t="s">
        <v>124</v>
      </c>
      <c r="O236" s="2">
        <v>0.122</v>
      </c>
      <c r="P236" s="9" t="s">
        <v>179</v>
      </c>
      <c r="Q236" s="2">
        <v>9.6000000000000002E-2</v>
      </c>
      <c r="R236" s="9" t="s">
        <v>128</v>
      </c>
      <c r="S236" s="2">
        <v>5.7000000000000002E-2</v>
      </c>
      <c r="T236" s="4" t="s">
        <v>301</v>
      </c>
      <c r="U236" s="2">
        <f>0.15+0.212</f>
        <v>0.36199999999999999</v>
      </c>
      <c r="V236" s="2">
        <v>4.9000000000000004</v>
      </c>
      <c r="W236" s="2"/>
      <c r="X236" s="2">
        <v>1.1399999999999999</v>
      </c>
      <c r="Y236" s="2"/>
      <c r="Z236" s="2">
        <v>78.3</v>
      </c>
      <c r="AA236" s="2"/>
    </row>
    <row r="237" spans="1:27" x14ac:dyDescent="0.3">
      <c r="A237">
        <v>3</v>
      </c>
      <c r="C237">
        <v>573</v>
      </c>
      <c r="D237">
        <v>2</v>
      </c>
      <c r="E237" t="s">
        <v>323</v>
      </c>
      <c r="G237">
        <v>0.93</v>
      </c>
      <c r="H237" s="1" t="s">
        <v>101</v>
      </c>
      <c r="I237">
        <v>44.3</v>
      </c>
      <c r="N237" t="s">
        <v>179</v>
      </c>
      <c r="O237">
        <v>9.6500000000000002E-2</v>
      </c>
      <c r="T237" s="1" t="s">
        <v>129</v>
      </c>
      <c r="U237">
        <f>1-O237</f>
        <v>0.90349999999999997</v>
      </c>
      <c r="V237">
        <v>4.9000000000000004</v>
      </c>
      <c r="X237">
        <v>7.75</v>
      </c>
      <c r="Z237">
        <v>90.1</v>
      </c>
    </row>
    <row r="238" spans="1:27" x14ac:dyDescent="0.3">
      <c r="A238">
        <v>3</v>
      </c>
      <c r="C238">
        <f>350+273</f>
        <v>623</v>
      </c>
      <c r="D238">
        <v>4</v>
      </c>
      <c r="E238" t="s">
        <v>337</v>
      </c>
      <c r="G238">
        <v>1.04</v>
      </c>
      <c r="H238" t="s">
        <v>107</v>
      </c>
      <c r="L238">
        <v>11.8</v>
      </c>
      <c r="M238">
        <v>36.799999999999997</v>
      </c>
      <c r="N238" t="s">
        <v>187</v>
      </c>
      <c r="O238" s="8">
        <v>0.1</v>
      </c>
      <c r="Q238" s="1"/>
      <c r="S238" s="1"/>
      <c r="T238" s="1" t="s">
        <v>125</v>
      </c>
      <c r="U238" s="8">
        <v>0.9</v>
      </c>
      <c r="V238">
        <v>4.9000000000000004</v>
      </c>
      <c r="X238">
        <f>190/32</f>
        <v>5.9375</v>
      </c>
      <c r="Z238">
        <v>58.9</v>
      </c>
    </row>
    <row r="239" spans="1:27" x14ac:dyDescent="0.3">
      <c r="A239">
        <v>3</v>
      </c>
      <c r="C239">
        <v>513</v>
      </c>
      <c r="D239">
        <v>3</v>
      </c>
      <c r="E239" s="2" t="s">
        <v>323</v>
      </c>
      <c r="F239">
        <v>3600</v>
      </c>
      <c r="H239" s="1" t="s">
        <v>56</v>
      </c>
      <c r="I239" s="2">
        <v>25</v>
      </c>
      <c r="J239">
        <v>0.113</v>
      </c>
      <c r="K239">
        <v>8.1999999999999993</v>
      </c>
      <c r="L239">
        <v>19.8</v>
      </c>
      <c r="M239">
        <v>2.96</v>
      </c>
      <c r="N239" s="9" t="s">
        <v>124</v>
      </c>
      <c r="O239">
        <v>0.29699999999999999</v>
      </c>
      <c r="P239" s="9" t="s">
        <v>179</v>
      </c>
      <c r="Q239">
        <v>0.13</v>
      </c>
      <c r="R239" t="s">
        <v>161</v>
      </c>
      <c r="S239">
        <v>5.0000000000000001E-3</v>
      </c>
      <c r="T239" s="1" t="s">
        <v>129</v>
      </c>
      <c r="U239">
        <v>0.29199999999999998</v>
      </c>
      <c r="V239">
        <v>4.8</v>
      </c>
      <c r="Z239">
        <v>73.400000000000006</v>
      </c>
    </row>
    <row r="240" spans="1:27" x14ac:dyDescent="0.3">
      <c r="A240">
        <v>3.1</v>
      </c>
      <c r="C240">
        <f>C241-20</f>
        <v>503</v>
      </c>
      <c r="D240">
        <v>3</v>
      </c>
      <c r="E240" s="2" t="s">
        <v>323</v>
      </c>
      <c r="G240">
        <v>1.24</v>
      </c>
      <c r="H240" s="1" t="s">
        <v>68</v>
      </c>
      <c r="I240">
        <v>69.7</v>
      </c>
      <c r="L240">
        <f>(25.2+20.9)/2</f>
        <v>23.049999999999997</v>
      </c>
      <c r="M240">
        <v>14.3</v>
      </c>
      <c r="N240" s="9" t="s">
        <v>124</v>
      </c>
      <c r="O240">
        <v>0.43969999999999998</v>
      </c>
      <c r="P240" s="9" t="s">
        <v>179</v>
      </c>
      <c r="Q240">
        <v>0.1812</v>
      </c>
      <c r="T240" s="1" t="s">
        <v>129</v>
      </c>
      <c r="U240">
        <f>1-O240-Q240</f>
        <v>0.37909999999999999</v>
      </c>
      <c r="V240">
        <v>4.7</v>
      </c>
      <c r="X240">
        <f>237.8/32</f>
        <v>7.4312500000000004</v>
      </c>
      <c r="Z240">
        <v>79.8</v>
      </c>
    </row>
    <row r="241" spans="1:26" x14ac:dyDescent="0.3">
      <c r="A241">
        <v>3</v>
      </c>
      <c r="C241">
        <v>523</v>
      </c>
      <c r="D241">
        <v>2.5</v>
      </c>
      <c r="E241" t="s">
        <v>323</v>
      </c>
      <c r="G241">
        <v>5.6</v>
      </c>
      <c r="H241" t="s">
        <v>42</v>
      </c>
      <c r="I241">
        <v>130.4</v>
      </c>
      <c r="K241">
        <v>11.6</v>
      </c>
      <c r="M241">
        <v>48.2</v>
      </c>
      <c r="N241" t="s">
        <v>124</v>
      </c>
      <c r="O241">
        <v>0.17699999999999999</v>
      </c>
      <c r="P241" t="s">
        <v>179</v>
      </c>
      <c r="Q241">
        <v>0.109</v>
      </c>
      <c r="R241" t="s">
        <v>128</v>
      </c>
      <c r="S241">
        <v>6.6000000000000003E-2</v>
      </c>
      <c r="T241" s="1" t="s">
        <v>145</v>
      </c>
      <c r="U241">
        <f>0.14+0.17</f>
        <v>0.31000000000000005</v>
      </c>
      <c r="V241">
        <v>4.5999999999999996</v>
      </c>
      <c r="X241">
        <v>1.63</v>
      </c>
      <c r="Z241">
        <v>78</v>
      </c>
    </row>
    <row r="242" spans="1:26" x14ac:dyDescent="0.3">
      <c r="A242">
        <v>3.1</v>
      </c>
      <c r="C242">
        <f>C243-20</f>
        <v>533</v>
      </c>
      <c r="D242">
        <v>2</v>
      </c>
      <c r="E242" s="2" t="s">
        <v>333</v>
      </c>
      <c r="G242">
        <v>1.24</v>
      </c>
      <c r="H242" s="1" t="s">
        <v>67</v>
      </c>
      <c r="I242">
        <v>44.3</v>
      </c>
      <c r="L242">
        <f>(36.3+22.3)/2</f>
        <v>29.299999999999997</v>
      </c>
      <c r="M242">
        <v>9.6999999999999993</v>
      </c>
      <c r="N242" s="9" t="s">
        <v>124</v>
      </c>
      <c r="O242">
        <v>0.43969999999999998</v>
      </c>
      <c r="P242" s="9" t="s">
        <v>179</v>
      </c>
      <c r="Q242">
        <v>0.1812</v>
      </c>
      <c r="T242" s="1" t="s">
        <v>129</v>
      </c>
      <c r="U242">
        <f>1-O242-Q242</f>
        <v>0.37909999999999999</v>
      </c>
      <c r="V242">
        <v>4.5</v>
      </c>
      <c r="X242">
        <f>209.4/32</f>
        <v>6.5437500000000002</v>
      </c>
      <c r="Z242">
        <v>73.400000000000006</v>
      </c>
    </row>
    <row r="243" spans="1:26" x14ac:dyDescent="0.3">
      <c r="A243">
        <v>3</v>
      </c>
      <c r="C243">
        <f>280+273</f>
        <v>553</v>
      </c>
      <c r="D243">
        <v>3</v>
      </c>
      <c r="E243" t="s">
        <v>323</v>
      </c>
      <c r="G243">
        <v>1.87</v>
      </c>
      <c r="I243">
        <v>324.7</v>
      </c>
      <c r="J243">
        <v>0.49</v>
      </c>
      <c r="K243">
        <v>4.8</v>
      </c>
      <c r="L243">
        <v>15.2</v>
      </c>
      <c r="M243">
        <v>38.200000000000003</v>
      </c>
      <c r="N243" t="s">
        <v>124</v>
      </c>
      <c r="O243">
        <v>8.4000000000000005E-2</v>
      </c>
      <c r="T243" s="1" t="s">
        <v>127</v>
      </c>
      <c r="U243">
        <f>1-O243</f>
        <v>0.91600000000000004</v>
      </c>
      <c r="V243">
        <v>4.4000000000000004</v>
      </c>
      <c r="X243">
        <f>21.2/32</f>
        <v>0.66249999999999998</v>
      </c>
      <c r="Z243">
        <v>11.6</v>
      </c>
    </row>
    <row r="244" spans="1:26" x14ac:dyDescent="0.3">
      <c r="A244">
        <v>3</v>
      </c>
      <c r="C244">
        <f>325+273</f>
        <v>598</v>
      </c>
      <c r="D244">
        <v>4</v>
      </c>
      <c r="E244" t="s">
        <v>337</v>
      </c>
      <c r="G244">
        <v>1.04</v>
      </c>
      <c r="H244" t="s">
        <v>107</v>
      </c>
      <c r="L244">
        <v>11.8</v>
      </c>
      <c r="M244">
        <v>36.799999999999997</v>
      </c>
      <c r="N244" t="s">
        <v>187</v>
      </c>
      <c r="O244" s="8">
        <v>0.1</v>
      </c>
      <c r="Q244" s="1"/>
      <c r="S244" s="1"/>
      <c r="T244" s="1" t="s">
        <v>125</v>
      </c>
      <c r="U244" s="8">
        <v>0.9</v>
      </c>
      <c r="V244">
        <v>4.4000000000000004</v>
      </c>
      <c r="X244">
        <f>200/32</f>
        <v>6.25</v>
      </c>
      <c r="Z244">
        <v>67.599999999999994</v>
      </c>
    </row>
    <row r="245" spans="1:26" x14ac:dyDescent="0.3">
      <c r="A245">
        <v>3</v>
      </c>
      <c r="C245">
        <f>220+273</f>
        <v>493</v>
      </c>
      <c r="D245">
        <v>3</v>
      </c>
      <c r="E245" t="s">
        <v>331</v>
      </c>
      <c r="F245">
        <v>3600</v>
      </c>
      <c r="H245" s="1" t="s">
        <v>226</v>
      </c>
      <c r="I245">
        <v>161</v>
      </c>
      <c r="J245">
        <v>0.41</v>
      </c>
      <c r="K245">
        <v>2.2000000000000002</v>
      </c>
      <c r="L245">
        <v>18.8</v>
      </c>
      <c r="N245" t="s">
        <v>124</v>
      </c>
      <c r="O245">
        <v>0.123</v>
      </c>
      <c r="P245" t="s">
        <v>128</v>
      </c>
      <c r="Q245">
        <v>0.35099999999999998</v>
      </c>
      <c r="T245" s="1" t="s">
        <v>143</v>
      </c>
      <c r="U245">
        <f>(1-O245-Q245-S245)</f>
        <v>0.52600000000000002</v>
      </c>
      <c r="V245">
        <v>4.3</v>
      </c>
      <c r="X245">
        <f>33.4/32</f>
        <v>1.04375</v>
      </c>
      <c r="Z245">
        <v>65.5</v>
      </c>
    </row>
    <row r="246" spans="1:26" x14ac:dyDescent="0.3">
      <c r="A246">
        <v>3</v>
      </c>
      <c r="C246">
        <v>553</v>
      </c>
      <c r="D246">
        <v>3</v>
      </c>
      <c r="E246" t="s">
        <v>337</v>
      </c>
      <c r="G246">
        <v>2.99</v>
      </c>
      <c r="H246" t="s">
        <v>115</v>
      </c>
      <c r="I246">
        <v>206.6</v>
      </c>
      <c r="J246">
        <v>0.28499999999999998</v>
      </c>
      <c r="K246">
        <v>5.5</v>
      </c>
      <c r="N246" t="s">
        <v>187</v>
      </c>
      <c r="O246">
        <v>6.6000000000000003E-2</v>
      </c>
      <c r="T246" s="1" t="s">
        <v>127</v>
      </c>
      <c r="U246">
        <f>1-O246-Q246</f>
        <v>0.93399999999999994</v>
      </c>
      <c r="V246">
        <v>4.3</v>
      </c>
      <c r="X246">
        <v>2.56</v>
      </c>
      <c r="Z246">
        <v>89</v>
      </c>
    </row>
    <row r="247" spans="1:26" x14ac:dyDescent="0.3">
      <c r="A247">
        <v>3</v>
      </c>
      <c r="C247">
        <v>503</v>
      </c>
      <c r="D247">
        <v>1</v>
      </c>
      <c r="E247" t="s">
        <v>327</v>
      </c>
      <c r="G247">
        <v>2.68</v>
      </c>
      <c r="H247" s="1" t="s">
        <v>22</v>
      </c>
      <c r="I247" s="1"/>
      <c r="J247" s="1"/>
      <c r="K247" s="1"/>
      <c r="N247" t="s">
        <v>124</v>
      </c>
      <c r="O247">
        <v>0.1</v>
      </c>
      <c r="T247" s="1" t="s">
        <v>129</v>
      </c>
      <c r="U247">
        <v>0.9</v>
      </c>
      <c r="V247">
        <v>4.2</v>
      </c>
      <c r="X247">
        <v>1.24</v>
      </c>
      <c r="Z247">
        <v>39</v>
      </c>
    </row>
    <row r="248" spans="1:26" x14ac:dyDescent="0.3">
      <c r="A248">
        <v>3</v>
      </c>
      <c r="C248">
        <f>220+273</f>
        <v>493</v>
      </c>
      <c r="D248">
        <v>3</v>
      </c>
      <c r="E248" t="s">
        <v>331</v>
      </c>
      <c r="F248">
        <v>3600</v>
      </c>
      <c r="H248" s="1" t="s">
        <v>225</v>
      </c>
      <c r="I248">
        <v>156</v>
      </c>
      <c r="J248">
        <v>0.33</v>
      </c>
      <c r="K248">
        <v>2.6</v>
      </c>
      <c r="L248">
        <v>21.1</v>
      </c>
      <c r="N248" t="s">
        <v>124</v>
      </c>
      <c r="O248">
        <v>0.128</v>
      </c>
      <c r="P248" t="s">
        <v>128</v>
      </c>
      <c r="Q248">
        <v>0.35799999999999998</v>
      </c>
      <c r="T248" s="1" t="s">
        <v>143</v>
      </c>
      <c r="U248">
        <f>(1-O248-Q248-S248)</f>
        <v>0.51400000000000001</v>
      </c>
      <c r="V248">
        <v>4.0999999999999996</v>
      </c>
      <c r="X248">
        <f>28.9/32</f>
        <v>0.90312499999999996</v>
      </c>
      <c r="Z248">
        <v>58.5</v>
      </c>
    </row>
    <row r="249" spans="1:26" x14ac:dyDescent="0.3">
      <c r="A249">
        <v>3</v>
      </c>
      <c r="C249">
        <v>523</v>
      </c>
      <c r="D249">
        <v>0.5</v>
      </c>
      <c r="E249" t="s">
        <v>323</v>
      </c>
      <c r="G249">
        <v>5.6</v>
      </c>
      <c r="H249" t="s">
        <v>42</v>
      </c>
      <c r="I249">
        <v>130.4</v>
      </c>
      <c r="K249">
        <v>11.6</v>
      </c>
      <c r="M249">
        <v>48.2</v>
      </c>
      <c r="N249" t="s">
        <v>124</v>
      </c>
      <c r="O249">
        <v>0.17699999999999999</v>
      </c>
      <c r="P249" t="s">
        <v>179</v>
      </c>
      <c r="Q249">
        <v>0.109</v>
      </c>
      <c r="R249" t="s">
        <v>128</v>
      </c>
      <c r="S249">
        <v>6.6000000000000003E-2</v>
      </c>
      <c r="T249" s="1" t="s">
        <v>145</v>
      </c>
      <c r="U249">
        <f>0.14+0.17</f>
        <v>0.31000000000000005</v>
      </c>
      <c r="V249">
        <v>4.0999999999999996</v>
      </c>
      <c r="X249">
        <v>1.31</v>
      </c>
      <c r="Z249">
        <v>72</v>
      </c>
    </row>
    <row r="250" spans="1:26" x14ac:dyDescent="0.3">
      <c r="A250">
        <v>3</v>
      </c>
      <c r="C250">
        <v>543</v>
      </c>
      <c r="D250">
        <v>5</v>
      </c>
      <c r="E250" t="s">
        <v>327</v>
      </c>
      <c r="G250">
        <v>3.73</v>
      </c>
      <c r="I250">
        <v>745</v>
      </c>
      <c r="J250">
        <v>0.438</v>
      </c>
      <c r="K250">
        <v>2.5</v>
      </c>
      <c r="L250">
        <v>30.5</v>
      </c>
      <c r="M250">
        <v>3.92</v>
      </c>
      <c r="N250" t="s">
        <v>124</v>
      </c>
      <c r="O250">
        <v>0.1206</v>
      </c>
      <c r="T250" s="1" t="s">
        <v>127</v>
      </c>
      <c r="U250">
        <f>(1-O250-Q250-S250)</f>
        <v>0.87939999999999996</v>
      </c>
      <c r="V250">
        <v>4</v>
      </c>
      <c r="X250">
        <f>13.1/32</f>
        <v>0.40937499999999999</v>
      </c>
      <c r="Z250">
        <v>15.6</v>
      </c>
    </row>
    <row r="251" spans="1:26" x14ac:dyDescent="0.3">
      <c r="A251">
        <v>3</v>
      </c>
      <c r="C251">
        <v>543</v>
      </c>
      <c r="D251">
        <v>1</v>
      </c>
      <c r="E251" t="s">
        <v>327</v>
      </c>
      <c r="G251">
        <v>2.68</v>
      </c>
      <c r="H251" s="1" t="s">
        <v>40</v>
      </c>
      <c r="I251">
        <v>226</v>
      </c>
      <c r="N251" t="s">
        <v>124</v>
      </c>
      <c r="O251">
        <v>0.09</v>
      </c>
      <c r="T251" s="1" t="s">
        <v>129</v>
      </c>
      <c r="U251">
        <v>0.91</v>
      </c>
      <c r="V251">
        <v>4</v>
      </c>
      <c r="X251">
        <v>1.8</v>
      </c>
      <c r="Z251">
        <v>59</v>
      </c>
    </row>
    <row r="252" spans="1:26" x14ac:dyDescent="0.3">
      <c r="A252">
        <v>3</v>
      </c>
      <c r="C252">
        <v>543</v>
      </c>
      <c r="D252">
        <v>1</v>
      </c>
      <c r="E252" t="s">
        <v>327</v>
      </c>
      <c r="G252">
        <v>2.68</v>
      </c>
      <c r="H252" s="1" t="s">
        <v>231</v>
      </c>
      <c r="I252">
        <v>96</v>
      </c>
      <c r="N252" t="s">
        <v>124</v>
      </c>
      <c r="O252">
        <v>0.09</v>
      </c>
      <c r="T252" s="1" t="s">
        <v>129</v>
      </c>
      <c r="U252">
        <v>0.91</v>
      </c>
      <c r="V252">
        <v>4</v>
      </c>
      <c r="X252">
        <v>1.3</v>
      </c>
      <c r="Z252">
        <v>48</v>
      </c>
    </row>
    <row r="253" spans="1:26" x14ac:dyDescent="0.3">
      <c r="A253">
        <v>3</v>
      </c>
      <c r="C253">
        <v>453</v>
      </c>
      <c r="D253">
        <v>4</v>
      </c>
      <c r="E253" t="s">
        <v>329</v>
      </c>
      <c r="G253">
        <v>0.19</v>
      </c>
      <c r="H253" t="s">
        <v>30</v>
      </c>
      <c r="I253">
        <v>147</v>
      </c>
      <c r="J253">
        <v>0.72</v>
      </c>
      <c r="K253">
        <v>17.7</v>
      </c>
      <c r="L253">
        <v>10.1</v>
      </c>
      <c r="M253">
        <v>20.5</v>
      </c>
      <c r="N253" t="s">
        <v>124</v>
      </c>
      <c r="O253">
        <v>0.39</v>
      </c>
      <c r="P253" t="s">
        <v>179</v>
      </c>
      <c r="Q253">
        <v>0.1</v>
      </c>
      <c r="R253" t="s">
        <v>146</v>
      </c>
      <c r="S253">
        <v>2.7E-2</v>
      </c>
      <c r="T253" s="1" t="s">
        <v>127</v>
      </c>
      <c r="U253">
        <f>(1-O253-Q253-S253)</f>
        <v>0.48299999999999998</v>
      </c>
      <c r="V253">
        <v>3.9</v>
      </c>
      <c r="X253">
        <v>47.9</v>
      </c>
      <c r="Z253">
        <v>99.05</v>
      </c>
    </row>
    <row r="254" spans="1:26" x14ac:dyDescent="0.3">
      <c r="A254">
        <v>4</v>
      </c>
      <c r="C254">
        <v>593</v>
      </c>
      <c r="D254">
        <v>3</v>
      </c>
      <c r="E254" s="2" t="s">
        <v>327</v>
      </c>
      <c r="G254">
        <v>1.4</v>
      </c>
      <c r="H254" s="1" t="s">
        <v>283</v>
      </c>
      <c r="I254" s="2">
        <v>335.3963</v>
      </c>
      <c r="J254">
        <v>0.79520000000000002</v>
      </c>
      <c r="K254">
        <v>7.2415000000000003</v>
      </c>
      <c r="M254">
        <v>20.8</v>
      </c>
      <c r="N254" s="9" t="s">
        <v>124</v>
      </c>
      <c r="O254">
        <v>0.107</v>
      </c>
      <c r="T254" s="1" t="s">
        <v>127</v>
      </c>
      <c r="U254">
        <f>1-O254</f>
        <v>0.89300000000000002</v>
      </c>
      <c r="V254">
        <v>3.9</v>
      </c>
    </row>
    <row r="255" spans="1:26" x14ac:dyDescent="0.3">
      <c r="A255">
        <v>3.1</v>
      </c>
      <c r="C255">
        <v>513</v>
      </c>
      <c r="D255">
        <v>1</v>
      </c>
      <c r="E255" s="2" t="s">
        <v>323</v>
      </c>
      <c r="G255">
        <v>1.24</v>
      </c>
      <c r="H255" s="1" t="s">
        <v>68</v>
      </c>
      <c r="I255">
        <v>69.7</v>
      </c>
      <c r="L255">
        <f>(25.2+20.9)/2</f>
        <v>23.049999999999997</v>
      </c>
      <c r="M255">
        <v>14.3</v>
      </c>
      <c r="N255" s="9" t="s">
        <v>124</v>
      </c>
      <c r="O255">
        <v>0.43969999999999998</v>
      </c>
      <c r="P255" s="9" t="s">
        <v>179</v>
      </c>
      <c r="Q255">
        <v>0.1812</v>
      </c>
      <c r="T255" s="1" t="s">
        <v>129</v>
      </c>
      <c r="U255">
        <f>1-O255-Q255</f>
        <v>0.37909999999999999</v>
      </c>
      <c r="V255">
        <v>3.9</v>
      </c>
      <c r="X255">
        <f>125.1/32</f>
        <v>3.9093749999999998</v>
      </c>
      <c r="Z255">
        <v>50.6</v>
      </c>
    </row>
    <row r="256" spans="1:26" x14ac:dyDescent="0.3">
      <c r="A256">
        <v>3.1</v>
      </c>
      <c r="C256">
        <f>C257-20</f>
        <v>523</v>
      </c>
      <c r="D256">
        <v>4</v>
      </c>
      <c r="E256" s="2" t="s">
        <v>323</v>
      </c>
      <c r="G256">
        <v>1.24</v>
      </c>
      <c r="H256" s="1" t="s">
        <v>68</v>
      </c>
      <c r="I256">
        <v>69.7</v>
      </c>
      <c r="L256">
        <f>(25.2+20.9)/2</f>
        <v>23.049999999999997</v>
      </c>
      <c r="M256">
        <v>14.3</v>
      </c>
      <c r="N256" s="9" t="s">
        <v>124</v>
      </c>
      <c r="O256">
        <v>0.43969999999999998</v>
      </c>
      <c r="P256" s="9" t="s">
        <v>179</v>
      </c>
      <c r="Q256">
        <v>0.1812</v>
      </c>
      <c r="T256" s="1" t="s">
        <v>129</v>
      </c>
      <c r="U256">
        <f>1-O256-Q256</f>
        <v>0.37909999999999999</v>
      </c>
      <c r="V256">
        <v>3.9</v>
      </c>
      <c r="X256">
        <f>244.3/32</f>
        <v>7.6343750000000004</v>
      </c>
      <c r="Z256">
        <v>98.3</v>
      </c>
    </row>
    <row r="257" spans="1:26" x14ac:dyDescent="0.3">
      <c r="A257">
        <v>3</v>
      </c>
      <c r="C257">
        <v>543</v>
      </c>
      <c r="D257">
        <v>1</v>
      </c>
      <c r="E257" t="s">
        <v>327</v>
      </c>
      <c r="G257">
        <v>2.68</v>
      </c>
      <c r="H257" s="1" t="s">
        <v>229</v>
      </c>
      <c r="I257">
        <v>105</v>
      </c>
      <c r="N257" t="s">
        <v>124</v>
      </c>
      <c r="O257">
        <v>0.09</v>
      </c>
      <c r="T257" s="1" t="s">
        <v>129</v>
      </c>
      <c r="U257">
        <v>0.91</v>
      </c>
      <c r="V257">
        <v>3.8</v>
      </c>
      <c r="X257">
        <v>1</v>
      </c>
      <c r="Z257">
        <v>37</v>
      </c>
    </row>
    <row r="258" spans="1:26" x14ac:dyDescent="0.3">
      <c r="A258">
        <v>3</v>
      </c>
      <c r="C258">
        <v>533</v>
      </c>
      <c r="D258">
        <v>3</v>
      </c>
      <c r="E258" s="2" t="s">
        <v>327</v>
      </c>
      <c r="F258">
        <v>3000</v>
      </c>
      <c r="H258" s="1"/>
      <c r="I258" s="2">
        <v>10</v>
      </c>
      <c r="J258">
        <v>8.4000000000000005E-2</v>
      </c>
      <c r="L258">
        <v>39</v>
      </c>
      <c r="M258">
        <v>3.7</v>
      </c>
      <c r="N258" s="9" t="s">
        <v>124</v>
      </c>
      <c r="O258">
        <v>0.14199999999999999</v>
      </c>
      <c r="P258" s="9" t="s">
        <v>162</v>
      </c>
      <c r="Q258">
        <v>4.2000000000000003E-2</v>
      </c>
      <c r="T258" s="1" t="s">
        <v>136</v>
      </c>
      <c r="U258">
        <f>1-O258-Q258</f>
        <v>0.81599999999999995</v>
      </c>
      <c r="V258">
        <v>3.75</v>
      </c>
      <c r="X258">
        <v>1.21</v>
      </c>
      <c r="Z258">
        <v>38.1</v>
      </c>
    </row>
    <row r="259" spans="1:26" x14ac:dyDescent="0.3">
      <c r="A259">
        <v>3.1</v>
      </c>
      <c r="C259">
        <v>513</v>
      </c>
      <c r="D259">
        <v>1</v>
      </c>
      <c r="E259" s="2" t="s">
        <v>333</v>
      </c>
      <c r="G259">
        <v>1.24</v>
      </c>
      <c r="H259" s="1" t="s">
        <v>67</v>
      </c>
      <c r="I259">
        <v>44.3</v>
      </c>
      <c r="L259">
        <f>(36.3+22.3)/2</f>
        <v>29.299999999999997</v>
      </c>
      <c r="M259">
        <v>9.6999999999999993</v>
      </c>
      <c r="N259" s="9" t="s">
        <v>124</v>
      </c>
      <c r="O259">
        <v>0.43969999999999998</v>
      </c>
      <c r="P259" s="9" t="s">
        <v>179</v>
      </c>
      <c r="Q259">
        <v>0.1812</v>
      </c>
      <c r="T259" s="1" t="s">
        <v>129</v>
      </c>
      <c r="U259">
        <f>1-O259-Q259</f>
        <v>0.37909999999999999</v>
      </c>
      <c r="V259">
        <v>3.7</v>
      </c>
      <c r="X259">
        <f>132.3/32</f>
        <v>4.1343750000000004</v>
      </c>
      <c r="Z259">
        <v>56.4</v>
      </c>
    </row>
    <row r="260" spans="1:26" x14ac:dyDescent="0.3">
      <c r="A260">
        <v>3.8</v>
      </c>
      <c r="C260">
        <v>473</v>
      </c>
      <c r="D260">
        <v>10</v>
      </c>
      <c r="E260" t="s">
        <v>327</v>
      </c>
      <c r="F260">
        <v>4000</v>
      </c>
      <c r="H260" t="s">
        <v>4</v>
      </c>
      <c r="I260">
        <v>166</v>
      </c>
      <c r="J260">
        <v>0.59</v>
      </c>
      <c r="L260">
        <v>50.5</v>
      </c>
      <c r="M260">
        <v>3.36</v>
      </c>
      <c r="N260" t="s">
        <v>124</v>
      </c>
      <c r="O260">
        <f>0.18*0.95</f>
        <v>0.17099999999999999</v>
      </c>
      <c r="R260" t="s">
        <v>130</v>
      </c>
      <c r="S260">
        <v>0.05</v>
      </c>
      <c r="T260" s="1" t="s">
        <v>125</v>
      </c>
      <c r="U260">
        <f>0.82*0.95</f>
        <v>0.77899999999999991</v>
      </c>
      <c r="V260">
        <v>3.6</v>
      </c>
      <c r="X260">
        <v>0.14000000000000001</v>
      </c>
      <c r="Z260">
        <v>4.2</v>
      </c>
    </row>
    <row r="261" spans="1:26" x14ac:dyDescent="0.3">
      <c r="A261">
        <v>3</v>
      </c>
      <c r="C261">
        <v>523</v>
      </c>
      <c r="D261">
        <v>3</v>
      </c>
      <c r="E261" t="s">
        <v>323</v>
      </c>
      <c r="G261">
        <v>8.6199999999999992</v>
      </c>
      <c r="H261" s="1" t="s">
        <v>241</v>
      </c>
      <c r="I261">
        <v>167</v>
      </c>
      <c r="J261">
        <v>0.27</v>
      </c>
      <c r="M261">
        <v>48.1</v>
      </c>
      <c r="N261" t="s">
        <v>124</v>
      </c>
      <c r="O261" s="8">
        <f>0.3*(1-U261)</f>
        <v>5.9999999999999984E-2</v>
      </c>
      <c r="P261" t="s">
        <v>179</v>
      </c>
      <c r="Q261" s="8">
        <f>0.1*(1-U261)</f>
        <v>1.9999999999999997E-2</v>
      </c>
      <c r="R261" t="s">
        <v>185</v>
      </c>
      <c r="S261" s="8">
        <f>0.6*(1-U261)</f>
        <v>0.11999999999999997</v>
      </c>
      <c r="T261" s="1" t="s">
        <v>145</v>
      </c>
      <c r="U261">
        <v>0.8</v>
      </c>
      <c r="V261">
        <v>3.6</v>
      </c>
      <c r="X261">
        <f>2.65*28.97/32</f>
        <v>2.399078125</v>
      </c>
      <c r="Z261">
        <v>71.3</v>
      </c>
    </row>
    <row r="262" spans="1:26" x14ac:dyDescent="0.3">
      <c r="A262">
        <v>3</v>
      </c>
      <c r="C262">
        <v>523</v>
      </c>
      <c r="D262">
        <v>3</v>
      </c>
      <c r="E262" t="s">
        <v>323</v>
      </c>
      <c r="G262">
        <v>5.6</v>
      </c>
      <c r="H262" s="1" t="s">
        <v>242</v>
      </c>
      <c r="I262">
        <v>35.799999999999997</v>
      </c>
      <c r="K262">
        <v>32.799999999999997</v>
      </c>
      <c r="M262">
        <v>50.8</v>
      </c>
      <c r="N262" t="s">
        <v>124</v>
      </c>
      <c r="O262" s="1">
        <v>0.42499999999999999</v>
      </c>
      <c r="P262" t="s">
        <v>179</v>
      </c>
      <c r="Q262" s="1">
        <v>0.314</v>
      </c>
      <c r="T262" s="1" t="s">
        <v>129</v>
      </c>
      <c r="U262" s="1">
        <v>6.2E-2</v>
      </c>
      <c r="V262">
        <v>3.5</v>
      </c>
      <c r="X262">
        <f>41.2/32</f>
        <v>1.2875000000000001</v>
      </c>
      <c r="Z262">
        <v>76.099999999999994</v>
      </c>
    </row>
    <row r="263" spans="1:26" x14ac:dyDescent="0.3">
      <c r="A263">
        <v>3.1</v>
      </c>
      <c r="C263">
        <f>C264-20</f>
        <v>513</v>
      </c>
      <c r="D263">
        <v>4</v>
      </c>
      <c r="E263" s="2" t="s">
        <v>333</v>
      </c>
      <c r="G263">
        <v>1.24</v>
      </c>
      <c r="H263" s="1" t="s">
        <v>67</v>
      </c>
      <c r="I263">
        <v>44.3</v>
      </c>
      <c r="L263">
        <f>(36.3+22.3)/2</f>
        <v>29.299999999999997</v>
      </c>
      <c r="M263">
        <v>9.6999999999999993</v>
      </c>
      <c r="N263" s="9" t="s">
        <v>124</v>
      </c>
      <c r="O263">
        <v>0.43969999999999998</v>
      </c>
      <c r="P263" s="9" t="s">
        <v>179</v>
      </c>
      <c r="Q263">
        <v>0.1812</v>
      </c>
      <c r="T263" s="1" t="s">
        <v>129</v>
      </c>
      <c r="U263">
        <f>1-O263-Q263</f>
        <v>0.37909999999999999</v>
      </c>
      <c r="V263">
        <v>3.5</v>
      </c>
      <c r="X263">
        <f>217.5/32</f>
        <v>6.796875</v>
      </c>
      <c r="Z263">
        <v>98</v>
      </c>
    </row>
    <row r="264" spans="1:26" x14ac:dyDescent="0.3">
      <c r="A264">
        <v>3</v>
      </c>
      <c r="C264">
        <v>533</v>
      </c>
      <c r="D264">
        <v>5</v>
      </c>
      <c r="E264" t="s">
        <v>327</v>
      </c>
      <c r="G264">
        <v>3.73</v>
      </c>
      <c r="I264">
        <v>745</v>
      </c>
      <c r="J264">
        <v>0.438</v>
      </c>
      <c r="K264">
        <v>2.5</v>
      </c>
      <c r="L264">
        <v>30.5</v>
      </c>
      <c r="M264">
        <v>3.92</v>
      </c>
      <c r="N264" t="s">
        <v>124</v>
      </c>
      <c r="O264">
        <v>0.1206</v>
      </c>
      <c r="T264" s="1" t="s">
        <v>127</v>
      </c>
      <c r="U264">
        <f>(1-O264-Q264-S264)</f>
        <v>0.87939999999999996</v>
      </c>
      <c r="V264">
        <v>3.4</v>
      </c>
      <c r="X264">
        <f>13/32</f>
        <v>0.40625</v>
      </c>
      <c r="Z264">
        <v>18.2</v>
      </c>
    </row>
    <row r="265" spans="1:26" x14ac:dyDescent="0.3">
      <c r="A265">
        <v>3</v>
      </c>
      <c r="C265">
        <v>523</v>
      </c>
      <c r="D265">
        <v>5</v>
      </c>
      <c r="E265" s="2" t="s">
        <v>323</v>
      </c>
      <c r="G265">
        <v>1.24</v>
      </c>
      <c r="H265" s="1" t="s">
        <v>70</v>
      </c>
      <c r="N265" s="9" t="s">
        <v>176</v>
      </c>
      <c r="O265">
        <v>0.1</v>
      </c>
      <c r="T265" s="1" t="s">
        <v>125</v>
      </c>
      <c r="U265">
        <v>0.9</v>
      </c>
      <c r="V265">
        <v>3.4</v>
      </c>
      <c r="X265">
        <v>1.99</v>
      </c>
      <c r="Z265">
        <v>29.9</v>
      </c>
    </row>
    <row r="266" spans="1:26" x14ac:dyDescent="0.3">
      <c r="A266">
        <v>3</v>
      </c>
      <c r="C266">
        <f>C265+20</f>
        <v>543</v>
      </c>
      <c r="D266">
        <v>3</v>
      </c>
      <c r="E266" t="s">
        <v>323</v>
      </c>
      <c r="G266">
        <v>1.87</v>
      </c>
      <c r="I266">
        <v>470.3</v>
      </c>
      <c r="J266">
        <v>0.57999999999999996</v>
      </c>
      <c r="K266">
        <v>5.3</v>
      </c>
      <c r="L266">
        <v>3.8</v>
      </c>
      <c r="M266">
        <v>76.400000000000006</v>
      </c>
      <c r="N266" t="s">
        <v>124</v>
      </c>
      <c r="O266">
        <v>8.1000000000000003E-2</v>
      </c>
      <c r="R266" t="s">
        <v>132</v>
      </c>
      <c r="S266">
        <v>4.2000000000000003E-2</v>
      </c>
      <c r="T266" s="1" t="s">
        <v>127</v>
      </c>
      <c r="U266">
        <f>1-O266-S266</f>
        <v>0.877</v>
      </c>
      <c r="V266">
        <v>3.3</v>
      </c>
      <c r="X266">
        <f>117.2/32</f>
        <v>3.6625000000000001</v>
      </c>
      <c r="Z266">
        <v>86</v>
      </c>
    </row>
    <row r="267" spans="1:26" x14ac:dyDescent="0.3">
      <c r="A267">
        <v>3</v>
      </c>
      <c r="C267">
        <f>260+273</f>
        <v>533</v>
      </c>
      <c r="D267">
        <v>3</v>
      </c>
      <c r="E267" t="s">
        <v>323</v>
      </c>
      <c r="G267">
        <v>1.87</v>
      </c>
      <c r="I267">
        <v>324.7</v>
      </c>
      <c r="J267">
        <v>0.49</v>
      </c>
      <c r="K267">
        <v>4.8</v>
      </c>
      <c r="L267">
        <v>15.2</v>
      </c>
      <c r="M267">
        <v>38.200000000000003</v>
      </c>
      <c r="N267" t="s">
        <v>124</v>
      </c>
      <c r="O267">
        <v>8.4000000000000005E-2</v>
      </c>
      <c r="T267" s="1" t="s">
        <v>127</v>
      </c>
      <c r="U267">
        <f>1-O267</f>
        <v>0.91600000000000004</v>
      </c>
      <c r="V267">
        <v>3.2</v>
      </c>
      <c r="X267">
        <f>28.8/32</f>
        <v>0.9</v>
      </c>
      <c r="Z267">
        <v>22.2</v>
      </c>
    </row>
    <row r="268" spans="1:26" x14ac:dyDescent="0.3">
      <c r="A268">
        <v>4</v>
      </c>
      <c r="C268">
        <v>583</v>
      </c>
      <c r="D268">
        <v>3</v>
      </c>
      <c r="E268" s="2" t="s">
        <v>327</v>
      </c>
      <c r="G268">
        <v>1.4</v>
      </c>
      <c r="H268" s="1" t="s">
        <v>283</v>
      </c>
      <c r="I268" s="2">
        <v>335.3963</v>
      </c>
      <c r="J268">
        <v>0.79520000000000002</v>
      </c>
      <c r="K268">
        <v>7.2415000000000003</v>
      </c>
      <c r="M268">
        <v>20.8</v>
      </c>
      <c r="N268" s="9" t="s">
        <v>124</v>
      </c>
      <c r="O268">
        <v>0.107</v>
      </c>
      <c r="T268" s="1" t="s">
        <v>127</v>
      </c>
      <c r="U268">
        <f>1-O268</f>
        <v>0.89300000000000002</v>
      </c>
      <c r="V268">
        <v>3.2</v>
      </c>
    </row>
    <row r="269" spans="1:26" x14ac:dyDescent="0.3">
      <c r="A269">
        <v>3</v>
      </c>
      <c r="C269">
        <v>513</v>
      </c>
      <c r="D269">
        <v>3</v>
      </c>
      <c r="E269" s="3" t="s">
        <v>163</v>
      </c>
      <c r="F269">
        <v>3600</v>
      </c>
      <c r="H269" s="1" t="s">
        <v>166</v>
      </c>
      <c r="I269" s="2">
        <v>17.3</v>
      </c>
      <c r="L269">
        <v>27.2</v>
      </c>
      <c r="M269">
        <v>10.8</v>
      </c>
      <c r="N269" s="9" t="s">
        <v>124</v>
      </c>
      <c r="O269">
        <v>0.65100000000000002</v>
      </c>
      <c r="P269" s="9" t="s">
        <v>179</v>
      </c>
      <c r="Q269">
        <v>0.27900000000000003</v>
      </c>
      <c r="T269" s="1" t="s">
        <v>125</v>
      </c>
      <c r="U269">
        <v>6.9000000000000006E-2</v>
      </c>
      <c r="V269">
        <v>3.2</v>
      </c>
      <c r="X269">
        <v>0.69</v>
      </c>
      <c r="Z269">
        <v>53.9</v>
      </c>
    </row>
    <row r="270" spans="1:26" x14ac:dyDescent="0.3">
      <c r="A270">
        <v>3</v>
      </c>
      <c r="C270">
        <v>523</v>
      </c>
      <c r="D270">
        <v>2</v>
      </c>
      <c r="E270" s="2" t="s">
        <v>327</v>
      </c>
      <c r="G270">
        <v>6.22</v>
      </c>
      <c r="H270" s="1" t="s">
        <v>85</v>
      </c>
      <c r="L270">
        <v>11.3</v>
      </c>
      <c r="N270" s="9" t="s">
        <v>176</v>
      </c>
      <c r="O270">
        <v>0.01</v>
      </c>
      <c r="T270" s="1" t="s">
        <v>136</v>
      </c>
      <c r="U270">
        <f>1-O270</f>
        <v>0.99</v>
      </c>
      <c r="V270">
        <v>3.2</v>
      </c>
      <c r="X270">
        <v>0.27</v>
      </c>
      <c r="Z270">
        <v>22</v>
      </c>
    </row>
    <row r="271" spans="1:26" x14ac:dyDescent="0.3">
      <c r="A271">
        <v>3.1</v>
      </c>
      <c r="C271">
        <f>C272-20</f>
        <v>458</v>
      </c>
      <c r="D271">
        <v>2</v>
      </c>
      <c r="E271" s="2" t="s">
        <v>323</v>
      </c>
      <c r="G271">
        <v>1.24</v>
      </c>
      <c r="H271" s="1" t="s">
        <v>68</v>
      </c>
      <c r="I271">
        <v>69.7</v>
      </c>
      <c r="L271">
        <f>(25.2+20.9)/2</f>
        <v>23.049999999999997</v>
      </c>
      <c r="M271">
        <v>14.3</v>
      </c>
      <c r="N271" s="9" t="s">
        <v>124</v>
      </c>
      <c r="O271">
        <v>0.43969999999999998</v>
      </c>
      <c r="P271" s="9" t="s">
        <v>179</v>
      </c>
      <c r="Q271">
        <v>0.1812</v>
      </c>
      <c r="T271" s="1" t="s">
        <v>129</v>
      </c>
      <c r="U271">
        <f>1-O271-Q271</f>
        <v>0.37909999999999999</v>
      </c>
      <c r="V271">
        <v>3.1</v>
      </c>
      <c r="X271">
        <f>125.4/32</f>
        <v>3.9187500000000002</v>
      </c>
      <c r="Z271">
        <v>63.8</v>
      </c>
    </row>
    <row r="272" spans="1:26" x14ac:dyDescent="0.3">
      <c r="A272">
        <v>3.1</v>
      </c>
      <c r="C272">
        <f>C273-20</f>
        <v>478</v>
      </c>
      <c r="D272">
        <v>3</v>
      </c>
      <c r="E272" s="2" t="s">
        <v>323</v>
      </c>
      <c r="G272">
        <v>1.24</v>
      </c>
      <c r="H272" s="1" t="s">
        <v>68</v>
      </c>
      <c r="I272">
        <v>69.7</v>
      </c>
      <c r="L272">
        <f>(25.2+20.9)/2</f>
        <v>23.049999999999997</v>
      </c>
      <c r="M272">
        <v>14.3</v>
      </c>
      <c r="N272" s="9" t="s">
        <v>124</v>
      </c>
      <c r="O272">
        <v>0.43969999999999998</v>
      </c>
      <c r="P272" s="9" t="s">
        <v>179</v>
      </c>
      <c r="Q272">
        <v>0.1812</v>
      </c>
      <c r="T272" s="1" t="s">
        <v>129</v>
      </c>
      <c r="U272">
        <f>1-O272-Q272</f>
        <v>0.37909999999999999</v>
      </c>
      <c r="V272">
        <v>3.1</v>
      </c>
      <c r="X272">
        <f>188.3/32</f>
        <v>5.8843750000000004</v>
      </c>
      <c r="Z272">
        <v>96.4</v>
      </c>
    </row>
    <row r="273" spans="1:27" x14ac:dyDescent="0.3">
      <c r="A273">
        <v>4</v>
      </c>
      <c r="C273">
        <v>498</v>
      </c>
      <c r="D273">
        <v>5</v>
      </c>
      <c r="E273" t="s">
        <v>190</v>
      </c>
      <c r="G273">
        <v>1.1000000000000001</v>
      </c>
      <c r="H273" t="s">
        <v>108</v>
      </c>
      <c r="L273">
        <v>3.6</v>
      </c>
      <c r="N273" t="s">
        <v>176</v>
      </c>
      <c r="O273">
        <v>9.1000000000000004E-3</v>
      </c>
      <c r="T273" s="1" t="s">
        <v>104</v>
      </c>
      <c r="U273">
        <f>1-O273</f>
        <v>0.9909</v>
      </c>
      <c r="V273">
        <v>3</v>
      </c>
      <c r="X273">
        <v>6.01</v>
      </c>
      <c r="Z273">
        <v>95</v>
      </c>
    </row>
    <row r="274" spans="1:27" x14ac:dyDescent="0.3">
      <c r="A274">
        <v>4</v>
      </c>
      <c r="C274">
        <v>553</v>
      </c>
      <c r="D274">
        <v>5</v>
      </c>
      <c r="E274" t="s">
        <v>323</v>
      </c>
      <c r="G274">
        <v>0.47</v>
      </c>
      <c r="H274" s="1" t="s">
        <v>195</v>
      </c>
      <c r="I274">
        <v>100</v>
      </c>
      <c r="J274">
        <v>0.3</v>
      </c>
      <c r="N274" t="s">
        <v>176</v>
      </c>
      <c r="O274">
        <v>0.01</v>
      </c>
      <c r="T274" s="1" t="s">
        <v>104</v>
      </c>
      <c r="U274">
        <v>0.99</v>
      </c>
      <c r="V274">
        <v>3</v>
      </c>
      <c r="X274">
        <v>31.56</v>
      </c>
      <c r="Z274">
        <v>78</v>
      </c>
    </row>
    <row r="275" spans="1:27" x14ac:dyDescent="0.3">
      <c r="A275">
        <v>4</v>
      </c>
      <c r="C275">
        <v>553</v>
      </c>
      <c r="D275">
        <v>5</v>
      </c>
      <c r="E275" t="s">
        <v>323</v>
      </c>
      <c r="G275">
        <v>0.93</v>
      </c>
      <c r="H275" s="1" t="s">
        <v>204</v>
      </c>
      <c r="I275">
        <v>100</v>
      </c>
      <c r="J275">
        <v>0.3</v>
      </c>
      <c r="N275" t="s">
        <v>176</v>
      </c>
      <c r="O275">
        <v>0.01</v>
      </c>
      <c r="T275" s="1" t="s">
        <v>104</v>
      </c>
      <c r="U275">
        <v>0.99</v>
      </c>
      <c r="V275">
        <v>3</v>
      </c>
      <c r="X275">
        <v>19.059999999999999</v>
      </c>
      <c r="Z275">
        <v>75</v>
      </c>
    </row>
    <row r="276" spans="1:27" x14ac:dyDescent="0.3">
      <c r="A276">
        <v>3.8</v>
      </c>
      <c r="C276">
        <v>473</v>
      </c>
      <c r="D276">
        <v>10</v>
      </c>
      <c r="E276" t="s">
        <v>327</v>
      </c>
      <c r="F276">
        <v>4000</v>
      </c>
      <c r="H276" t="s">
        <v>5</v>
      </c>
      <c r="I276">
        <v>181</v>
      </c>
      <c r="J276">
        <v>0.6</v>
      </c>
      <c r="L276">
        <v>50.5</v>
      </c>
      <c r="M276">
        <v>0.74</v>
      </c>
      <c r="N276" t="s">
        <v>124</v>
      </c>
      <c r="O276">
        <f>0.18*0.95</f>
        <v>0.17099999999999999</v>
      </c>
      <c r="R276" t="s">
        <v>131</v>
      </c>
      <c r="S276">
        <v>0.05</v>
      </c>
      <c r="T276" s="1" t="s">
        <v>125</v>
      </c>
      <c r="U276">
        <f>0.82*0.95</f>
        <v>0.77899999999999991</v>
      </c>
      <c r="V276">
        <v>2.8</v>
      </c>
      <c r="X276">
        <v>1.62</v>
      </c>
      <c r="Z276">
        <v>62.2</v>
      </c>
    </row>
    <row r="277" spans="1:27" x14ac:dyDescent="0.3">
      <c r="A277">
        <v>3.1</v>
      </c>
      <c r="C277">
        <f ca="1">C278-20</f>
        <v>473</v>
      </c>
      <c r="D277">
        <v>2</v>
      </c>
      <c r="E277" s="2" t="s">
        <v>333</v>
      </c>
      <c r="G277">
        <v>1.24</v>
      </c>
      <c r="H277" s="1" t="s">
        <v>67</v>
      </c>
      <c r="I277">
        <v>44.3</v>
      </c>
      <c r="L277">
        <f>(36.3+22.3)/2</f>
        <v>29.299999999999997</v>
      </c>
      <c r="M277">
        <v>9.6999999999999993</v>
      </c>
      <c r="N277" s="9" t="s">
        <v>124</v>
      </c>
      <c r="O277">
        <v>0.43969999999999998</v>
      </c>
      <c r="P277" s="9" t="s">
        <v>179</v>
      </c>
      <c r="Q277">
        <v>0.1812</v>
      </c>
      <c r="T277" s="1" t="s">
        <v>129</v>
      </c>
      <c r="U277">
        <f>1-O277-Q277</f>
        <v>0.37909999999999999</v>
      </c>
      <c r="V277">
        <v>2.8</v>
      </c>
      <c r="X277">
        <f>148.8/32</f>
        <v>4.6500000000000004</v>
      </c>
      <c r="Z277">
        <v>83.8</v>
      </c>
    </row>
    <row r="278" spans="1:27" x14ac:dyDescent="0.3">
      <c r="A278">
        <v>4</v>
      </c>
      <c r="C278">
        <f ca="1">C277+20</f>
        <v>573</v>
      </c>
      <c r="D278">
        <v>3</v>
      </c>
      <c r="E278" s="2" t="s">
        <v>327</v>
      </c>
      <c r="G278">
        <v>1.4</v>
      </c>
      <c r="H278" s="1" t="s">
        <v>283</v>
      </c>
      <c r="I278" s="2">
        <v>335.3963</v>
      </c>
      <c r="J278">
        <v>0.79520000000000002</v>
      </c>
      <c r="K278">
        <v>7.2415000000000003</v>
      </c>
      <c r="M278">
        <v>20.8</v>
      </c>
      <c r="N278" s="9" t="s">
        <v>124</v>
      </c>
      <c r="O278">
        <v>0.107</v>
      </c>
      <c r="T278" s="1" t="s">
        <v>127</v>
      </c>
      <c r="U278">
        <f>1-O278</f>
        <v>0.89300000000000002</v>
      </c>
      <c r="V278">
        <v>2.7</v>
      </c>
    </row>
    <row r="279" spans="1:27" x14ac:dyDescent="0.3">
      <c r="A279">
        <v>3</v>
      </c>
      <c r="C279">
        <f>300+273</f>
        <v>573</v>
      </c>
      <c r="D279">
        <v>4</v>
      </c>
      <c r="E279" t="s">
        <v>337</v>
      </c>
      <c r="G279">
        <v>1.04</v>
      </c>
      <c r="H279" t="s">
        <v>107</v>
      </c>
      <c r="L279">
        <v>11.8</v>
      </c>
      <c r="M279">
        <v>36.799999999999997</v>
      </c>
      <c r="N279" t="s">
        <v>187</v>
      </c>
      <c r="O279" s="8">
        <v>0.1</v>
      </c>
      <c r="Q279" s="1"/>
      <c r="S279" s="1"/>
      <c r="T279" s="1" t="s">
        <v>125</v>
      </c>
      <c r="U279" s="8">
        <v>0.9</v>
      </c>
      <c r="V279" s="1">
        <v>2.7</v>
      </c>
      <c r="W279" s="1"/>
      <c r="X279" s="1">
        <f>150/32</f>
        <v>4.6875</v>
      </c>
      <c r="Y279" s="1"/>
      <c r="Z279" s="1">
        <v>83.3</v>
      </c>
      <c r="AA279" s="1"/>
    </row>
    <row r="280" spans="1:27" x14ac:dyDescent="0.3">
      <c r="A280">
        <v>3</v>
      </c>
      <c r="C280">
        <v>523</v>
      </c>
      <c r="D280">
        <v>3</v>
      </c>
      <c r="E280" s="2" t="s">
        <v>327</v>
      </c>
      <c r="F280">
        <v>3000</v>
      </c>
      <c r="H280" s="1" t="s">
        <v>59</v>
      </c>
      <c r="I280" s="2">
        <v>10</v>
      </c>
      <c r="J280">
        <v>8.4000000000000005E-2</v>
      </c>
      <c r="L280">
        <v>39</v>
      </c>
      <c r="M280">
        <v>3.7</v>
      </c>
      <c r="N280" s="9" t="s">
        <v>124</v>
      </c>
      <c r="O280">
        <v>0.14199999999999999</v>
      </c>
      <c r="P280" s="9" t="s">
        <v>162</v>
      </c>
      <c r="Q280">
        <v>4.2000000000000003E-2</v>
      </c>
      <c r="T280" s="1" t="s">
        <v>136</v>
      </c>
      <c r="U280">
        <f>1-O280-Q280</f>
        <v>0.81599999999999995</v>
      </c>
      <c r="V280">
        <v>2.61</v>
      </c>
      <c r="X280">
        <v>0.83</v>
      </c>
      <c r="Z280">
        <v>37.799999999999997</v>
      </c>
    </row>
    <row r="281" spans="1:27" x14ac:dyDescent="0.3">
      <c r="A281">
        <v>3</v>
      </c>
      <c r="C281">
        <v>463</v>
      </c>
      <c r="D281">
        <v>5</v>
      </c>
      <c r="E281" t="s">
        <v>323</v>
      </c>
      <c r="F281">
        <v>4000</v>
      </c>
      <c r="H281" s="1" t="s">
        <v>232</v>
      </c>
      <c r="I281">
        <v>28</v>
      </c>
      <c r="L281">
        <v>28</v>
      </c>
      <c r="M281">
        <v>10.1</v>
      </c>
      <c r="N281" t="s">
        <v>124</v>
      </c>
      <c r="O281">
        <v>0.64800000000000002</v>
      </c>
      <c r="P281" t="s">
        <v>179</v>
      </c>
      <c r="Q281">
        <v>0.246</v>
      </c>
      <c r="R281" t="s">
        <v>185</v>
      </c>
      <c r="S281">
        <v>8.5000000000000006E-2</v>
      </c>
      <c r="T281" s="1" t="s">
        <v>129</v>
      </c>
      <c r="U281">
        <v>2.0500000000000001E-2</v>
      </c>
      <c r="V281">
        <v>2.6</v>
      </c>
      <c r="X281">
        <f>11/32</f>
        <v>0.34375</v>
      </c>
      <c r="Z281">
        <v>49.5</v>
      </c>
    </row>
    <row r="282" spans="1:27" x14ac:dyDescent="0.3">
      <c r="A282">
        <v>3.1</v>
      </c>
      <c r="C282">
        <f>C283-20</f>
        <v>513</v>
      </c>
      <c r="D282">
        <v>1</v>
      </c>
      <c r="E282" s="2" t="s">
        <v>333</v>
      </c>
      <c r="G282">
        <v>1.24</v>
      </c>
      <c r="H282" s="1" t="s">
        <v>67</v>
      </c>
      <c r="I282">
        <v>44.3</v>
      </c>
      <c r="L282">
        <f>(36.3+22.3)/2</f>
        <v>29.299999999999997</v>
      </c>
      <c r="M282">
        <v>9.6999999999999993</v>
      </c>
      <c r="N282" s="9" t="s">
        <v>124</v>
      </c>
      <c r="O282">
        <v>0.43969999999999998</v>
      </c>
      <c r="P282" s="9" t="s">
        <v>179</v>
      </c>
      <c r="Q282">
        <v>0.1812</v>
      </c>
      <c r="T282" s="1" t="s">
        <v>129</v>
      </c>
      <c r="U282">
        <f>1-O282-Q282</f>
        <v>0.37909999999999999</v>
      </c>
      <c r="V282">
        <v>2.6</v>
      </c>
      <c r="X282">
        <f>115.4/32</f>
        <v>3.6062500000000002</v>
      </c>
      <c r="Z282">
        <v>70</v>
      </c>
    </row>
    <row r="283" spans="1:27" x14ac:dyDescent="0.3">
      <c r="A283">
        <v>3.1</v>
      </c>
      <c r="C283">
        <f>C284-20</f>
        <v>533</v>
      </c>
      <c r="D283">
        <v>3</v>
      </c>
      <c r="E283" s="2" t="s">
        <v>333</v>
      </c>
      <c r="G283">
        <v>1.24</v>
      </c>
      <c r="H283" s="1" t="s">
        <v>67</v>
      </c>
      <c r="I283">
        <v>44.3</v>
      </c>
      <c r="L283">
        <f>(36.3+22.3)/2</f>
        <v>29.299999999999997</v>
      </c>
      <c r="M283">
        <v>9.6999999999999993</v>
      </c>
      <c r="N283" s="9" t="s">
        <v>124</v>
      </c>
      <c r="O283">
        <v>0.43969999999999998</v>
      </c>
      <c r="P283" s="9" t="s">
        <v>179</v>
      </c>
      <c r="Q283">
        <v>0.1812</v>
      </c>
      <c r="T283" s="1" t="s">
        <v>129</v>
      </c>
      <c r="U283">
        <f>1-O283-Q283</f>
        <v>0.37909999999999999</v>
      </c>
      <c r="V283">
        <v>2.6</v>
      </c>
      <c r="X283">
        <f>160.4/32</f>
        <v>5.0125000000000002</v>
      </c>
      <c r="Z283">
        <v>97.1</v>
      </c>
    </row>
    <row r="284" spans="1:27" x14ac:dyDescent="0.3">
      <c r="A284">
        <v>4</v>
      </c>
      <c r="C284">
        <v>553</v>
      </c>
      <c r="D284">
        <v>5</v>
      </c>
      <c r="E284" t="s">
        <v>329</v>
      </c>
      <c r="F284">
        <v>24000</v>
      </c>
      <c r="H284" s="1"/>
      <c r="I284">
        <v>26.4</v>
      </c>
      <c r="J284">
        <v>0.182</v>
      </c>
      <c r="L284">
        <v>23.8</v>
      </c>
      <c r="N284" t="s">
        <v>187</v>
      </c>
      <c r="O284">
        <v>2.5000000000000001E-2</v>
      </c>
      <c r="T284" s="1" t="s">
        <v>129</v>
      </c>
      <c r="U284">
        <f>1-O284</f>
        <v>0.97499999999999998</v>
      </c>
      <c r="V284" s="1">
        <v>2.5</v>
      </c>
      <c r="W284" s="1"/>
      <c r="X284" s="1">
        <f>87/32</f>
        <v>2.71875</v>
      </c>
      <c r="Y284" s="1"/>
      <c r="Z284" s="1">
        <v>60</v>
      </c>
      <c r="AA284" s="1"/>
    </row>
    <row r="285" spans="1:27" x14ac:dyDescent="0.3">
      <c r="A285">
        <v>3.8</v>
      </c>
      <c r="C285">
        <v>473</v>
      </c>
      <c r="D285">
        <v>10</v>
      </c>
      <c r="E285" t="s">
        <v>327</v>
      </c>
      <c r="F285">
        <v>4000</v>
      </c>
      <c r="H285" t="s">
        <v>3</v>
      </c>
      <c r="I285">
        <v>184</v>
      </c>
      <c r="J285">
        <v>0.65</v>
      </c>
      <c r="L285">
        <v>50.5</v>
      </c>
      <c r="M285">
        <v>2.25</v>
      </c>
      <c r="N285" t="s">
        <v>124</v>
      </c>
      <c r="O285">
        <v>0.18</v>
      </c>
      <c r="Q285" s="1"/>
      <c r="T285" s="1" t="s">
        <v>125</v>
      </c>
      <c r="U285">
        <v>0.82</v>
      </c>
      <c r="V285">
        <v>2.4</v>
      </c>
      <c r="X285">
        <v>1.05</v>
      </c>
      <c r="Z285">
        <v>46.2</v>
      </c>
    </row>
    <row r="286" spans="1:27" x14ac:dyDescent="0.3">
      <c r="A286">
        <v>3</v>
      </c>
      <c r="C286">
        <v>543</v>
      </c>
      <c r="D286">
        <v>1</v>
      </c>
      <c r="E286" t="s">
        <v>327</v>
      </c>
      <c r="G286">
        <v>2.68</v>
      </c>
      <c r="H286" s="1" t="s">
        <v>230</v>
      </c>
      <c r="I286">
        <v>221</v>
      </c>
      <c r="N286" t="s">
        <v>124</v>
      </c>
      <c r="O286">
        <v>0.09</v>
      </c>
      <c r="T286" s="1" t="s">
        <v>129</v>
      </c>
      <c r="U286">
        <v>0.91</v>
      </c>
      <c r="V286">
        <v>2.4</v>
      </c>
      <c r="X286">
        <v>1.1000000000000001</v>
      </c>
      <c r="Z286">
        <v>63</v>
      </c>
    </row>
    <row r="287" spans="1:27" x14ac:dyDescent="0.3">
      <c r="A287">
        <v>3</v>
      </c>
      <c r="C287">
        <v>573</v>
      </c>
      <c r="D287">
        <v>2</v>
      </c>
      <c r="E287" t="s">
        <v>323</v>
      </c>
      <c r="F287">
        <v>24000</v>
      </c>
      <c r="H287" s="1" t="s">
        <v>103</v>
      </c>
      <c r="I287">
        <v>53</v>
      </c>
      <c r="N287" t="s">
        <v>162</v>
      </c>
      <c r="O287">
        <v>9.0300000000000005E-2</v>
      </c>
      <c r="T287" s="1" t="s">
        <v>129</v>
      </c>
      <c r="U287">
        <f>1-O287</f>
        <v>0.90969999999999995</v>
      </c>
      <c r="V287">
        <v>2.4</v>
      </c>
      <c r="Z287">
        <v>75</v>
      </c>
    </row>
    <row r="288" spans="1:27" x14ac:dyDescent="0.3">
      <c r="A288">
        <v>3.1</v>
      </c>
      <c r="C288">
        <f>C289-20</f>
        <v>463</v>
      </c>
      <c r="D288">
        <v>1</v>
      </c>
      <c r="E288" s="2" t="s">
        <v>323</v>
      </c>
      <c r="G288">
        <v>1.24</v>
      </c>
      <c r="H288" s="1" t="s">
        <v>68</v>
      </c>
      <c r="I288">
        <v>69.7</v>
      </c>
      <c r="L288">
        <f>(25.2+20.9)/2</f>
        <v>23.049999999999997</v>
      </c>
      <c r="M288">
        <v>14.3</v>
      </c>
      <c r="N288" s="9" t="s">
        <v>124</v>
      </c>
      <c r="O288">
        <v>0.43969999999999998</v>
      </c>
      <c r="P288" s="9" t="s">
        <v>179</v>
      </c>
      <c r="Q288">
        <v>0.1812</v>
      </c>
      <c r="T288" s="1" t="s">
        <v>129</v>
      </c>
      <c r="U288">
        <f>1-O288-Q288</f>
        <v>0.37909999999999999</v>
      </c>
      <c r="V288">
        <v>2.2999999999999998</v>
      </c>
      <c r="X288">
        <f>92.3/32</f>
        <v>2.8843749999999999</v>
      </c>
      <c r="Z288">
        <v>63.3</v>
      </c>
    </row>
    <row r="289" spans="1:27" x14ac:dyDescent="0.3">
      <c r="A289">
        <v>3</v>
      </c>
      <c r="C289">
        <v>483</v>
      </c>
      <c r="D289">
        <v>0.1</v>
      </c>
      <c r="E289" t="s">
        <v>327</v>
      </c>
      <c r="G289">
        <v>7.47</v>
      </c>
      <c r="H289" t="s">
        <v>209</v>
      </c>
      <c r="L289">
        <v>9.3000000000000007</v>
      </c>
      <c r="M289">
        <v>17.5</v>
      </c>
      <c r="N289" t="s">
        <v>137</v>
      </c>
      <c r="O289">
        <v>4.2999999999999997E-2</v>
      </c>
      <c r="P289" t="s">
        <v>162</v>
      </c>
      <c r="Q289">
        <v>0.03</v>
      </c>
      <c r="R289" t="s">
        <v>299</v>
      </c>
      <c r="S289">
        <v>8.9999999999999993E-3</v>
      </c>
      <c r="T289" s="1" t="s">
        <v>125</v>
      </c>
      <c r="U289">
        <f>1-O289-Q289-S289</f>
        <v>0.91799999999999993</v>
      </c>
      <c r="V289">
        <v>2.2999999999999998</v>
      </c>
      <c r="X289">
        <v>0.62</v>
      </c>
      <c r="Z289">
        <v>86.7</v>
      </c>
    </row>
    <row r="290" spans="1:27" x14ac:dyDescent="0.3">
      <c r="A290">
        <v>3.1</v>
      </c>
      <c r="C290">
        <f>C291-20</f>
        <v>533</v>
      </c>
      <c r="D290">
        <v>2</v>
      </c>
      <c r="E290" s="2" t="s">
        <v>323</v>
      </c>
      <c r="G290">
        <v>1.24</v>
      </c>
      <c r="H290" s="1" t="s">
        <v>68</v>
      </c>
      <c r="I290">
        <v>69.7</v>
      </c>
      <c r="L290">
        <f>(25.2+20.9)/2</f>
        <v>23.049999999999997</v>
      </c>
      <c r="M290">
        <v>14.3</v>
      </c>
      <c r="N290" s="9" t="s">
        <v>124</v>
      </c>
      <c r="O290">
        <v>0.43969999999999998</v>
      </c>
      <c r="P290" s="9" t="s">
        <v>179</v>
      </c>
      <c r="Q290">
        <v>0.1812</v>
      </c>
      <c r="T290" s="1" t="s">
        <v>129</v>
      </c>
      <c r="U290">
        <f>1-O290-Q290</f>
        <v>0.37909999999999999</v>
      </c>
      <c r="V290">
        <v>2.2000000000000002</v>
      </c>
      <c r="X290">
        <f>108.9/32</f>
        <v>3.4031250000000002</v>
      </c>
      <c r="Z290">
        <v>78.099999999999994</v>
      </c>
    </row>
    <row r="291" spans="1:27" x14ac:dyDescent="0.3">
      <c r="A291">
        <v>4</v>
      </c>
      <c r="C291">
        <v>553</v>
      </c>
      <c r="D291">
        <v>5</v>
      </c>
      <c r="E291" t="s">
        <v>329</v>
      </c>
      <c r="F291">
        <v>24000</v>
      </c>
      <c r="H291" s="1"/>
      <c r="I291">
        <v>23.7</v>
      </c>
      <c r="J291">
        <v>0.14199999999999999</v>
      </c>
      <c r="N291" t="s">
        <v>187</v>
      </c>
      <c r="O291">
        <v>1</v>
      </c>
      <c r="V291" s="1">
        <v>2.2000000000000002</v>
      </c>
      <c r="W291" s="1"/>
      <c r="X291" s="1">
        <f>171/32</f>
        <v>5.34375</v>
      </c>
      <c r="Y291" s="1"/>
      <c r="Z291" s="1">
        <v>60.7</v>
      </c>
      <c r="AA291" s="1"/>
    </row>
    <row r="292" spans="1:27" x14ac:dyDescent="0.3">
      <c r="A292">
        <v>3</v>
      </c>
      <c r="C292">
        <v>483</v>
      </c>
      <c r="D292">
        <v>0.1</v>
      </c>
      <c r="E292" t="s">
        <v>327</v>
      </c>
      <c r="G292">
        <v>7.47</v>
      </c>
      <c r="H292" t="s">
        <v>210</v>
      </c>
      <c r="L292">
        <v>9.1</v>
      </c>
      <c r="M292">
        <v>18.899999999999999</v>
      </c>
      <c r="N292" t="s">
        <v>137</v>
      </c>
      <c r="O292">
        <v>4.2000000000000003E-2</v>
      </c>
      <c r="P292" t="s">
        <v>162</v>
      </c>
      <c r="Q292">
        <v>2.9000000000000001E-2</v>
      </c>
      <c r="R292" t="s">
        <v>299</v>
      </c>
      <c r="S292">
        <v>2.7E-2</v>
      </c>
      <c r="T292" s="1" t="s">
        <v>125</v>
      </c>
      <c r="U292">
        <f>1-O292-Q292-S292</f>
        <v>0.90199999999999991</v>
      </c>
      <c r="V292">
        <v>2.2000000000000002</v>
      </c>
      <c r="X292">
        <f>17.4/32</f>
        <v>0.54374999999999996</v>
      </c>
      <c r="Z292">
        <v>83.7</v>
      </c>
    </row>
    <row r="293" spans="1:27" x14ac:dyDescent="0.3">
      <c r="A293">
        <v>3</v>
      </c>
      <c r="C293">
        <v>483</v>
      </c>
      <c r="D293">
        <v>0.1</v>
      </c>
      <c r="E293" t="s">
        <v>327</v>
      </c>
      <c r="G293">
        <v>7.47</v>
      </c>
      <c r="H293" t="s">
        <v>211</v>
      </c>
      <c r="L293">
        <v>9</v>
      </c>
      <c r="M293">
        <v>18.7</v>
      </c>
      <c r="N293" t="s">
        <v>137</v>
      </c>
      <c r="O293">
        <v>4.2999999999999997E-2</v>
      </c>
      <c r="P293" t="s">
        <v>162</v>
      </c>
      <c r="Q293">
        <v>0.03</v>
      </c>
      <c r="R293" t="s">
        <v>299</v>
      </c>
      <c r="S293">
        <v>4.4999999999999998E-2</v>
      </c>
      <c r="T293" s="1" t="s">
        <v>125</v>
      </c>
      <c r="U293">
        <f>1-O293-Q293-S293</f>
        <v>0.8819999999999999</v>
      </c>
      <c r="V293">
        <v>2.2000000000000002</v>
      </c>
      <c r="X293">
        <f>14.9/32</f>
        <v>0.46562500000000001</v>
      </c>
      <c r="Z293">
        <v>72.5</v>
      </c>
    </row>
    <row r="294" spans="1:27" x14ac:dyDescent="0.3">
      <c r="A294">
        <v>3</v>
      </c>
      <c r="C294">
        <f>240+273</f>
        <v>513</v>
      </c>
      <c r="D294">
        <v>3</v>
      </c>
      <c r="E294" t="s">
        <v>323</v>
      </c>
      <c r="G294">
        <v>1.87</v>
      </c>
      <c r="I294">
        <v>324.7</v>
      </c>
      <c r="J294">
        <v>0.49</v>
      </c>
      <c r="K294">
        <v>4.8</v>
      </c>
      <c r="L294">
        <v>15.2</v>
      </c>
      <c r="M294">
        <v>38.200000000000003</v>
      </c>
      <c r="N294" t="s">
        <v>124</v>
      </c>
      <c r="O294">
        <v>8.4000000000000005E-2</v>
      </c>
      <c r="T294" s="1" t="s">
        <v>127</v>
      </c>
      <c r="U294">
        <f>1-O294</f>
        <v>0.91600000000000004</v>
      </c>
      <c r="V294">
        <v>2.1</v>
      </c>
      <c r="X294">
        <f>27.8/32</f>
        <v>0.86875000000000002</v>
      </c>
      <c r="Z294">
        <v>32.200000000000003</v>
      </c>
    </row>
    <row r="295" spans="1:27" x14ac:dyDescent="0.3">
      <c r="A295">
        <v>3</v>
      </c>
      <c r="C295">
        <v>523</v>
      </c>
      <c r="D295">
        <v>5</v>
      </c>
      <c r="E295" t="s">
        <v>327</v>
      </c>
      <c r="G295">
        <v>3.73</v>
      </c>
      <c r="H295" t="s">
        <v>33</v>
      </c>
      <c r="I295">
        <v>745</v>
      </c>
      <c r="J295">
        <v>0.438</v>
      </c>
      <c r="K295">
        <v>2.5</v>
      </c>
      <c r="L295">
        <v>30.5</v>
      </c>
      <c r="M295">
        <v>3.92</v>
      </c>
      <c r="N295" t="s">
        <v>124</v>
      </c>
      <c r="O295">
        <v>0.1206</v>
      </c>
      <c r="T295" s="1" t="s">
        <v>127</v>
      </c>
      <c r="U295">
        <f>(1-O295-Q295-S295)</f>
        <v>0.87939999999999996</v>
      </c>
      <c r="V295">
        <v>2.1</v>
      </c>
      <c r="X295">
        <f>9.8/32</f>
        <v>0.30625000000000002</v>
      </c>
      <c r="Z295">
        <v>22.3</v>
      </c>
    </row>
    <row r="296" spans="1:27" x14ac:dyDescent="0.3">
      <c r="A296">
        <v>3</v>
      </c>
      <c r="C296">
        <v>543</v>
      </c>
      <c r="D296">
        <v>1</v>
      </c>
      <c r="E296" t="s">
        <v>327</v>
      </c>
      <c r="G296">
        <v>2.68</v>
      </c>
      <c r="H296" s="1" t="s">
        <v>41</v>
      </c>
      <c r="I296">
        <v>234</v>
      </c>
      <c r="N296" t="s">
        <v>124</v>
      </c>
      <c r="O296">
        <v>0.09</v>
      </c>
      <c r="T296" s="1" t="s">
        <v>129</v>
      </c>
      <c r="U296">
        <v>0.91</v>
      </c>
      <c r="V296">
        <v>2.1</v>
      </c>
      <c r="X296">
        <v>0.93</v>
      </c>
      <c r="Z296">
        <v>60</v>
      </c>
    </row>
    <row r="297" spans="1:27" x14ac:dyDescent="0.3">
      <c r="A297">
        <v>4</v>
      </c>
      <c r="C297">
        <f>C296+20</f>
        <v>563</v>
      </c>
      <c r="D297">
        <v>3</v>
      </c>
      <c r="E297" s="2" t="s">
        <v>327</v>
      </c>
      <c r="G297">
        <v>1.4</v>
      </c>
      <c r="H297" s="1" t="s">
        <v>283</v>
      </c>
      <c r="I297" s="2">
        <v>335.3963</v>
      </c>
      <c r="J297">
        <v>0.79520000000000002</v>
      </c>
      <c r="K297">
        <v>7.2415000000000003</v>
      </c>
      <c r="M297">
        <v>20.8</v>
      </c>
      <c r="N297" s="9" t="s">
        <v>124</v>
      </c>
      <c r="O297">
        <v>0.107</v>
      </c>
      <c r="T297" s="1" t="s">
        <v>127</v>
      </c>
      <c r="U297">
        <f>1-O297</f>
        <v>0.89300000000000002</v>
      </c>
      <c r="V297">
        <v>2.1</v>
      </c>
    </row>
    <row r="298" spans="1:27" x14ac:dyDescent="0.3">
      <c r="A298">
        <v>3</v>
      </c>
      <c r="C298">
        <v>523</v>
      </c>
      <c r="D298">
        <v>5</v>
      </c>
      <c r="E298" s="2" t="s">
        <v>323</v>
      </c>
      <c r="G298">
        <v>1.24</v>
      </c>
      <c r="H298" s="1" t="s">
        <v>71</v>
      </c>
      <c r="N298" s="9" t="s">
        <v>176</v>
      </c>
      <c r="O298">
        <v>0.1</v>
      </c>
      <c r="T298" s="1" t="s">
        <v>139</v>
      </c>
      <c r="U298">
        <v>0.9</v>
      </c>
      <c r="V298">
        <v>2.1</v>
      </c>
      <c r="X298">
        <v>0.95</v>
      </c>
      <c r="Z298">
        <v>22.4</v>
      </c>
    </row>
    <row r="299" spans="1:27" x14ac:dyDescent="0.3">
      <c r="A299">
        <v>4</v>
      </c>
      <c r="C299">
        <v>498</v>
      </c>
      <c r="D299">
        <v>5</v>
      </c>
      <c r="E299" t="s">
        <v>327</v>
      </c>
      <c r="G299">
        <v>1.1000000000000001</v>
      </c>
      <c r="H299" t="s">
        <v>109</v>
      </c>
      <c r="L299">
        <v>7.4</v>
      </c>
      <c r="N299" t="s">
        <v>176</v>
      </c>
      <c r="O299">
        <v>9.7000000000000003E-3</v>
      </c>
      <c r="T299" s="1" t="s">
        <v>104</v>
      </c>
      <c r="U299">
        <f>1-O299</f>
        <v>0.99029999999999996</v>
      </c>
      <c r="V299">
        <v>2</v>
      </c>
      <c r="X299">
        <v>2.66</v>
      </c>
      <c r="Z299">
        <v>92</v>
      </c>
    </row>
    <row r="300" spans="1:27" x14ac:dyDescent="0.3">
      <c r="A300">
        <v>4</v>
      </c>
      <c r="C300">
        <v>553</v>
      </c>
      <c r="D300">
        <v>5</v>
      </c>
      <c r="E300" t="s">
        <v>329</v>
      </c>
      <c r="F300">
        <v>24000</v>
      </c>
      <c r="H300" s="1"/>
      <c r="I300">
        <v>25.4</v>
      </c>
      <c r="J300">
        <v>0.19900000000000001</v>
      </c>
      <c r="L300">
        <v>24.2</v>
      </c>
      <c r="N300" t="s">
        <v>187</v>
      </c>
      <c r="O300">
        <v>0.05</v>
      </c>
      <c r="T300" s="1" t="s">
        <v>129</v>
      </c>
      <c r="U300">
        <f>1-O300</f>
        <v>0.95</v>
      </c>
      <c r="V300" s="1">
        <v>1.8</v>
      </c>
      <c r="W300" s="1"/>
      <c r="X300" s="1">
        <f>71/32</f>
        <v>2.21875</v>
      </c>
      <c r="Y300" s="1"/>
      <c r="Z300" s="1">
        <v>68.2</v>
      </c>
      <c r="AA300" s="1"/>
    </row>
    <row r="301" spans="1:27" x14ac:dyDescent="0.3">
      <c r="A301">
        <v>9</v>
      </c>
      <c r="C301">
        <v>473</v>
      </c>
      <c r="D301">
        <v>0.1</v>
      </c>
      <c r="E301" t="s">
        <v>323</v>
      </c>
      <c r="F301">
        <v>3600</v>
      </c>
      <c r="H301" t="s">
        <v>119</v>
      </c>
      <c r="I301">
        <v>235</v>
      </c>
      <c r="J301">
        <v>0.76</v>
      </c>
      <c r="K301">
        <v>13</v>
      </c>
      <c r="L301">
        <v>5.0999999999999996</v>
      </c>
      <c r="N301" t="s">
        <v>137</v>
      </c>
      <c r="O301">
        <f>0.5838*0.2</f>
        <v>0.11676</v>
      </c>
      <c r="P301" t="s">
        <v>162</v>
      </c>
      <c r="Q301">
        <f>0.416*0.2</f>
        <v>8.3199999999999996E-2</v>
      </c>
      <c r="T301" s="1" t="s">
        <v>127</v>
      </c>
      <c r="U301">
        <v>0.8</v>
      </c>
      <c r="V301">
        <v>1.8</v>
      </c>
      <c r="X301">
        <v>2.5299999999999998</v>
      </c>
      <c r="Z301">
        <v>96.1</v>
      </c>
    </row>
    <row r="302" spans="1:27" x14ac:dyDescent="0.3">
      <c r="A302">
        <v>3.1</v>
      </c>
      <c r="C302">
        <f>C303-20</f>
        <v>503</v>
      </c>
      <c r="D302">
        <v>2</v>
      </c>
      <c r="E302" s="2" t="s">
        <v>323</v>
      </c>
      <c r="G302">
        <v>1.24</v>
      </c>
      <c r="H302" s="1" t="s">
        <v>68</v>
      </c>
      <c r="I302">
        <v>69.7</v>
      </c>
      <c r="L302">
        <f>(25.2+20.9)/2</f>
        <v>23.049999999999997</v>
      </c>
      <c r="M302">
        <v>14.3</v>
      </c>
      <c r="N302" s="9" t="s">
        <v>124</v>
      </c>
      <c r="O302">
        <v>0.43969999999999998</v>
      </c>
      <c r="P302" s="9" t="s">
        <v>179</v>
      </c>
      <c r="Q302">
        <v>0.1812</v>
      </c>
      <c r="T302" s="1" t="s">
        <v>129</v>
      </c>
      <c r="U302">
        <f>1-O302-Q302</f>
        <v>0.37909999999999999</v>
      </c>
      <c r="V302">
        <v>1.7</v>
      </c>
      <c r="X302">
        <f>99.8/32</f>
        <v>3.1187499999999999</v>
      </c>
      <c r="Z302">
        <v>92.6</v>
      </c>
    </row>
    <row r="303" spans="1:27" x14ac:dyDescent="0.3">
      <c r="A303">
        <v>3</v>
      </c>
      <c r="C303">
        <v>523</v>
      </c>
      <c r="D303">
        <v>2</v>
      </c>
      <c r="E303" s="2" t="s">
        <v>178</v>
      </c>
      <c r="G303">
        <v>6.22</v>
      </c>
      <c r="H303" s="1" t="s">
        <v>83</v>
      </c>
      <c r="L303">
        <v>11.3</v>
      </c>
      <c r="N303" s="9" t="s">
        <v>176</v>
      </c>
      <c r="O303">
        <v>0.01</v>
      </c>
      <c r="T303" s="1" t="s">
        <v>136</v>
      </c>
      <c r="U303">
        <f>1-O303</f>
        <v>0.99</v>
      </c>
      <c r="V303">
        <v>1.7</v>
      </c>
      <c r="X303">
        <v>0.41</v>
      </c>
      <c r="Z303">
        <v>76</v>
      </c>
    </row>
    <row r="304" spans="1:27" x14ac:dyDescent="0.3">
      <c r="A304">
        <v>9</v>
      </c>
      <c r="C304">
        <v>473</v>
      </c>
      <c r="D304">
        <v>0.1</v>
      </c>
      <c r="E304" t="s">
        <v>327</v>
      </c>
      <c r="F304">
        <v>3600</v>
      </c>
      <c r="H304" t="s">
        <v>206</v>
      </c>
      <c r="I304">
        <v>204.56</v>
      </c>
      <c r="J304">
        <v>0.68</v>
      </c>
      <c r="K304">
        <v>11</v>
      </c>
      <c r="L304">
        <v>6.41</v>
      </c>
      <c r="N304" t="s">
        <v>137</v>
      </c>
      <c r="O304">
        <f>0.5838*0.2</f>
        <v>0.11676</v>
      </c>
      <c r="P304" t="s">
        <v>162</v>
      </c>
      <c r="Q304">
        <f>0.416*0.2</f>
        <v>8.3199999999999996E-2</v>
      </c>
      <c r="T304" s="1" t="s">
        <v>127</v>
      </c>
      <c r="U304">
        <v>0.8</v>
      </c>
      <c r="V304">
        <v>1.7</v>
      </c>
      <c r="X304">
        <f>38*60/1000</f>
        <v>2.2799999999999998</v>
      </c>
      <c r="Z304">
        <v>82.5</v>
      </c>
    </row>
    <row r="305" spans="1:27" x14ac:dyDescent="0.3">
      <c r="A305">
        <v>3.1</v>
      </c>
      <c r="C305">
        <f>C306-20</f>
        <v>443</v>
      </c>
      <c r="D305">
        <v>1</v>
      </c>
      <c r="E305" s="2" t="s">
        <v>333</v>
      </c>
      <c r="G305">
        <v>1.24</v>
      </c>
      <c r="H305" s="1" t="s">
        <v>67</v>
      </c>
      <c r="I305">
        <v>44.3</v>
      </c>
      <c r="L305">
        <f>(36.3+22.3)/2</f>
        <v>29.299999999999997</v>
      </c>
      <c r="M305">
        <v>9.6999999999999993</v>
      </c>
      <c r="N305" s="9" t="s">
        <v>124</v>
      </c>
      <c r="O305">
        <v>0.43969999999999998</v>
      </c>
      <c r="P305" s="9" t="s">
        <v>179</v>
      </c>
      <c r="Q305">
        <v>0.1812</v>
      </c>
      <c r="T305" s="1" t="s">
        <v>129</v>
      </c>
      <c r="U305">
        <f>1-O305-Q305</f>
        <v>0.37909999999999999</v>
      </c>
      <c r="V305">
        <v>1.6</v>
      </c>
      <c r="X305">
        <f>78.3/32</f>
        <v>2.4468749999999999</v>
      </c>
      <c r="Z305">
        <v>77.2</v>
      </c>
    </row>
    <row r="306" spans="1:27" x14ac:dyDescent="0.3">
      <c r="A306">
        <v>3.1</v>
      </c>
      <c r="C306">
        <f>C307-20</f>
        <v>463</v>
      </c>
      <c r="D306">
        <v>1</v>
      </c>
      <c r="E306" s="2" t="s">
        <v>323</v>
      </c>
      <c r="G306">
        <v>1.24</v>
      </c>
      <c r="H306" s="1" t="s">
        <v>68</v>
      </c>
      <c r="I306">
        <v>69.7</v>
      </c>
      <c r="L306">
        <f>(25.2+20.9)/2</f>
        <v>23.049999999999997</v>
      </c>
      <c r="M306">
        <v>14.3</v>
      </c>
      <c r="N306" s="9" t="s">
        <v>124</v>
      </c>
      <c r="O306">
        <v>0.43969999999999998</v>
      </c>
      <c r="P306" s="9" t="s">
        <v>179</v>
      </c>
      <c r="Q306">
        <v>0.1812</v>
      </c>
      <c r="T306" s="1" t="s">
        <v>129</v>
      </c>
      <c r="U306">
        <f>1-O306-Q306</f>
        <v>0.37909999999999999</v>
      </c>
      <c r="V306">
        <v>1.6</v>
      </c>
      <c r="X306">
        <f>75.6/32</f>
        <v>2.3624999999999998</v>
      </c>
      <c r="Z306">
        <v>74.5</v>
      </c>
    </row>
    <row r="307" spans="1:27" x14ac:dyDescent="0.3">
      <c r="A307">
        <v>3</v>
      </c>
      <c r="C307">
        <v>483</v>
      </c>
      <c r="D307">
        <v>0.1</v>
      </c>
      <c r="E307" t="s">
        <v>327</v>
      </c>
      <c r="G307">
        <v>7.47</v>
      </c>
      <c r="H307" t="s">
        <v>208</v>
      </c>
      <c r="L307">
        <v>12.6</v>
      </c>
      <c r="M307">
        <v>15.3</v>
      </c>
      <c r="N307" t="s">
        <v>137</v>
      </c>
      <c r="O307">
        <v>4.3999999999999997E-2</v>
      </c>
      <c r="P307" t="s">
        <v>162</v>
      </c>
      <c r="Q307">
        <v>0.03</v>
      </c>
      <c r="R307" t="s">
        <v>299</v>
      </c>
      <c r="S307">
        <v>5.0000000000000001E-3</v>
      </c>
      <c r="T307" s="1" t="s">
        <v>125</v>
      </c>
      <c r="U307">
        <f>1-O307-Q307-S307</f>
        <v>0.92099999999999993</v>
      </c>
      <c r="V307">
        <v>1.6</v>
      </c>
      <c r="X307">
        <f>11.9/32</f>
        <v>0.37187500000000001</v>
      </c>
      <c r="Z307">
        <v>78.599999999999994</v>
      </c>
    </row>
    <row r="308" spans="1:27" x14ac:dyDescent="0.3">
      <c r="A308">
        <v>3</v>
      </c>
      <c r="C308">
        <f>275+273</f>
        <v>548</v>
      </c>
      <c r="D308">
        <v>4</v>
      </c>
      <c r="E308" t="s">
        <v>337</v>
      </c>
      <c r="G308">
        <v>1.04</v>
      </c>
      <c r="H308" t="s">
        <v>107</v>
      </c>
      <c r="L308">
        <v>11.8</v>
      </c>
      <c r="M308">
        <v>36.799999999999997</v>
      </c>
      <c r="N308" t="s">
        <v>187</v>
      </c>
      <c r="O308" s="8">
        <v>0.1</v>
      </c>
      <c r="Q308" s="1"/>
      <c r="S308" s="1"/>
      <c r="T308" s="1" t="s">
        <v>125</v>
      </c>
      <c r="U308" s="8">
        <v>0.9</v>
      </c>
      <c r="V308" s="1">
        <v>1.5</v>
      </c>
      <c r="W308" s="1"/>
      <c r="X308" s="1">
        <f>93/32</f>
        <v>2.90625</v>
      </c>
      <c r="Y308" s="1"/>
      <c r="Z308" s="1">
        <v>91.6</v>
      </c>
      <c r="AA308" s="1"/>
    </row>
    <row r="309" spans="1:27" x14ac:dyDescent="0.3">
      <c r="A309">
        <v>3</v>
      </c>
      <c r="C309">
        <v>523</v>
      </c>
      <c r="D309">
        <v>2.5</v>
      </c>
      <c r="E309" t="s">
        <v>323</v>
      </c>
      <c r="G309">
        <v>1.24</v>
      </c>
      <c r="H309" t="s">
        <v>199</v>
      </c>
      <c r="L309">
        <v>23.8</v>
      </c>
      <c r="N309" t="s">
        <v>124</v>
      </c>
      <c r="O309">
        <v>0.24</v>
      </c>
      <c r="P309" t="s">
        <v>187</v>
      </c>
      <c r="Q309">
        <v>0.33</v>
      </c>
      <c r="T309" s="1" t="s">
        <v>129</v>
      </c>
      <c r="U309">
        <v>0.42599999999999999</v>
      </c>
      <c r="V309">
        <v>1.5</v>
      </c>
      <c r="Z309">
        <v>68</v>
      </c>
    </row>
    <row r="310" spans="1:27" x14ac:dyDescent="0.3">
      <c r="A310">
        <v>3</v>
      </c>
      <c r="C310">
        <v>523</v>
      </c>
      <c r="D310">
        <v>2.5</v>
      </c>
      <c r="E310" t="s">
        <v>323</v>
      </c>
      <c r="G310">
        <v>1.24</v>
      </c>
      <c r="H310" t="s">
        <v>113</v>
      </c>
      <c r="L310">
        <v>25.4</v>
      </c>
      <c r="N310" t="s">
        <v>187</v>
      </c>
      <c r="O310">
        <v>0.59599999999999997</v>
      </c>
      <c r="P310" t="s">
        <v>124</v>
      </c>
      <c r="Q310">
        <v>0.13</v>
      </c>
      <c r="T310" s="1" t="s">
        <v>129</v>
      </c>
      <c r="U310">
        <v>0.27400000000000002</v>
      </c>
      <c r="V310">
        <v>1.5</v>
      </c>
      <c r="X310">
        <v>2.38</v>
      </c>
      <c r="Z310">
        <v>80</v>
      </c>
    </row>
    <row r="311" spans="1:27" x14ac:dyDescent="0.3">
      <c r="A311">
        <v>3</v>
      </c>
      <c r="C311">
        <v>483</v>
      </c>
      <c r="D311">
        <v>0.1</v>
      </c>
      <c r="E311" t="s">
        <v>327</v>
      </c>
      <c r="G311">
        <v>7.47</v>
      </c>
      <c r="H311" t="s">
        <v>212</v>
      </c>
      <c r="L311">
        <v>17.8</v>
      </c>
      <c r="M311">
        <v>13.1</v>
      </c>
      <c r="N311" t="s">
        <v>137</v>
      </c>
      <c r="O311">
        <v>4.2999999999999997E-2</v>
      </c>
      <c r="P311" t="s">
        <v>162</v>
      </c>
      <c r="Q311">
        <v>0.03</v>
      </c>
      <c r="T311" s="1" t="s">
        <v>125</v>
      </c>
      <c r="U311">
        <f>1-O311-Q311-S311</f>
        <v>0.92699999999999994</v>
      </c>
      <c r="V311">
        <v>1.5</v>
      </c>
      <c r="X311">
        <f>8.9/32</f>
        <v>0.27812500000000001</v>
      </c>
      <c r="Z311">
        <v>62</v>
      </c>
    </row>
    <row r="312" spans="1:27" x14ac:dyDescent="0.3">
      <c r="A312">
        <v>3</v>
      </c>
      <c r="C312">
        <f>220+273</f>
        <v>493</v>
      </c>
      <c r="D312">
        <v>3</v>
      </c>
      <c r="E312" t="s">
        <v>323</v>
      </c>
      <c r="G312">
        <v>1.87</v>
      </c>
      <c r="I312">
        <v>324.7</v>
      </c>
      <c r="J312">
        <v>0.49</v>
      </c>
      <c r="K312">
        <v>4.8</v>
      </c>
      <c r="L312">
        <v>15.2</v>
      </c>
      <c r="M312">
        <v>38.200000000000003</v>
      </c>
      <c r="N312" t="s">
        <v>124</v>
      </c>
      <c r="O312">
        <v>8.4000000000000005E-2</v>
      </c>
      <c r="T312" s="1" t="s">
        <v>127</v>
      </c>
      <c r="U312">
        <f>1-O312</f>
        <v>0.91600000000000004</v>
      </c>
      <c r="V312">
        <v>1.4</v>
      </c>
      <c r="X312">
        <f>28.1/32</f>
        <v>0.87812500000000004</v>
      </c>
      <c r="Z312">
        <v>48.5</v>
      </c>
    </row>
    <row r="313" spans="1:27" x14ac:dyDescent="0.3">
      <c r="A313">
        <v>3</v>
      </c>
      <c r="C313">
        <v>503</v>
      </c>
      <c r="D313">
        <v>1</v>
      </c>
      <c r="E313" t="s">
        <v>327</v>
      </c>
      <c r="G313">
        <v>2.68</v>
      </c>
      <c r="H313" s="1" t="s">
        <v>23</v>
      </c>
      <c r="I313" s="1"/>
      <c r="J313" s="1"/>
      <c r="K313" s="1"/>
      <c r="N313" t="s">
        <v>124</v>
      </c>
      <c r="O313">
        <v>0.1</v>
      </c>
      <c r="R313" t="s">
        <v>140</v>
      </c>
      <c r="S313">
        <v>0.05</v>
      </c>
      <c r="T313" s="1" t="s">
        <v>129</v>
      </c>
      <c r="U313">
        <v>0.85</v>
      </c>
      <c r="V313">
        <v>1.4</v>
      </c>
      <c r="X313">
        <v>0.69</v>
      </c>
      <c r="Z313">
        <v>65</v>
      </c>
    </row>
    <row r="314" spans="1:27" x14ac:dyDescent="0.3">
      <c r="A314">
        <v>3.1</v>
      </c>
      <c r="C314">
        <f>C315-20</f>
        <v>533</v>
      </c>
      <c r="D314">
        <v>2</v>
      </c>
      <c r="E314" s="2" t="s">
        <v>333</v>
      </c>
      <c r="G314">
        <v>1.24</v>
      </c>
      <c r="H314" s="1" t="s">
        <v>67</v>
      </c>
      <c r="I314">
        <v>44.3</v>
      </c>
      <c r="L314">
        <f>(36.3+22.3)/2</f>
        <v>29.299999999999997</v>
      </c>
      <c r="M314">
        <v>9.6999999999999993</v>
      </c>
      <c r="N314" s="9" t="s">
        <v>124</v>
      </c>
      <c r="O314">
        <v>0.43969999999999998</v>
      </c>
      <c r="P314" s="9" t="s">
        <v>179</v>
      </c>
      <c r="Q314">
        <v>0.1812</v>
      </c>
      <c r="T314" s="1" t="s">
        <v>129</v>
      </c>
      <c r="U314">
        <f>1-O314-Q314</f>
        <v>0.37909999999999999</v>
      </c>
      <c r="V314">
        <v>1.4</v>
      </c>
      <c r="X314">
        <f>83.5/32</f>
        <v>2.609375</v>
      </c>
      <c r="Z314">
        <v>94.1</v>
      </c>
    </row>
    <row r="315" spans="1:27" x14ac:dyDescent="0.3">
      <c r="A315">
        <v>4</v>
      </c>
      <c r="C315">
        <v>553</v>
      </c>
      <c r="D315">
        <v>5</v>
      </c>
      <c r="E315" t="s">
        <v>329</v>
      </c>
      <c r="F315">
        <v>24000</v>
      </c>
      <c r="H315" s="1"/>
      <c r="I315">
        <v>25.2</v>
      </c>
      <c r="J315">
        <v>0.16800000000000001</v>
      </c>
      <c r="L315">
        <v>25.7</v>
      </c>
      <c r="N315" t="s">
        <v>187</v>
      </c>
      <c r="O315">
        <v>0.1</v>
      </c>
      <c r="T315" s="1" t="s">
        <v>129</v>
      </c>
      <c r="U315">
        <f>1-O315</f>
        <v>0.9</v>
      </c>
      <c r="V315" s="1">
        <v>1.4</v>
      </c>
      <c r="W315" s="1"/>
      <c r="X315" s="1">
        <f>56/32</f>
        <v>1.75</v>
      </c>
      <c r="Y315" s="1"/>
      <c r="Z315" s="1">
        <v>66</v>
      </c>
      <c r="AA315" s="1"/>
    </row>
    <row r="316" spans="1:27" x14ac:dyDescent="0.3">
      <c r="A316">
        <v>3</v>
      </c>
      <c r="C316">
        <v>523</v>
      </c>
      <c r="D316">
        <v>2.5</v>
      </c>
      <c r="E316" t="s">
        <v>323</v>
      </c>
      <c r="G316">
        <v>1.24</v>
      </c>
      <c r="H316" t="s">
        <v>198</v>
      </c>
      <c r="L316">
        <v>26.5</v>
      </c>
      <c r="N316" t="s">
        <v>124</v>
      </c>
      <c r="O316">
        <v>0.42</v>
      </c>
      <c r="P316" t="s">
        <v>187</v>
      </c>
      <c r="Q316">
        <v>0.16400000000000001</v>
      </c>
      <c r="T316" s="1" t="s">
        <v>129</v>
      </c>
      <c r="U316">
        <v>0.41599999999999998</v>
      </c>
      <c r="V316">
        <v>1.4</v>
      </c>
      <c r="Z316">
        <v>68</v>
      </c>
    </row>
    <row r="317" spans="1:27" x14ac:dyDescent="0.3">
      <c r="A317">
        <v>4</v>
      </c>
      <c r="C317">
        <v>603</v>
      </c>
      <c r="D317">
        <v>3</v>
      </c>
      <c r="E317" s="2" t="s">
        <v>327</v>
      </c>
      <c r="G317">
        <v>1.4</v>
      </c>
      <c r="H317" s="1" t="s">
        <v>283</v>
      </c>
      <c r="I317" s="2">
        <v>335.3963</v>
      </c>
      <c r="J317">
        <v>0.79520000000000002</v>
      </c>
      <c r="K317">
        <v>7.2415000000000003</v>
      </c>
      <c r="M317">
        <v>20.8</v>
      </c>
      <c r="N317" s="9" t="s">
        <v>124</v>
      </c>
      <c r="O317">
        <v>0.107</v>
      </c>
      <c r="T317" s="1" t="s">
        <v>127</v>
      </c>
      <c r="U317">
        <f>1-O317</f>
        <v>0.89300000000000002</v>
      </c>
      <c r="V317">
        <v>1.35</v>
      </c>
    </row>
    <row r="318" spans="1:27" x14ac:dyDescent="0.3">
      <c r="A318">
        <v>3</v>
      </c>
      <c r="C318">
        <f>200+273</f>
        <v>473</v>
      </c>
      <c r="D318">
        <v>3</v>
      </c>
      <c r="E318" t="s">
        <v>323</v>
      </c>
      <c r="G318">
        <v>1.87</v>
      </c>
      <c r="H318" s="1" t="s">
        <v>14</v>
      </c>
      <c r="I318">
        <v>470.3</v>
      </c>
      <c r="J318">
        <v>0.57999999999999996</v>
      </c>
      <c r="K318">
        <v>5.3</v>
      </c>
      <c r="L318">
        <v>3.8</v>
      </c>
      <c r="M318">
        <v>76.400000000000006</v>
      </c>
      <c r="N318" t="s">
        <v>124</v>
      </c>
      <c r="O318">
        <v>8.1000000000000003E-2</v>
      </c>
      <c r="R318" t="s">
        <v>132</v>
      </c>
      <c r="S318">
        <v>4.2000000000000003E-2</v>
      </c>
      <c r="T318" s="1" t="s">
        <v>127</v>
      </c>
      <c r="U318">
        <f>1-O318-S318</f>
        <v>0.877</v>
      </c>
      <c r="V318">
        <v>1.3</v>
      </c>
      <c r="X318">
        <f>50.7/32</f>
        <v>1.5843750000000001</v>
      </c>
      <c r="Z318">
        <v>91.9</v>
      </c>
    </row>
    <row r="319" spans="1:27" x14ac:dyDescent="0.3">
      <c r="A319">
        <v>3</v>
      </c>
      <c r="C319">
        <v>523</v>
      </c>
      <c r="D319">
        <v>2.5</v>
      </c>
      <c r="E319" t="s">
        <v>323</v>
      </c>
      <c r="G319">
        <v>1.24</v>
      </c>
      <c r="H319" t="s">
        <v>200</v>
      </c>
      <c r="L319">
        <v>21.2</v>
      </c>
      <c r="N319" t="s">
        <v>187</v>
      </c>
      <c r="O319">
        <v>0.51500000000000001</v>
      </c>
      <c r="P319" t="s">
        <v>124</v>
      </c>
      <c r="Q319">
        <v>0.115</v>
      </c>
      <c r="T319" s="1" t="s">
        <v>129</v>
      </c>
      <c r="U319">
        <v>0.36899999999999999</v>
      </c>
      <c r="V319">
        <v>1.3</v>
      </c>
      <c r="Z319">
        <v>74</v>
      </c>
    </row>
    <row r="320" spans="1:27" x14ac:dyDescent="0.3">
      <c r="A320">
        <v>4</v>
      </c>
      <c r="C320">
        <f>260+273</f>
        <v>533</v>
      </c>
      <c r="D320">
        <v>3</v>
      </c>
      <c r="E320" s="2" t="s">
        <v>327</v>
      </c>
      <c r="G320">
        <v>1.4</v>
      </c>
      <c r="H320" s="1" t="s">
        <v>283</v>
      </c>
      <c r="I320" s="2">
        <v>335.3963</v>
      </c>
      <c r="J320">
        <v>0.79520000000000002</v>
      </c>
      <c r="K320">
        <v>7.2415000000000003</v>
      </c>
      <c r="M320">
        <v>20.8</v>
      </c>
      <c r="N320" s="9" t="s">
        <v>124</v>
      </c>
      <c r="O320">
        <v>0.107</v>
      </c>
      <c r="T320" s="1" t="s">
        <v>127</v>
      </c>
      <c r="U320">
        <f>1-O320</f>
        <v>0.89300000000000002</v>
      </c>
      <c r="V320">
        <v>1.25</v>
      </c>
    </row>
    <row r="321" spans="1:27" x14ac:dyDescent="0.3">
      <c r="A321">
        <v>3.1</v>
      </c>
      <c r="C321">
        <f>C322-20</f>
        <v>453</v>
      </c>
      <c r="D321">
        <v>1</v>
      </c>
      <c r="E321" s="2" t="s">
        <v>323</v>
      </c>
      <c r="G321">
        <v>1.24</v>
      </c>
      <c r="H321" s="1" t="s">
        <v>68</v>
      </c>
      <c r="I321">
        <v>69.7</v>
      </c>
      <c r="L321">
        <f>(25.2+20.9)/2</f>
        <v>23.049999999999997</v>
      </c>
      <c r="M321">
        <v>14.3</v>
      </c>
      <c r="N321" s="9" t="s">
        <v>124</v>
      </c>
      <c r="O321">
        <v>0.43969999999999998</v>
      </c>
      <c r="P321" s="9" t="s">
        <v>179</v>
      </c>
      <c r="Q321">
        <v>0.1812</v>
      </c>
      <c r="T321" s="1" t="s">
        <v>129</v>
      </c>
      <c r="U321">
        <f>1-O321-Q321</f>
        <v>0.37909999999999999</v>
      </c>
      <c r="V321">
        <v>1.2</v>
      </c>
      <c r="X321">
        <f>69.6/32</f>
        <v>2.1749999999999998</v>
      </c>
      <c r="Z321">
        <v>91.7</v>
      </c>
    </row>
    <row r="322" spans="1:27" x14ac:dyDescent="0.3">
      <c r="A322">
        <v>3</v>
      </c>
      <c r="C322">
        <f>200+273</f>
        <v>473</v>
      </c>
      <c r="D322">
        <v>3</v>
      </c>
      <c r="E322" t="s">
        <v>323</v>
      </c>
      <c r="G322">
        <v>1.87</v>
      </c>
      <c r="H322" s="1" t="s">
        <v>214</v>
      </c>
      <c r="I322">
        <v>324.7</v>
      </c>
      <c r="J322">
        <v>0.49</v>
      </c>
      <c r="K322">
        <v>4.8</v>
      </c>
      <c r="L322">
        <v>15.2</v>
      </c>
      <c r="M322">
        <v>38.200000000000003</v>
      </c>
      <c r="N322" t="s">
        <v>124</v>
      </c>
      <c r="O322">
        <v>8.4000000000000005E-2</v>
      </c>
      <c r="T322" s="1" t="s">
        <v>127</v>
      </c>
      <c r="U322">
        <f>1-O322</f>
        <v>0.91600000000000004</v>
      </c>
      <c r="V322">
        <v>1.1000000000000001</v>
      </c>
      <c r="X322">
        <f>31.3/32</f>
        <v>0.97812500000000002</v>
      </c>
      <c r="Z322">
        <v>68.400000000000006</v>
      </c>
    </row>
    <row r="323" spans="1:27" x14ac:dyDescent="0.3">
      <c r="A323">
        <v>4</v>
      </c>
      <c r="C323">
        <v>553</v>
      </c>
      <c r="D323">
        <v>5</v>
      </c>
      <c r="E323" t="s">
        <v>329</v>
      </c>
      <c r="F323">
        <v>24000</v>
      </c>
      <c r="H323" s="1"/>
      <c r="I323">
        <v>27.4</v>
      </c>
      <c r="J323">
        <v>0.219</v>
      </c>
      <c r="L323">
        <v>24</v>
      </c>
      <c r="N323" t="s">
        <v>187</v>
      </c>
      <c r="O323">
        <v>1E-3</v>
      </c>
      <c r="T323" s="1" t="s">
        <v>129</v>
      </c>
      <c r="U323">
        <f>1-O323</f>
        <v>0.999</v>
      </c>
      <c r="V323" s="1">
        <v>1.1000000000000001</v>
      </c>
      <c r="W323" s="1"/>
      <c r="X323" s="1">
        <f>14/32</f>
        <v>0.4375</v>
      </c>
      <c r="Y323" s="1"/>
      <c r="Z323" s="1">
        <v>21.3</v>
      </c>
      <c r="AA323" s="1"/>
    </row>
    <row r="324" spans="1:27" x14ac:dyDescent="0.3">
      <c r="A324">
        <v>3</v>
      </c>
      <c r="C324">
        <f>250+273</f>
        <v>523</v>
      </c>
      <c r="D324">
        <v>4</v>
      </c>
      <c r="E324" t="s">
        <v>337</v>
      </c>
      <c r="G324">
        <v>1.04</v>
      </c>
      <c r="H324" s="1" t="s">
        <v>107</v>
      </c>
      <c r="L324">
        <v>11.8</v>
      </c>
      <c r="M324">
        <v>36.799999999999997</v>
      </c>
      <c r="N324" t="s">
        <v>187</v>
      </c>
      <c r="O324" s="8">
        <v>0.1</v>
      </c>
      <c r="Q324" s="1"/>
      <c r="S324" s="1"/>
      <c r="T324" s="1" t="s">
        <v>125</v>
      </c>
      <c r="U324" s="8">
        <v>0.9</v>
      </c>
      <c r="V324" s="1">
        <v>1.1000000000000001</v>
      </c>
      <c r="W324" s="1"/>
      <c r="X324" s="1">
        <f>71/32</f>
        <v>2.21875</v>
      </c>
      <c r="Y324" s="1"/>
      <c r="Z324" s="1">
        <v>94.8</v>
      </c>
      <c r="AA324" s="1"/>
    </row>
    <row r="325" spans="1:27" x14ac:dyDescent="0.3">
      <c r="A325">
        <v>3</v>
      </c>
      <c r="C325">
        <v>523</v>
      </c>
      <c r="D325">
        <v>3</v>
      </c>
      <c r="E325" t="s">
        <v>323</v>
      </c>
      <c r="G325">
        <v>1.49</v>
      </c>
      <c r="H325" t="s">
        <v>123</v>
      </c>
      <c r="I325">
        <v>116</v>
      </c>
      <c r="L325">
        <v>6.1</v>
      </c>
      <c r="N325" t="s">
        <v>176</v>
      </c>
      <c r="O325">
        <v>1.8100000000000002E-2</v>
      </c>
      <c r="P325" t="s">
        <v>207</v>
      </c>
      <c r="Q325">
        <f>0.4485*(1-O325)</f>
        <v>0.44038215000000003</v>
      </c>
      <c r="T325" s="1" t="s">
        <v>152</v>
      </c>
      <c r="U325">
        <f>0.55*(1-O325)</f>
        <v>0.540045</v>
      </c>
      <c r="V325">
        <v>1</v>
      </c>
      <c r="X325">
        <v>0.63</v>
      </c>
      <c r="Z325">
        <v>47</v>
      </c>
    </row>
    <row r="326" spans="1:27" x14ac:dyDescent="0.3">
      <c r="A326">
        <v>3</v>
      </c>
      <c r="C326">
        <v>533</v>
      </c>
      <c r="D326">
        <v>2</v>
      </c>
      <c r="E326" s="2" t="s">
        <v>327</v>
      </c>
      <c r="F326">
        <v>1200</v>
      </c>
      <c r="H326" t="s">
        <v>77</v>
      </c>
      <c r="I326">
        <v>316</v>
      </c>
      <c r="J326">
        <v>0.86</v>
      </c>
      <c r="K326">
        <v>10.8</v>
      </c>
      <c r="N326" s="9" t="s">
        <v>176</v>
      </c>
      <c r="O326">
        <v>0.05</v>
      </c>
      <c r="T326" s="1" t="s">
        <v>143</v>
      </c>
      <c r="U326">
        <f>1-O326</f>
        <v>0.95</v>
      </c>
      <c r="V326">
        <v>0.97</v>
      </c>
      <c r="X326">
        <v>3.49E-2</v>
      </c>
      <c r="Z326">
        <v>34.9</v>
      </c>
    </row>
    <row r="327" spans="1:27" x14ac:dyDescent="0.3">
      <c r="A327">
        <v>3.1</v>
      </c>
      <c r="C327">
        <f>C328-20</f>
        <v>503</v>
      </c>
      <c r="D327">
        <v>1</v>
      </c>
      <c r="E327" s="2" t="s">
        <v>333</v>
      </c>
      <c r="G327">
        <v>1.24</v>
      </c>
      <c r="H327" s="1" t="s">
        <v>67</v>
      </c>
      <c r="I327">
        <v>44.3</v>
      </c>
      <c r="L327">
        <f>(36.3+22.3)/2</f>
        <v>29.299999999999997</v>
      </c>
      <c r="M327">
        <v>9.6999999999999993</v>
      </c>
      <c r="N327" s="9" t="s">
        <v>124</v>
      </c>
      <c r="O327">
        <v>0.43969999999999998</v>
      </c>
      <c r="P327" s="9" t="s">
        <v>179</v>
      </c>
      <c r="Q327">
        <v>0.1812</v>
      </c>
      <c r="T327" s="1" t="s">
        <v>129</v>
      </c>
      <c r="U327">
        <f>1-O327-Q327</f>
        <v>0.37909999999999999</v>
      </c>
      <c r="V327">
        <v>0.9</v>
      </c>
      <c r="X327">
        <f>52.2/32</f>
        <v>1.6312500000000001</v>
      </c>
      <c r="Z327">
        <v>91.4</v>
      </c>
    </row>
    <row r="328" spans="1:27" x14ac:dyDescent="0.3">
      <c r="A328">
        <v>4</v>
      </c>
      <c r="C328">
        <v>523</v>
      </c>
      <c r="D328">
        <v>5</v>
      </c>
      <c r="E328" t="s">
        <v>329</v>
      </c>
      <c r="F328">
        <v>24000</v>
      </c>
      <c r="H328" s="1" t="s">
        <v>105</v>
      </c>
      <c r="I328">
        <v>26.4</v>
      </c>
      <c r="J328">
        <v>0.182</v>
      </c>
      <c r="L328">
        <v>23.8</v>
      </c>
      <c r="N328" t="s">
        <v>187</v>
      </c>
      <c r="O328">
        <v>2.5000000000000001E-2</v>
      </c>
      <c r="T328" s="1" t="s">
        <v>129</v>
      </c>
      <c r="U328">
        <f>1-O328</f>
        <v>0.97499999999999998</v>
      </c>
      <c r="V328" s="1">
        <v>0.9</v>
      </c>
      <c r="W328" s="1"/>
      <c r="X328" s="1">
        <f>35/32</f>
        <v>1.09375</v>
      </c>
      <c r="Y328" s="1"/>
      <c r="Z328" s="1">
        <v>73.8</v>
      </c>
      <c r="AA328" s="1"/>
    </row>
    <row r="329" spans="1:27" x14ac:dyDescent="0.3">
      <c r="A329">
        <v>3</v>
      </c>
      <c r="C329">
        <v>523</v>
      </c>
      <c r="D329">
        <v>2.5</v>
      </c>
      <c r="E329" t="s">
        <v>323</v>
      </c>
      <c r="G329">
        <v>1.24</v>
      </c>
      <c r="H329" t="s">
        <v>203</v>
      </c>
      <c r="L329">
        <v>16.600000000000001</v>
      </c>
      <c r="N329" t="s">
        <v>187</v>
      </c>
      <c r="O329">
        <v>0.33889999999999998</v>
      </c>
      <c r="P329" t="s">
        <v>124</v>
      </c>
      <c r="Q329">
        <v>0.09</v>
      </c>
      <c r="T329" s="1" t="s">
        <v>129</v>
      </c>
      <c r="U329">
        <v>0.56969999999999998</v>
      </c>
      <c r="V329">
        <v>0.9</v>
      </c>
      <c r="X329">
        <v>0.156</v>
      </c>
      <c r="Z329">
        <v>65</v>
      </c>
    </row>
    <row r="330" spans="1:27" x14ac:dyDescent="0.3">
      <c r="A330">
        <v>3</v>
      </c>
      <c r="C330">
        <f>260+273</f>
        <v>533</v>
      </c>
      <c r="D330">
        <v>2</v>
      </c>
      <c r="E330" s="2" t="s">
        <v>327</v>
      </c>
      <c r="F330">
        <v>1200</v>
      </c>
      <c r="H330" t="s">
        <v>76</v>
      </c>
      <c r="I330">
        <v>264</v>
      </c>
      <c r="J330">
        <v>0.92</v>
      </c>
      <c r="K330">
        <v>13.9</v>
      </c>
      <c r="N330" s="9" t="s">
        <v>176</v>
      </c>
      <c r="O330">
        <v>0.05</v>
      </c>
      <c r="T330" s="1" t="s">
        <v>143</v>
      </c>
      <c r="U330">
        <f>1-O330</f>
        <v>0.95</v>
      </c>
      <c r="V330">
        <v>0.84</v>
      </c>
      <c r="X330">
        <v>1.12E-2</v>
      </c>
      <c r="Z330">
        <v>10.7</v>
      </c>
    </row>
    <row r="331" spans="1:27" x14ac:dyDescent="0.3">
      <c r="A331">
        <v>3</v>
      </c>
      <c r="C331">
        <v>523</v>
      </c>
      <c r="D331">
        <v>2.5</v>
      </c>
      <c r="E331" t="s">
        <v>323</v>
      </c>
      <c r="G331">
        <v>1.24</v>
      </c>
      <c r="H331" t="s">
        <v>202</v>
      </c>
      <c r="L331">
        <v>34</v>
      </c>
      <c r="N331" t="s">
        <v>124</v>
      </c>
      <c r="O331">
        <v>0.35899999999999999</v>
      </c>
      <c r="P331" t="s">
        <v>187</v>
      </c>
      <c r="Q331">
        <v>0.47499999999999998</v>
      </c>
      <c r="T331" s="1" t="s">
        <v>129</v>
      </c>
      <c r="U331">
        <v>0.16500000000000001</v>
      </c>
      <c r="V331">
        <v>0.8</v>
      </c>
      <c r="X331">
        <v>2.38</v>
      </c>
      <c r="Z331">
        <v>75</v>
      </c>
    </row>
    <row r="332" spans="1:27" x14ac:dyDescent="0.3">
      <c r="A332">
        <v>3</v>
      </c>
      <c r="C332">
        <v>523</v>
      </c>
      <c r="D332">
        <v>2</v>
      </c>
      <c r="E332" s="2" t="s">
        <v>327</v>
      </c>
      <c r="F332">
        <v>1200</v>
      </c>
      <c r="H332" t="s">
        <v>76</v>
      </c>
      <c r="I332">
        <v>264</v>
      </c>
      <c r="J332">
        <v>0.92</v>
      </c>
      <c r="K332">
        <v>13.9</v>
      </c>
      <c r="N332" s="9" t="s">
        <v>176</v>
      </c>
      <c r="O332">
        <v>0.05</v>
      </c>
      <c r="T332" s="1" t="s">
        <v>143</v>
      </c>
      <c r="U332">
        <f>1-O332</f>
        <v>0.95</v>
      </c>
      <c r="V332">
        <v>0.77</v>
      </c>
      <c r="X332">
        <v>4.8000000000000001E-2</v>
      </c>
      <c r="Z332">
        <v>48.8</v>
      </c>
    </row>
    <row r="333" spans="1:27" x14ac:dyDescent="0.3">
      <c r="A333">
        <v>4</v>
      </c>
      <c r="C333">
        <v>523</v>
      </c>
      <c r="D333">
        <v>5</v>
      </c>
      <c r="E333" t="s">
        <v>329</v>
      </c>
      <c r="F333">
        <v>24000</v>
      </c>
      <c r="H333" s="1" t="s">
        <v>104</v>
      </c>
      <c r="I333">
        <v>23.7</v>
      </c>
      <c r="J333">
        <v>0.14199999999999999</v>
      </c>
      <c r="N333" t="s">
        <v>187</v>
      </c>
      <c r="O333">
        <v>1</v>
      </c>
      <c r="V333" s="1">
        <v>0.7</v>
      </c>
      <c r="W333" s="1"/>
      <c r="X333" s="1">
        <f>84/32</f>
        <v>2.625</v>
      </c>
      <c r="Y333" s="1"/>
      <c r="Z333" s="1">
        <v>69.3</v>
      </c>
      <c r="AA333" s="1"/>
    </row>
    <row r="334" spans="1:27" x14ac:dyDescent="0.3">
      <c r="A334">
        <v>3</v>
      </c>
      <c r="C334">
        <f>240+273</f>
        <v>513</v>
      </c>
      <c r="D334">
        <v>2</v>
      </c>
      <c r="E334" s="2" t="s">
        <v>327</v>
      </c>
      <c r="F334">
        <v>1200</v>
      </c>
      <c r="H334" t="s">
        <v>77</v>
      </c>
      <c r="I334">
        <v>316</v>
      </c>
      <c r="J334">
        <v>0.86</v>
      </c>
      <c r="K334">
        <v>10.8</v>
      </c>
      <c r="N334" s="9" t="s">
        <v>176</v>
      </c>
      <c r="O334">
        <v>0.05</v>
      </c>
      <c r="T334" s="1" t="s">
        <v>143</v>
      </c>
      <c r="U334">
        <f>1-O334</f>
        <v>0.95</v>
      </c>
      <c r="V334">
        <v>0.63</v>
      </c>
      <c r="X334">
        <v>3.3000000000000002E-2</v>
      </c>
      <c r="Z334">
        <v>33</v>
      </c>
    </row>
    <row r="335" spans="1:27" x14ac:dyDescent="0.3">
      <c r="A335">
        <v>3</v>
      </c>
      <c r="C335">
        <v>523</v>
      </c>
      <c r="D335">
        <v>2</v>
      </c>
      <c r="E335" s="2" t="s">
        <v>327</v>
      </c>
      <c r="F335">
        <v>1200</v>
      </c>
      <c r="H335" t="s">
        <v>77</v>
      </c>
      <c r="I335">
        <v>316</v>
      </c>
      <c r="J335">
        <v>0.86</v>
      </c>
      <c r="K335">
        <v>10.8</v>
      </c>
      <c r="N335" s="9" t="s">
        <v>176</v>
      </c>
      <c r="O335">
        <v>0.05</v>
      </c>
      <c r="T335" s="1" t="s">
        <v>143</v>
      </c>
      <c r="U335">
        <f>1-O335</f>
        <v>0.95</v>
      </c>
      <c r="V335">
        <v>0.61</v>
      </c>
      <c r="X335">
        <v>1.0999999999999999E-2</v>
      </c>
      <c r="Z335">
        <v>13.4</v>
      </c>
    </row>
    <row r="336" spans="1:27" x14ac:dyDescent="0.3">
      <c r="A336">
        <v>3</v>
      </c>
      <c r="C336">
        <v>523</v>
      </c>
      <c r="D336">
        <v>2</v>
      </c>
      <c r="E336" s="2" t="s">
        <v>327</v>
      </c>
      <c r="F336">
        <v>1200</v>
      </c>
      <c r="H336" s="1" t="s">
        <v>78</v>
      </c>
      <c r="I336">
        <v>663</v>
      </c>
      <c r="J336">
        <v>0.71</v>
      </c>
      <c r="K336">
        <v>4.3</v>
      </c>
      <c r="N336" s="9" t="s">
        <v>176</v>
      </c>
      <c r="O336">
        <v>0.05</v>
      </c>
      <c r="T336" s="1" t="s">
        <v>143</v>
      </c>
      <c r="U336">
        <f>1-O336</f>
        <v>0.95</v>
      </c>
      <c r="V336">
        <v>0.6</v>
      </c>
      <c r="X336">
        <v>2.7E-2</v>
      </c>
      <c r="Z336">
        <v>34.6</v>
      </c>
    </row>
    <row r="337" spans="1:27" x14ac:dyDescent="0.3">
      <c r="A337">
        <v>4</v>
      </c>
      <c r="C337">
        <v>523</v>
      </c>
      <c r="D337">
        <v>5</v>
      </c>
      <c r="E337" t="s">
        <v>329</v>
      </c>
      <c r="F337">
        <v>24000</v>
      </c>
      <c r="H337" s="1" t="s">
        <v>106</v>
      </c>
      <c r="I337">
        <v>25.4</v>
      </c>
      <c r="J337">
        <v>0.19900000000000001</v>
      </c>
      <c r="L337">
        <v>24.2</v>
      </c>
      <c r="N337" t="s">
        <v>187</v>
      </c>
      <c r="O337">
        <v>0.05</v>
      </c>
      <c r="T337" s="1" t="s">
        <v>129</v>
      </c>
      <c r="U337">
        <f>1-O337</f>
        <v>0.95</v>
      </c>
      <c r="V337" s="1">
        <v>0.6</v>
      </c>
      <c r="W337" s="1"/>
      <c r="X337" s="1">
        <f>24/32</f>
        <v>0.75</v>
      </c>
      <c r="Y337" s="1"/>
      <c r="Z337" s="1">
        <v>77.900000000000006</v>
      </c>
      <c r="AA337" s="1"/>
    </row>
    <row r="338" spans="1:27" x14ac:dyDescent="0.3">
      <c r="A338">
        <v>3</v>
      </c>
      <c r="C338">
        <v>523</v>
      </c>
      <c r="D338">
        <v>2.5</v>
      </c>
      <c r="E338" t="s">
        <v>323</v>
      </c>
      <c r="G338">
        <v>1.24</v>
      </c>
      <c r="H338" t="s">
        <v>201</v>
      </c>
      <c r="L338">
        <v>29.1</v>
      </c>
      <c r="N338" t="s">
        <v>187</v>
      </c>
      <c r="O338">
        <v>0.61699999999999999</v>
      </c>
      <c r="T338" s="1" t="s">
        <v>129</v>
      </c>
      <c r="U338">
        <v>0.38200000000000001</v>
      </c>
      <c r="V338">
        <v>0.6</v>
      </c>
      <c r="Z338">
        <v>55</v>
      </c>
    </row>
    <row r="339" spans="1:27" x14ac:dyDescent="0.3">
      <c r="A339">
        <v>3</v>
      </c>
      <c r="C339">
        <v>523</v>
      </c>
      <c r="D339">
        <v>3</v>
      </c>
      <c r="E339" t="s">
        <v>323</v>
      </c>
      <c r="G339">
        <v>1.49</v>
      </c>
      <c r="H339" t="s">
        <v>122</v>
      </c>
      <c r="I339">
        <v>86</v>
      </c>
      <c r="L339">
        <v>1.8</v>
      </c>
      <c r="N339" t="s">
        <v>176</v>
      </c>
      <c r="O339">
        <v>1.46E-2</v>
      </c>
      <c r="P339" t="s">
        <v>179</v>
      </c>
      <c r="Q339">
        <f>0.849*(1-O339)</f>
        <v>0.83660460000000003</v>
      </c>
      <c r="T339" s="1" t="s">
        <v>125</v>
      </c>
      <c r="U339">
        <f>0.15*(1-O339)</f>
        <v>0.14781</v>
      </c>
      <c r="V339">
        <v>0.6</v>
      </c>
      <c r="X339">
        <v>0.55000000000000004</v>
      </c>
      <c r="Z339">
        <v>60</v>
      </c>
    </row>
    <row r="340" spans="1:27" x14ac:dyDescent="0.3">
      <c r="A340">
        <v>4</v>
      </c>
      <c r="C340">
        <v>523</v>
      </c>
      <c r="D340">
        <v>5</v>
      </c>
      <c r="E340" t="s">
        <v>329</v>
      </c>
      <c r="F340">
        <v>24000</v>
      </c>
      <c r="H340" s="1" t="s">
        <v>189</v>
      </c>
      <c r="I340">
        <v>25.2</v>
      </c>
      <c r="J340">
        <v>0.16800000000000001</v>
      </c>
      <c r="L340">
        <v>25.7</v>
      </c>
      <c r="N340" t="s">
        <v>187</v>
      </c>
      <c r="O340">
        <v>0.1</v>
      </c>
      <c r="T340" s="1" t="s">
        <v>129</v>
      </c>
      <c r="U340">
        <f>1-O340</f>
        <v>0.9</v>
      </c>
      <c r="V340" s="1">
        <v>0.5</v>
      </c>
      <c r="W340" s="1"/>
      <c r="X340" s="1">
        <f>21/32</f>
        <v>0.65625</v>
      </c>
      <c r="Y340" s="1"/>
      <c r="Z340" s="1">
        <v>75.900000000000006</v>
      </c>
      <c r="AA340" s="1"/>
    </row>
    <row r="341" spans="1:27" x14ac:dyDescent="0.3">
      <c r="A341">
        <v>3</v>
      </c>
      <c r="C341">
        <f>240+273</f>
        <v>513</v>
      </c>
      <c r="D341">
        <v>2</v>
      </c>
      <c r="E341" s="2" t="s">
        <v>327</v>
      </c>
      <c r="F341">
        <v>1200</v>
      </c>
      <c r="H341" t="s">
        <v>76</v>
      </c>
      <c r="I341">
        <v>264</v>
      </c>
      <c r="J341">
        <v>0.92</v>
      </c>
      <c r="K341">
        <v>13.9</v>
      </c>
      <c r="N341" s="9" t="s">
        <v>176</v>
      </c>
      <c r="O341">
        <v>0.05</v>
      </c>
      <c r="T341" s="1" t="s">
        <v>143</v>
      </c>
      <c r="U341">
        <f>1-O341</f>
        <v>0.95</v>
      </c>
      <c r="V341">
        <v>0.46</v>
      </c>
      <c r="X341">
        <v>8.0999999999999996E-3</v>
      </c>
      <c r="Z341">
        <v>17.899999999999999</v>
      </c>
    </row>
    <row r="342" spans="1:27" x14ac:dyDescent="0.3">
      <c r="A342">
        <v>3</v>
      </c>
      <c r="C342">
        <f>220+273</f>
        <v>493</v>
      </c>
      <c r="D342">
        <v>2</v>
      </c>
      <c r="E342" s="2" t="s">
        <v>327</v>
      </c>
      <c r="F342">
        <v>1200</v>
      </c>
      <c r="H342" t="s">
        <v>77</v>
      </c>
      <c r="I342">
        <v>316</v>
      </c>
      <c r="J342">
        <v>0.86</v>
      </c>
      <c r="K342">
        <v>10.8</v>
      </c>
      <c r="N342" s="9" t="s">
        <v>176</v>
      </c>
      <c r="O342">
        <v>0.05</v>
      </c>
      <c r="T342" s="1" t="s">
        <v>143</v>
      </c>
      <c r="U342">
        <f>1-O342</f>
        <v>0.95</v>
      </c>
      <c r="V342">
        <v>0.45</v>
      </c>
      <c r="X342">
        <v>3.2099999999999997E-2</v>
      </c>
      <c r="Z342">
        <v>32.1</v>
      </c>
    </row>
    <row r="343" spans="1:27" x14ac:dyDescent="0.3">
      <c r="A343">
        <v>3</v>
      </c>
      <c r="C343">
        <v>523</v>
      </c>
      <c r="D343">
        <v>5</v>
      </c>
      <c r="E343" s="2" t="s">
        <v>323</v>
      </c>
      <c r="G343">
        <v>1.24</v>
      </c>
      <c r="H343" s="1" t="s">
        <v>75</v>
      </c>
      <c r="N343" s="9" t="s">
        <v>176</v>
      </c>
      <c r="O343">
        <v>0.1</v>
      </c>
      <c r="T343" s="1" t="s">
        <v>129</v>
      </c>
      <c r="U343">
        <v>0.9</v>
      </c>
      <c r="V343">
        <v>0.4</v>
      </c>
      <c r="X343">
        <v>0.03</v>
      </c>
      <c r="Z343">
        <v>4.3</v>
      </c>
    </row>
    <row r="344" spans="1:27" x14ac:dyDescent="0.3">
      <c r="A344">
        <v>4</v>
      </c>
      <c r="C344">
        <v>523</v>
      </c>
      <c r="D344">
        <v>5</v>
      </c>
      <c r="E344" t="s">
        <v>329</v>
      </c>
      <c r="F344">
        <v>24000</v>
      </c>
      <c r="H344" s="1" t="s">
        <v>188</v>
      </c>
      <c r="I344">
        <v>27.4</v>
      </c>
      <c r="J344">
        <v>0.219</v>
      </c>
      <c r="L344">
        <v>24</v>
      </c>
      <c r="N344" t="s">
        <v>187</v>
      </c>
      <c r="O344">
        <v>1E-3</v>
      </c>
      <c r="T344" s="1" t="s">
        <v>129</v>
      </c>
      <c r="U344">
        <f>1-O344</f>
        <v>0.999</v>
      </c>
      <c r="V344" s="1">
        <v>0.4</v>
      </c>
      <c r="W344" s="1"/>
      <c r="X344">
        <v>9.2999999999999999E-2</v>
      </c>
      <c r="Y344" s="1"/>
      <c r="Z344" s="1">
        <v>23.1</v>
      </c>
      <c r="AA344" s="1"/>
    </row>
    <row r="345" spans="1:27" x14ac:dyDescent="0.3">
      <c r="A345">
        <v>3</v>
      </c>
      <c r="C345">
        <v>523</v>
      </c>
      <c r="D345">
        <v>2</v>
      </c>
      <c r="E345" s="2" t="s">
        <v>327</v>
      </c>
      <c r="F345">
        <v>1200</v>
      </c>
      <c r="H345" s="1" t="s">
        <v>72</v>
      </c>
      <c r="I345">
        <v>269</v>
      </c>
      <c r="J345">
        <v>0.59</v>
      </c>
      <c r="K345">
        <v>8.9</v>
      </c>
      <c r="N345" s="9" t="s">
        <v>176</v>
      </c>
      <c r="O345">
        <v>0.05</v>
      </c>
      <c r="T345" s="1" t="s">
        <v>127</v>
      </c>
      <c r="U345">
        <f>1-O345</f>
        <v>0.95</v>
      </c>
      <c r="V345">
        <v>0.33</v>
      </c>
      <c r="X345">
        <v>1.2999999999999999E-2</v>
      </c>
      <c r="Z345">
        <v>31.6</v>
      </c>
    </row>
    <row r="346" spans="1:27" x14ac:dyDescent="0.3">
      <c r="A346">
        <v>3</v>
      </c>
      <c r="C346">
        <f>200+273</f>
        <v>473</v>
      </c>
      <c r="D346">
        <v>2</v>
      </c>
      <c r="E346" s="2" t="s">
        <v>327</v>
      </c>
      <c r="F346">
        <v>1200</v>
      </c>
      <c r="H346" t="s">
        <v>77</v>
      </c>
      <c r="I346">
        <v>316</v>
      </c>
      <c r="J346">
        <v>0.86</v>
      </c>
      <c r="K346">
        <v>10.8</v>
      </c>
      <c r="N346" s="9" t="s">
        <v>176</v>
      </c>
      <c r="O346">
        <v>0.05</v>
      </c>
      <c r="T346" s="1" t="s">
        <v>143</v>
      </c>
      <c r="U346">
        <f>1-O346</f>
        <v>0.95</v>
      </c>
      <c r="V346">
        <v>0.31</v>
      </c>
      <c r="X346">
        <v>2.9399999999999999E-2</v>
      </c>
      <c r="Z346">
        <v>29.4</v>
      </c>
    </row>
    <row r="347" spans="1:27" x14ac:dyDescent="0.3">
      <c r="A347">
        <v>3</v>
      </c>
      <c r="C347">
        <v>523</v>
      </c>
      <c r="D347">
        <v>3</v>
      </c>
      <c r="E347" t="s">
        <v>323</v>
      </c>
      <c r="G347">
        <v>1.49</v>
      </c>
      <c r="H347" t="s">
        <v>213</v>
      </c>
      <c r="I347">
        <v>123</v>
      </c>
      <c r="L347">
        <v>2.2000000000000002</v>
      </c>
      <c r="N347" t="s">
        <v>176</v>
      </c>
      <c r="O347">
        <v>3.1300000000000001E-2</v>
      </c>
      <c r="P347" t="s">
        <v>207</v>
      </c>
      <c r="Q347">
        <f>0.6774*(1-O347)</f>
        <v>0.65619738000000005</v>
      </c>
      <c r="T347" s="1" t="s">
        <v>125</v>
      </c>
      <c r="U347">
        <f>(1-O347)*0.322</f>
        <v>0.31192140000000002</v>
      </c>
      <c r="V347">
        <v>0.3</v>
      </c>
      <c r="X347">
        <f>0.3*60/1000</f>
        <v>1.7999999999999999E-2</v>
      </c>
      <c r="Z347">
        <v>4</v>
      </c>
    </row>
    <row r="348" spans="1:27" x14ac:dyDescent="0.3">
      <c r="A348">
        <v>3</v>
      </c>
      <c r="C348">
        <f>220+273</f>
        <v>493</v>
      </c>
      <c r="D348">
        <v>2</v>
      </c>
      <c r="E348" s="2" t="s">
        <v>327</v>
      </c>
      <c r="F348">
        <v>1200</v>
      </c>
      <c r="H348" t="s">
        <v>76</v>
      </c>
      <c r="I348">
        <v>264</v>
      </c>
      <c r="J348">
        <v>0.92</v>
      </c>
      <c r="K348">
        <v>13.9</v>
      </c>
      <c r="N348" s="9" t="s">
        <v>176</v>
      </c>
      <c r="O348">
        <v>0.05</v>
      </c>
      <c r="T348" s="1" t="s">
        <v>143</v>
      </c>
      <c r="U348">
        <f>1-O348</f>
        <v>0.95</v>
      </c>
      <c r="V348">
        <v>0.23</v>
      </c>
      <c r="X348">
        <v>5.3E-3</v>
      </c>
      <c r="Z348">
        <v>38.5</v>
      </c>
    </row>
    <row r="349" spans="1:27" x14ac:dyDescent="0.3">
      <c r="A349">
        <v>3</v>
      </c>
      <c r="C349">
        <f>180+273</f>
        <v>453</v>
      </c>
      <c r="D349">
        <v>2</v>
      </c>
      <c r="E349" s="2" t="s">
        <v>327</v>
      </c>
      <c r="F349">
        <v>1200</v>
      </c>
      <c r="H349" t="s">
        <v>77</v>
      </c>
      <c r="I349">
        <v>316</v>
      </c>
      <c r="J349">
        <v>0.86</v>
      </c>
      <c r="K349">
        <v>10.8</v>
      </c>
      <c r="N349" s="9" t="s">
        <v>176</v>
      </c>
      <c r="O349">
        <v>0.05</v>
      </c>
      <c r="T349" s="1" t="s">
        <v>143</v>
      </c>
      <c r="U349">
        <f>1-O349</f>
        <v>0.95</v>
      </c>
      <c r="V349">
        <v>0.2</v>
      </c>
      <c r="X349">
        <v>2.1499999999999998E-2</v>
      </c>
      <c r="Z349">
        <v>21.5</v>
      </c>
    </row>
    <row r="350" spans="1:27" x14ac:dyDescent="0.3">
      <c r="A350">
        <v>3</v>
      </c>
      <c r="C350">
        <f>200+273</f>
        <v>473</v>
      </c>
      <c r="D350">
        <v>2</v>
      </c>
      <c r="E350" s="2" t="s">
        <v>327</v>
      </c>
      <c r="F350">
        <v>1200</v>
      </c>
      <c r="H350" t="s">
        <v>76</v>
      </c>
      <c r="I350">
        <v>264</v>
      </c>
      <c r="J350">
        <v>0.92</v>
      </c>
      <c r="K350">
        <v>13.9</v>
      </c>
      <c r="N350" s="9" t="s">
        <v>176</v>
      </c>
      <c r="O350">
        <v>0.05</v>
      </c>
      <c r="T350" s="1" t="s">
        <v>143</v>
      </c>
      <c r="U350">
        <f>1-O350</f>
        <v>0.95</v>
      </c>
      <c r="V350">
        <v>0.15</v>
      </c>
      <c r="X350">
        <v>5.5999999999999999E-3</v>
      </c>
      <c r="Z350">
        <v>74.3</v>
      </c>
    </row>
    <row r="351" spans="1:27" x14ac:dyDescent="0.3">
      <c r="A351">
        <v>3</v>
      </c>
      <c r="C351">
        <f>180+273</f>
        <v>453</v>
      </c>
      <c r="D351">
        <v>2</v>
      </c>
      <c r="E351" s="2" t="s">
        <v>327</v>
      </c>
      <c r="F351">
        <v>1200</v>
      </c>
      <c r="H351" t="s">
        <v>76</v>
      </c>
      <c r="I351">
        <v>264</v>
      </c>
      <c r="J351">
        <v>0.92</v>
      </c>
      <c r="K351">
        <v>13.9</v>
      </c>
      <c r="N351" s="9" t="s">
        <v>176</v>
      </c>
      <c r="O351">
        <v>0.05</v>
      </c>
      <c r="T351" s="1" t="s">
        <v>143</v>
      </c>
      <c r="U351">
        <f>1-O351</f>
        <v>0.95</v>
      </c>
      <c r="V351">
        <v>0.11</v>
      </c>
      <c r="X351">
        <v>6.0000000000000001E-3</v>
      </c>
      <c r="Z351">
        <v>81.599999999999994</v>
      </c>
    </row>
    <row r="352" spans="1:27" x14ac:dyDescent="0.3">
      <c r="A352">
        <v>3</v>
      </c>
      <c r="C352">
        <v>523</v>
      </c>
      <c r="D352">
        <v>5</v>
      </c>
      <c r="E352" s="2" t="s">
        <v>323</v>
      </c>
      <c r="G352">
        <v>1.24</v>
      </c>
      <c r="H352" s="1" t="s">
        <v>72</v>
      </c>
      <c r="N352" s="9" t="s">
        <v>176</v>
      </c>
      <c r="O352">
        <v>0.1</v>
      </c>
      <c r="T352" s="1" t="s">
        <v>127</v>
      </c>
      <c r="U352">
        <v>0.9</v>
      </c>
      <c r="V352">
        <v>0.05</v>
      </c>
      <c r="X352">
        <v>0.1</v>
      </c>
      <c r="Z352">
        <v>100</v>
      </c>
    </row>
    <row r="353" spans="1:26" x14ac:dyDescent="0.3">
      <c r="A353">
        <v>3</v>
      </c>
      <c r="C353">
        <v>523</v>
      </c>
      <c r="D353">
        <v>1.2</v>
      </c>
      <c r="E353" t="s">
        <v>334</v>
      </c>
      <c r="G353">
        <v>3.3</v>
      </c>
      <c r="H353" s="1" t="s">
        <v>24</v>
      </c>
      <c r="I353" s="1">
        <v>24.88</v>
      </c>
      <c r="J353" s="1"/>
      <c r="K353" s="1"/>
      <c r="N353" t="s">
        <v>124</v>
      </c>
      <c r="O353">
        <f>0.95/3</f>
        <v>0.31666666666666665</v>
      </c>
      <c r="P353" t="s">
        <v>136</v>
      </c>
      <c r="Q353">
        <f>0.95/3</f>
        <v>0.31666666666666665</v>
      </c>
      <c r="R353" t="s">
        <v>141</v>
      </c>
      <c r="S353">
        <v>0.05</v>
      </c>
      <c r="T353" s="1" t="s">
        <v>125</v>
      </c>
      <c r="U353">
        <f>0.95/3</f>
        <v>0.31666666666666665</v>
      </c>
      <c r="X353">
        <v>1.53</v>
      </c>
      <c r="Z353">
        <v>38.799999999999997</v>
      </c>
    </row>
    <row r="354" spans="1:26" x14ac:dyDescent="0.3">
      <c r="A354">
        <v>3</v>
      </c>
      <c r="C354">
        <v>423</v>
      </c>
      <c r="D354">
        <v>3.2</v>
      </c>
      <c r="E354" s="2" t="s">
        <v>323</v>
      </c>
      <c r="H354" s="1" t="s">
        <v>50</v>
      </c>
      <c r="I354" s="2">
        <v>38.200000000000003</v>
      </c>
      <c r="N354" s="9" t="s">
        <v>50</v>
      </c>
      <c r="O354" s="2">
        <v>1</v>
      </c>
      <c r="X354">
        <v>141.4</v>
      </c>
    </row>
    <row r="355" spans="1:26" x14ac:dyDescent="0.3">
      <c r="A355">
        <v>3</v>
      </c>
      <c r="C355">
        <v>423</v>
      </c>
      <c r="D355">
        <v>3.2</v>
      </c>
      <c r="E355" s="2" t="s">
        <v>323</v>
      </c>
      <c r="H355" t="s">
        <v>51</v>
      </c>
      <c r="I355" s="2">
        <v>83.6</v>
      </c>
      <c r="N355" s="9" t="s">
        <v>153</v>
      </c>
      <c r="O355" s="2">
        <f>1-Q355</f>
        <v>0.68300000000000005</v>
      </c>
      <c r="P355" s="9" t="s">
        <v>146</v>
      </c>
      <c r="Q355">
        <v>0.317</v>
      </c>
      <c r="T355" s="2"/>
      <c r="X355">
        <v>176.1</v>
      </c>
    </row>
    <row r="356" spans="1:26" x14ac:dyDescent="0.3">
      <c r="A356">
        <v>3</v>
      </c>
      <c r="C356">
        <v>423</v>
      </c>
      <c r="D356">
        <v>3.2</v>
      </c>
      <c r="E356" s="2" t="s">
        <v>323</v>
      </c>
      <c r="H356" t="s">
        <v>52</v>
      </c>
      <c r="I356" s="2">
        <v>19.399999999999999</v>
      </c>
      <c r="N356" s="9" t="s">
        <v>137</v>
      </c>
      <c r="O356" s="2">
        <v>0.55100000000000005</v>
      </c>
      <c r="P356" s="9" t="s">
        <v>138</v>
      </c>
      <c r="Q356">
        <v>0.44900000000000001</v>
      </c>
      <c r="T356" s="2"/>
      <c r="X356">
        <v>282.60000000000002</v>
      </c>
    </row>
    <row r="357" spans="1:26" x14ac:dyDescent="0.3">
      <c r="A357">
        <v>3</v>
      </c>
      <c r="C357">
        <v>423</v>
      </c>
      <c r="D357">
        <v>3.2</v>
      </c>
      <c r="E357" s="2" t="s">
        <v>323</v>
      </c>
      <c r="H357" s="1" t="s">
        <v>53</v>
      </c>
      <c r="I357" s="2">
        <v>46.8</v>
      </c>
      <c r="N357" s="9" t="s">
        <v>153</v>
      </c>
      <c r="O357">
        <v>0.66</v>
      </c>
      <c r="P357" s="9" t="s">
        <v>137</v>
      </c>
      <c r="Q357" s="2">
        <v>0.33</v>
      </c>
      <c r="T357" s="2"/>
      <c r="X357">
        <v>335.7</v>
      </c>
    </row>
    <row r="358" spans="1:26" x14ac:dyDescent="0.3">
      <c r="A358">
        <v>9</v>
      </c>
      <c r="C358">
        <v>473</v>
      </c>
      <c r="D358">
        <v>0.1</v>
      </c>
      <c r="E358" t="s">
        <v>329</v>
      </c>
      <c r="G358">
        <v>2.99</v>
      </c>
      <c r="H358" s="1" t="s">
        <v>95</v>
      </c>
      <c r="I358">
        <v>29</v>
      </c>
      <c r="J358">
        <v>0.125</v>
      </c>
      <c r="K358">
        <v>8.4</v>
      </c>
      <c r="L358">
        <v>11</v>
      </c>
      <c r="N358" s="9" t="s">
        <v>176</v>
      </c>
      <c r="O358">
        <v>0.504</v>
      </c>
      <c r="P358" t="s">
        <v>124</v>
      </c>
      <c r="Q358">
        <v>0.1</v>
      </c>
      <c r="R358" t="s">
        <v>179</v>
      </c>
      <c r="S358">
        <v>0.38250000000000001</v>
      </c>
      <c r="T358" s="1" t="s">
        <v>184</v>
      </c>
      <c r="U358">
        <v>1.2999999999999999E-2</v>
      </c>
      <c r="X358">
        <v>0.11</v>
      </c>
      <c r="Z358">
        <v>80.900000000000006</v>
      </c>
    </row>
    <row r="359" spans="1:26" x14ac:dyDescent="0.3">
      <c r="A359">
        <v>3</v>
      </c>
      <c r="C359">
        <v>423</v>
      </c>
      <c r="D359">
        <v>3.2</v>
      </c>
      <c r="E359" t="s">
        <v>334</v>
      </c>
      <c r="H359" s="1" t="s">
        <v>96</v>
      </c>
      <c r="N359" s="9" t="s">
        <v>182</v>
      </c>
      <c r="O359">
        <v>8.9999999999999993E-3</v>
      </c>
      <c r="P359" t="s">
        <v>153</v>
      </c>
      <c r="Q359">
        <f>0.0314*O359</f>
        <v>2.8259999999999993E-4</v>
      </c>
      <c r="T359" s="1" t="s">
        <v>143</v>
      </c>
      <c r="U359">
        <f>1-O359-Q359</f>
        <v>0.99071739999999997</v>
      </c>
      <c r="X359">
        <v>81.400000000000006</v>
      </c>
    </row>
    <row r="360" spans="1:26" x14ac:dyDescent="0.3">
      <c r="A360">
        <v>3</v>
      </c>
      <c r="C360">
        <v>483</v>
      </c>
      <c r="D360">
        <v>3.2</v>
      </c>
      <c r="E360" t="s">
        <v>334</v>
      </c>
      <c r="H360" s="1"/>
      <c r="N360" s="9" t="s">
        <v>182</v>
      </c>
      <c r="O360">
        <v>8.9999999999999993E-3</v>
      </c>
      <c r="P360" t="s">
        <v>153</v>
      </c>
      <c r="Q360">
        <f>0.0314*O360</f>
        <v>2.8259999999999993E-4</v>
      </c>
      <c r="T360" s="1" t="s">
        <v>143</v>
      </c>
      <c r="U360">
        <f>1-O360-Q360</f>
        <v>0.99071739999999997</v>
      </c>
      <c r="X360">
        <v>147</v>
      </c>
    </row>
    <row r="361" spans="1:26" x14ac:dyDescent="0.3">
      <c r="A361">
        <v>3</v>
      </c>
      <c r="C361">
        <v>423</v>
      </c>
      <c r="D361">
        <v>3.2</v>
      </c>
      <c r="E361" t="s">
        <v>334</v>
      </c>
      <c r="H361" s="1" t="s">
        <v>97</v>
      </c>
      <c r="N361" s="9" t="s">
        <v>182</v>
      </c>
      <c r="O361">
        <v>2.64E-2</v>
      </c>
      <c r="P361" t="s">
        <v>153</v>
      </c>
      <c r="Q361">
        <f>0.0314*O361</f>
        <v>8.289599999999999E-4</v>
      </c>
      <c r="T361" s="1" t="s">
        <v>143</v>
      </c>
      <c r="U361">
        <f>1-O361-Q361</f>
        <v>0.97277104000000003</v>
      </c>
      <c r="X361">
        <v>239.5</v>
      </c>
    </row>
    <row r="362" spans="1:26" x14ac:dyDescent="0.3">
      <c r="A362">
        <v>3</v>
      </c>
      <c r="C362">
        <v>425</v>
      </c>
      <c r="D362">
        <v>3.2</v>
      </c>
      <c r="E362" t="s">
        <v>334</v>
      </c>
      <c r="H362" s="1" t="s">
        <v>98</v>
      </c>
      <c r="N362" s="9" t="s">
        <v>182</v>
      </c>
      <c r="O362">
        <v>8.8000000000000005E-3</v>
      </c>
      <c r="P362" t="s">
        <v>153</v>
      </c>
      <c r="Q362">
        <f>0.0314*O362</f>
        <v>2.7631999999999998E-4</v>
      </c>
      <c r="T362" s="1" t="s">
        <v>125</v>
      </c>
      <c r="U362">
        <f>1-O362-Q362</f>
        <v>0.99092367999999997</v>
      </c>
      <c r="X362">
        <v>74.900000000000006</v>
      </c>
    </row>
    <row r="363" spans="1:26" x14ac:dyDescent="0.3">
      <c r="A363">
        <v>3</v>
      </c>
      <c r="C363">
        <v>425</v>
      </c>
      <c r="D363">
        <v>3.2</v>
      </c>
      <c r="E363" t="s">
        <v>334</v>
      </c>
      <c r="H363" s="1" t="s">
        <v>99</v>
      </c>
      <c r="N363" s="9" t="s">
        <v>182</v>
      </c>
      <c r="O363">
        <v>9.1999999999999998E-3</v>
      </c>
      <c r="P363" t="s">
        <v>153</v>
      </c>
      <c r="Q363">
        <f>0.0314*O363</f>
        <v>2.8887999999999999E-4</v>
      </c>
      <c r="T363" s="1" t="s">
        <v>186</v>
      </c>
      <c r="U363">
        <f>1-O363-Q363</f>
        <v>0.99051111999999997</v>
      </c>
      <c r="X363">
        <v>35</v>
      </c>
    </row>
    <row r="364" spans="1:26" x14ac:dyDescent="0.3">
      <c r="A364">
        <v>3</v>
      </c>
      <c r="C364">
        <v>425</v>
      </c>
      <c r="D364">
        <v>3.2</v>
      </c>
      <c r="E364" t="s">
        <v>334</v>
      </c>
      <c r="H364" s="1" t="s">
        <v>100</v>
      </c>
      <c r="N364" s="9" t="s">
        <v>182</v>
      </c>
      <c r="O364">
        <v>1.0200000000000001E-2</v>
      </c>
      <c r="P364" t="s">
        <v>153</v>
      </c>
      <c r="Q364">
        <f>0.0314*O364</f>
        <v>3.2027999999999999E-4</v>
      </c>
      <c r="T364" s="1" t="s">
        <v>127</v>
      </c>
      <c r="U364">
        <f>1-O364-Q364</f>
        <v>0.98947972000000006</v>
      </c>
      <c r="X364">
        <v>30.2</v>
      </c>
    </row>
    <row r="365" spans="1:26" x14ac:dyDescent="0.3">
      <c r="A365">
        <v>4</v>
      </c>
      <c r="C365">
        <v>573</v>
      </c>
      <c r="D365">
        <v>4</v>
      </c>
      <c r="E365" t="s">
        <v>327</v>
      </c>
      <c r="G365">
        <v>2.99</v>
      </c>
      <c r="H365" t="s">
        <v>192</v>
      </c>
      <c r="L365">
        <v>14.1</v>
      </c>
      <c r="N365" t="s">
        <v>187</v>
      </c>
      <c r="O365">
        <v>0.09</v>
      </c>
      <c r="P365" t="s">
        <v>176</v>
      </c>
      <c r="Q365">
        <v>0</v>
      </c>
      <c r="T365" s="1" t="s">
        <v>127</v>
      </c>
      <c r="U365">
        <f>1-O365-Q365</f>
        <v>0.91</v>
      </c>
      <c r="Z365">
        <v>24</v>
      </c>
    </row>
    <row r="366" spans="1:26" x14ac:dyDescent="0.3">
      <c r="A366">
        <v>4</v>
      </c>
      <c r="C366">
        <v>573</v>
      </c>
      <c r="D366">
        <v>4</v>
      </c>
      <c r="E366" t="s">
        <v>327</v>
      </c>
      <c r="G366">
        <v>2.99</v>
      </c>
      <c r="H366" t="s">
        <v>110</v>
      </c>
      <c r="L366">
        <v>14.8</v>
      </c>
      <c r="N366" t="s">
        <v>187</v>
      </c>
      <c r="O366">
        <v>0.09</v>
      </c>
      <c r="P366" t="s">
        <v>176</v>
      </c>
      <c r="Q366">
        <f>0.083/2</f>
        <v>4.1500000000000002E-2</v>
      </c>
      <c r="T366" s="1" t="s">
        <v>127</v>
      </c>
      <c r="U366">
        <f>1-O366-Q366</f>
        <v>0.86850000000000005</v>
      </c>
      <c r="X366">
        <v>18.36</v>
      </c>
      <c r="Z366">
        <v>61</v>
      </c>
    </row>
    <row r="367" spans="1:26" x14ac:dyDescent="0.3">
      <c r="A367">
        <v>4</v>
      </c>
      <c r="C367">
        <v>573</v>
      </c>
      <c r="D367">
        <v>4</v>
      </c>
      <c r="E367" t="s">
        <v>327</v>
      </c>
      <c r="G367">
        <v>2.99</v>
      </c>
      <c r="H367" t="s">
        <v>193</v>
      </c>
      <c r="L367">
        <v>9.8000000000000007</v>
      </c>
      <c r="N367" t="s">
        <v>187</v>
      </c>
      <c r="O367">
        <v>0.09</v>
      </c>
      <c r="P367" t="s">
        <v>176</v>
      </c>
      <c r="Q367">
        <v>8.3000000000000004E-2</v>
      </c>
      <c r="T367" s="1" t="s">
        <v>127</v>
      </c>
      <c r="U367">
        <f>1-O367-Q367</f>
        <v>0.82700000000000007</v>
      </c>
      <c r="Z367">
        <v>42</v>
      </c>
    </row>
    <row r="368" spans="1:26" x14ac:dyDescent="0.3">
      <c r="A368">
        <v>4</v>
      </c>
      <c r="C368">
        <v>573</v>
      </c>
      <c r="D368">
        <v>4</v>
      </c>
      <c r="E368" t="s">
        <v>327</v>
      </c>
      <c r="G368">
        <v>2.99</v>
      </c>
      <c r="H368" t="s">
        <v>194</v>
      </c>
      <c r="L368">
        <v>16.8</v>
      </c>
      <c r="N368" t="s">
        <v>187</v>
      </c>
      <c r="O368">
        <v>0.09</v>
      </c>
      <c r="P368" t="s">
        <v>176</v>
      </c>
      <c r="Q368">
        <f>0.083*2</f>
        <v>0.16600000000000001</v>
      </c>
      <c r="T368" s="1" t="s">
        <v>127</v>
      </c>
      <c r="U368">
        <f>1-O368-Q368</f>
        <v>0.74399999999999999</v>
      </c>
      <c r="Z368">
        <v>23</v>
      </c>
    </row>
    <row r="369" spans="1:26" x14ac:dyDescent="0.3">
      <c r="A369">
        <v>4</v>
      </c>
      <c r="C369">
        <v>573</v>
      </c>
      <c r="D369">
        <v>4</v>
      </c>
      <c r="E369" t="s">
        <v>327</v>
      </c>
      <c r="G369">
        <v>2.99</v>
      </c>
      <c r="H369" t="s">
        <v>72</v>
      </c>
      <c r="L369">
        <v>14.3</v>
      </c>
      <c r="N369" t="s">
        <v>187</v>
      </c>
      <c r="O369">
        <v>0</v>
      </c>
      <c r="P369" t="s">
        <v>176</v>
      </c>
      <c r="Q369">
        <v>0.1</v>
      </c>
      <c r="T369" s="1" t="s">
        <v>127</v>
      </c>
      <c r="U369">
        <f>1-O369-Q369</f>
        <v>0.9</v>
      </c>
      <c r="Z369">
        <v>4</v>
      </c>
    </row>
  </sheetData>
  <sortState xmlns:xlrd2="http://schemas.microsoft.com/office/spreadsheetml/2017/richdata2" ref="A2:AA369">
    <sortCondition descending="1" ref="V2:V369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Adarsh Awasthi</cp:lastModifiedBy>
  <dcterms:created xsi:type="dcterms:W3CDTF">2022-08-03T09:56:52Z</dcterms:created>
  <dcterms:modified xsi:type="dcterms:W3CDTF">2022-08-25T16:08:18Z</dcterms:modified>
</cp:coreProperties>
</file>