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varun/Downloads/Thesis/Statistical analysis/"/>
    </mc:Choice>
  </mc:AlternateContent>
  <xr:revisionPtr revIDLastSave="0" documentId="13_ncr:1_{894018BB-E6D6-594F-84F4-ED04755B96C1}" xr6:coauthVersionLast="47" xr6:coauthVersionMax="47" xr10:uidLastSave="{00000000-0000-0000-0000-000000000000}"/>
  <bookViews>
    <workbookView xWindow="-38400" yWindow="-6000" windowWidth="38400" windowHeight="24000" firstSheet="2" activeTab="9" xr2:uid="{DEECB735-48B9-D94F-B0D0-AE53B8283168}"/>
  </bookViews>
  <sheets>
    <sheet name="Main" sheetId="1" r:id="rId1"/>
    <sheet name="Consumer Wash Loads" sheetId="3" r:id="rId2"/>
    <sheet name="Wash temperature" sheetId="4" r:id="rId3"/>
    <sheet name="Detergent" sheetId="5" r:id="rId4"/>
    <sheet name="Softner" sheetId="6" r:id="rId5"/>
    <sheet name="Wash load distribution" sheetId="7" r:id="rId6"/>
    <sheet name="Wash temperature distribution" sheetId="8" r:id="rId7"/>
    <sheet name="Household size EU" sheetId="9" r:id="rId8"/>
    <sheet name="Washing Machine Capacity" sheetId="2" r:id="rId9"/>
    <sheet name="Microfibre release" sheetId="12" r:id="rId10"/>
    <sheet name="MF River potential accumulation" sheetId="13" r:id="rId11"/>
  </sheets>
  <definedNames>
    <definedName name="_xlnm._FilterDatabase" localSheetId="6" hidden="1">'Wash temperature distribution'!$X$1:$X$70</definedName>
    <definedName name="_xlchart.v5.0" hidden="1">'Wash load distribution'!$A$3</definedName>
    <definedName name="_xlchart.v5.1" hidden="1">'Wash load distribution'!$A$4:$A$15</definedName>
    <definedName name="_xlchart.v5.10" hidden="1">'Wash load distribution'!$B$3</definedName>
    <definedName name="_xlchart.v5.11" hidden="1">'Wash load distribution'!$B$4:$B$15</definedName>
    <definedName name="_xlchart.v5.12" hidden="1">'Wash load distribution'!$A$3</definedName>
    <definedName name="_xlchart.v5.13" hidden="1">'Wash load distribution'!$A$4:$A$15</definedName>
    <definedName name="_xlchart.v5.14" hidden="1">'Wash load distribution'!$B$3</definedName>
    <definedName name="_xlchart.v5.15" hidden="1">'Wash load distribution'!$B$4:$B$15</definedName>
    <definedName name="_xlchart.v5.2" hidden="1">'Wash load distribution'!$B$3</definedName>
    <definedName name="_xlchart.v5.3" hidden="1">'Wash load distribution'!$B$4:$B$15</definedName>
    <definedName name="_xlchart.v5.4" hidden="1">'Wash load distribution'!$A$3</definedName>
    <definedName name="_xlchart.v5.5" hidden="1">'Wash load distribution'!$A$4:$A$15</definedName>
    <definedName name="_xlchart.v5.6" hidden="1">'Wash load distribution'!$B$3</definedName>
    <definedName name="_xlchart.v5.7" hidden="1">'Wash load distribution'!$B$4:$B$15</definedName>
    <definedName name="_xlchart.v5.8" hidden="1">'Wash load distribution'!$A$3</definedName>
    <definedName name="_xlchart.v5.9" hidden="1">'Wash load distribution'!$A$4:$A$15</definedName>
    <definedName name="Load_mass__kg">'Consumer Wash Loads'!$B$2:$B$81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2" l="1"/>
  <c r="D35" i="12"/>
  <c r="C34" i="12"/>
  <c r="I6" i="12" s="1"/>
  <c r="D34" i="12"/>
  <c r="D33" i="12"/>
  <c r="J10" i="12" s="1"/>
  <c r="J8" i="12"/>
  <c r="J3" i="12"/>
  <c r="I9" i="12"/>
  <c r="I10" i="12"/>
  <c r="I11" i="12"/>
  <c r="I12" i="12"/>
  <c r="I19" i="12"/>
  <c r="I20" i="12"/>
  <c r="I21" i="12"/>
  <c r="I22" i="12"/>
  <c r="C33" i="12"/>
  <c r="I4" i="12" s="1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E10" i="7"/>
  <c r="D10" i="7"/>
  <c r="C10" i="7"/>
  <c r="E7" i="7"/>
  <c r="D7" i="7"/>
  <c r="K12" i="12" l="1"/>
  <c r="K11" i="12"/>
  <c r="K10" i="12"/>
  <c r="I24" i="12"/>
  <c r="I13" i="12"/>
  <c r="I14" i="12"/>
  <c r="J9" i="12"/>
  <c r="K9" i="12" s="1"/>
  <c r="J23" i="12"/>
  <c r="J19" i="12"/>
  <c r="K19" i="12" s="1"/>
  <c r="I18" i="12"/>
  <c r="I8" i="12"/>
  <c r="K8" i="12" s="1"/>
  <c r="J15" i="12"/>
  <c r="J16" i="12"/>
  <c r="I25" i="12"/>
  <c r="K25" i="12" s="1"/>
  <c r="J24" i="12"/>
  <c r="I17" i="12"/>
  <c r="K17" i="12" s="1"/>
  <c r="I5" i="12"/>
  <c r="K5" i="12" s="1"/>
  <c r="J11" i="12"/>
  <c r="I7" i="12"/>
  <c r="K7" i="12" s="1"/>
  <c r="J25" i="12"/>
  <c r="I3" i="12"/>
  <c r="K3" i="12" s="1"/>
  <c r="I16" i="12"/>
  <c r="K16" i="12" s="1"/>
  <c r="J17" i="12"/>
  <c r="J18" i="12"/>
  <c r="I23" i="12"/>
  <c r="K23" i="12" s="1"/>
  <c r="I15" i="12"/>
  <c r="J4" i="12"/>
  <c r="K4" i="12" s="1"/>
  <c r="J7" i="12"/>
  <c r="J22" i="12"/>
  <c r="K22" i="12" s="1"/>
  <c r="J14" i="12"/>
  <c r="J6" i="12"/>
  <c r="K6" i="12" s="1"/>
  <c r="J21" i="12"/>
  <c r="K21" i="12" s="1"/>
  <c r="J13" i="12"/>
  <c r="J5" i="12"/>
  <c r="J20" i="12"/>
  <c r="K20" i="12" s="1"/>
  <c r="J12" i="12"/>
  <c r="K24" i="12" l="1"/>
  <c r="K14" i="12"/>
  <c r="K13" i="12"/>
  <c r="K15" i="12"/>
  <c r="K18" i="12"/>
  <c r="F9" i="8" l="1"/>
  <c r="F4" i="8"/>
  <c r="F5" i="8"/>
  <c r="F6" i="8"/>
  <c r="F7" i="8"/>
  <c r="F8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3" i="8"/>
  <c r="B26" i="8" l="1"/>
  <c r="C26" i="8"/>
  <c r="B9" i="5"/>
  <c r="B8" i="5"/>
  <c r="C25" i="8"/>
  <c r="D25" i="8" s="1"/>
  <c r="C24" i="8"/>
  <c r="D24" i="8" s="1"/>
  <c r="E24" i="8" s="1"/>
  <c r="C23" i="8"/>
  <c r="D23" i="8" s="1"/>
  <c r="C22" i="8"/>
  <c r="D22" i="8" s="1"/>
  <c r="E22" i="8" s="1"/>
  <c r="C21" i="8"/>
  <c r="D21" i="8" s="1"/>
  <c r="E21" i="8" s="1"/>
  <c r="C20" i="8"/>
  <c r="D20" i="8" s="1"/>
  <c r="E20" i="8" s="1"/>
  <c r="C19" i="8"/>
  <c r="D19" i="8" s="1"/>
  <c r="C18" i="8"/>
  <c r="D18" i="8" s="1"/>
  <c r="C17" i="8"/>
  <c r="D17" i="8" s="1"/>
  <c r="C16" i="8"/>
  <c r="D16" i="8" s="1"/>
  <c r="C15" i="8"/>
  <c r="D15" i="8" s="1"/>
  <c r="E15" i="8" s="1"/>
  <c r="C10" i="8"/>
  <c r="D10" i="8" s="1"/>
  <c r="E10" i="8" s="1"/>
  <c r="C14" i="8"/>
  <c r="C13" i="8"/>
  <c r="D13" i="8" s="1"/>
  <c r="C12" i="8"/>
  <c r="D12" i="8" s="1"/>
  <c r="C11" i="8"/>
  <c r="D11" i="8" s="1"/>
  <c r="C9" i="8"/>
  <c r="D9" i="8" s="1"/>
  <c r="C8" i="8"/>
  <c r="D8" i="8" s="1"/>
  <c r="E8" i="8" s="1"/>
  <c r="C7" i="8"/>
  <c r="D7" i="8" s="1"/>
  <c r="E7" i="8" s="1"/>
  <c r="D6" i="8"/>
  <c r="E6" i="8" s="1"/>
  <c r="C6" i="8"/>
  <c r="D5" i="8"/>
  <c r="C5" i="8"/>
  <c r="D4" i="8"/>
  <c r="C4" i="8"/>
  <c r="D3" i="8"/>
  <c r="C3" i="8"/>
  <c r="E3" i="8" s="1"/>
  <c r="C83" i="3"/>
  <c r="D83" i="3"/>
  <c r="C82" i="3"/>
  <c r="D82" i="3"/>
  <c r="B83" i="3"/>
  <c r="B82" i="3"/>
  <c r="E19" i="8" l="1"/>
  <c r="E16" i="8"/>
  <c r="E9" i="8"/>
  <c r="E23" i="8"/>
  <c r="D14" i="8"/>
  <c r="E14" i="8" s="1"/>
  <c r="E18" i="8"/>
  <c r="E25" i="8"/>
  <c r="E17" i="8"/>
  <c r="E13" i="8"/>
  <c r="E12" i="8"/>
  <c r="E11" i="8"/>
  <c r="E4" i="8"/>
  <c r="E5" i="8"/>
</calcChain>
</file>

<file path=xl/sharedStrings.xml><?xml version="1.0" encoding="utf-8"?>
<sst xmlns="http://schemas.openxmlformats.org/spreadsheetml/2006/main" count="372" uniqueCount="172">
  <si>
    <t>Accumulation</t>
  </si>
  <si>
    <t>Albania</t>
  </si>
  <si>
    <t>Austria</t>
  </si>
  <si>
    <t>Belgium</t>
  </si>
  <si>
    <t>Bosnia and Herzegovina</t>
  </si>
  <si>
    <t>Bulgaria</t>
  </si>
  <si>
    <t>Croatia</t>
  </si>
  <si>
    <t>Denmark</t>
  </si>
  <si>
    <t>Estonia</t>
  </si>
  <si>
    <t>Faroe Islands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</si>
  <si>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</si>
  <si>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</si>
  <si>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</si>
  <si>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</si>
  <si>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</si>
  <si>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</si>
  <si>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</si>
  <si>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</si>
  <si>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</si>
  <si>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</si>
  <si>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</si>
  <si>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</si>
  <si>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</si>
  <si>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</si>
  <si>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</si>
  <si>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</si>
  <si>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</si>
  <si>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</si>
  <si>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</si>
  <si>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Romania</t>
  </si>
  <si>
    <t>Serbia</t>
  </si>
  <si>
    <t>Slovakia</t>
  </si>
  <si>
    <t>Slovenia</t>
  </si>
  <si>
    <t>Spain</t>
  </si>
  <si>
    <t>Sweden</t>
  </si>
  <si>
    <t>Switzerland</t>
  </si>
  <si>
    <t>Turkey</t>
  </si>
  <si>
    <t>United Kingdom</t>
  </si>
  <si>
    <t>Reference</t>
  </si>
  <si>
    <t>Load mass</t>
  </si>
  <si>
    <t>(kg)</t>
  </si>
  <si>
    <t>Microfiber mass (mg)</t>
  </si>
  <si>
    <t>Microfiber release (ppm)*</t>
  </si>
  <si>
    <t>Mean</t>
  </si>
  <si>
    <t>Standard Deviation</t>
  </si>
  <si>
    <t>40°C cycle</t>
  </si>
  <si>
    <t>Microfiber mass</t>
  </si>
  <si>
    <t>(mg)</t>
  </si>
  <si>
    <t>Cold Express cycle</t>
  </si>
  <si>
    <t>No Detergent</t>
  </si>
  <si>
    <t>Cycle 1 – Load 1</t>
  </si>
  <si>
    <t>Cycle 1 – Load 2</t>
  </si>
  <si>
    <t>Cycle 1 – Load 3</t>
  </si>
  <si>
    <t>Cycle 1 – Load 4</t>
  </si>
  <si>
    <t>Cycle 1 - Mean</t>
  </si>
  <si>
    <t>Cycle 1 – Std Dev</t>
  </si>
  <si>
    <t>Cycle 4 – Load 1</t>
  </si>
  <si>
    <t>Cycle 4 – Load 2</t>
  </si>
  <si>
    <t>Cycle 4 – Load 3</t>
  </si>
  <si>
    <t>Cycle 4 – Load 4</t>
  </si>
  <si>
    <t>Cycle 4 - Mean</t>
  </si>
  <si>
    <t>Cycle 4 – Std Dev</t>
  </si>
  <si>
    <t>Cycle 8 – Load 1</t>
  </si>
  <si>
    <t>Cycle 8 – Load 2</t>
  </si>
  <si>
    <t>Cycle 8 – Load 3</t>
  </si>
  <si>
    <t>Cycle 8 – Load 4</t>
  </si>
  <si>
    <t>Cycle 8 - Mean</t>
  </si>
  <si>
    <t>Cycle 8 – Std Dev</t>
  </si>
  <si>
    <t>European Pod</t>
  </si>
  <si>
    <t>Cycle 16 – Load 1</t>
  </si>
  <si>
    <t>Cycle 16 – Load 2</t>
  </si>
  <si>
    <t>Cycle 16 - Mean</t>
  </si>
  <si>
    <t>Cycle 16 – Std Dev</t>
  </si>
  <si>
    <t>Cycle 32 – Load 1</t>
  </si>
  <si>
    <t>Cycle 32 – Load 2</t>
  </si>
  <si>
    <t>Cycle 32 - Mean</t>
  </si>
  <si>
    <t>Cycle 32 – Std Dev</t>
  </si>
  <si>
    <t>Cycle 48 – Load 1</t>
  </si>
  <si>
    <t>Cycle 48 – Load 2</t>
  </si>
  <si>
    <t>Cycle 48 - Mean</t>
  </si>
  <si>
    <t>Cycle 48 – Std Dev</t>
  </si>
  <si>
    <t>European Pod + Fabric Softener</t>
  </si>
  <si>
    <t>*Microfiber release (ppm) = Microfiber mass (mg) / Load mass (kg)</t>
  </si>
  <si>
    <t>Lant, N. J., Hayward, A. D., Peththawadu, M. M. D., Sheridan, K. J., &amp; Dean, J. R. (2020). Microfiber release from real soiled consumer laundry and the impact of fabric care products and washing conditions. PLOS ONE, 15(6), e0233332. https://doi.org/10.1371/journal.pone.0233332</t>
  </si>
  <si>
    <r>
      <t>Alborzi, F., Schmitz, A., &amp; Stamminger, R. (2017). Effects of socio-demographic factors on laundry behaviours in Europe and their implications on sustainability. </t>
    </r>
    <r>
      <rPr>
        <b/>
        <i/>
        <sz val="12"/>
        <color rgb="FF000000"/>
        <rFont val="Times New Roman"/>
        <family val="1"/>
      </rPr>
      <t>International Journal of Consumer Studies</t>
    </r>
    <r>
      <rPr>
        <b/>
        <sz val="12"/>
        <color rgb="FF000000"/>
        <rFont val="Times New Roman"/>
        <family val="1"/>
      </rPr>
      <t>, </t>
    </r>
    <r>
      <rPr>
        <b/>
        <i/>
        <sz val="12"/>
        <color rgb="FF000000"/>
        <rFont val="Times New Roman"/>
        <family val="1"/>
      </rPr>
      <t>41</t>
    </r>
    <r>
      <rPr>
        <b/>
        <sz val="12"/>
        <color rgb="FF000000"/>
        <rFont val="Times New Roman"/>
        <family val="1"/>
      </rPr>
      <t>(6), 671–684. https://doi.org/10.1111/ijcs.12380</t>
    </r>
  </si>
  <si>
    <r>
      <t>Shahmohammadi, M. S., Steinmann, Z. J. N., Clavreul, J., Hendrickx, H., King, H., &amp; Huijbregts, M. a. J. (2018). Quantifying drivers of variability in life cycle greenhouse gas emissions of consumer products—a case study on laundry washing in Europe. </t>
    </r>
    <r>
      <rPr>
        <i/>
        <sz val="12"/>
        <color rgb="FF000000"/>
        <rFont val="Times New Roman"/>
        <family val="1"/>
      </rPr>
      <t>International Journal of Life Cycle Assessment</t>
    </r>
    <r>
      <rPr>
        <sz val="12"/>
        <color rgb="FF000000"/>
        <rFont val="Times New Roman"/>
        <family val="1"/>
      </rPr>
      <t>, </t>
    </r>
    <r>
      <rPr>
        <i/>
        <sz val="12"/>
        <color rgb="FF000000"/>
        <rFont val="Times New Roman"/>
        <family val="1"/>
      </rPr>
      <t>23</t>
    </r>
    <r>
      <rPr>
        <sz val="12"/>
        <color rgb="FF000000"/>
        <rFont val="Times New Roman"/>
        <family val="1"/>
      </rPr>
      <t>(10), 1940–1949. https://doi.org/10.1007/s11367-017-1426-4</t>
    </r>
  </si>
  <si>
    <t>Cyprus</t>
  </si>
  <si>
    <t>Czechia</t>
  </si>
  <si>
    <r>
      <t>Facts and figures, EU demographics | European Union</t>
    </r>
    <r>
      <rPr>
        <sz val="12"/>
        <color rgb="FF000000"/>
        <rFont val="Times New Roman"/>
        <family val="1"/>
      </rPr>
      <t>. (n.d.). European Union. https://european-union.europa.eu/principles-countries-history/key-facts-and-figures/life-eu_en</t>
    </r>
  </si>
  <si>
    <t>Country</t>
  </si>
  <si>
    <t>United kingdom</t>
  </si>
  <si>
    <t>EU all wtd.</t>
  </si>
  <si>
    <t>Load mass (kg)</t>
  </si>
  <si>
    <t>15°C for 30 mins, as opposed to 40°C for 85 mins</t>
  </si>
  <si>
    <t>Germany (until 1990 former territory of the FRG)</t>
  </si>
  <si>
    <t>North Macedonia</t>
  </si>
  <si>
    <t>Türkiye</t>
  </si>
  <si>
    <t>Kosovo (under United Nations Security Council Resolution 1244/99)</t>
  </si>
  <si>
    <t>:</t>
  </si>
  <si>
    <t>Wash temperature = 40C</t>
  </si>
  <si>
    <t>Detergent = 70ml</t>
  </si>
  <si>
    <t>Spin speed = 1600 rpm</t>
  </si>
  <si>
    <t>https://ec.europa.eu/eurostat/databrowser/view/ILC_LVPH01__custom_3603397/bookmark/table?lang=en&amp;bookmarkId=5d2c2746-642e-498b-9699-33fd2f99b666</t>
  </si>
  <si>
    <t>https://ec.europa.eu/eurostat/databrowser/view/ILC_LVPH01__custom_3603397/bookmark/table?lang=en&amp;bookmarkId=5d2c2746-642e-498b-9699-33fd2f99b667</t>
  </si>
  <si>
    <t>https://www.instat.gov.al/en/statistical-literacy/household-consumption-expenditures-in-albania/#:~:text=A%20household%20in%20Albania%20is,than%20in%202018%5B1%5D.</t>
  </si>
  <si>
    <t>https://hub.arcgis.com/maps/esri::average-household-size-in-bosnia-and-herzegovina/about</t>
  </si>
  <si>
    <t>https://hagstova.fo/en/news/more-persons-household-faroe-islands-denmark#:~:text=The%20average%20number%20of%20persons,compared%20to%202.1%20in%20Denmark.</t>
  </si>
  <si>
    <t>Gibralter</t>
  </si>
  <si>
    <t>https://www.gibraltar.gov.gi/new/sites/default/files/HMGoG_Documents/Full%20Census%20Report%202012%20FINAL.pdf</t>
  </si>
  <si>
    <t>https://www.statice.is/publications/news-archive/census/households-income-and-vehicle-ownership/#:~:text=The%20number%20of%20families%20in,average%20but%202.59%20in%202011.</t>
  </si>
  <si>
    <t>https://livingatlas-dcdev.opendata.arcgis.com/maps/esri::average-household-size-in-liechtenstein/about</t>
  </si>
  <si>
    <t>https://www.stat.gov.mk/PrikaziSoopstenie_en.aspx?rbrtxt=146#:~:text=The%20number%20of%20households%20is,published%20in%20the%20coming%20period.</t>
  </si>
  <si>
    <t>https://www.un.org/en/development/desa/population/publications/pdf/popfacts/PopFacts_2017-2.pdf</t>
  </si>
  <si>
    <t>https://www.arcgis.com/home/item.html?id=d27ce84a33b54c2c8a32cb9147fc0fa8</t>
  </si>
  <si>
    <t>https://www.ons.gov.uk/peoplepopulationandcommunity/householdcharacteristics/homeinternetandsocialmediausage/bulletins/householdandresidentcharacteristicsenglandandwales/census2021</t>
  </si>
  <si>
    <t>overload</t>
  </si>
  <si>
    <t>capacity</t>
  </si>
  <si>
    <t>upto one-two third</t>
  </si>
  <si>
    <t>small amounts</t>
  </si>
  <si>
    <t>no mater what</t>
  </si>
  <si>
    <t>average rated capacity of the washing machines</t>
  </si>
  <si>
    <t>year</t>
  </si>
  <si>
    <t>Czech republic</t>
  </si>
  <si>
    <t>Original Dataset</t>
  </si>
  <si>
    <t>small capacity</t>
  </si>
  <si>
    <t>1/3 to 2/3</t>
  </si>
  <si>
    <t>2 kg</t>
  </si>
  <si>
    <t>4 kg</t>
  </si>
  <si>
    <t>8 kg</t>
  </si>
  <si>
    <t>Rearranged Dataset</t>
  </si>
  <si>
    <t>Household size</t>
  </si>
  <si>
    <t xml:space="preserve"> </t>
  </si>
  <si>
    <t>Source link</t>
  </si>
  <si>
    <r>
      <t>Boyano, A., Espinosa, N., &amp; Villanueva, A. (2019). Rescaling the energy label for washing machines: an opportunity to bring technology development and consumer behaviour closer together. </t>
    </r>
    <r>
      <rPr>
        <i/>
        <sz val="12"/>
        <color rgb="FF000000"/>
        <rFont val="Times New Roman"/>
        <family val="1"/>
      </rPr>
      <t>Energy Efficiency</t>
    </r>
    <r>
      <rPr>
        <sz val="12"/>
        <color rgb="FF000000"/>
        <rFont val="Times New Roman"/>
        <family val="1"/>
      </rPr>
      <t>, </t>
    </r>
    <r>
      <rPr>
        <i/>
        <sz val="12"/>
        <color rgb="FF000000"/>
        <rFont val="Times New Roman"/>
        <family val="1"/>
      </rPr>
      <t>13</t>
    </r>
    <r>
      <rPr>
        <sz val="12"/>
        <color rgb="FF000000"/>
        <rFont val="Times New Roman"/>
        <family val="1"/>
      </rPr>
      <t>(1), 51–67. https://doi.org/10.1007/s12053-019-09829-4</t>
    </r>
  </si>
  <si>
    <t>Linear Forcasted Values</t>
  </si>
  <si>
    <t>Title</t>
  </si>
  <si>
    <t>Consumer wash loads</t>
  </si>
  <si>
    <t>Wash temperature</t>
  </si>
  <si>
    <t>Detergent</t>
  </si>
  <si>
    <t>Softener</t>
  </si>
  <si>
    <t>Washload distribution</t>
  </si>
  <si>
    <t>Wash temperature distribution</t>
  </si>
  <si>
    <t>Household size EU</t>
  </si>
  <si>
    <t>Washing Machine Capacity</t>
  </si>
  <si>
    <t>Microfibre Release</t>
  </si>
  <si>
    <t>MF River potential accumulation</t>
  </si>
  <si>
    <t>Boyano, A., Espinosa, N., &amp; Villanueva, A. (2019). Rescaling the energy label for washing machines: an opportunity to bring technology development and consumer behaviour closer together. Energy Efficiency, 13(1), 51–67. https://doi.org/10.1007/s12053-019-09829-4</t>
  </si>
  <si>
    <t>Alborzi, F., Schmitz, A., &amp; Stamminger, R. (2017). Effects of socio-demographic factors on laundry behaviours in Europe and their implications on sustainability. International Journal of Consumer Studies, 41(6), 671–684. https://doi.org/10.1111/ijcs.12380</t>
  </si>
  <si>
    <t>Shahmohammadi, M. S., Steinmann, Z. J. N., Clavreul, J., Hendrickx, H., King, H., &amp; Huijbregts, M. a. J. (2018). Quantifying drivers of variability in life cycle greenhouse gas emissions of consumer products—a case study on laundry washing in Europe. International Journal of Life Cycle Assessment, 23(10), 1940–1949. https://doi.org/10.1007/s11367-017-1426-4</t>
  </si>
  <si>
    <t>Others</t>
  </si>
  <si>
    <t>Load practice</t>
  </si>
  <si>
    <t>Load (Kg)</t>
  </si>
  <si>
    <t>Overall MFR</t>
  </si>
  <si>
    <t>Temperature Distribution Ratio</t>
  </si>
  <si>
    <t>Wash Load Distribution Ratio</t>
  </si>
  <si>
    <t>40 degree wash temperature</t>
  </si>
  <si>
    <t>Cold wash temperature</t>
  </si>
  <si>
    <t>MFR</t>
  </si>
  <si>
    <t>Literature Value</t>
  </si>
  <si>
    <t>Highest</t>
  </si>
  <si>
    <t>Lowest</t>
  </si>
  <si>
    <t>Per capita MFR</t>
  </si>
  <si>
    <t>Lowest share</t>
  </si>
  <si>
    <t>Highest share</t>
  </si>
  <si>
    <t>Average values</t>
  </si>
  <si>
    <t>HYRIV_ID</t>
  </si>
  <si>
    <t>NEXT_DOWN</t>
  </si>
  <si>
    <t>MAIN_RIV</t>
  </si>
  <si>
    <t>River network 1</t>
  </si>
  <si>
    <t>River network 2</t>
  </si>
  <si>
    <t>River network 3</t>
  </si>
  <si>
    <t xml:space="preserve">Potential accumulation calculation verification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</si>
</sst>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\ &quot;°C&quot;"/>
    <numFmt numFmtId="165" formatCode="0.000"/>
    <numFmt numFmtId="167" formatCode="#,##0.##########"/>
    <numFmt numFmtId="168" formatCode="#,##0.0"/>
    <numFmt numFmtId="169" formatCode="0.0"/>
    <numFmt numFmtId="173" formatCode="0.00000"/>
  </numFmts>
  <fonts count="38">
    <font>
      <sz val="12"/>
      <color theme="1"/>
      <name val="Calibri"/>
      <family val="2"/>
      <scheme val="minor"/>
    </font>
    <font>
      <sz val="12"/>
      <color rgb="FF3D3D3D"/>
      <name val="Arial"/>
      <family val="2"/>
    </font>
    <font>
      <sz val="12"/>
      <color rgb="FF0645AD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FFFFFF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6"/>
      <color theme="1"/>
      <name val="Calibri"/>
      <family val="2"/>
      <scheme val="minor"/>
    </font>
    <font>
      <sz val="16"/>
      <color rgb="FF1C1D1E"/>
      <name val="Arial"/>
      <family val="2"/>
    </font>
    <font>
      <b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b/>
      <sz val="12"/>
      <color rgb="FF404040"/>
      <name val="Arial"/>
      <family val="2"/>
    </font>
    <font>
      <sz val="13"/>
      <color rgb="FF202020"/>
      <name val="Helvetica"/>
      <family val="2"/>
    </font>
    <font>
      <b/>
      <sz val="9"/>
      <name val="Arial"/>
      <family val="2"/>
    </font>
    <font>
      <sz val="9"/>
      <name val="Arial"/>
      <family val="2"/>
    </font>
    <font>
      <sz val="12"/>
      <color rgb="FF006100"/>
      <name val="Calibri"/>
      <family val="2"/>
      <scheme val="minor"/>
    </font>
    <font>
      <sz val="12"/>
      <color rgb="FF282828"/>
      <name val="Calibri"/>
      <family val="2"/>
      <scheme val="minor"/>
    </font>
    <font>
      <sz val="8"/>
      <name val="Calibri"/>
      <family val="2"/>
      <scheme val="minor"/>
    </font>
    <font>
      <sz val="12"/>
      <color rgb="FF2C2C2C"/>
      <name val="Var(--inter)"/>
    </font>
    <font>
      <sz val="12"/>
      <color rgb="FF2C2C2C"/>
      <name val="Var(--inter)"/>
    </font>
    <font>
      <sz val="11"/>
      <color rgb="FF333333"/>
      <name val="Calibri"/>
      <family val="2"/>
      <scheme val="minor"/>
    </font>
    <font>
      <sz val="16"/>
      <color rgb="FF333333"/>
      <name val="Helvetica Neue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u/>
      <sz val="12"/>
      <color theme="10"/>
      <name val="Times New Roman"/>
      <family val="1"/>
    </font>
    <font>
      <sz val="12"/>
      <color rgb="FF404040"/>
      <name val="Times New Roman"/>
      <family val="1"/>
    </font>
    <font>
      <b/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3FF8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2FF83"/>
        <bgColor indexed="64"/>
      </patternFill>
    </fill>
    <fill>
      <patternFill patternType="solid">
        <fgColor rgb="FFF9696B"/>
        <bgColor indexed="64"/>
      </patternFill>
    </fill>
    <fill>
      <patternFill patternType="solid">
        <fgColor rgb="FF63BF7B"/>
        <bgColor indexed="64"/>
      </patternFill>
    </fill>
    <fill>
      <patternFill patternType="solid">
        <fgColor rgb="FFFA7274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rgb="FFB0B0B0"/>
      </left>
      <right style="thin">
        <color rgb="FFB0B0B0"/>
      </right>
      <top/>
      <bottom/>
      <diagonal/>
    </border>
    <border>
      <left style="thin">
        <color indexed="64"/>
      </left>
      <right style="thin">
        <color theme="8" tint="-0.249977111117893"/>
      </right>
      <top style="thin">
        <color indexed="64"/>
      </top>
      <bottom style="thin">
        <color theme="8" tint="-0.249977111117893"/>
      </bottom>
      <diagonal/>
    </border>
    <border>
      <left style="thin">
        <color theme="8" tint="-0.249977111117893"/>
      </left>
      <right/>
      <top/>
      <bottom/>
      <diagonal/>
    </border>
    <border>
      <left style="thin">
        <color theme="8" tint="-0.249977111117893"/>
      </left>
      <right/>
      <top style="thin">
        <color indexed="64"/>
      </top>
      <bottom style="thin">
        <color indexed="64"/>
      </bottom>
      <diagonal/>
    </border>
    <border>
      <left style="thin">
        <color theme="8" tint="-0.249977111117893"/>
      </left>
      <right/>
      <top style="thin">
        <color theme="8" tint="-0.249977111117893"/>
      </top>
      <bottom style="thin">
        <color indexed="64"/>
      </bottom>
      <diagonal/>
    </border>
    <border>
      <left style="thin">
        <color theme="8" tint="-0.249977111117893"/>
      </left>
      <right/>
      <top style="thin">
        <color indexed="64"/>
      </top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/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/>
      <top/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indexed="64"/>
      </top>
      <bottom style="thin">
        <color theme="8" tint="-0.249977111117893"/>
      </bottom>
      <diagonal/>
    </border>
    <border>
      <left style="thin">
        <color indexed="64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23" fillId="4" borderId="0" applyNumberFormat="0" applyBorder="0" applyAlignment="0" applyProtection="0"/>
  </cellStyleXfs>
  <cellXfs count="1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2" fontId="7" fillId="0" borderId="4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3" fillId="0" borderId="0" xfId="1" applyAlignment="1">
      <alignment horizontal="left" vertical="center" indent="1"/>
    </xf>
    <xf numFmtId="0" fontId="16" fillId="0" borderId="0" xfId="0" applyFont="1"/>
    <xf numFmtId="0" fontId="19" fillId="0" borderId="0" xfId="0" applyFont="1"/>
    <xf numFmtId="0" fontId="4" fillId="0" borderId="0" xfId="0" applyFont="1"/>
    <xf numFmtId="164" fontId="0" fillId="0" borderId="0" xfId="0" applyNumberFormat="1"/>
    <xf numFmtId="9" fontId="0" fillId="0" borderId="0" xfId="0" applyNumberFormat="1"/>
    <xf numFmtId="0" fontId="9" fillId="0" borderId="0" xfId="0" applyFont="1" applyAlignment="1">
      <alignment horizontal="center" vertical="center" wrapText="1"/>
    </xf>
    <xf numFmtId="1" fontId="19" fillId="0" borderId="0" xfId="0" applyNumberFormat="1" applyFont="1"/>
    <xf numFmtId="1" fontId="0" fillId="0" borderId="0" xfId="0" applyNumberFormat="1"/>
    <xf numFmtId="165" fontId="12" fillId="0" borderId="4" xfId="0" applyNumberFormat="1" applyFont="1" applyBorder="1" applyAlignment="1">
      <alignment horizontal="center" vertical="center" wrapText="1"/>
    </xf>
    <xf numFmtId="0" fontId="20" fillId="0" borderId="0" xfId="0" applyFont="1"/>
    <xf numFmtId="0" fontId="6" fillId="0" borderId="0" xfId="0" applyFont="1" applyAlignment="1">
      <alignment horizontal="center" vertical="center" wrapText="1"/>
    </xf>
    <xf numFmtId="169" fontId="0" fillId="0" borderId="0" xfId="0" applyNumberFormat="1"/>
    <xf numFmtId="0" fontId="26" fillId="0" borderId="0" xfId="0" applyFont="1"/>
    <xf numFmtId="0" fontId="27" fillId="0" borderId="0" xfId="0" applyFont="1"/>
    <xf numFmtId="2" fontId="0" fillId="0" borderId="0" xfId="0" applyNumberFormat="1"/>
    <xf numFmtId="0" fontId="28" fillId="0" borderId="0" xfId="0" applyFont="1"/>
    <xf numFmtId="0" fontId="29" fillId="0" borderId="0" xfId="0" applyFont="1"/>
    <xf numFmtId="0" fontId="0" fillId="5" borderId="0" xfId="0" applyFill="1"/>
    <xf numFmtId="2" fontId="0" fillId="5" borderId="0" xfId="0" applyNumberFormat="1" applyFill="1"/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7" fillId="3" borderId="0" xfId="0" applyFont="1" applyFill="1" applyAlignment="1">
      <alignment horizontal="center"/>
    </xf>
    <xf numFmtId="0" fontId="19" fillId="0" borderId="0" xfId="0" applyFont="1" applyAlignment="1">
      <alignment horizontal="left"/>
    </xf>
    <xf numFmtId="0" fontId="14" fillId="3" borderId="0" xfId="0" applyFont="1" applyFill="1" applyAlignment="1">
      <alignment horizontal="center"/>
    </xf>
    <xf numFmtId="0" fontId="3" fillId="0" borderId="0" xfId="1" applyFill="1"/>
    <xf numFmtId="0" fontId="0" fillId="0" borderId="0" xfId="0" applyFill="1"/>
    <xf numFmtId="0" fontId="21" fillId="0" borderId="8" xfId="0" applyFont="1" applyFill="1" applyBorder="1" applyAlignment="1">
      <alignment horizontal="left" vertical="center"/>
    </xf>
    <xf numFmtId="3" fontId="22" fillId="0" borderId="0" xfId="0" applyNumberFormat="1" applyFont="1" applyFill="1" applyAlignment="1">
      <alignment horizontal="right" vertical="center" shrinkToFit="1"/>
    </xf>
    <xf numFmtId="167" fontId="22" fillId="0" borderId="0" xfId="0" applyNumberFormat="1" applyFont="1" applyFill="1" applyAlignment="1">
      <alignment horizontal="right" vertical="center" shrinkToFit="1"/>
    </xf>
    <xf numFmtId="168" fontId="22" fillId="0" borderId="0" xfId="0" applyNumberFormat="1" applyFont="1" applyFill="1" applyAlignment="1">
      <alignment horizontal="right" vertical="center" shrinkToFit="1"/>
    </xf>
    <xf numFmtId="0" fontId="17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31" fillId="0" borderId="0" xfId="0" applyFont="1"/>
    <xf numFmtId="0" fontId="32" fillId="0" borderId="8" xfId="0" applyFont="1" applyFill="1" applyBorder="1" applyAlignment="1">
      <alignment horizontal="left" vertical="center"/>
    </xf>
    <xf numFmtId="167" fontId="33" fillId="0" borderId="0" xfId="0" applyNumberFormat="1" applyFont="1" applyFill="1" applyAlignment="1">
      <alignment horizontal="right" vertical="center" shrinkToFit="1"/>
    </xf>
    <xf numFmtId="0" fontId="34" fillId="0" borderId="0" xfId="1" applyFont="1" applyFill="1" applyAlignment="1">
      <alignment horizontal="center" vertical="center" wrapText="1"/>
    </xf>
    <xf numFmtId="168" fontId="33" fillId="0" borderId="0" xfId="0" applyNumberFormat="1" applyFont="1" applyFill="1" applyAlignment="1">
      <alignment horizontal="right" vertical="center" shrinkToFit="1"/>
    </xf>
    <xf numFmtId="4" fontId="33" fillId="0" borderId="0" xfId="0" applyNumberFormat="1" applyFont="1" applyFill="1" applyAlignment="1">
      <alignment horizontal="right" vertical="center" shrinkToFit="1"/>
    </xf>
    <xf numFmtId="0" fontId="31" fillId="0" borderId="0" xfId="0" applyFont="1" applyFill="1"/>
    <xf numFmtId="3" fontId="33" fillId="0" borderId="0" xfId="0" applyNumberFormat="1" applyFont="1" applyFill="1" applyAlignment="1">
      <alignment horizontal="right" vertical="center" shrinkToFit="1"/>
    </xf>
    <xf numFmtId="0" fontId="32" fillId="0" borderId="9" xfId="0" applyFont="1" applyFill="1" applyBorder="1" applyAlignment="1">
      <alignment horizontal="left" vertical="center"/>
    </xf>
    <xf numFmtId="0" fontId="32" fillId="0" borderId="0" xfId="0" applyFont="1" applyFill="1" applyAlignment="1">
      <alignment horizontal="left" vertical="center"/>
    </xf>
    <xf numFmtId="0" fontId="35" fillId="0" borderId="0" xfId="0" applyFont="1"/>
    <xf numFmtId="0" fontId="31" fillId="0" borderId="0" xfId="0" applyFont="1" applyFill="1" applyAlignment="1"/>
    <xf numFmtId="0" fontId="23" fillId="0" borderId="0" xfId="2" applyFill="1"/>
    <xf numFmtId="0" fontId="13" fillId="0" borderId="0" xfId="0" applyFont="1" applyFill="1"/>
    <xf numFmtId="0" fontId="24" fillId="0" borderId="0" xfId="0" applyFont="1" applyFill="1"/>
    <xf numFmtId="0" fontId="23" fillId="0" borderId="0" xfId="2" applyFill="1" applyAlignment="1">
      <alignment horizontal="center"/>
    </xf>
    <xf numFmtId="0" fontId="13" fillId="3" borderId="0" xfId="0" applyFont="1" applyFill="1" applyAlignment="1">
      <alignment horizontal="center"/>
    </xf>
    <xf numFmtId="0" fontId="28" fillId="0" borderId="0" xfId="0" applyFont="1" applyFill="1"/>
    <xf numFmtId="2" fontId="0" fillId="0" borderId="0" xfId="0" applyNumberFormat="1" applyFill="1"/>
    <xf numFmtId="0" fontId="0" fillId="6" borderId="0" xfId="0" applyFill="1"/>
    <xf numFmtId="2" fontId="0" fillId="6" borderId="0" xfId="0" applyNumberFormat="1" applyFill="1"/>
    <xf numFmtId="0" fontId="0" fillId="0" borderId="0" xfId="0" applyAlignment="1">
      <alignment horizontal="center" vertical="center"/>
    </xf>
    <xf numFmtId="0" fontId="15" fillId="0" borderId="0" xfId="1" applyFont="1" applyAlignment="1">
      <alignment vertical="center" wrapText="1"/>
    </xf>
    <xf numFmtId="0" fontId="0" fillId="8" borderId="0" xfId="0" applyFill="1"/>
    <xf numFmtId="0" fontId="0" fillId="9" borderId="0" xfId="0" applyFill="1"/>
    <xf numFmtId="0" fontId="0" fillId="0" borderId="11" xfId="0" applyBorder="1"/>
    <xf numFmtId="0" fontId="37" fillId="7" borderId="10" xfId="1" applyFont="1" applyFill="1" applyBorder="1" applyAlignment="1">
      <alignment vertical="center" wrapText="1"/>
    </xf>
    <xf numFmtId="0" fontId="37" fillId="7" borderId="18" xfId="1" applyFont="1" applyFill="1" applyBorder="1" applyAlignment="1">
      <alignment vertical="center" wrapText="1"/>
    </xf>
    <xf numFmtId="0" fontId="31" fillId="9" borderId="20" xfId="0" applyFont="1" applyFill="1" applyBorder="1"/>
    <xf numFmtId="0" fontId="31" fillId="8" borderId="13" xfId="0" applyFont="1" applyFill="1" applyBorder="1" applyAlignment="1">
      <alignment horizontal="center" vertical="center" wrapText="1"/>
    </xf>
    <xf numFmtId="0" fontId="31" fillId="9" borderId="15" xfId="0" applyFont="1" applyFill="1" applyBorder="1"/>
    <xf numFmtId="0" fontId="31" fillId="8" borderId="12" xfId="0" applyFont="1" applyFill="1" applyBorder="1" applyAlignment="1">
      <alignment horizontal="center" vertical="center" wrapText="1"/>
    </xf>
    <xf numFmtId="0" fontId="31" fillId="9" borderId="19" xfId="0" applyFont="1" applyFill="1" applyBorder="1"/>
    <xf numFmtId="0" fontId="31" fillId="8" borderId="14" xfId="0" applyFont="1" applyFill="1" applyBorder="1" applyAlignment="1">
      <alignment horizontal="center" vertical="center" wrapText="1"/>
    </xf>
    <xf numFmtId="0" fontId="31" fillId="8" borderId="15" xfId="0" applyFont="1" applyFill="1" applyBorder="1"/>
    <xf numFmtId="0" fontId="31" fillId="8" borderId="16" xfId="0" applyFont="1" applyFill="1" applyBorder="1"/>
    <xf numFmtId="0" fontId="31" fillId="8" borderId="17" xfId="0" applyFont="1" applyFill="1" applyBorder="1"/>
    <xf numFmtId="0" fontId="31" fillId="8" borderId="11" xfId="0" applyFont="1" applyFill="1" applyBorder="1"/>
    <xf numFmtId="0" fontId="13" fillId="3" borderId="0" xfId="0" applyFont="1" applyFill="1" applyAlignment="1">
      <alignment horizontal="left" vertical="top"/>
    </xf>
    <xf numFmtId="0" fontId="0" fillId="0" borderId="0" xfId="0" applyAlignment="1">
      <alignment vertical="top" wrapText="1"/>
    </xf>
    <xf numFmtId="0" fontId="0" fillId="10" borderId="0" xfId="0" applyFill="1"/>
    <xf numFmtId="0" fontId="0" fillId="11" borderId="0" xfId="0" applyFill="1"/>
    <xf numFmtId="173" fontId="0" fillId="8" borderId="0" xfId="0" applyNumberFormat="1" applyFill="1"/>
    <xf numFmtId="173" fontId="0" fillId="0" borderId="0" xfId="0" applyNumberFormat="1" applyFill="1"/>
    <xf numFmtId="0" fontId="0" fillId="3" borderId="0" xfId="0" applyFill="1"/>
    <xf numFmtId="2" fontId="0" fillId="3" borderId="0" xfId="0" applyNumberFormat="1" applyFill="1"/>
    <xf numFmtId="1" fontId="0" fillId="3" borderId="0" xfId="0" applyNumberFormat="1" applyFill="1"/>
    <xf numFmtId="164" fontId="4" fillId="0" borderId="0" xfId="0" applyNumberFormat="1" applyFont="1"/>
    <xf numFmtId="0" fontId="30" fillId="0" borderId="0" xfId="0" applyFont="1"/>
    <xf numFmtId="164" fontId="30" fillId="0" borderId="0" xfId="0" applyNumberFormat="1" applyFont="1"/>
    <xf numFmtId="0" fontId="30" fillId="3" borderId="0" xfId="0" applyFont="1" applyFill="1"/>
    <xf numFmtId="173" fontId="0" fillId="13" borderId="15" xfId="0" applyNumberFormat="1" applyFill="1" applyBorder="1"/>
    <xf numFmtId="173" fontId="0" fillId="0" borderId="15" xfId="0" applyNumberFormat="1" applyFill="1" applyBorder="1"/>
    <xf numFmtId="0" fontId="0" fillId="14" borderId="15" xfId="0" applyFill="1" applyBorder="1"/>
    <xf numFmtId="0" fontId="0" fillId="15" borderId="15" xfId="0" applyFill="1" applyBorder="1"/>
    <xf numFmtId="0" fontId="0" fillId="12" borderId="15" xfId="0" applyFill="1" applyBorder="1"/>
    <xf numFmtId="0" fontId="0" fillId="0" borderId="15" xfId="0" applyBorder="1"/>
    <xf numFmtId="0" fontId="0" fillId="7" borderId="0" xfId="0" applyFill="1"/>
    <xf numFmtId="0" fontId="36" fillId="0" borderId="0" xfId="0" applyFont="1" applyAlignment="1">
      <alignment horizontal="center"/>
    </xf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A7274"/>
      <color rgb="FF63BF7B"/>
      <color rgb="FFF9696B"/>
      <color rgb="FF72FF83"/>
      <color rgb="FFFF582C"/>
      <color rgb="FFFFAB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'Consumer Wash Loads'!$D$1</c:f>
              <c:strCache>
                <c:ptCount val="1"/>
                <c:pt idx="0">
                  <c:v>Microfiber release (ppm)*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'Consumer Wash Loads'!$B$2:$B$81</c:f>
              <c:numCache>
                <c:formatCode>General</c:formatCode>
                <c:ptCount val="80"/>
                <c:pt idx="1">
                  <c:v>2.5499999999999998</c:v>
                </c:pt>
                <c:pt idx="2">
                  <c:v>2.95</c:v>
                </c:pt>
                <c:pt idx="3">
                  <c:v>1.96</c:v>
                </c:pt>
                <c:pt idx="4">
                  <c:v>2.57</c:v>
                </c:pt>
                <c:pt idx="5">
                  <c:v>2.04</c:v>
                </c:pt>
                <c:pt idx="6">
                  <c:v>3.09</c:v>
                </c:pt>
                <c:pt idx="7">
                  <c:v>2.8</c:v>
                </c:pt>
                <c:pt idx="8">
                  <c:v>2.4</c:v>
                </c:pt>
                <c:pt idx="9">
                  <c:v>2.72</c:v>
                </c:pt>
                <c:pt idx="10">
                  <c:v>2.09</c:v>
                </c:pt>
                <c:pt idx="11">
                  <c:v>2.69</c:v>
                </c:pt>
                <c:pt idx="12">
                  <c:v>2.52</c:v>
                </c:pt>
                <c:pt idx="13">
                  <c:v>2.04</c:v>
                </c:pt>
                <c:pt idx="14">
                  <c:v>2.1800000000000002</c:v>
                </c:pt>
                <c:pt idx="15">
                  <c:v>5.42</c:v>
                </c:pt>
                <c:pt idx="16">
                  <c:v>1.75</c:v>
                </c:pt>
                <c:pt idx="17">
                  <c:v>3.6</c:v>
                </c:pt>
                <c:pt idx="18">
                  <c:v>2.41</c:v>
                </c:pt>
                <c:pt idx="19">
                  <c:v>2.58</c:v>
                </c:pt>
                <c:pt idx="20">
                  <c:v>4.34</c:v>
                </c:pt>
                <c:pt idx="21">
                  <c:v>2.0699999999999998</c:v>
                </c:pt>
                <c:pt idx="22">
                  <c:v>2.62</c:v>
                </c:pt>
                <c:pt idx="23">
                  <c:v>3.3</c:v>
                </c:pt>
                <c:pt idx="24">
                  <c:v>3.54</c:v>
                </c:pt>
                <c:pt idx="25">
                  <c:v>2.77</c:v>
                </c:pt>
                <c:pt idx="26">
                  <c:v>3.19</c:v>
                </c:pt>
                <c:pt idx="27">
                  <c:v>4.46</c:v>
                </c:pt>
                <c:pt idx="28">
                  <c:v>5.28</c:v>
                </c:pt>
                <c:pt idx="29">
                  <c:v>4.2699999999999996</c:v>
                </c:pt>
                <c:pt idx="30">
                  <c:v>2.19</c:v>
                </c:pt>
                <c:pt idx="31">
                  <c:v>2.48</c:v>
                </c:pt>
                <c:pt idx="32">
                  <c:v>2.73</c:v>
                </c:pt>
                <c:pt idx="33">
                  <c:v>4.1100000000000003</c:v>
                </c:pt>
                <c:pt idx="34">
                  <c:v>5.92</c:v>
                </c:pt>
                <c:pt idx="35">
                  <c:v>2.23</c:v>
                </c:pt>
                <c:pt idx="36">
                  <c:v>1.52</c:v>
                </c:pt>
                <c:pt idx="37">
                  <c:v>3.19</c:v>
                </c:pt>
                <c:pt idx="38">
                  <c:v>4.0599999999999996</c:v>
                </c:pt>
                <c:pt idx="39">
                  <c:v>4.93</c:v>
                </c:pt>
                <c:pt idx="40">
                  <c:v>4.58</c:v>
                </c:pt>
                <c:pt idx="41">
                  <c:v>3.16</c:v>
                </c:pt>
                <c:pt idx="42">
                  <c:v>3.06</c:v>
                </c:pt>
                <c:pt idx="43">
                  <c:v>1.3</c:v>
                </c:pt>
                <c:pt idx="44">
                  <c:v>2.02</c:v>
                </c:pt>
                <c:pt idx="45">
                  <c:v>2.0699999999999998</c:v>
                </c:pt>
                <c:pt idx="46">
                  <c:v>2.38</c:v>
                </c:pt>
                <c:pt idx="47">
                  <c:v>2.5</c:v>
                </c:pt>
                <c:pt idx="48">
                  <c:v>2.23</c:v>
                </c:pt>
                <c:pt idx="49">
                  <c:v>4.6100000000000003</c:v>
                </c:pt>
                <c:pt idx="50">
                  <c:v>2.98</c:v>
                </c:pt>
                <c:pt idx="51">
                  <c:v>3.06</c:v>
                </c:pt>
                <c:pt idx="52">
                  <c:v>1.66</c:v>
                </c:pt>
                <c:pt idx="53">
                  <c:v>3.43</c:v>
                </c:pt>
                <c:pt idx="54">
                  <c:v>3.47</c:v>
                </c:pt>
                <c:pt idx="55">
                  <c:v>4.54</c:v>
                </c:pt>
                <c:pt idx="56">
                  <c:v>3.26</c:v>
                </c:pt>
                <c:pt idx="57">
                  <c:v>5.0599999999999996</c:v>
                </c:pt>
                <c:pt idx="58">
                  <c:v>4.17</c:v>
                </c:pt>
                <c:pt idx="59">
                  <c:v>2.67</c:v>
                </c:pt>
                <c:pt idx="60">
                  <c:v>2.56</c:v>
                </c:pt>
                <c:pt idx="61">
                  <c:v>4.3499999999999996</c:v>
                </c:pt>
                <c:pt idx="62">
                  <c:v>2.78</c:v>
                </c:pt>
                <c:pt idx="63">
                  <c:v>4.62</c:v>
                </c:pt>
                <c:pt idx="64">
                  <c:v>1.6</c:v>
                </c:pt>
                <c:pt idx="65">
                  <c:v>2.96</c:v>
                </c:pt>
                <c:pt idx="66">
                  <c:v>2.62</c:v>
                </c:pt>
                <c:pt idx="67">
                  <c:v>3.4</c:v>
                </c:pt>
                <c:pt idx="68">
                  <c:v>4.3</c:v>
                </c:pt>
                <c:pt idx="69">
                  <c:v>2.66</c:v>
                </c:pt>
                <c:pt idx="70">
                  <c:v>3.57</c:v>
                </c:pt>
                <c:pt idx="71">
                  <c:v>3.27</c:v>
                </c:pt>
                <c:pt idx="72">
                  <c:v>2.39</c:v>
                </c:pt>
                <c:pt idx="73">
                  <c:v>3.37</c:v>
                </c:pt>
                <c:pt idx="74">
                  <c:v>3.32</c:v>
                </c:pt>
                <c:pt idx="75">
                  <c:v>3.23</c:v>
                </c:pt>
                <c:pt idx="76">
                  <c:v>3.69</c:v>
                </c:pt>
                <c:pt idx="77">
                  <c:v>5.4</c:v>
                </c:pt>
                <c:pt idx="78">
                  <c:v>2.09</c:v>
                </c:pt>
                <c:pt idx="79">
                  <c:v>3.45</c:v>
                </c:pt>
              </c:numCache>
            </c:numRef>
          </c:xVal>
          <c:yVal>
            <c:numRef>
              <c:f>'Consumer Wash Loads'!$D$2:$D$81</c:f>
              <c:numCache>
                <c:formatCode>General</c:formatCode>
                <c:ptCount val="80"/>
                <c:pt idx="1">
                  <c:v>124.41</c:v>
                </c:pt>
                <c:pt idx="2">
                  <c:v>61.3</c:v>
                </c:pt>
                <c:pt idx="3">
                  <c:v>155.97</c:v>
                </c:pt>
                <c:pt idx="4">
                  <c:v>64.069999999999993</c:v>
                </c:pt>
                <c:pt idx="5">
                  <c:v>368.32</c:v>
                </c:pt>
                <c:pt idx="6">
                  <c:v>78.650000000000006</c:v>
                </c:pt>
                <c:pt idx="7">
                  <c:v>84.89</c:v>
                </c:pt>
                <c:pt idx="8">
                  <c:v>66.81</c:v>
                </c:pt>
                <c:pt idx="9">
                  <c:v>102.98</c:v>
                </c:pt>
                <c:pt idx="10">
                  <c:v>206.31</c:v>
                </c:pt>
                <c:pt idx="11">
                  <c:v>44.41</c:v>
                </c:pt>
                <c:pt idx="12">
                  <c:v>58.79</c:v>
                </c:pt>
                <c:pt idx="13">
                  <c:v>295.51</c:v>
                </c:pt>
                <c:pt idx="14">
                  <c:v>174.39</c:v>
                </c:pt>
                <c:pt idx="15">
                  <c:v>35.72</c:v>
                </c:pt>
                <c:pt idx="16">
                  <c:v>181.68</c:v>
                </c:pt>
                <c:pt idx="17">
                  <c:v>86.54</c:v>
                </c:pt>
                <c:pt idx="18">
                  <c:v>129.11000000000001</c:v>
                </c:pt>
                <c:pt idx="19">
                  <c:v>123.39</c:v>
                </c:pt>
                <c:pt idx="20">
                  <c:v>101.19</c:v>
                </c:pt>
                <c:pt idx="21">
                  <c:v>289.5</c:v>
                </c:pt>
                <c:pt idx="22">
                  <c:v>112</c:v>
                </c:pt>
                <c:pt idx="23">
                  <c:v>50.55</c:v>
                </c:pt>
                <c:pt idx="24">
                  <c:v>73.849999999999994</c:v>
                </c:pt>
                <c:pt idx="25">
                  <c:v>238.99</c:v>
                </c:pt>
                <c:pt idx="26">
                  <c:v>95.71</c:v>
                </c:pt>
                <c:pt idx="27">
                  <c:v>42.72</c:v>
                </c:pt>
                <c:pt idx="28">
                  <c:v>18.62</c:v>
                </c:pt>
                <c:pt idx="29">
                  <c:v>53.26</c:v>
                </c:pt>
                <c:pt idx="30">
                  <c:v>107.56</c:v>
                </c:pt>
                <c:pt idx="31">
                  <c:v>79.680000000000007</c:v>
                </c:pt>
                <c:pt idx="32">
                  <c:v>116.82</c:v>
                </c:pt>
                <c:pt idx="33">
                  <c:v>121.91</c:v>
                </c:pt>
                <c:pt idx="34">
                  <c:v>74.510000000000005</c:v>
                </c:pt>
                <c:pt idx="35">
                  <c:v>110.91</c:v>
                </c:pt>
                <c:pt idx="36">
                  <c:v>224.83</c:v>
                </c:pt>
                <c:pt idx="37">
                  <c:v>72.11</c:v>
                </c:pt>
                <c:pt idx="38">
                  <c:v>43.47</c:v>
                </c:pt>
                <c:pt idx="39">
                  <c:v>51.76</c:v>
                </c:pt>
                <c:pt idx="40">
                  <c:v>54.76</c:v>
                </c:pt>
                <c:pt idx="41">
                  <c:v>181.84</c:v>
                </c:pt>
                <c:pt idx="42">
                  <c:v>117.08</c:v>
                </c:pt>
                <c:pt idx="43">
                  <c:v>188.13</c:v>
                </c:pt>
                <c:pt idx="44">
                  <c:v>92.9</c:v>
                </c:pt>
                <c:pt idx="45">
                  <c:v>180.55</c:v>
                </c:pt>
                <c:pt idx="46">
                  <c:v>163.49</c:v>
                </c:pt>
                <c:pt idx="47">
                  <c:v>173.77</c:v>
                </c:pt>
                <c:pt idx="48">
                  <c:v>178.75</c:v>
                </c:pt>
                <c:pt idx="49">
                  <c:v>68.09</c:v>
                </c:pt>
                <c:pt idx="50">
                  <c:v>117.72</c:v>
                </c:pt>
                <c:pt idx="51">
                  <c:v>67.23</c:v>
                </c:pt>
                <c:pt idx="52">
                  <c:v>105.82</c:v>
                </c:pt>
                <c:pt idx="53">
                  <c:v>99.81</c:v>
                </c:pt>
                <c:pt idx="54">
                  <c:v>79.02</c:v>
                </c:pt>
                <c:pt idx="55">
                  <c:v>75.180000000000007</c:v>
                </c:pt>
                <c:pt idx="56">
                  <c:v>242.57</c:v>
                </c:pt>
                <c:pt idx="57">
                  <c:v>60.33</c:v>
                </c:pt>
                <c:pt idx="58">
                  <c:v>56.41</c:v>
                </c:pt>
                <c:pt idx="59">
                  <c:v>144.47999999999999</c:v>
                </c:pt>
                <c:pt idx="60">
                  <c:v>109.71</c:v>
                </c:pt>
                <c:pt idx="61">
                  <c:v>92.09</c:v>
                </c:pt>
                <c:pt idx="62">
                  <c:v>73.95</c:v>
                </c:pt>
                <c:pt idx="63">
                  <c:v>117.21</c:v>
                </c:pt>
                <c:pt idx="64">
                  <c:v>274.94</c:v>
                </c:pt>
                <c:pt idx="65">
                  <c:v>107.61</c:v>
                </c:pt>
                <c:pt idx="66">
                  <c:v>87.73</c:v>
                </c:pt>
                <c:pt idx="67">
                  <c:v>122.75</c:v>
                </c:pt>
                <c:pt idx="68">
                  <c:v>78.680000000000007</c:v>
                </c:pt>
                <c:pt idx="69">
                  <c:v>145.47999999999999</c:v>
                </c:pt>
                <c:pt idx="70">
                  <c:v>80.849999999999994</c:v>
                </c:pt>
                <c:pt idx="71">
                  <c:v>55.99</c:v>
                </c:pt>
                <c:pt idx="72">
                  <c:v>136.84</c:v>
                </c:pt>
                <c:pt idx="73">
                  <c:v>87.46</c:v>
                </c:pt>
                <c:pt idx="74">
                  <c:v>104.05</c:v>
                </c:pt>
                <c:pt idx="75">
                  <c:v>111.15</c:v>
                </c:pt>
                <c:pt idx="76">
                  <c:v>35.630000000000003</c:v>
                </c:pt>
                <c:pt idx="77">
                  <c:v>36.35</c:v>
                </c:pt>
                <c:pt idx="78">
                  <c:v>104.54</c:v>
                </c:pt>
                <c:pt idx="79">
                  <c:v>70.23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2-FE45-81C0-C2C05DA27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806432"/>
        <c:axId val="922704480"/>
      </c:scatterChart>
      <c:valAx>
        <c:axId val="92180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Load mass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22704480"/>
        <c:crosses val="autoZero"/>
        <c:crossBetween val="midCat"/>
      </c:valAx>
      <c:valAx>
        <c:axId val="92270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Microfibre release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2180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Probability of use of temperature T in country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'Wash temperature distribution'!$B$2</c:f>
              <c:strCache>
                <c:ptCount val="1"/>
                <c:pt idx="0">
                  <c:v>30 °C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'Wash temperature distribution'!$A$3:$A$25</c:f>
              <c:strCache>
                <c:ptCount val="23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Czechia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Greece</c:v>
                </c:pt>
                <c:pt idx="9">
                  <c:v>Hungary</c:v>
                </c:pt>
                <c:pt idx="10">
                  <c:v>Ireland</c:v>
                </c:pt>
                <c:pt idx="11">
                  <c:v>Italy</c:v>
                </c:pt>
                <c:pt idx="12">
                  <c:v>Netherlands</c:v>
                </c:pt>
                <c:pt idx="13">
                  <c:v>Norway</c:v>
                </c:pt>
                <c:pt idx="14">
                  <c:v>Poland</c:v>
                </c:pt>
                <c:pt idx="15">
                  <c:v>Portugal</c:v>
                </c:pt>
                <c:pt idx="16">
                  <c:v>Romania</c:v>
                </c:pt>
                <c:pt idx="17">
                  <c:v>Slovakia</c:v>
                </c:pt>
                <c:pt idx="18">
                  <c:v>Spain</c:v>
                </c:pt>
                <c:pt idx="19">
                  <c:v>Sweden</c:v>
                </c:pt>
                <c:pt idx="20">
                  <c:v>Switzerland</c:v>
                </c:pt>
                <c:pt idx="21">
                  <c:v>Turkey</c:v>
                </c:pt>
                <c:pt idx="22">
                  <c:v>United kingdom</c:v>
                </c:pt>
              </c:strCache>
            </c:strRef>
          </c:cat>
          <c:val>
            <c:numRef>
              <c:f>'Wash temperature distribution'!$B$3:$B$25</c:f>
              <c:numCache>
                <c:formatCode>0</c:formatCode>
                <c:ptCount val="23"/>
                <c:pt idx="0">
                  <c:v>22</c:v>
                </c:pt>
                <c:pt idx="1">
                  <c:v>34</c:v>
                </c:pt>
                <c:pt idx="2">
                  <c:v>23</c:v>
                </c:pt>
                <c:pt idx="3">
                  <c:v>16</c:v>
                </c:pt>
                <c:pt idx="4">
                  <c:v>17.227156802391999</c:v>
                </c:pt>
                <c:pt idx="5">
                  <c:v>6.2096561428194503</c:v>
                </c:pt>
                <c:pt idx="6">
                  <c:v>39.869844340867097</c:v>
                </c:pt>
                <c:pt idx="7">
                  <c:v>24.149151349925202</c:v>
                </c:pt>
                <c:pt idx="8">
                  <c:v>27.4039222583765</c:v>
                </c:pt>
                <c:pt idx="9">
                  <c:v>20.211063231026198</c:v>
                </c:pt>
                <c:pt idx="10">
                  <c:v>28.233224870284001</c:v>
                </c:pt>
                <c:pt idx="11">
                  <c:v>34.7814616128748</c:v>
                </c:pt>
                <c:pt idx="12">
                  <c:v>30.3394600299006</c:v>
                </c:pt>
                <c:pt idx="13">
                  <c:v>13.0674522909154</c:v>
                </c:pt>
                <c:pt idx="14">
                  <c:v>21.911001670917202</c:v>
                </c:pt>
                <c:pt idx="15">
                  <c:v>43.204643391082499</c:v>
                </c:pt>
                <c:pt idx="16">
                  <c:v>26.571981356081199</c:v>
                </c:pt>
                <c:pt idx="17">
                  <c:v>16.091812505496399</c:v>
                </c:pt>
                <c:pt idx="18">
                  <c:v>62.846715328467099</c:v>
                </c:pt>
                <c:pt idx="19">
                  <c:v>7.9526866590449297</c:v>
                </c:pt>
                <c:pt idx="20">
                  <c:v>19.264796411925001</c:v>
                </c:pt>
                <c:pt idx="21">
                  <c:v>23.4526426875384</c:v>
                </c:pt>
                <c:pt idx="22">
                  <c:v>28.007211327059998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3-2A4C-A007-D9D8090409E1}"/>
            </c:ext>
          </c:extLst>
        </c:ser>
        <c:ser>
          <c:idx val="1"/>
          <c:order val="1"/>
          <c:tx>
            <c:strRef>
              <c:f>'Wash temperature distribution'!$C$2</c:f>
              <c:strCache>
                <c:ptCount val="1"/>
                <c:pt idx="0">
                  <c:v>40 °C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'Wash temperature distribution'!$A$3:$A$25</c:f>
              <c:strCache>
                <c:ptCount val="23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Czechia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Greece</c:v>
                </c:pt>
                <c:pt idx="9">
                  <c:v>Hungary</c:v>
                </c:pt>
                <c:pt idx="10">
                  <c:v>Ireland</c:v>
                </c:pt>
                <c:pt idx="11">
                  <c:v>Italy</c:v>
                </c:pt>
                <c:pt idx="12">
                  <c:v>Netherlands</c:v>
                </c:pt>
                <c:pt idx="13">
                  <c:v>Norway</c:v>
                </c:pt>
                <c:pt idx="14">
                  <c:v>Poland</c:v>
                </c:pt>
                <c:pt idx="15">
                  <c:v>Portugal</c:v>
                </c:pt>
                <c:pt idx="16">
                  <c:v>Romania</c:v>
                </c:pt>
                <c:pt idx="17">
                  <c:v>Slovakia</c:v>
                </c:pt>
                <c:pt idx="18">
                  <c:v>Spain</c:v>
                </c:pt>
                <c:pt idx="19">
                  <c:v>Sweden</c:v>
                </c:pt>
                <c:pt idx="20">
                  <c:v>Switzerland</c:v>
                </c:pt>
                <c:pt idx="21">
                  <c:v>Turkey</c:v>
                </c:pt>
                <c:pt idx="22">
                  <c:v>United kingdom</c:v>
                </c:pt>
              </c:strCache>
            </c:strRef>
          </c:cat>
          <c:val>
            <c:numRef>
              <c:f>'Wash temperature distribution'!$C$3:$C$25</c:f>
              <c:numCache>
                <c:formatCode>0</c:formatCode>
                <c:ptCount val="23"/>
                <c:pt idx="0">
                  <c:v>44.317999999999998</c:v>
                </c:pt>
                <c:pt idx="1">
                  <c:v>37</c:v>
                </c:pt>
                <c:pt idx="2">
                  <c:v>45</c:v>
                </c:pt>
                <c:pt idx="3">
                  <c:v>48</c:v>
                </c:pt>
                <c:pt idx="4">
                  <c:v>50.882947849793297</c:v>
                </c:pt>
                <c:pt idx="5">
                  <c:v>56.299358017180552</c:v>
                </c:pt>
                <c:pt idx="6">
                  <c:v>38.626330138070507</c:v>
                </c:pt>
                <c:pt idx="7">
                  <c:v>46.170961217131293</c:v>
                </c:pt>
                <c:pt idx="8">
                  <c:v>42.7789992085129</c:v>
                </c:pt>
                <c:pt idx="9">
                  <c:v>50.957699410781899</c:v>
                </c:pt>
                <c:pt idx="10">
                  <c:v>52.910034297775098</c:v>
                </c:pt>
                <c:pt idx="11">
                  <c:v>31.7236830533814</c:v>
                </c:pt>
                <c:pt idx="12">
                  <c:v>44.923049863688298</c:v>
                </c:pt>
                <c:pt idx="13">
                  <c:v>46.726761058833901</c:v>
                </c:pt>
                <c:pt idx="14">
                  <c:v>47.467241227684497</c:v>
                </c:pt>
                <c:pt idx="15">
                  <c:v>37.046873625890498</c:v>
                </c:pt>
                <c:pt idx="16">
                  <c:v>40.688593791223298</c:v>
                </c:pt>
                <c:pt idx="17">
                  <c:v>50.353530911968996</c:v>
                </c:pt>
                <c:pt idx="18">
                  <c:v>20.189077477794399</c:v>
                </c:pt>
                <c:pt idx="19">
                  <c:v>55.718054700553971</c:v>
                </c:pt>
                <c:pt idx="20">
                  <c:v>48.803095594055094</c:v>
                </c:pt>
                <c:pt idx="21">
                  <c:v>36.301116876264203</c:v>
                </c:pt>
                <c:pt idx="22">
                  <c:v>49.426611555711908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73-2A4C-A007-D9D8090409E1}"/>
            </c:ext>
          </c:extLst>
        </c:ser>
        <c:ser>
          <c:idx val="2"/>
          <c:order val="2"/>
          <c:tx>
            <c:strRef>
              <c:f>'Wash temperature distribution'!$D$2</c:f>
              <c:strCache>
                <c:ptCount val="1"/>
                <c:pt idx="0">
                  <c:v>50 °C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'Wash temperature distribution'!$A$3:$A$25</c:f>
              <c:strCache>
                <c:ptCount val="23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Czechia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Greece</c:v>
                </c:pt>
                <c:pt idx="9">
                  <c:v>Hungary</c:v>
                </c:pt>
                <c:pt idx="10">
                  <c:v>Ireland</c:v>
                </c:pt>
                <c:pt idx="11">
                  <c:v>Italy</c:v>
                </c:pt>
                <c:pt idx="12">
                  <c:v>Netherlands</c:v>
                </c:pt>
                <c:pt idx="13">
                  <c:v>Norway</c:v>
                </c:pt>
                <c:pt idx="14">
                  <c:v>Poland</c:v>
                </c:pt>
                <c:pt idx="15">
                  <c:v>Portugal</c:v>
                </c:pt>
                <c:pt idx="16">
                  <c:v>Romania</c:v>
                </c:pt>
                <c:pt idx="17">
                  <c:v>Slovakia</c:v>
                </c:pt>
                <c:pt idx="18">
                  <c:v>Spain</c:v>
                </c:pt>
                <c:pt idx="19">
                  <c:v>Sweden</c:v>
                </c:pt>
                <c:pt idx="20">
                  <c:v>Switzerland</c:v>
                </c:pt>
                <c:pt idx="21">
                  <c:v>Turkey</c:v>
                </c:pt>
                <c:pt idx="22">
                  <c:v>United kingdom</c:v>
                </c:pt>
              </c:strCache>
            </c:strRef>
          </c:cat>
          <c:val>
            <c:numRef>
              <c:f>'Wash temperature distribution'!$D$3:$D$25</c:f>
              <c:numCache>
                <c:formatCode>0</c:formatCode>
                <c:ptCount val="23"/>
                <c:pt idx="0">
                  <c:v>6.6852000000000089</c:v>
                </c:pt>
                <c:pt idx="1">
                  <c:v>6</c:v>
                </c:pt>
                <c:pt idx="2">
                  <c:v>12</c:v>
                </c:pt>
                <c:pt idx="3">
                  <c:v>11</c:v>
                </c:pt>
                <c:pt idx="4">
                  <c:v>4.8263125494679997</c:v>
                </c:pt>
                <c:pt idx="5">
                  <c:v>5.9801248799999982</c:v>
                </c:pt>
                <c:pt idx="6">
                  <c:v>6.8076686307272922</c:v>
                </c:pt>
                <c:pt idx="7">
                  <c:v>5.9440682437780055</c:v>
                </c:pt>
                <c:pt idx="8">
                  <c:v>9.9947234192243997</c:v>
                </c:pt>
                <c:pt idx="9">
                  <c:v>10.945387388971895</c:v>
                </c:pt>
                <c:pt idx="10">
                  <c:v>6.9114413859818029</c:v>
                </c:pt>
                <c:pt idx="11">
                  <c:v>13.819365051446695</c:v>
                </c:pt>
                <c:pt idx="12">
                  <c:v>4.8104828071409997</c:v>
                </c:pt>
                <c:pt idx="13">
                  <c:v>4.9881276932547962</c:v>
                </c:pt>
                <c:pt idx="14">
                  <c:v>11.890774777943903</c:v>
                </c:pt>
                <c:pt idx="15">
                  <c:v>8.8198047665112966</c:v>
                </c:pt>
                <c:pt idx="16">
                  <c:v>12.7737226277372</c:v>
                </c:pt>
                <c:pt idx="17">
                  <c:v>10.069474980212902</c:v>
                </c:pt>
                <c:pt idx="18">
                  <c:v>7.1312989183008995</c:v>
                </c:pt>
                <c:pt idx="19">
                  <c:v>4.7471638378331065</c:v>
                </c:pt>
                <c:pt idx="20">
                  <c:v>7.2509014158824954</c:v>
                </c:pt>
                <c:pt idx="21">
                  <c:v>18.163749890071202</c:v>
                </c:pt>
                <c:pt idx="22">
                  <c:v>10.767742502858198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73-2A4C-A007-D9D8090409E1}"/>
            </c:ext>
          </c:extLst>
        </c:ser>
        <c:ser>
          <c:idx val="3"/>
          <c:order val="3"/>
          <c:tx>
            <c:strRef>
              <c:f>'Wash temperature distribution'!$E$2</c:f>
              <c:strCache>
                <c:ptCount val="1"/>
                <c:pt idx="0">
                  <c:v>60 °C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'Wash temperature distribution'!$A$3:$A$25</c:f>
              <c:strCache>
                <c:ptCount val="23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Czechia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Greece</c:v>
                </c:pt>
                <c:pt idx="9">
                  <c:v>Hungary</c:v>
                </c:pt>
                <c:pt idx="10">
                  <c:v>Ireland</c:v>
                </c:pt>
                <c:pt idx="11">
                  <c:v>Italy</c:v>
                </c:pt>
                <c:pt idx="12">
                  <c:v>Netherlands</c:v>
                </c:pt>
                <c:pt idx="13">
                  <c:v>Norway</c:v>
                </c:pt>
                <c:pt idx="14">
                  <c:v>Poland</c:v>
                </c:pt>
                <c:pt idx="15">
                  <c:v>Portugal</c:v>
                </c:pt>
                <c:pt idx="16">
                  <c:v>Romania</c:v>
                </c:pt>
                <c:pt idx="17">
                  <c:v>Slovakia</c:v>
                </c:pt>
                <c:pt idx="18">
                  <c:v>Spain</c:v>
                </c:pt>
                <c:pt idx="19">
                  <c:v>Sweden</c:v>
                </c:pt>
                <c:pt idx="20">
                  <c:v>Switzerland</c:v>
                </c:pt>
                <c:pt idx="21">
                  <c:v>Turkey</c:v>
                </c:pt>
                <c:pt idx="22">
                  <c:v>United kingdom</c:v>
                </c:pt>
              </c:strCache>
            </c:strRef>
          </c:cat>
          <c:val>
            <c:numRef>
              <c:f>'Wash temperature distribution'!$E$3:$E$25</c:f>
              <c:numCache>
                <c:formatCode>0</c:formatCode>
                <c:ptCount val="23"/>
                <c:pt idx="0">
                  <c:v>26.996799999999993</c:v>
                </c:pt>
                <c:pt idx="1">
                  <c:v>23</c:v>
                </c:pt>
                <c:pt idx="2">
                  <c:v>20</c:v>
                </c:pt>
                <c:pt idx="3">
                  <c:v>25</c:v>
                </c:pt>
                <c:pt idx="4">
                  <c:v>27.063582798346701</c:v>
                </c:pt>
                <c:pt idx="5">
                  <c:v>31.510860960000002</c:v>
                </c:pt>
                <c:pt idx="6">
                  <c:v>14.696156890335104</c:v>
                </c:pt>
                <c:pt idx="7">
                  <c:v>23.735819189165497</c:v>
                </c:pt>
                <c:pt idx="8">
                  <c:v>19.822355113886204</c:v>
                </c:pt>
                <c:pt idx="9">
                  <c:v>17.885849969220004</c:v>
                </c:pt>
                <c:pt idx="10">
                  <c:v>11.945299445959094</c:v>
                </c:pt>
                <c:pt idx="11">
                  <c:v>19.675490282297105</c:v>
                </c:pt>
                <c:pt idx="12">
                  <c:v>19.927007299270102</c:v>
                </c:pt>
                <c:pt idx="13">
                  <c:v>35.217658956995905</c:v>
                </c:pt>
                <c:pt idx="14">
                  <c:v>18.730982323454398</c:v>
                </c:pt>
                <c:pt idx="15">
                  <c:v>10.928678216515706</c:v>
                </c:pt>
                <c:pt idx="16">
                  <c:v>19.965702224958306</c:v>
                </c:pt>
                <c:pt idx="17">
                  <c:v>23.485181602321703</c:v>
                </c:pt>
                <c:pt idx="18">
                  <c:v>9.8329082754376032</c:v>
                </c:pt>
                <c:pt idx="19">
                  <c:v>31.582094802567994</c:v>
                </c:pt>
                <c:pt idx="20">
                  <c:v>24.681206578137406</c:v>
                </c:pt>
                <c:pt idx="21">
                  <c:v>22.082490546126195</c:v>
                </c:pt>
                <c:pt idx="22">
                  <c:v>11.798434614369896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73-2A4C-A007-D9D809040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846607"/>
        <c:axId val="29968943"/>
      </c:barChart>
      <c:catAx>
        <c:axId val="298466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68943"/>
        <c:crosses val="autoZero"/>
        <c:auto val="1"/>
        <c:lblAlgn val="ctr"/>
        <c:lblOffset val="100"/>
        <c:noMultiLvlLbl val="0"/>
      </c:catAx>
      <c:valAx>
        <c:axId val="2996894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Distribution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84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680720</xdr:colOff>
      <xdr:row>59</xdr:row>
      <xdr:rowOff>142240</xdr:rowOff>
    </xdr:from>
    <xdr:to>
      <xdr:col>11</xdr:col>
      <xdr:colOff>177800</xdr:colOff>
      <xdr:row>76</xdr:row>
      <xdr:rowOff>40640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128BD8-6F35-D0BF-AA4B-B14834E0C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514930</xdr:colOff>
      <xdr:row>1</xdr:row>
      <xdr:rowOff>189731</xdr:rowOff>
    </xdr:from>
    <xdr:to>
      <xdr:col>12</xdr:col>
      <xdr:colOff>1153775</xdr:colOff>
      <xdr:row>29</xdr:row>
      <xdr:rowOff>35792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854CFB-AA6F-7112-4C4B-5AC8D81FE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databrowser/view/ILC_LVPH01__custom_3603397/bookmark/table?lang=en&amp;bookmarkId=5d2c2746-642e-498b-9699-33fd2f99b6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BCD44-3868-EA4A-BFB0-050A8F4CBFF3}">
  <sheetPr codeName="Sheet1"/>
  <dimension ref="A1:J88"/>
  <sheetViews>
    <sheetView zoomScale="200" zoomScaleNormal="200" workbookViewId="0">
      <selection activeCell="C2" sqref="C2"/>
    </sheetView>
  </sheetViews>
  <sheetFormatPr baseColWidth="10" defaultRowHeight="16"/>
  <cols>
    <col min="1" max="1" width="28.33203125" bestFit="1" customWidth="1"/>
    <col min="2" max="2" width="48" customWidth="1"/>
    <col min="3" max="3" width="20.83203125" customWidth="1"/>
    <col min="4" max="4" width="21" customWidth="1"/>
    <col min="5" max="5" width="20.83203125" customWidth="1"/>
    <col min="6" max="6" width="12.6640625" customWidth="1"/>
  </cols>
  <sheetData>
    <row r="1" spans="1:5" ht="21">
      <c r="A1" s="83" t="s">
        <v>135</v>
      </c>
      <c r="B1" s="84"/>
      <c r="C1" s="79"/>
      <c r="D1" s="79"/>
      <c r="E1" s="79"/>
    </row>
    <row r="2" spans="1:5">
      <c r="A2" s="85" t="s">
        <v>136</v>
      </c>
      <c r="B2" s="86" t="s">
        <v>83</v>
      </c>
      <c r="C2" s="82"/>
    </row>
    <row r="3" spans="1:5">
      <c r="A3" s="87" t="s">
        <v>137</v>
      </c>
      <c r="B3" s="88"/>
      <c r="C3" s="82"/>
    </row>
    <row r="4" spans="1:5">
      <c r="A4" s="87" t="s">
        <v>138</v>
      </c>
      <c r="B4" s="88"/>
      <c r="C4" s="82"/>
    </row>
    <row r="5" spans="1:5">
      <c r="A5" s="89" t="s">
        <v>139</v>
      </c>
      <c r="B5" s="90"/>
      <c r="C5" s="82"/>
    </row>
    <row r="6" spans="1:5">
      <c r="A6" s="87" t="s">
        <v>140</v>
      </c>
      <c r="B6" s="91" t="s">
        <v>147</v>
      </c>
      <c r="C6" t="s">
        <v>131</v>
      </c>
    </row>
    <row r="7" spans="1:5">
      <c r="A7" s="87" t="s">
        <v>141</v>
      </c>
      <c r="B7" s="91" t="s">
        <v>148</v>
      </c>
      <c r="C7" t="s">
        <v>131</v>
      </c>
    </row>
    <row r="8" spans="1:5">
      <c r="A8" s="87" t="s">
        <v>142</v>
      </c>
      <c r="B8" s="92"/>
      <c r="C8" s="82"/>
    </row>
    <row r="9" spans="1:5">
      <c r="A9" s="87" t="s">
        <v>143</v>
      </c>
      <c r="B9" s="93" t="s">
        <v>146</v>
      </c>
      <c r="C9" s="82" t="s">
        <v>131</v>
      </c>
    </row>
    <row r="10" spans="1:5">
      <c r="A10" s="87" t="s">
        <v>144</v>
      </c>
      <c r="B10" s="94"/>
      <c r="C10" s="82"/>
    </row>
    <row r="11" spans="1:5">
      <c r="A11" s="87" t="s">
        <v>145</v>
      </c>
      <c r="B11" s="91"/>
      <c r="C11" s="82"/>
    </row>
    <row r="32" spans="1:1">
      <c r="A32" s="17"/>
    </row>
    <row r="37" spans="2:10">
      <c r="B37" s="1"/>
      <c r="C37" s="2"/>
      <c r="D37" s="1"/>
      <c r="E37" s="3"/>
      <c r="F37" s="1"/>
      <c r="G37" s="3"/>
      <c r="H37" s="1"/>
      <c r="I37" s="1"/>
      <c r="J37" s="1"/>
    </row>
    <row r="38" spans="2:10">
      <c r="B38" s="1"/>
      <c r="C38" s="2"/>
      <c r="D38" s="1"/>
      <c r="E38" s="3"/>
      <c r="F38" s="1"/>
      <c r="G38" s="3"/>
      <c r="H38" s="1"/>
      <c r="I38" s="1"/>
      <c r="J38" s="1"/>
    </row>
    <row r="39" spans="2:10">
      <c r="B39" s="1"/>
      <c r="C39" s="2"/>
      <c r="D39" s="1"/>
      <c r="E39" s="3"/>
      <c r="F39" s="1"/>
      <c r="G39" s="3"/>
      <c r="H39" s="1"/>
      <c r="I39" s="1"/>
      <c r="J39" s="1"/>
    </row>
    <row r="40" spans="2:10">
      <c r="B40" s="1"/>
      <c r="C40" s="2"/>
      <c r="D40" s="1"/>
      <c r="E40" s="3"/>
      <c r="F40" s="1"/>
      <c r="G40" s="3"/>
      <c r="H40" s="1"/>
      <c r="I40" s="1"/>
      <c r="J40" s="1"/>
    </row>
    <row r="41" spans="2:10">
      <c r="B41" s="1"/>
      <c r="C41" s="2"/>
      <c r="D41" s="1"/>
      <c r="E41" s="3"/>
      <c r="F41" s="1"/>
      <c r="G41" s="3"/>
      <c r="H41" s="1"/>
      <c r="I41" s="1"/>
      <c r="J41" s="1"/>
    </row>
    <row r="42" spans="2:10">
      <c r="B42" s="1"/>
      <c r="C42" s="2"/>
      <c r="D42" s="1"/>
      <c r="E42" s="3"/>
      <c r="F42" s="1"/>
      <c r="G42" s="3"/>
      <c r="H42" s="1"/>
      <c r="I42" s="1"/>
      <c r="J42" s="1"/>
    </row>
    <row r="43" spans="2:10">
      <c r="B43" s="1"/>
      <c r="C43" s="2"/>
      <c r="D43" s="1"/>
      <c r="E43" s="3"/>
      <c r="F43" s="1"/>
      <c r="G43" s="3"/>
      <c r="H43" s="1"/>
      <c r="I43" s="1"/>
      <c r="J43" s="1"/>
    </row>
    <row r="44" spans="2:10">
      <c r="B44" s="1"/>
      <c r="C44" s="2"/>
      <c r="D44" s="1"/>
      <c r="E44" s="3"/>
      <c r="F44" s="1"/>
      <c r="G44" s="3"/>
      <c r="H44" s="1"/>
      <c r="I44" s="1"/>
      <c r="J44" s="1"/>
    </row>
    <row r="45" spans="2:10">
      <c r="B45" s="1"/>
      <c r="C45" s="2"/>
      <c r="D45" s="1"/>
      <c r="E45" s="3"/>
      <c r="F45" s="1"/>
      <c r="G45" s="3"/>
      <c r="H45" s="1"/>
      <c r="I45" s="1"/>
      <c r="J45" s="1"/>
    </row>
    <row r="46" spans="2:10">
      <c r="B46" s="1"/>
      <c r="C46" s="2"/>
      <c r="D46" s="1"/>
      <c r="E46" s="3"/>
      <c r="F46" s="1"/>
      <c r="G46" s="3"/>
      <c r="H46" s="1"/>
      <c r="I46" s="1"/>
      <c r="J46" s="1"/>
    </row>
    <row r="47" spans="2:10">
      <c r="B47" s="1"/>
      <c r="C47" s="2"/>
      <c r="D47" s="1"/>
      <c r="E47" s="3"/>
      <c r="F47" s="1"/>
      <c r="G47" s="3"/>
      <c r="H47" s="1"/>
      <c r="I47" s="1"/>
      <c r="J47" s="1"/>
    </row>
    <row r="48" spans="2:10">
      <c r="B48" s="1"/>
      <c r="C48" s="2"/>
      <c r="D48" s="1"/>
      <c r="E48" s="3"/>
      <c r="F48" s="1"/>
      <c r="G48" s="3"/>
      <c r="H48" s="1"/>
      <c r="I48" s="1"/>
      <c r="J48" s="1"/>
    </row>
    <row r="49" spans="2:10">
      <c r="B49" s="1"/>
      <c r="C49" s="2"/>
      <c r="D49" s="1"/>
      <c r="E49" s="3"/>
      <c r="F49" s="1"/>
      <c r="G49" s="3"/>
      <c r="H49" s="1"/>
      <c r="I49" s="1"/>
      <c r="J49" s="1"/>
    </row>
    <row r="50" spans="2:10">
      <c r="B50" s="1"/>
      <c r="C50" s="2"/>
      <c r="D50" s="1"/>
      <c r="E50" s="3"/>
      <c r="F50" s="1"/>
      <c r="G50" s="3"/>
      <c r="H50" s="1"/>
      <c r="I50" s="1"/>
      <c r="J50" s="1"/>
    </row>
    <row r="51" spans="2:10">
      <c r="B51" s="1"/>
      <c r="C51" s="2"/>
      <c r="D51" s="1"/>
      <c r="E51" s="3"/>
      <c r="F51" s="1"/>
      <c r="G51" s="3"/>
      <c r="H51" s="1"/>
      <c r="I51" s="1"/>
      <c r="J51" s="1"/>
    </row>
    <row r="52" spans="2:10">
      <c r="B52" s="1"/>
      <c r="C52" s="2"/>
      <c r="D52" s="1"/>
      <c r="E52" s="3"/>
      <c r="F52" s="1"/>
      <c r="G52" s="3"/>
      <c r="H52" s="1"/>
      <c r="I52" s="1"/>
      <c r="J52" s="1"/>
    </row>
    <row r="53" spans="2:10">
      <c r="B53" s="1"/>
      <c r="C53" s="2"/>
      <c r="D53" s="1"/>
      <c r="E53" s="3"/>
      <c r="F53" s="1"/>
      <c r="G53" s="3"/>
      <c r="H53" s="1"/>
      <c r="I53" s="1"/>
      <c r="J53" s="1"/>
    </row>
    <row r="54" spans="2:10">
      <c r="B54" s="1"/>
      <c r="C54" s="2"/>
      <c r="D54" s="1"/>
      <c r="E54" s="3"/>
      <c r="F54" s="1"/>
      <c r="G54" s="3"/>
      <c r="H54" s="1"/>
      <c r="I54" s="1"/>
      <c r="J54" s="1"/>
    </row>
    <row r="55" spans="2:10">
      <c r="B55" s="1"/>
      <c r="C55" s="2"/>
      <c r="D55" s="1"/>
      <c r="E55" s="3"/>
      <c r="F55" s="1"/>
      <c r="G55" s="3"/>
      <c r="H55" s="1"/>
      <c r="I55" s="1"/>
      <c r="J55" s="1"/>
    </row>
    <row r="56" spans="2:10">
      <c r="B56" s="1"/>
      <c r="C56" s="2"/>
      <c r="D56" s="1"/>
      <c r="E56" s="3"/>
      <c r="F56" s="1"/>
      <c r="G56" s="3"/>
      <c r="H56" s="1"/>
      <c r="I56" s="1"/>
      <c r="J56" s="1"/>
    </row>
    <row r="57" spans="2:10">
      <c r="B57" s="1"/>
      <c r="C57" s="2"/>
      <c r="D57" s="1"/>
      <c r="E57" s="3"/>
      <c r="F57" s="1"/>
      <c r="G57" s="3"/>
      <c r="H57" s="1"/>
      <c r="I57" s="1"/>
      <c r="J57" s="1"/>
    </row>
    <row r="58" spans="2:10">
      <c r="B58" s="1"/>
      <c r="C58" s="2"/>
      <c r="D58" s="1"/>
      <c r="E58" s="3"/>
      <c r="F58" s="1"/>
      <c r="G58" s="3"/>
      <c r="H58" s="1"/>
      <c r="I58" s="1"/>
      <c r="J58" s="1"/>
    </row>
    <row r="59" spans="2:10">
      <c r="B59" s="1"/>
      <c r="C59" s="2"/>
      <c r="D59" s="1"/>
      <c r="E59" s="3"/>
      <c r="F59" s="1"/>
      <c r="G59" s="3"/>
      <c r="H59" s="1"/>
      <c r="I59" s="1"/>
      <c r="J59" s="1"/>
    </row>
    <row r="60" spans="2:10">
      <c r="B60" s="1"/>
      <c r="C60" s="2"/>
      <c r="D60" s="1"/>
      <c r="E60" s="3"/>
      <c r="F60" s="1"/>
      <c r="G60" s="3"/>
      <c r="H60" s="1"/>
      <c r="I60" s="1"/>
      <c r="J60" s="1"/>
    </row>
    <row r="61" spans="2:10">
      <c r="B61" s="1"/>
      <c r="C61" s="2"/>
      <c r="D61" s="1"/>
      <c r="E61" s="3"/>
      <c r="F61" s="1"/>
      <c r="G61" s="3"/>
      <c r="H61" s="1"/>
      <c r="I61" s="1"/>
      <c r="J61" s="1"/>
    </row>
    <row r="62" spans="2:10">
      <c r="B62" s="1"/>
      <c r="C62" s="2"/>
      <c r="D62" s="1"/>
      <c r="E62" s="3"/>
      <c r="F62" s="1"/>
      <c r="G62" s="3"/>
      <c r="H62" s="1"/>
      <c r="I62" s="1"/>
      <c r="J62" s="1"/>
    </row>
    <row r="63" spans="2:10">
      <c r="B63" s="1"/>
      <c r="C63" s="2"/>
      <c r="D63" s="1"/>
      <c r="E63" s="3"/>
      <c r="F63" s="1"/>
      <c r="G63" s="3"/>
      <c r="H63" s="1"/>
      <c r="I63" s="1"/>
      <c r="J63" s="1"/>
    </row>
    <row r="64" spans="2:10">
      <c r="B64" s="1"/>
      <c r="C64" s="2"/>
      <c r="D64" s="1"/>
      <c r="E64" s="3"/>
      <c r="F64" s="1"/>
      <c r="G64" s="3"/>
      <c r="H64" s="1"/>
      <c r="I64" s="1"/>
      <c r="J64" s="1"/>
    </row>
    <row r="65" spans="2:10">
      <c r="B65" s="1"/>
      <c r="C65" s="2"/>
      <c r="D65" s="1"/>
      <c r="E65" s="3"/>
      <c r="F65" s="1"/>
      <c r="G65" s="3"/>
      <c r="H65" s="1"/>
      <c r="I65" s="1"/>
      <c r="J65" s="1"/>
    </row>
    <row r="66" spans="2:10">
      <c r="B66" s="1"/>
      <c r="C66" s="2"/>
      <c r="D66" s="1"/>
      <c r="E66" s="3"/>
      <c r="F66" s="1"/>
      <c r="G66" s="3"/>
      <c r="H66" s="1"/>
      <c r="I66" s="1"/>
      <c r="J66" s="1"/>
    </row>
    <row r="67" spans="2:10">
      <c r="B67" s="1"/>
      <c r="C67" s="2"/>
      <c r="D67" s="1"/>
      <c r="E67" s="3"/>
      <c r="F67" s="1"/>
      <c r="G67" s="3"/>
      <c r="H67" s="1"/>
      <c r="I67" s="1"/>
      <c r="J67" s="1"/>
    </row>
    <row r="68" spans="2:10">
      <c r="B68" s="1"/>
      <c r="C68" s="2"/>
      <c r="D68" s="1"/>
      <c r="E68" s="3"/>
      <c r="F68" s="1"/>
      <c r="G68" s="3"/>
      <c r="H68" s="1"/>
      <c r="I68" s="1"/>
      <c r="J68" s="1"/>
    </row>
    <row r="69" spans="2:10">
      <c r="B69" s="1"/>
      <c r="C69" s="2"/>
      <c r="D69" s="1"/>
      <c r="E69" s="3"/>
      <c r="F69" s="1"/>
      <c r="G69" s="3"/>
      <c r="H69" s="1"/>
      <c r="I69" s="1"/>
      <c r="J69" s="1"/>
    </row>
    <row r="70" spans="2:10">
      <c r="B70" s="1"/>
      <c r="C70" s="2"/>
      <c r="D70" s="1"/>
      <c r="E70" s="3"/>
      <c r="F70" s="1"/>
      <c r="G70" s="3"/>
      <c r="H70" s="1"/>
      <c r="I70" s="1"/>
      <c r="J70" s="1"/>
    </row>
    <row r="71" spans="2:10">
      <c r="B71" s="1"/>
      <c r="C71" s="2"/>
      <c r="D71" s="1"/>
      <c r="E71" s="3"/>
      <c r="F71" s="1"/>
      <c r="G71" s="3"/>
      <c r="H71" s="1"/>
      <c r="I71" s="1"/>
      <c r="J71" s="1"/>
    </row>
    <row r="72" spans="2:10">
      <c r="B72" s="1"/>
      <c r="C72" s="2"/>
      <c r="D72" s="1"/>
      <c r="E72" s="3"/>
      <c r="F72" s="1"/>
      <c r="G72" s="3"/>
      <c r="H72" s="1"/>
      <c r="I72" s="1"/>
      <c r="J72" s="1"/>
    </row>
    <row r="73" spans="2:10">
      <c r="B73" s="1"/>
      <c r="C73" s="2"/>
      <c r="D73" s="1"/>
      <c r="E73" s="3"/>
      <c r="F73" s="1"/>
      <c r="G73" s="3"/>
      <c r="H73" s="1"/>
      <c r="I73" s="1"/>
      <c r="J73" s="1"/>
    </row>
    <row r="74" spans="2:10">
      <c r="B74" s="1"/>
      <c r="C74" s="2"/>
      <c r="D74" s="1"/>
      <c r="E74" s="3"/>
      <c r="F74" s="1"/>
      <c r="G74" s="3"/>
      <c r="H74" s="1"/>
      <c r="I74" s="1"/>
      <c r="J74" s="1"/>
    </row>
    <row r="75" spans="2:10">
      <c r="B75" s="1"/>
      <c r="C75" s="2"/>
      <c r="D75" s="1"/>
      <c r="E75" s="3"/>
      <c r="F75" s="1"/>
      <c r="G75" s="3"/>
      <c r="H75" s="1"/>
      <c r="I75" s="1"/>
      <c r="J75" s="1"/>
    </row>
    <row r="76" spans="2:10">
      <c r="B76" s="1"/>
      <c r="C76" s="2"/>
      <c r="D76" s="1"/>
      <c r="E76" s="3"/>
      <c r="F76" s="1"/>
      <c r="G76" s="3"/>
      <c r="H76" s="1"/>
      <c r="I76" s="1"/>
      <c r="J76" s="1"/>
    </row>
    <row r="77" spans="2:10">
      <c r="B77" s="1"/>
      <c r="C77" s="2"/>
      <c r="D77" s="1"/>
      <c r="E77" s="3"/>
      <c r="F77" s="1"/>
      <c r="G77" s="3"/>
      <c r="H77" s="1"/>
      <c r="I77" s="1"/>
      <c r="J77" s="1"/>
    </row>
    <row r="78" spans="2:10">
      <c r="B78" s="1"/>
      <c r="C78" s="2"/>
      <c r="D78" s="1"/>
      <c r="E78" s="3"/>
      <c r="F78" s="1"/>
      <c r="G78" s="3"/>
      <c r="H78" s="1"/>
      <c r="I78" s="1"/>
      <c r="J78" s="1"/>
    </row>
    <row r="79" spans="2:10">
      <c r="B79" s="1"/>
      <c r="C79" s="2"/>
      <c r="D79" s="1"/>
      <c r="E79" s="3"/>
      <c r="F79" s="1"/>
      <c r="G79" s="3"/>
      <c r="H79" s="1"/>
      <c r="I79" s="1"/>
      <c r="J79" s="1"/>
    </row>
    <row r="80" spans="2:10">
      <c r="B80" s="1"/>
      <c r="C80" s="2"/>
      <c r="D80" s="1"/>
      <c r="E80" s="3"/>
      <c r="F80" s="1"/>
      <c r="G80" s="3"/>
      <c r="H80" s="1"/>
      <c r="I80" s="1"/>
      <c r="J80" s="1"/>
    </row>
    <row r="81" spans="2:10">
      <c r="B81" s="1"/>
      <c r="C81" s="2"/>
      <c r="D81" s="1"/>
      <c r="E81" s="3"/>
      <c r="F81" s="1"/>
      <c r="G81" s="3"/>
      <c r="H81" s="1"/>
      <c r="I81" s="1"/>
      <c r="J81" s="1"/>
    </row>
    <row r="82" spans="2:10">
      <c r="B82" s="1"/>
      <c r="C82" s="2"/>
      <c r="D82" s="1"/>
      <c r="E82" s="3"/>
      <c r="F82" s="1"/>
      <c r="G82" s="3"/>
      <c r="H82" s="1"/>
      <c r="I82" s="1"/>
      <c r="J82" s="1"/>
    </row>
    <row r="83" spans="2:10">
      <c r="B83" s="1"/>
      <c r="C83" s="2"/>
      <c r="D83" s="1"/>
      <c r="E83" s="3"/>
      <c r="F83" s="1"/>
      <c r="G83" s="2"/>
      <c r="H83" s="1"/>
      <c r="I83" s="1"/>
      <c r="J83" s="1"/>
    </row>
    <row r="84" spans="2:10">
      <c r="B84" s="1"/>
      <c r="C84" s="2"/>
      <c r="D84" s="1"/>
      <c r="E84" s="3"/>
      <c r="F84" s="1"/>
      <c r="G84" s="3"/>
      <c r="H84" s="1"/>
      <c r="I84" s="1"/>
      <c r="J84" s="1"/>
    </row>
    <row r="85" spans="2:10">
      <c r="B85" s="1"/>
      <c r="C85" s="2"/>
      <c r="D85" s="1"/>
      <c r="E85" s="3"/>
      <c r="F85" s="1"/>
      <c r="G85" s="3"/>
      <c r="H85" s="1"/>
      <c r="I85" s="1"/>
      <c r="J85" s="1"/>
    </row>
    <row r="86" spans="2:10">
      <c r="B86" s="1"/>
      <c r="C86" s="2"/>
      <c r="D86" s="1"/>
      <c r="E86" s="3"/>
      <c r="F86" s="1"/>
      <c r="G86" s="3"/>
      <c r="H86" s="1"/>
      <c r="I86" s="1"/>
      <c r="J86" s="1"/>
    </row>
    <row r="87" spans="2:10">
      <c r="B87" s="1"/>
      <c r="C87" s="2"/>
      <c r="D87" s="1"/>
      <c r="E87" s="3"/>
      <c r="F87" s="1"/>
      <c r="G87" s="3"/>
      <c r="H87" s="1"/>
      <c r="I87" s="1"/>
      <c r="J87" s="1"/>
    </row>
    <row r="88" spans="2:10">
      <c r="B88" s="1"/>
      <c r="C88" s="2"/>
      <c r="D88" s="1"/>
      <c r="E88" s="3"/>
      <c r="F88" s="1"/>
      <c r="G88" s="3"/>
      <c r="H88" s="1"/>
      <c r="I88" s="1"/>
      <c r="J88" s="1"/>
    </row>
  </sheetData>
  <mergeCells count="1">
    <mergeCell ref="B2:B5"/>
  </mergeCells>
  <phoneticPr fontId="2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9B47-1E3A-9947-8ED0-E0D9082B30EA}">
  <dimension ref="A1:O35"/>
  <sheetViews>
    <sheetView tabSelected="1" workbookViewId="0">
      <selection activeCell="I33" sqref="I33"/>
    </sheetView>
  </sheetViews>
  <sheetFormatPr baseColWidth="10" defaultRowHeight="16"/>
  <cols>
    <col min="1" max="1" width="16" bestFit="1" customWidth="1"/>
    <col min="2" max="2" width="18.1640625" customWidth="1"/>
    <col min="3" max="3" width="25.33203125" bestFit="1" customWidth="1"/>
    <col min="4" max="4" width="20.5" bestFit="1" customWidth="1"/>
    <col min="6" max="6" width="12.83203125" bestFit="1" customWidth="1"/>
    <col min="7" max="7" width="14.33203125" bestFit="1" customWidth="1"/>
    <col min="8" max="8" width="14" customWidth="1"/>
    <col min="9" max="9" width="24.6640625" customWidth="1"/>
    <col min="10" max="10" width="20.5" bestFit="1" customWidth="1"/>
    <col min="11" max="11" width="14.6640625" bestFit="1" customWidth="1"/>
  </cols>
  <sheetData>
    <row r="1" spans="1:15">
      <c r="A1" s="105" t="s">
        <v>89</v>
      </c>
      <c r="B1" s="55" t="s">
        <v>153</v>
      </c>
      <c r="C1" s="55"/>
      <c r="D1" s="55"/>
      <c r="E1" s="105"/>
      <c r="F1" s="55" t="s">
        <v>154</v>
      </c>
      <c r="G1" s="55"/>
      <c r="H1" s="55"/>
      <c r="I1" s="106" t="s">
        <v>155</v>
      </c>
      <c r="J1" s="105" t="s">
        <v>156</v>
      </c>
      <c r="K1" s="105" t="s">
        <v>161</v>
      </c>
    </row>
    <row r="2" spans="1:15">
      <c r="A2" s="105"/>
      <c r="B2" s="21">
        <v>40</v>
      </c>
      <c r="C2" s="21">
        <v>30</v>
      </c>
      <c r="D2" t="s">
        <v>149</v>
      </c>
      <c r="F2" t="s">
        <v>124</v>
      </c>
      <c r="G2" t="s">
        <v>125</v>
      </c>
      <c r="H2" t="s">
        <v>116</v>
      </c>
      <c r="I2" s="98" t="s">
        <v>157</v>
      </c>
      <c r="J2" s="80" t="s">
        <v>157</v>
      </c>
      <c r="K2" t="s">
        <v>152</v>
      </c>
      <c r="L2" s="48"/>
      <c r="M2" s="48"/>
      <c r="N2" s="48"/>
      <c r="O2" s="48"/>
    </row>
    <row r="3" spans="1:15">
      <c r="A3" s="105" t="s">
        <v>2</v>
      </c>
      <c r="B3" s="32">
        <v>0.44317999999999996</v>
      </c>
      <c r="C3" s="32">
        <v>0.22</v>
      </c>
      <c r="D3" s="32">
        <v>0.33682000000000001</v>
      </c>
      <c r="E3" s="25"/>
      <c r="F3">
        <v>4.4999999999999998E-2</v>
      </c>
      <c r="G3">
        <v>0.22500000000000001</v>
      </c>
      <c r="H3">
        <v>0.73</v>
      </c>
      <c r="I3" s="98">
        <f>(F3*$C$33)+(G3*$C$34)+(H3*$C$35)</f>
        <v>74.03046151737874</v>
      </c>
      <c r="J3" s="80">
        <f>(F3*$D$33)+(G3*$D$34)+(H3*$D$35)</f>
        <v>75.158423962384845</v>
      </c>
      <c r="K3" s="75">
        <f>(I3*B3)+(J3*C3)</f>
        <v>49.34367320699657</v>
      </c>
      <c r="L3" s="48"/>
      <c r="M3" s="100"/>
      <c r="N3" s="100"/>
      <c r="O3" s="100"/>
    </row>
    <row r="4" spans="1:15">
      <c r="A4" s="105" t="s">
        <v>3</v>
      </c>
      <c r="B4" s="32">
        <v>0.37</v>
      </c>
      <c r="C4" s="32">
        <v>0.34</v>
      </c>
      <c r="D4" s="32">
        <v>0.28999999999999998</v>
      </c>
      <c r="E4" s="25"/>
      <c r="F4">
        <v>4.4999999999999998E-2</v>
      </c>
      <c r="G4">
        <v>0.22500000000000001</v>
      </c>
      <c r="H4">
        <v>0.73</v>
      </c>
      <c r="I4" s="98">
        <f>(F4*$C$33)+(G4*$C$34)+(H4*$C$35)</f>
        <v>74.03046151737874</v>
      </c>
      <c r="J4" s="80">
        <f>(F4*$D$33)+(G4*$D$34)+(H4*$D$35)</f>
        <v>75.158423962384845</v>
      </c>
      <c r="K4" s="75">
        <f t="shared" ref="K4:K25" si="0">(I4*B4)+(J4*C4)</f>
        <v>52.945134908640981</v>
      </c>
      <c r="L4" s="48"/>
      <c r="M4" s="100"/>
      <c r="N4" s="100"/>
      <c r="O4" s="100"/>
    </row>
    <row r="5" spans="1:15">
      <c r="A5" s="105" t="s">
        <v>5</v>
      </c>
      <c r="B5" s="32">
        <v>0.45</v>
      </c>
      <c r="C5" s="32">
        <v>0.23</v>
      </c>
      <c r="D5" s="32">
        <v>0.32</v>
      </c>
      <c r="E5" s="25"/>
      <c r="F5">
        <v>4.4999999999999998E-2</v>
      </c>
      <c r="G5">
        <v>0.22500000000000001</v>
      </c>
      <c r="H5">
        <v>0.73</v>
      </c>
      <c r="I5" s="98">
        <f>(F5*$C$33)+(G5*$C$34)+(H5*$C$35)</f>
        <v>74.03046151737874</v>
      </c>
      <c r="J5" s="80">
        <f>(F5*$D$33)+(G5*$D$34)+(H5*$D$35)</f>
        <v>75.158423962384845</v>
      </c>
      <c r="K5" s="75">
        <f t="shared" si="0"/>
        <v>50.600145194168952</v>
      </c>
      <c r="L5" s="48"/>
      <c r="M5" s="100"/>
      <c r="N5" s="100"/>
      <c r="O5" s="100"/>
    </row>
    <row r="6" spans="1:15">
      <c r="A6" s="105" t="s">
        <v>87</v>
      </c>
      <c r="B6" s="32">
        <v>0.48</v>
      </c>
      <c r="C6" s="32">
        <v>0.16</v>
      </c>
      <c r="D6" s="32">
        <v>0.36</v>
      </c>
      <c r="E6" s="25"/>
      <c r="F6" s="97">
        <v>7.0000000000000007E-2</v>
      </c>
      <c r="G6" s="97">
        <v>0.24</v>
      </c>
      <c r="H6" s="97">
        <v>0.69</v>
      </c>
      <c r="I6" s="98">
        <f>(F6*$C$33)+(G6*$C$34)+(H6*$C$35)</f>
        <v>78.738090134229111</v>
      </c>
      <c r="J6" s="80">
        <f>(F6*$D$33)+(G6*$D$34)+(H6*$D$35)</f>
        <v>77.588123087795935</v>
      </c>
      <c r="K6" s="75">
        <f t="shared" si="0"/>
        <v>50.208382958477323</v>
      </c>
      <c r="L6" s="48"/>
      <c r="M6" s="100"/>
      <c r="N6" s="100"/>
      <c r="O6" s="100"/>
    </row>
    <row r="7" spans="1:15">
      <c r="A7" s="105" t="s">
        <v>7</v>
      </c>
      <c r="B7" s="32">
        <v>0.50882947849793292</v>
      </c>
      <c r="C7" s="32">
        <v>0.17227156802391999</v>
      </c>
      <c r="D7" s="32">
        <v>0.31889895347814701</v>
      </c>
      <c r="E7" s="25"/>
      <c r="F7" s="97">
        <v>0.04</v>
      </c>
      <c r="G7" s="97">
        <v>0.21</v>
      </c>
      <c r="H7" s="97">
        <v>0.75</v>
      </c>
      <c r="I7" s="98">
        <f>(F7*$C$33)+(G7*$C$34)+(H7*$C$35)</f>
        <v>72.454234800172841</v>
      </c>
      <c r="J7" s="80">
        <f>(F7*$D$33)+(G7*$D$34)+(H7*$D$35)</f>
        <v>74.294763453975406</v>
      </c>
      <c r="K7" s="75">
        <f t="shared" si="0"/>
        <v>49.665725904521295</v>
      </c>
      <c r="L7" s="48"/>
      <c r="M7" s="100"/>
      <c r="N7" s="100"/>
      <c r="O7" s="100"/>
    </row>
    <row r="8" spans="1:15">
      <c r="A8" s="105" t="s">
        <v>10</v>
      </c>
      <c r="B8" s="32">
        <v>0.56299358017180556</v>
      </c>
      <c r="C8" s="32">
        <v>6.2096561428194502E-2</v>
      </c>
      <c r="D8" s="32">
        <v>0.37490985840000002</v>
      </c>
      <c r="E8" s="25"/>
      <c r="F8" s="97">
        <v>9.5000000000000001E-2</v>
      </c>
      <c r="G8" s="97">
        <v>0.36499999999999999</v>
      </c>
      <c r="H8" s="97">
        <v>0.54</v>
      </c>
      <c r="I8" s="98">
        <f>(F8*$C$33)+(G8*$C$34)+(H8*$C$35)</f>
        <v>89.263811194574672</v>
      </c>
      <c r="J8" s="80">
        <f>(F8*$D$33)+(G8*$D$34)+(H8*$D$35)</f>
        <v>83.480261810373293</v>
      </c>
      <c r="K8" s="75">
        <f t="shared" si="0"/>
        <v>55.438789849763296</v>
      </c>
      <c r="L8" s="48"/>
      <c r="M8" s="100"/>
      <c r="N8" s="100"/>
      <c r="O8" s="100"/>
    </row>
    <row r="9" spans="1:15">
      <c r="A9" s="105" t="s">
        <v>11</v>
      </c>
      <c r="B9" s="32">
        <v>0.38626330138070508</v>
      </c>
      <c r="C9" s="32">
        <v>0.39869844340867094</v>
      </c>
      <c r="D9" s="32">
        <v>0.21503825521062395</v>
      </c>
      <c r="E9" s="25"/>
      <c r="F9" s="97">
        <v>0.04</v>
      </c>
      <c r="G9" s="97">
        <v>0.15</v>
      </c>
      <c r="H9" s="97">
        <v>0.81</v>
      </c>
      <c r="I9" s="98">
        <f>(F9*$C$33)+(G9*$C$34)+(H9*$C$35)</f>
        <v>69.280729830993636</v>
      </c>
      <c r="J9" s="80">
        <f>(F9*$D$33)+(G9*$D$34)+(H9*$D$35)</f>
        <v>72.406160037339262</v>
      </c>
      <c r="K9" s="75">
        <f t="shared" si="0"/>
        <v>55.628826726670582</v>
      </c>
      <c r="L9" s="48"/>
      <c r="M9" s="100"/>
      <c r="N9" s="100"/>
      <c r="O9" s="100"/>
    </row>
    <row r="10" spans="1:15">
      <c r="A10" s="105" t="s">
        <v>12</v>
      </c>
      <c r="B10" s="32">
        <v>0.4617096121713129</v>
      </c>
      <c r="C10" s="32">
        <v>0.24149151349925202</v>
      </c>
      <c r="D10" s="32">
        <v>0.29679887432943503</v>
      </c>
      <c r="E10" s="25"/>
      <c r="F10">
        <v>4.4999999999999998E-2</v>
      </c>
      <c r="G10">
        <v>0.22500000000000001</v>
      </c>
      <c r="H10">
        <v>0.73</v>
      </c>
      <c r="I10" s="98">
        <f>(F10*$C$33)+(G10*$C$34)+(H10*$C$35)</f>
        <v>74.03046151737874</v>
      </c>
      <c r="J10" s="80">
        <f>(F10*$D$33)+(G10*$D$34)+(H10*$D$35)</f>
        <v>75.158423962384845</v>
      </c>
      <c r="K10" s="75">
        <f t="shared" si="0"/>
        <v>52.33069723094701</v>
      </c>
      <c r="L10" s="48"/>
      <c r="M10" s="100"/>
      <c r="N10" s="100"/>
      <c r="O10" s="100"/>
    </row>
    <row r="11" spans="1:15">
      <c r="A11" s="105" t="s">
        <v>13</v>
      </c>
      <c r="B11" s="32">
        <v>0.42778999208512902</v>
      </c>
      <c r="C11" s="32">
        <v>0.27403922258376501</v>
      </c>
      <c r="D11" s="32">
        <v>0.29817078533110603</v>
      </c>
      <c r="E11" s="25"/>
      <c r="F11">
        <v>4.4999999999999998E-2</v>
      </c>
      <c r="G11">
        <v>0.22500000000000001</v>
      </c>
      <c r="H11">
        <v>0.73</v>
      </c>
      <c r="I11" s="98">
        <f>(F11*$C$33)+(G11*$C$34)+(H11*$C$35)</f>
        <v>74.03046151737874</v>
      </c>
      <c r="J11" s="80">
        <f>(F11*$D$33)+(G11*$D$34)+(H11*$D$35)</f>
        <v>75.158423962384845</v>
      </c>
      <c r="K11" s="75">
        <f t="shared" si="0"/>
        <v>52.265846619850862</v>
      </c>
      <c r="L11" s="48"/>
      <c r="M11" s="100"/>
      <c r="N11" s="100"/>
      <c r="O11" s="100"/>
    </row>
    <row r="12" spans="1:15">
      <c r="A12" s="105" t="s">
        <v>14</v>
      </c>
      <c r="B12" s="32">
        <v>0.50957699410781898</v>
      </c>
      <c r="C12" s="32">
        <v>0.202110632310262</v>
      </c>
      <c r="D12" s="32">
        <v>0.28831237358191897</v>
      </c>
      <c r="E12" s="25"/>
      <c r="F12" s="97">
        <v>0.05</v>
      </c>
      <c r="G12" s="97">
        <v>0.28999999999999998</v>
      </c>
      <c r="H12" s="97">
        <v>0.66</v>
      </c>
      <c r="I12" s="98">
        <f>(F12*$C$33)+(G12*$C$34)+(H12*$C$35)</f>
        <v>78.251275708900664</v>
      </c>
      <c r="J12" s="80">
        <f>(F12*$D$33)+(G12*$D$34)+(H12*$D$35)</f>
        <v>77.595920651324434</v>
      </c>
      <c r="K12" s="75">
        <f t="shared" si="0"/>
        <v>55.558010448379889</v>
      </c>
      <c r="L12" s="48"/>
      <c r="M12" s="100"/>
      <c r="N12" s="100"/>
      <c r="O12" s="100"/>
    </row>
    <row r="13" spans="1:15">
      <c r="A13" s="105" t="s">
        <v>16</v>
      </c>
      <c r="B13" s="32">
        <v>0.52910034297775099</v>
      </c>
      <c r="C13" s="32">
        <v>0.28233224870284002</v>
      </c>
      <c r="D13" s="32">
        <v>0.18856740831940896</v>
      </c>
      <c r="E13" s="25"/>
      <c r="F13">
        <v>4.4999999999999998E-2</v>
      </c>
      <c r="G13">
        <v>0.22500000000000001</v>
      </c>
      <c r="H13">
        <v>0.73</v>
      </c>
      <c r="I13" s="98">
        <f>(F13*$C$33)+(G13*$C$34)+(H13*$C$35)</f>
        <v>74.03046151737874</v>
      </c>
      <c r="J13" s="80">
        <f>(F13*$D$33)+(G13*$D$34)+(H13*$D$35)</f>
        <v>75.158423962384845</v>
      </c>
      <c r="K13" s="75">
        <f t="shared" si="0"/>
        <v>60.389189425907816</v>
      </c>
      <c r="L13" s="48"/>
      <c r="M13" s="100"/>
      <c r="N13" s="100"/>
      <c r="O13" s="100"/>
    </row>
    <row r="14" spans="1:15">
      <c r="A14" s="105" t="s">
        <v>17</v>
      </c>
      <c r="B14" s="32">
        <v>0.31723683053381402</v>
      </c>
      <c r="C14" s="32">
        <v>0.34781461612874798</v>
      </c>
      <c r="D14" s="32">
        <v>0.334948553337438</v>
      </c>
      <c r="E14" s="25"/>
      <c r="F14" s="97">
        <v>0.65</v>
      </c>
      <c r="G14" s="97">
        <v>0.22500000000000001</v>
      </c>
      <c r="H14" s="97">
        <v>0.71</v>
      </c>
      <c r="I14" s="98">
        <f>(F14*$C$33)+(G14*$C$34)+(H14*$C$35)</f>
        <v>200.97960469274585</v>
      </c>
      <c r="J14" s="80">
        <f>(F14*$D$33)+(G14*$D$34)+(H14*$D$35)</f>
        <v>160.29434806980564</v>
      </c>
      <c r="K14" s="75">
        <f t="shared" si="0"/>
        <v>119.51084993617292</v>
      </c>
      <c r="L14" s="48"/>
      <c r="O14" s="100"/>
    </row>
    <row r="15" spans="1:15">
      <c r="A15" s="105" t="s">
        <v>25</v>
      </c>
      <c r="B15" s="32">
        <v>0.44923049863688297</v>
      </c>
      <c r="C15" s="32">
        <v>0.303394600299006</v>
      </c>
      <c r="D15" s="32">
        <v>0.247374901064111</v>
      </c>
      <c r="E15" s="25"/>
      <c r="F15">
        <v>4.4999999999999998E-2</v>
      </c>
      <c r="G15">
        <v>0.22500000000000001</v>
      </c>
      <c r="H15">
        <v>0.73</v>
      </c>
      <c r="I15" s="98">
        <f>(F15*$C$33)+(G15*$C$34)+(H15*$C$35)</f>
        <v>74.03046151737874</v>
      </c>
      <c r="J15" s="80">
        <f>(F15*$D$33)+(G15*$D$34)+(H15*$D$35)</f>
        <v>75.158423962384845</v>
      </c>
      <c r="K15" s="75">
        <f t="shared" si="0"/>
        <v>56.05940113894161</v>
      </c>
      <c r="L15" s="48"/>
      <c r="O15" s="100"/>
    </row>
    <row r="16" spans="1:15">
      <c r="A16" s="105" t="s">
        <v>26</v>
      </c>
      <c r="B16" s="32">
        <v>0.46726761058833899</v>
      </c>
      <c r="C16" s="32">
        <v>0.13067452290915399</v>
      </c>
      <c r="D16" s="32">
        <v>0.40205786650250702</v>
      </c>
      <c r="E16" s="25"/>
      <c r="F16">
        <v>4.4999999999999998E-2</v>
      </c>
      <c r="G16">
        <v>0.22500000000000001</v>
      </c>
      <c r="H16">
        <v>0.73</v>
      </c>
      <c r="I16" s="98">
        <f>(F16*$C$33)+(G16*$C$34)+(H16*$C$35)</f>
        <v>74.03046151737874</v>
      </c>
      <c r="J16" s="80">
        <f>(F16*$D$33)+(G16*$D$34)+(H16*$D$35)</f>
        <v>75.158423962384845</v>
      </c>
      <c r="K16" s="75">
        <f t="shared" si="0"/>
        <v>44.41332805786611</v>
      </c>
      <c r="L16" s="48"/>
      <c r="M16" s="100"/>
      <c r="N16" s="100"/>
      <c r="O16" s="100"/>
    </row>
    <row r="17" spans="1:15">
      <c r="A17" s="105" t="s">
        <v>27</v>
      </c>
      <c r="B17" s="32">
        <v>0.47467241227684498</v>
      </c>
      <c r="C17" s="32">
        <v>0.21911001670917202</v>
      </c>
      <c r="D17" s="32">
        <v>0.306217571013983</v>
      </c>
      <c r="E17" s="25"/>
      <c r="F17" s="97">
        <v>0.04</v>
      </c>
      <c r="G17" s="97">
        <v>0.23</v>
      </c>
      <c r="H17" s="97">
        <v>0.73</v>
      </c>
      <c r="I17" s="98">
        <f>(F17*$C$33)+(G17*$C$34)+(H17*$C$35)</f>
        <v>73.512069789899243</v>
      </c>
      <c r="J17" s="80">
        <f>(F17*$D$33)+(G17*$D$34)+(H17*$D$35)</f>
        <v>74.92429792618745</v>
      </c>
      <c r="K17" s="75">
        <f t="shared" si="0"/>
        <v>51.310815669165166</v>
      </c>
      <c r="L17" s="48"/>
      <c r="M17" s="100"/>
      <c r="N17" s="100"/>
      <c r="O17" s="100"/>
    </row>
    <row r="18" spans="1:15">
      <c r="A18" s="105" t="s">
        <v>28</v>
      </c>
      <c r="B18" s="32">
        <v>0.37046873625890497</v>
      </c>
      <c r="C18" s="32">
        <v>0.43204643391082498</v>
      </c>
      <c r="D18" s="32">
        <v>0.19748482983027002</v>
      </c>
      <c r="E18" s="25"/>
      <c r="F18">
        <v>4.4999999999999998E-2</v>
      </c>
      <c r="G18">
        <v>0.22500000000000001</v>
      </c>
      <c r="H18">
        <v>0.73</v>
      </c>
      <c r="I18" s="98">
        <f>(F18*$C$33)+(G18*$C$34)+(H18*$C$35)</f>
        <v>74.03046151737874</v>
      </c>
      <c r="J18" s="80">
        <f>(F18*$D$33)+(G18*$D$34)+(H18*$D$35)</f>
        <v>75.158423962384845</v>
      </c>
      <c r="K18" s="75">
        <f t="shared" si="0"/>
        <v>59.89790057431307</v>
      </c>
      <c r="L18" s="48"/>
      <c r="M18" s="100"/>
      <c r="N18" s="100"/>
      <c r="O18" s="100"/>
    </row>
    <row r="19" spans="1:15">
      <c r="A19" s="105" t="s">
        <v>29</v>
      </c>
      <c r="B19" s="32">
        <v>0.40688593791223299</v>
      </c>
      <c r="C19" s="32">
        <v>0.26571981356081198</v>
      </c>
      <c r="D19" s="32">
        <v>0.32739424852695509</v>
      </c>
      <c r="E19" s="25"/>
      <c r="F19" s="97">
        <v>0.11</v>
      </c>
      <c r="G19" s="97">
        <v>0.3</v>
      </c>
      <c r="H19" s="97">
        <v>0.59</v>
      </c>
      <c r="I19" s="98">
        <f>(F19*$C$33)+(G19*$C$34)+(H19*$C$35)</f>
        <v>88.174398902697192</v>
      </c>
      <c r="J19" s="80">
        <f>(F19*$D$33)+(G19*$D$34)+(H19*$D$35)</f>
        <v>82.60880373843537</v>
      </c>
      <c r="K19" s="75">
        <f t="shared" si="0"/>
        <v>57.827718925230073</v>
      </c>
      <c r="L19" s="48"/>
      <c r="M19" s="100"/>
      <c r="N19" s="100"/>
      <c r="O19" s="100"/>
    </row>
    <row r="20" spans="1:15">
      <c r="A20" s="105" t="s">
        <v>31</v>
      </c>
      <c r="B20" s="32">
        <v>0.50353530911968991</v>
      </c>
      <c r="C20" s="32">
        <v>0.160918125054964</v>
      </c>
      <c r="D20" s="32">
        <v>0.33554656582534603</v>
      </c>
      <c r="E20" s="25"/>
      <c r="F20">
        <v>4.4999999999999998E-2</v>
      </c>
      <c r="G20">
        <v>0.22500000000000001</v>
      </c>
      <c r="H20">
        <v>0.73</v>
      </c>
      <c r="I20" s="98">
        <f>(F20*$C$33)+(G20*$C$34)+(H20*$C$35)</f>
        <v>74.03046151737874</v>
      </c>
      <c r="J20" s="80">
        <f>(F20*$D$33)+(G20*$D$34)+(H20*$D$35)</f>
        <v>75.158423962384845</v>
      </c>
      <c r="K20" s="75">
        <f t="shared" si="0"/>
        <v>49.371303990539658</v>
      </c>
      <c r="L20" s="48"/>
      <c r="M20" s="100"/>
      <c r="N20" s="100"/>
      <c r="O20" s="100"/>
    </row>
    <row r="21" spans="1:15">
      <c r="A21" s="105" t="s">
        <v>33</v>
      </c>
      <c r="B21" s="32">
        <v>0.20189077477794398</v>
      </c>
      <c r="C21" s="32">
        <v>0.62846715328467095</v>
      </c>
      <c r="D21" s="32">
        <v>0.16964207193738504</v>
      </c>
      <c r="E21" s="25"/>
      <c r="F21" s="97">
        <v>2.5000000000000001E-2</v>
      </c>
      <c r="G21" s="97">
        <v>0.19500000000000001</v>
      </c>
      <c r="H21" s="97">
        <v>0.78</v>
      </c>
      <c r="I21" s="98">
        <f>(F21*$C$33)+(G21*$C$34)+(H21*$C$35)</f>
        <v>69.312307133144714</v>
      </c>
      <c r="J21" s="80">
        <f>(F21*$D$33)+(G21*$D$34)+(H21*$D$35)</f>
        <v>72.648083637065142</v>
      </c>
      <c r="K21" s="75">
        <f t="shared" si="0"/>
        <v>59.650449703730416</v>
      </c>
      <c r="L21" s="48"/>
      <c r="M21" s="100"/>
      <c r="N21" s="100"/>
      <c r="O21" s="100"/>
    </row>
    <row r="22" spans="1:15">
      <c r="A22" s="105" t="s">
        <v>34</v>
      </c>
      <c r="B22" s="32">
        <v>0.55718054700553976</v>
      </c>
      <c r="C22" s="32">
        <v>7.9526866590449302E-2</v>
      </c>
      <c r="D22" s="32">
        <v>0.36329258640401102</v>
      </c>
      <c r="E22" s="25"/>
      <c r="F22" s="97">
        <v>8.5000000000000006E-2</v>
      </c>
      <c r="G22" s="97">
        <v>0.26500000000000001</v>
      </c>
      <c r="H22" s="97">
        <v>0.65</v>
      </c>
      <c r="I22" s="98">
        <f>(F22*$C$33)+(G22*$C$34)+(H22*$C$35)</f>
        <v>82.408935296120447</v>
      </c>
      <c r="J22" s="80">
        <f>(F22*$D$33)+(G22*$D$34)+(H22*$D$35)</f>
        <v>79.549570140812236</v>
      </c>
      <c r="K22" s="75">
        <f t="shared" si="0"/>
        <v>52.242983698352489</v>
      </c>
      <c r="L22" s="48"/>
      <c r="M22" s="100"/>
      <c r="N22" s="100"/>
      <c r="O22" s="100"/>
    </row>
    <row r="23" spans="1:15">
      <c r="A23" s="105" t="s">
        <v>35</v>
      </c>
      <c r="B23" s="32">
        <v>0.48803095594055096</v>
      </c>
      <c r="C23" s="32">
        <v>0.19264796411925</v>
      </c>
      <c r="D23" s="32">
        <v>0.31932107994019904</v>
      </c>
      <c r="E23" s="25"/>
      <c r="F23">
        <v>4.4999999999999998E-2</v>
      </c>
      <c r="G23">
        <v>0.22500000000000001</v>
      </c>
      <c r="H23">
        <v>0.73</v>
      </c>
      <c r="I23" s="98">
        <f>(F23*$C$33)+(G23*$C$34)+(H23*$C$35)</f>
        <v>74.03046151737874</v>
      </c>
      <c r="J23" s="80">
        <f>(F23*$D$33)+(G23*$D$34)+(H23*$D$35)</f>
        <v>75.158423962384845</v>
      </c>
      <c r="K23" s="75">
        <f t="shared" si="0"/>
        <v>50.60827426581141</v>
      </c>
      <c r="L23" s="48"/>
      <c r="M23" s="100"/>
      <c r="N23" s="100"/>
      <c r="O23" s="100"/>
    </row>
    <row r="24" spans="1:15">
      <c r="A24" s="105" t="s">
        <v>90</v>
      </c>
      <c r="B24" s="32">
        <v>0.49426611555711908</v>
      </c>
      <c r="C24" s="32">
        <v>0.2800721132706</v>
      </c>
      <c r="D24" s="32">
        <v>0.22566177117228092</v>
      </c>
      <c r="E24" s="25"/>
      <c r="F24" s="97">
        <v>4.4999999999999998E-2</v>
      </c>
      <c r="G24" s="97">
        <v>0.29499999999999998</v>
      </c>
      <c r="H24" s="97">
        <v>0.66</v>
      </c>
      <c r="I24" s="98">
        <f>(F24*$C$33)+(G24*$C$34)+(H24*$C$35)</f>
        <v>77.732883981421168</v>
      </c>
      <c r="J24" s="80">
        <f>(F24*$D$33)+(G24*$D$34)+(H24*$D$35)</f>
        <v>77.361794615127025</v>
      </c>
      <c r="K24" s="75">
        <f t="shared" si="0"/>
        <v>60.087611920813991</v>
      </c>
      <c r="L24" s="48"/>
      <c r="M24" s="100"/>
      <c r="N24" s="100"/>
      <c r="O24" s="100"/>
    </row>
    <row r="25" spans="1:15">
      <c r="A25" s="107" t="s">
        <v>91</v>
      </c>
      <c r="B25" s="102">
        <v>0.25</v>
      </c>
      <c r="C25" s="102">
        <v>0.44</v>
      </c>
      <c r="D25" s="102">
        <v>0.31</v>
      </c>
      <c r="E25" s="103"/>
      <c r="F25" s="101">
        <v>4.4999999999999998E-2</v>
      </c>
      <c r="G25" s="101">
        <v>0.22500000000000001</v>
      </c>
      <c r="H25" s="101">
        <v>0.73</v>
      </c>
      <c r="I25" s="98">
        <f>(F25*$C$33)+(G25*$C$34)+(H25*$C$35)</f>
        <v>74.03046151737874</v>
      </c>
      <c r="J25" s="80">
        <f>(F25*$D$33)+(G25*$D$34)+(H25*$D$35)</f>
        <v>75.158423962384845</v>
      </c>
      <c r="K25" s="75">
        <f t="shared" si="0"/>
        <v>51.57732192279402</v>
      </c>
      <c r="M25" s="48"/>
      <c r="N25" s="48"/>
      <c r="O25" s="48"/>
    </row>
    <row r="26" spans="1:15">
      <c r="M26" s="48"/>
      <c r="N26" s="48"/>
      <c r="O26" s="48"/>
    </row>
    <row r="27" spans="1:15">
      <c r="B27" s="110"/>
      <c r="C27" t="s">
        <v>162</v>
      </c>
      <c r="F27" s="112"/>
      <c r="G27" t="s">
        <v>158</v>
      </c>
      <c r="K27" s="108"/>
      <c r="L27" s="100" t="s">
        <v>159</v>
      </c>
      <c r="M27" s="48"/>
      <c r="N27" s="48"/>
      <c r="O27" s="48"/>
    </row>
    <row r="28" spans="1:15">
      <c r="B28" s="111"/>
      <c r="C28" t="s">
        <v>163</v>
      </c>
      <c r="F28" s="113"/>
      <c r="G28" t="s">
        <v>164</v>
      </c>
      <c r="K28" s="109"/>
      <c r="L28" s="100" t="s">
        <v>160</v>
      </c>
    </row>
    <row r="32" spans="1:15">
      <c r="A32" s="20" t="s">
        <v>150</v>
      </c>
      <c r="B32" s="20" t="s">
        <v>151</v>
      </c>
      <c r="C32" s="104" t="s">
        <v>155</v>
      </c>
      <c r="D32" s="20" t="s">
        <v>156</v>
      </c>
    </row>
    <row r="33" spans="1:4">
      <c r="A33" s="20" t="s">
        <v>124</v>
      </c>
      <c r="B33">
        <v>2</v>
      </c>
      <c r="C33" s="98">
        <f>EXP(6.028-0.971*LN($B$33))</f>
        <v>211.65425859097891</v>
      </c>
      <c r="D33" s="99">
        <f xml:space="preserve"> EXP(5.359 + -0.573 *LN( $B$33))</f>
        <v>142.85450511182759</v>
      </c>
    </row>
    <row r="34" spans="1:4">
      <c r="A34" s="20" t="s">
        <v>125</v>
      </c>
      <c r="B34">
        <v>4</v>
      </c>
      <c r="C34" s="98">
        <f>EXP(6.028-0.971*LN($B$34))</f>
        <v>107.97591309507681</v>
      </c>
      <c r="D34" s="99">
        <f xml:space="preserve"> EXP(5.359 + -0.573 *LN( $B$34))</f>
        <v>96.029297872348096</v>
      </c>
    </row>
    <row r="35" spans="1:4">
      <c r="A35" s="20" t="s">
        <v>116</v>
      </c>
      <c r="B35">
        <v>8</v>
      </c>
      <c r="C35" s="98">
        <f>EXP(6.028-0.971*LN($B$35))</f>
        <v>55.084163608756739</v>
      </c>
      <c r="D35" s="99">
        <f xml:space="preserve"> EXP(5.359 -0.573 *LN( $B$35))</f>
        <v>64.552574261745605</v>
      </c>
    </row>
  </sheetData>
  <mergeCells count="2">
    <mergeCell ref="B1:D1"/>
    <mergeCell ref="F1:H1"/>
  </mergeCells>
  <conditionalFormatting sqref="K3:K25">
    <cfRule type="colorScale" priority="5">
      <colorScale>
        <cfvo type="min"/>
        <cfvo type="max"/>
        <color rgb="FFFCFCFF"/>
        <color rgb="FFF8696B"/>
      </colorScale>
    </cfRule>
  </conditionalFormatting>
  <conditionalFormatting sqref="B3:B2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:C2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C9C06-2BE2-E54C-B56A-78FDDADE9C0C}">
  <dimension ref="A1:E55"/>
  <sheetViews>
    <sheetView workbookViewId="0">
      <selection activeCell="H5" sqref="H5"/>
    </sheetView>
  </sheetViews>
  <sheetFormatPr baseColWidth="10" defaultRowHeight="16"/>
  <cols>
    <col min="1" max="1" width="10.5" customWidth="1"/>
    <col min="2" max="2" width="13.33203125" customWidth="1"/>
    <col min="3" max="3" width="11.33203125" customWidth="1"/>
    <col min="4" max="4" width="13.1640625" customWidth="1"/>
    <col min="5" max="5" width="14" bestFit="1" customWidth="1"/>
  </cols>
  <sheetData>
    <row r="1" spans="1:5" ht="19">
      <c r="A1" s="115" t="s">
        <v>171</v>
      </c>
      <c r="B1" s="115"/>
      <c r="C1" s="115"/>
      <c r="D1" s="115"/>
    </row>
    <row r="2" spans="1:5">
      <c r="A2" t="s">
        <v>165</v>
      </c>
      <c r="B2" t="s">
        <v>166</v>
      </c>
      <c r="C2" t="s">
        <v>167</v>
      </c>
      <c r="D2" t="s">
        <v>0</v>
      </c>
    </row>
    <row r="3" spans="1:5">
      <c r="A3" s="114">
        <v>20409905</v>
      </c>
      <c r="B3" s="114">
        <v>0</v>
      </c>
      <c r="C3" s="114">
        <v>20409905</v>
      </c>
      <c r="D3" s="114">
        <v>103079.97</v>
      </c>
      <c r="E3" s="78" t="s">
        <v>168</v>
      </c>
    </row>
    <row r="4" spans="1:5">
      <c r="A4" s="114">
        <v>20410046</v>
      </c>
      <c r="B4" s="114">
        <v>20409905</v>
      </c>
      <c r="C4" s="114">
        <v>20409905</v>
      </c>
      <c r="D4" s="114">
        <v>41473.4909999999</v>
      </c>
      <c r="E4" s="78"/>
    </row>
    <row r="5" spans="1:5">
      <c r="A5" s="114">
        <v>20410992</v>
      </c>
      <c r="B5" s="114">
        <v>20409905</v>
      </c>
      <c r="C5" s="114">
        <v>20409905</v>
      </c>
      <c r="D5" s="114">
        <v>0</v>
      </c>
      <c r="E5" s="78"/>
    </row>
    <row r="6" spans="1:5">
      <c r="A6" s="114">
        <v>20410281</v>
      </c>
      <c r="B6" s="114">
        <v>20410046</v>
      </c>
      <c r="C6" s="114">
        <v>20409905</v>
      </c>
      <c r="D6" s="114">
        <v>28316.886999999999</v>
      </c>
      <c r="E6" s="78"/>
    </row>
    <row r="7" spans="1:5">
      <c r="A7" s="114">
        <v>20410993</v>
      </c>
      <c r="B7" s="114">
        <v>20410046</v>
      </c>
      <c r="C7" s="114">
        <v>20409905</v>
      </c>
      <c r="D7" s="114">
        <v>0</v>
      </c>
      <c r="E7" s="78"/>
    </row>
    <row r="8" spans="1:5">
      <c r="A8" s="114">
        <v>20410732</v>
      </c>
      <c r="B8" s="114">
        <v>20410281</v>
      </c>
      <c r="C8" s="114">
        <v>20409905</v>
      </c>
      <c r="D8" s="114">
        <v>0</v>
      </c>
      <c r="E8" s="78"/>
    </row>
    <row r="9" spans="1:5">
      <c r="A9" s="114">
        <v>20410994</v>
      </c>
      <c r="B9" s="114">
        <v>20410281</v>
      </c>
      <c r="C9" s="114">
        <v>20409905</v>
      </c>
      <c r="D9" s="114">
        <v>0</v>
      </c>
      <c r="E9" s="78"/>
    </row>
    <row r="10" spans="1:5">
      <c r="A10" s="114">
        <v>20411090</v>
      </c>
      <c r="B10" s="114">
        <v>20410732</v>
      </c>
      <c r="C10" s="114">
        <v>20409905</v>
      </c>
      <c r="D10" s="114">
        <v>0</v>
      </c>
      <c r="E10" s="78"/>
    </row>
    <row r="11" spans="1:5">
      <c r="A11" s="114">
        <v>20411398</v>
      </c>
      <c r="B11" s="114">
        <v>20410732</v>
      </c>
      <c r="C11" s="114">
        <v>20409905</v>
      </c>
      <c r="D11" s="114">
        <v>0</v>
      </c>
      <c r="E11" s="78"/>
    </row>
    <row r="12" spans="1:5">
      <c r="A12" s="114">
        <v>20411648</v>
      </c>
      <c r="B12" s="114">
        <v>20410992</v>
      </c>
      <c r="C12" s="114">
        <v>20409905</v>
      </c>
      <c r="D12" s="114">
        <v>0</v>
      </c>
      <c r="E12" s="78"/>
    </row>
    <row r="13" spans="1:5">
      <c r="A13" s="114">
        <v>20412328</v>
      </c>
      <c r="B13" s="114">
        <v>20410992</v>
      </c>
      <c r="C13" s="114">
        <v>20409905</v>
      </c>
      <c r="D13" s="114">
        <v>0</v>
      </c>
      <c r="E13" s="78"/>
    </row>
    <row r="14" spans="1:5">
      <c r="A14" s="114">
        <v>20411089</v>
      </c>
      <c r="B14" s="114">
        <v>20410994</v>
      </c>
      <c r="C14" s="114">
        <v>20409905</v>
      </c>
      <c r="D14" s="114">
        <v>0</v>
      </c>
      <c r="E14" s="78"/>
    </row>
    <row r="15" spans="1:5">
      <c r="A15" s="114">
        <v>20411981</v>
      </c>
      <c r="B15" s="114">
        <v>20410994</v>
      </c>
      <c r="C15" s="114">
        <v>20409905</v>
      </c>
      <c r="D15" s="114">
        <v>0</v>
      </c>
      <c r="E15" s="78"/>
    </row>
    <row r="16" spans="1:5">
      <c r="A16" s="114">
        <v>20411505</v>
      </c>
      <c r="B16" s="114">
        <v>20411090</v>
      </c>
      <c r="C16" s="114">
        <v>20409905</v>
      </c>
      <c r="D16" s="114">
        <v>0</v>
      </c>
      <c r="E16" s="78"/>
    </row>
    <row r="17" spans="1:5">
      <c r="A17" s="114">
        <v>20411982</v>
      </c>
      <c r="B17" s="114">
        <v>20411090</v>
      </c>
      <c r="C17" s="114">
        <v>20409905</v>
      </c>
      <c r="D17" s="114">
        <v>0</v>
      </c>
      <c r="E17" s="78"/>
    </row>
    <row r="18" spans="1:5">
      <c r="A18" s="114">
        <v>20412206</v>
      </c>
      <c r="B18" s="114">
        <v>20411981</v>
      </c>
      <c r="C18" s="114">
        <v>20409905</v>
      </c>
      <c r="D18" s="114">
        <v>0</v>
      </c>
      <c r="E18" s="78"/>
    </row>
    <row r="19" spans="1:5">
      <c r="A19" s="114">
        <v>20412207</v>
      </c>
      <c r="B19" s="114">
        <v>20411981</v>
      </c>
      <c r="C19" s="114">
        <v>20409905</v>
      </c>
      <c r="D19" s="114">
        <v>0</v>
      </c>
      <c r="E19" s="78"/>
    </row>
    <row r="20" spans="1:5">
      <c r="A20" s="80">
        <v>20411001</v>
      </c>
      <c r="B20" s="80">
        <v>0</v>
      </c>
      <c r="C20" s="80">
        <v>20411001</v>
      </c>
      <c r="D20" s="80">
        <v>449268.505</v>
      </c>
      <c r="E20" s="78" t="s">
        <v>169</v>
      </c>
    </row>
    <row r="21" spans="1:5">
      <c r="A21" s="80">
        <v>20411656</v>
      </c>
      <c r="B21" s="80">
        <v>20411657</v>
      </c>
      <c r="C21" s="80">
        <v>20411001</v>
      </c>
      <c r="D21" s="80">
        <v>0</v>
      </c>
      <c r="E21" s="78"/>
    </row>
    <row r="22" spans="1:5">
      <c r="A22" s="80">
        <v>20411657</v>
      </c>
      <c r="B22" s="80">
        <v>20411001</v>
      </c>
      <c r="C22" s="80">
        <v>20411001</v>
      </c>
      <c r="D22" s="80">
        <v>57187.771000000001</v>
      </c>
      <c r="E22" s="78"/>
    </row>
    <row r="23" spans="1:5">
      <c r="A23" s="80">
        <v>20411658</v>
      </c>
      <c r="B23" s="80">
        <v>20411001</v>
      </c>
      <c r="C23" s="80">
        <v>20411001</v>
      </c>
      <c r="D23" s="80">
        <v>0</v>
      </c>
      <c r="E23" s="78"/>
    </row>
    <row r="24" spans="1:5">
      <c r="A24" s="80">
        <v>20411868</v>
      </c>
      <c r="B24" s="80">
        <v>20411869</v>
      </c>
      <c r="C24" s="80">
        <v>20411001</v>
      </c>
      <c r="D24" s="80">
        <v>0</v>
      </c>
      <c r="E24" s="78"/>
    </row>
    <row r="25" spans="1:5">
      <c r="A25" s="80">
        <v>20411869</v>
      </c>
      <c r="B25" s="80">
        <v>20411657</v>
      </c>
      <c r="C25" s="80">
        <v>20411001</v>
      </c>
      <c r="D25" s="80">
        <v>57187.771000000001</v>
      </c>
      <c r="E25" s="78"/>
    </row>
    <row r="26" spans="1:5">
      <c r="A26" s="80">
        <v>20412337</v>
      </c>
      <c r="B26" s="80">
        <v>20411869</v>
      </c>
      <c r="C26" s="80">
        <v>20411001</v>
      </c>
      <c r="D26" s="80">
        <v>57187.771000000001</v>
      </c>
      <c r="E26" s="78"/>
    </row>
    <row r="27" spans="1:5">
      <c r="A27" s="80">
        <v>20413319</v>
      </c>
      <c r="B27" s="80">
        <v>20412337</v>
      </c>
      <c r="C27" s="80">
        <v>20411001</v>
      </c>
      <c r="D27" s="80">
        <v>0</v>
      </c>
      <c r="E27" s="78"/>
    </row>
    <row r="28" spans="1:5">
      <c r="A28" s="80">
        <v>20413769</v>
      </c>
      <c r="B28" s="80">
        <v>20412337</v>
      </c>
      <c r="C28" s="80">
        <v>20411001</v>
      </c>
      <c r="D28" s="80">
        <v>57187.771000000001</v>
      </c>
      <c r="E28" s="78"/>
    </row>
    <row r="29" spans="1:5">
      <c r="A29" s="80">
        <v>20414225</v>
      </c>
      <c r="B29" s="80">
        <v>20414226</v>
      </c>
      <c r="C29" s="80">
        <v>20411001</v>
      </c>
      <c r="D29" s="80">
        <v>0</v>
      </c>
      <c r="E29" s="78"/>
    </row>
    <row r="30" spans="1:5">
      <c r="A30" s="80">
        <v>20414226</v>
      </c>
      <c r="B30" s="80">
        <v>20414227</v>
      </c>
      <c r="C30" s="80">
        <v>20411001</v>
      </c>
      <c r="D30" s="80">
        <v>0</v>
      </c>
      <c r="E30" s="78"/>
    </row>
    <row r="31" spans="1:5">
      <c r="A31" s="80">
        <v>20414227</v>
      </c>
      <c r="B31" s="80">
        <v>20413769</v>
      </c>
      <c r="C31" s="80">
        <v>20411001</v>
      </c>
      <c r="D31" s="80">
        <v>0</v>
      </c>
      <c r="E31" s="78"/>
    </row>
    <row r="32" spans="1:5">
      <c r="A32" s="80">
        <v>20414463</v>
      </c>
      <c r="B32" s="80">
        <v>20413769</v>
      </c>
      <c r="C32" s="80">
        <v>20411001</v>
      </c>
      <c r="D32" s="80">
        <v>0</v>
      </c>
      <c r="E32" s="78"/>
    </row>
    <row r="33" spans="1:5">
      <c r="A33" s="80">
        <v>20414464</v>
      </c>
      <c r="B33" s="80">
        <v>20414463</v>
      </c>
      <c r="C33" s="80">
        <v>20411001</v>
      </c>
      <c r="D33" s="80">
        <v>0</v>
      </c>
      <c r="E33" s="78"/>
    </row>
    <row r="34" spans="1:5">
      <c r="A34" s="80">
        <v>20414590</v>
      </c>
      <c r="B34" s="80">
        <v>20414823</v>
      </c>
      <c r="C34" s="80">
        <v>20411001</v>
      </c>
      <c r="D34" s="80">
        <v>0</v>
      </c>
      <c r="E34" s="78"/>
    </row>
    <row r="35" spans="1:5">
      <c r="A35" s="80">
        <v>20414823</v>
      </c>
      <c r="B35" s="80">
        <v>20414226</v>
      </c>
      <c r="C35" s="80">
        <v>20411001</v>
      </c>
      <c r="D35" s="80">
        <v>0</v>
      </c>
      <c r="E35" s="78"/>
    </row>
    <row r="36" spans="1:5">
      <c r="A36" s="80">
        <v>20415067</v>
      </c>
      <c r="B36" s="80">
        <v>20414823</v>
      </c>
      <c r="C36" s="80">
        <v>20411001</v>
      </c>
      <c r="D36" s="80">
        <v>0</v>
      </c>
      <c r="E36" s="78"/>
    </row>
    <row r="37" spans="1:5">
      <c r="A37" s="80">
        <v>20415068</v>
      </c>
      <c r="B37" s="80">
        <v>20414463</v>
      </c>
      <c r="C37" s="80">
        <v>20411001</v>
      </c>
      <c r="D37" s="80">
        <v>0</v>
      </c>
      <c r="E37" s="78"/>
    </row>
    <row r="38" spans="1:5">
      <c r="A38" s="80">
        <v>20415559</v>
      </c>
      <c r="B38" s="80">
        <v>20414227</v>
      </c>
      <c r="C38" s="80">
        <v>20411001</v>
      </c>
      <c r="D38" s="80">
        <v>0</v>
      </c>
      <c r="E38" s="78"/>
    </row>
    <row r="39" spans="1:5">
      <c r="A39" s="81">
        <v>20476350</v>
      </c>
      <c r="B39" s="81">
        <v>20476609</v>
      </c>
      <c r="C39" s="81">
        <v>20487511</v>
      </c>
      <c r="D39" s="81">
        <v>0</v>
      </c>
      <c r="E39" s="78" t="s">
        <v>170</v>
      </c>
    </row>
    <row r="40" spans="1:5">
      <c r="A40" s="81">
        <v>20476472</v>
      </c>
      <c r="B40" s="81">
        <v>20476609</v>
      </c>
      <c r="C40" s="81">
        <v>20487511</v>
      </c>
      <c r="D40" s="81">
        <v>0</v>
      </c>
      <c r="E40" s="78"/>
    </row>
    <row r="41" spans="1:5">
      <c r="A41" s="81">
        <v>20476607</v>
      </c>
      <c r="B41" s="81">
        <v>20477772</v>
      </c>
      <c r="C41" s="81">
        <v>20487511</v>
      </c>
      <c r="D41" s="81">
        <v>0</v>
      </c>
      <c r="E41" s="78"/>
    </row>
    <row r="42" spans="1:5">
      <c r="A42" s="81">
        <v>20476608</v>
      </c>
      <c r="B42" s="81">
        <v>20477772</v>
      </c>
      <c r="C42" s="81">
        <v>20487511</v>
      </c>
      <c r="D42" s="81">
        <v>299.99400000000003</v>
      </c>
      <c r="E42" s="78"/>
    </row>
    <row r="43" spans="1:5">
      <c r="A43" s="81">
        <v>20476609</v>
      </c>
      <c r="B43" s="81">
        <v>20476608</v>
      </c>
      <c r="C43" s="81">
        <v>20487511</v>
      </c>
      <c r="D43" s="81">
        <v>0</v>
      </c>
      <c r="E43" s="78"/>
    </row>
    <row r="44" spans="1:5">
      <c r="A44" s="81">
        <v>20477236</v>
      </c>
      <c r="B44" s="81">
        <v>20476608</v>
      </c>
      <c r="C44" s="81">
        <v>20487511</v>
      </c>
      <c r="D44" s="81">
        <v>0</v>
      </c>
      <c r="E44" s="78"/>
    </row>
    <row r="45" spans="1:5">
      <c r="A45" s="81">
        <v>20477237</v>
      </c>
      <c r="B45" s="81">
        <v>20477236</v>
      </c>
      <c r="C45" s="81">
        <v>20487511</v>
      </c>
      <c r="D45" s="81">
        <v>0</v>
      </c>
      <c r="E45" s="78"/>
    </row>
    <row r="46" spans="1:5">
      <c r="A46" s="81">
        <v>20477465</v>
      </c>
      <c r="B46" s="81">
        <v>20477236</v>
      </c>
      <c r="C46" s="81">
        <v>20487511</v>
      </c>
      <c r="D46" s="81">
        <v>0</v>
      </c>
      <c r="E46" s="78"/>
    </row>
    <row r="47" spans="1:5">
      <c r="A47" s="81">
        <v>20477771</v>
      </c>
      <c r="B47" s="81">
        <v>20478889</v>
      </c>
      <c r="C47" s="81">
        <v>20487511</v>
      </c>
      <c r="D47" s="81">
        <v>0</v>
      </c>
      <c r="E47" s="78"/>
    </row>
    <row r="48" spans="1:5">
      <c r="A48" s="81">
        <v>20477772</v>
      </c>
      <c r="B48" s="81">
        <v>20478889</v>
      </c>
      <c r="C48" s="81">
        <v>20487511</v>
      </c>
      <c r="D48" s="81">
        <v>299.99400000000003</v>
      </c>
      <c r="E48" s="78"/>
    </row>
    <row r="49" spans="1:5">
      <c r="A49" s="81">
        <v>20478889</v>
      </c>
      <c r="B49" s="81">
        <v>20482164</v>
      </c>
      <c r="C49" s="81">
        <v>20487511</v>
      </c>
      <c r="D49" s="81">
        <v>8566.8389999999999</v>
      </c>
      <c r="E49" s="78"/>
    </row>
    <row r="50" spans="1:5">
      <c r="A50" s="81">
        <v>20478890</v>
      </c>
      <c r="B50" s="81">
        <v>20482164</v>
      </c>
      <c r="C50" s="81">
        <v>20487511</v>
      </c>
      <c r="D50" s="81">
        <v>0</v>
      </c>
      <c r="E50" s="78"/>
    </row>
    <row r="51" spans="1:5">
      <c r="A51" s="81">
        <v>20482163</v>
      </c>
      <c r="B51" s="81">
        <v>20482764</v>
      </c>
      <c r="C51" s="81">
        <v>20487511</v>
      </c>
      <c r="D51" s="81">
        <v>0</v>
      </c>
      <c r="E51" s="78"/>
    </row>
    <row r="52" spans="1:5">
      <c r="A52" s="81">
        <v>20482164</v>
      </c>
      <c r="B52" s="81">
        <v>20482764</v>
      </c>
      <c r="C52" s="81">
        <v>20487511</v>
      </c>
      <c r="D52" s="81">
        <v>10502.883</v>
      </c>
      <c r="E52" s="78"/>
    </row>
    <row r="53" spans="1:5">
      <c r="A53" s="81">
        <v>20482763</v>
      </c>
      <c r="B53" s="81">
        <v>20487511</v>
      </c>
      <c r="C53" s="81">
        <v>20487511</v>
      </c>
      <c r="D53" s="81">
        <v>0</v>
      </c>
      <c r="E53" s="78"/>
    </row>
    <row r="54" spans="1:5">
      <c r="A54" s="81">
        <v>20482764</v>
      </c>
      <c r="B54" s="81">
        <v>20487511</v>
      </c>
      <c r="C54" s="81">
        <v>20487511</v>
      </c>
      <c r="D54" s="81">
        <v>10502.883</v>
      </c>
      <c r="E54" s="78"/>
    </row>
    <row r="55" spans="1:5">
      <c r="A55" s="81">
        <v>20487511</v>
      </c>
      <c r="B55" s="81">
        <v>0</v>
      </c>
      <c r="C55" s="81">
        <v>20487511</v>
      </c>
      <c r="D55" s="81">
        <v>47638.22</v>
      </c>
      <c r="E55" s="78"/>
    </row>
  </sheetData>
  <mergeCells count="4">
    <mergeCell ref="A1:D1"/>
    <mergeCell ref="E3:E19"/>
    <mergeCell ref="E20:E38"/>
    <mergeCell ref="E39:E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25B0-B383-1C4C-B3B5-1CD258D1FD29}">
  <sheetPr codeName="Sheet2"/>
  <dimension ref="A1:O83"/>
  <sheetViews>
    <sheetView zoomScale="125" workbookViewId="0">
      <selection activeCell="I11" sqref="I11"/>
    </sheetView>
  </sheetViews>
  <sheetFormatPr baseColWidth="10" defaultRowHeight="16"/>
  <cols>
    <col min="2" max="2" width="11.83203125" bestFit="1" customWidth="1"/>
    <col min="3" max="4" width="11.6640625" bestFit="1" customWidth="1"/>
    <col min="6" max="6" width="10.83203125" customWidth="1"/>
  </cols>
  <sheetData>
    <row r="1" spans="1:15" ht="25" customHeight="1">
      <c r="A1" s="37" t="s">
        <v>38</v>
      </c>
      <c r="B1" s="37" t="s">
        <v>92</v>
      </c>
      <c r="C1" s="37" t="s">
        <v>41</v>
      </c>
      <c r="D1" s="37" t="s">
        <v>42</v>
      </c>
      <c r="F1" t="s">
        <v>82</v>
      </c>
    </row>
    <row r="2" spans="1:15" ht="17" thickBot="1">
      <c r="A2" s="38"/>
      <c r="B2" s="38"/>
      <c r="C2" s="38"/>
      <c r="D2" s="38"/>
      <c r="F2" t="s">
        <v>99</v>
      </c>
      <c r="O2" s="28"/>
    </row>
    <row r="3" spans="1:15" ht="17" thickBot="1">
      <c r="A3" s="4">
        <v>1</v>
      </c>
      <c r="B3" s="5">
        <v>2.5499999999999998</v>
      </c>
      <c r="C3" s="5">
        <v>317.2</v>
      </c>
      <c r="D3" s="5">
        <v>124.41</v>
      </c>
      <c r="F3" t="s">
        <v>100</v>
      </c>
      <c r="O3" s="28"/>
    </row>
    <row r="4" spans="1:15" ht="17" thickBot="1">
      <c r="A4" s="4">
        <v>2</v>
      </c>
      <c r="B4" s="5">
        <v>2.95</v>
      </c>
      <c r="C4" s="5">
        <v>180.8</v>
      </c>
      <c r="D4" s="5">
        <v>61.3</v>
      </c>
      <c r="F4" t="s">
        <v>101</v>
      </c>
      <c r="O4" s="28"/>
    </row>
    <row r="5" spans="1:15" ht="17" thickBot="1">
      <c r="A5" s="4">
        <v>3</v>
      </c>
      <c r="B5" s="5">
        <v>1.96</v>
      </c>
      <c r="C5" s="5">
        <v>305.7</v>
      </c>
      <c r="D5" s="5">
        <v>155.97</v>
      </c>
      <c r="O5" s="28"/>
    </row>
    <row r="6" spans="1:15" ht="17" thickBot="1">
      <c r="A6" s="4">
        <v>4</v>
      </c>
      <c r="B6" s="5">
        <v>2.57</v>
      </c>
      <c r="C6" s="5">
        <v>164.7</v>
      </c>
      <c r="D6" s="5">
        <v>64.069999999999993</v>
      </c>
      <c r="O6" s="28"/>
    </row>
    <row r="7" spans="1:15" ht="17" thickBot="1">
      <c r="A7" s="4">
        <v>5</v>
      </c>
      <c r="B7" s="5">
        <v>2.04</v>
      </c>
      <c r="C7" s="5">
        <v>751.4</v>
      </c>
      <c r="D7" s="5">
        <v>368.32</v>
      </c>
      <c r="O7" s="28"/>
    </row>
    <row r="8" spans="1:15" ht="17" thickBot="1">
      <c r="A8" s="4">
        <v>6</v>
      </c>
      <c r="B8" s="5">
        <v>3.09</v>
      </c>
      <c r="C8" s="5">
        <v>243</v>
      </c>
      <c r="D8" s="5">
        <v>78.650000000000006</v>
      </c>
      <c r="O8" s="28"/>
    </row>
    <row r="9" spans="1:15" ht="17" thickBot="1">
      <c r="A9" s="4">
        <v>7</v>
      </c>
      <c r="B9" s="5">
        <v>2.8</v>
      </c>
      <c r="C9" s="5">
        <v>237.7</v>
      </c>
      <c r="D9" s="5">
        <v>84.89</v>
      </c>
      <c r="O9" s="28"/>
    </row>
    <row r="10" spans="1:15" ht="17" thickBot="1">
      <c r="A10" s="4">
        <v>8</v>
      </c>
      <c r="B10" s="5">
        <v>2.4</v>
      </c>
      <c r="C10" s="5">
        <v>160.30000000000001</v>
      </c>
      <c r="D10" s="5">
        <v>66.81</v>
      </c>
      <c r="O10" s="28"/>
    </row>
    <row r="11" spans="1:15" ht="17" thickBot="1">
      <c r="A11" s="4">
        <v>9</v>
      </c>
      <c r="B11" s="5">
        <v>2.72</v>
      </c>
      <c r="C11" s="5">
        <v>280.10000000000002</v>
      </c>
      <c r="D11" s="5">
        <v>102.98</v>
      </c>
      <c r="O11" s="28"/>
    </row>
    <row r="12" spans="1:15" ht="17" thickBot="1">
      <c r="A12" s="4">
        <v>10</v>
      </c>
      <c r="B12" s="5">
        <v>2.09</v>
      </c>
      <c r="C12" s="5">
        <v>431.2</v>
      </c>
      <c r="D12" s="5">
        <v>206.31</v>
      </c>
      <c r="O12" s="28"/>
    </row>
    <row r="13" spans="1:15" ht="17" thickBot="1">
      <c r="A13" s="4">
        <v>11</v>
      </c>
      <c r="B13" s="5">
        <v>2.69</v>
      </c>
      <c r="C13" s="5">
        <v>119.5</v>
      </c>
      <c r="D13" s="5">
        <v>44.41</v>
      </c>
      <c r="O13" s="28"/>
    </row>
    <row r="14" spans="1:15" ht="17" thickBot="1">
      <c r="A14" s="4">
        <v>12</v>
      </c>
      <c r="B14" s="5">
        <v>2.52</v>
      </c>
      <c r="C14" s="5">
        <v>148.19999999999999</v>
      </c>
      <c r="D14" s="5">
        <v>58.79</v>
      </c>
      <c r="O14" s="28"/>
    </row>
    <row r="15" spans="1:15" ht="17" thickBot="1">
      <c r="A15" s="4">
        <v>13</v>
      </c>
      <c r="B15" s="5">
        <v>2.04</v>
      </c>
      <c r="C15" s="5">
        <v>602.79999999999995</v>
      </c>
      <c r="D15" s="5">
        <v>295.51</v>
      </c>
      <c r="O15" s="28"/>
    </row>
    <row r="16" spans="1:15" ht="17" thickBot="1">
      <c r="A16" s="4">
        <v>14</v>
      </c>
      <c r="B16" s="5">
        <v>2.1800000000000002</v>
      </c>
      <c r="C16" s="5">
        <v>380.2</v>
      </c>
      <c r="D16" s="5">
        <v>174.39</v>
      </c>
      <c r="O16" s="28"/>
    </row>
    <row r="17" spans="1:15" ht="17" thickBot="1">
      <c r="A17" s="4">
        <v>15</v>
      </c>
      <c r="B17" s="5">
        <v>5.42</v>
      </c>
      <c r="C17" s="5">
        <v>193.6</v>
      </c>
      <c r="D17" s="5">
        <v>35.72</v>
      </c>
      <c r="O17" s="28"/>
    </row>
    <row r="18" spans="1:15" ht="17" thickBot="1">
      <c r="A18" s="4">
        <v>16</v>
      </c>
      <c r="B18" s="5">
        <v>1.75</v>
      </c>
      <c r="C18" s="5">
        <v>317.89999999999998</v>
      </c>
      <c r="D18" s="5">
        <v>181.68</v>
      </c>
      <c r="O18" s="28"/>
    </row>
    <row r="19" spans="1:15" ht="17" thickBot="1">
      <c r="A19" s="4">
        <v>17</v>
      </c>
      <c r="B19" s="5">
        <v>3.6</v>
      </c>
      <c r="C19" s="5">
        <v>311.60000000000002</v>
      </c>
      <c r="D19" s="5">
        <v>86.54</v>
      </c>
      <c r="O19" s="28"/>
    </row>
    <row r="20" spans="1:15" ht="17" thickBot="1">
      <c r="A20" s="4">
        <v>18</v>
      </c>
      <c r="B20" s="5">
        <v>2.41</v>
      </c>
      <c r="C20" s="5">
        <v>311.10000000000002</v>
      </c>
      <c r="D20" s="5">
        <v>129.11000000000001</v>
      </c>
      <c r="O20" s="28"/>
    </row>
    <row r="21" spans="1:15" ht="17" thickBot="1">
      <c r="A21" s="4">
        <v>19</v>
      </c>
      <c r="B21" s="5">
        <v>2.58</v>
      </c>
      <c r="C21" s="5">
        <v>318.3</v>
      </c>
      <c r="D21" s="5">
        <v>123.39</v>
      </c>
      <c r="O21" s="28"/>
    </row>
    <row r="22" spans="1:15" ht="17" thickBot="1">
      <c r="A22" s="4">
        <v>20</v>
      </c>
      <c r="B22" s="5">
        <v>4.34</v>
      </c>
      <c r="C22" s="5">
        <v>439.2</v>
      </c>
      <c r="D22" s="5">
        <v>101.19</v>
      </c>
      <c r="O22" s="28"/>
    </row>
    <row r="23" spans="1:15" ht="17" thickBot="1">
      <c r="A23" s="4">
        <v>21</v>
      </c>
      <c r="B23" s="5">
        <v>2.0699999999999998</v>
      </c>
      <c r="C23" s="5">
        <v>599.29999999999995</v>
      </c>
      <c r="D23" s="5">
        <v>289.5</v>
      </c>
      <c r="O23" s="28"/>
    </row>
    <row r="24" spans="1:15" ht="17" thickBot="1">
      <c r="A24" s="4">
        <v>22</v>
      </c>
      <c r="B24" s="5">
        <v>2.62</v>
      </c>
      <c r="C24" s="5">
        <v>293.39999999999998</v>
      </c>
      <c r="D24" s="5">
        <v>112</v>
      </c>
      <c r="O24" s="28"/>
    </row>
    <row r="25" spans="1:15" ht="17" thickBot="1">
      <c r="A25" s="4">
        <v>23</v>
      </c>
      <c r="B25" s="5">
        <v>3.3</v>
      </c>
      <c r="C25" s="5">
        <v>166.8</v>
      </c>
      <c r="D25" s="5">
        <v>50.55</v>
      </c>
      <c r="O25" s="28"/>
    </row>
    <row r="26" spans="1:15" ht="17" thickBot="1">
      <c r="A26" s="4">
        <v>24</v>
      </c>
      <c r="B26" s="5">
        <v>3.54</v>
      </c>
      <c r="C26" s="5">
        <v>261.39999999999998</v>
      </c>
      <c r="D26" s="5">
        <v>73.849999999999994</v>
      </c>
      <c r="O26" s="28"/>
    </row>
    <row r="27" spans="1:15" ht="17" thickBot="1">
      <c r="A27" s="4">
        <v>25</v>
      </c>
      <c r="B27" s="5">
        <v>2.77</v>
      </c>
      <c r="C27" s="5">
        <v>662</v>
      </c>
      <c r="D27" s="5">
        <v>238.99</v>
      </c>
      <c r="O27" s="28"/>
    </row>
    <row r="28" spans="1:15" ht="17" thickBot="1">
      <c r="A28" s="4">
        <v>26</v>
      </c>
      <c r="B28" s="5">
        <v>3.19</v>
      </c>
      <c r="C28" s="5">
        <v>305.3</v>
      </c>
      <c r="D28" s="5">
        <v>95.71</v>
      </c>
      <c r="O28" s="28"/>
    </row>
    <row r="29" spans="1:15" ht="17" thickBot="1">
      <c r="A29" s="4">
        <v>27</v>
      </c>
      <c r="B29" s="5">
        <v>4.46</v>
      </c>
      <c r="C29" s="5">
        <v>190.5</v>
      </c>
      <c r="D29" s="5">
        <v>42.72</v>
      </c>
      <c r="O29" s="28"/>
    </row>
    <row r="30" spans="1:15" ht="17" thickBot="1">
      <c r="A30" s="4">
        <v>28</v>
      </c>
      <c r="B30" s="5">
        <v>5.28</v>
      </c>
      <c r="C30" s="5">
        <v>98.3</v>
      </c>
      <c r="D30" s="5">
        <v>18.62</v>
      </c>
      <c r="O30" s="28"/>
    </row>
    <row r="31" spans="1:15" ht="17" thickBot="1">
      <c r="A31" s="4">
        <v>29</v>
      </c>
      <c r="B31" s="5">
        <v>4.2699999999999996</v>
      </c>
      <c r="C31" s="5">
        <v>227.4</v>
      </c>
      <c r="D31" s="5">
        <v>53.26</v>
      </c>
      <c r="O31" s="28"/>
    </row>
    <row r="32" spans="1:15" ht="17" thickBot="1">
      <c r="A32" s="4">
        <v>30</v>
      </c>
      <c r="B32" s="5">
        <v>2.19</v>
      </c>
      <c r="C32" s="5">
        <v>235.6</v>
      </c>
      <c r="D32" s="5">
        <v>107.56</v>
      </c>
      <c r="O32" s="28"/>
    </row>
    <row r="33" spans="1:15" ht="17" thickBot="1">
      <c r="A33" s="4">
        <v>31</v>
      </c>
      <c r="B33" s="5">
        <v>2.48</v>
      </c>
      <c r="C33" s="5">
        <v>197.6</v>
      </c>
      <c r="D33" s="5">
        <v>79.680000000000007</v>
      </c>
      <c r="O33" s="28"/>
    </row>
    <row r="34" spans="1:15" ht="17" thickBot="1">
      <c r="A34" s="4">
        <v>32</v>
      </c>
      <c r="B34" s="5">
        <v>2.73</v>
      </c>
      <c r="C34" s="5">
        <v>318.89999999999998</v>
      </c>
      <c r="D34" s="5">
        <v>116.82</v>
      </c>
      <c r="O34" s="28"/>
    </row>
    <row r="35" spans="1:15" ht="17" thickBot="1">
      <c r="A35" s="4">
        <v>33</v>
      </c>
      <c r="B35" s="5">
        <v>4.1100000000000003</v>
      </c>
      <c r="C35" s="5">
        <v>501</v>
      </c>
      <c r="D35" s="5">
        <v>121.91</v>
      </c>
      <c r="O35" s="28"/>
    </row>
    <row r="36" spans="1:15" ht="17" thickBot="1">
      <c r="A36" s="4">
        <v>34</v>
      </c>
      <c r="B36" s="5">
        <v>5.92</v>
      </c>
      <c r="C36" s="5">
        <v>441.1</v>
      </c>
      <c r="D36" s="5">
        <v>74.510000000000005</v>
      </c>
      <c r="O36" s="28"/>
    </row>
    <row r="37" spans="1:15" ht="17" thickBot="1">
      <c r="A37" s="4">
        <v>35</v>
      </c>
      <c r="B37" s="5">
        <v>2.23</v>
      </c>
      <c r="C37" s="5">
        <v>247.3</v>
      </c>
      <c r="D37" s="5">
        <v>110.91</v>
      </c>
      <c r="O37" s="28"/>
    </row>
    <row r="38" spans="1:15" ht="17" thickBot="1">
      <c r="A38" s="4">
        <v>36</v>
      </c>
      <c r="B38" s="5">
        <v>1.52</v>
      </c>
      <c r="C38" s="5">
        <v>341.7</v>
      </c>
      <c r="D38" s="5">
        <v>224.83</v>
      </c>
      <c r="O38" s="28"/>
    </row>
    <row r="39" spans="1:15" ht="17" thickBot="1">
      <c r="A39" s="4">
        <v>37</v>
      </c>
      <c r="B39" s="5">
        <v>3.19</v>
      </c>
      <c r="C39" s="5">
        <v>230</v>
      </c>
      <c r="D39" s="5">
        <v>72.11</v>
      </c>
      <c r="O39" s="28"/>
    </row>
    <row r="40" spans="1:15" ht="17" thickBot="1">
      <c r="A40" s="4">
        <v>38</v>
      </c>
      <c r="B40" s="5">
        <v>4.0599999999999996</v>
      </c>
      <c r="C40" s="5">
        <v>176.5</v>
      </c>
      <c r="D40" s="5">
        <v>43.47</v>
      </c>
      <c r="O40" s="28"/>
    </row>
    <row r="41" spans="1:15" ht="17" thickBot="1">
      <c r="A41" s="4">
        <v>39</v>
      </c>
      <c r="B41" s="5">
        <v>4.93</v>
      </c>
      <c r="C41" s="5">
        <v>255.2</v>
      </c>
      <c r="D41" s="5">
        <v>51.76</v>
      </c>
      <c r="O41" s="28"/>
    </row>
    <row r="42" spans="1:15" ht="17" thickBot="1">
      <c r="A42" s="4">
        <v>40</v>
      </c>
      <c r="B42" s="5">
        <v>4.58</v>
      </c>
      <c r="C42" s="5">
        <v>250.8</v>
      </c>
      <c r="D42" s="5">
        <v>54.76</v>
      </c>
      <c r="O42" s="28"/>
    </row>
    <row r="43" spans="1:15" ht="17" thickBot="1">
      <c r="A43" s="4">
        <v>41</v>
      </c>
      <c r="B43" s="5">
        <v>3.16</v>
      </c>
      <c r="C43" s="5">
        <v>574.6</v>
      </c>
      <c r="D43" s="5">
        <v>181.84</v>
      </c>
      <c r="O43" s="28"/>
    </row>
    <row r="44" spans="1:15" ht="17" thickBot="1">
      <c r="A44" s="4">
        <v>42</v>
      </c>
      <c r="B44" s="5">
        <v>3.06</v>
      </c>
      <c r="C44" s="5">
        <v>358.3</v>
      </c>
      <c r="D44" s="5">
        <v>117.08</v>
      </c>
      <c r="O44" s="28"/>
    </row>
    <row r="45" spans="1:15" ht="17" thickBot="1">
      <c r="A45" s="4">
        <v>43</v>
      </c>
      <c r="B45" s="5">
        <v>1.3</v>
      </c>
      <c r="C45" s="5">
        <v>244.6</v>
      </c>
      <c r="D45" s="5">
        <v>188.13</v>
      </c>
      <c r="O45" s="28"/>
    </row>
    <row r="46" spans="1:15" ht="17" thickBot="1">
      <c r="A46" s="4">
        <v>44</v>
      </c>
      <c r="B46" s="5">
        <v>2.02</v>
      </c>
      <c r="C46" s="5">
        <v>187.7</v>
      </c>
      <c r="D46" s="5">
        <v>92.9</v>
      </c>
      <c r="O46" s="28"/>
    </row>
    <row r="47" spans="1:15" ht="17" thickBot="1">
      <c r="A47" s="4">
        <v>45</v>
      </c>
      <c r="B47" s="5">
        <v>2.0699999999999998</v>
      </c>
      <c r="C47" s="5">
        <v>373.7</v>
      </c>
      <c r="D47" s="5">
        <v>180.55</v>
      </c>
      <c r="O47" s="28"/>
    </row>
    <row r="48" spans="1:15" ht="17" thickBot="1">
      <c r="A48" s="4">
        <v>46</v>
      </c>
      <c r="B48" s="5">
        <v>2.38</v>
      </c>
      <c r="C48" s="5">
        <v>389.1</v>
      </c>
      <c r="D48" s="5">
        <v>163.49</v>
      </c>
      <c r="O48" s="28"/>
    </row>
    <row r="49" spans="1:15" ht="17" thickBot="1">
      <c r="A49" s="4">
        <v>47</v>
      </c>
      <c r="B49" s="5">
        <v>2.5</v>
      </c>
      <c r="C49" s="5">
        <v>434.4</v>
      </c>
      <c r="D49" s="5">
        <v>173.77</v>
      </c>
      <c r="O49" s="28"/>
    </row>
    <row r="50" spans="1:15" ht="17" thickBot="1">
      <c r="A50" s="4">
        <v>48</v>
      </c>
      <c r="B50" s="5">
        <v>2.23</v>
      </c>
      <c r="C50" s="5">
        <v>398.6</v>
      </c>
      <c r="D50" s="5">
        <v>178.75</v>
      </c>
      <c r="O50" s="28"/>
    </row>
    <row r="51" spans="1:15" ht="17" thickBot="1">
      <c r="A51" s="4">
        <v>49</v>
      </c>
      <c r="B51" s="5">
        <v>4.6100000000000003</v>
      </c>
      <c r="C51" s="5">
        <v>313.89999999999998</v>
      </c>
      <c r="D51" s="5">
        <v>68.09</v>
      </c>
      <c r="O51" s="28"/>
    </row>
    <row r="52" spans="1:15" ht="17" thickBot="1">
      <c r="A52" s="4">
        <v>50</v>
      </c>
      <c r="B52" s="5">
        <v>2.98</v>
      </c>
      <c r="C52" s="5">
        <v>350.8</v>
      </c>
      <c r="D52" s="5">
        <v>117.72</v>
      </c>
      <c r="O52" s="28"/>
    </row>
    <row r="53" spans="1:15" ht="17" thickBot="1">
      <c r="A53" s="4">
        <v>51</v>
      </c>
      <c r="B53" s="5">
        <v>3.06</v>
      </c>
      <c r="C53" s="5">
        <v>205.7</v>
      </c>
      <c r="D53" s="5">
        <v>67.23</v>
      </c>
      <c r="O53" s="28"/>
    </row>
    <row r="54" spans="1:15" ht="17" thickBot="1">
      <c r="A54" s="4">
        <v>52</v>
      </c>
      <c r="B54" s="5">
        <v>1.66</v>
      </c>
      <c r="C54" s="5">
        <v>175.7</v>
      </c>
      <c r="D54" s="5">
        <v>105.82</v>
      </c>
      <c r="O54" s="28"/>
    </row>
    <row r="55" spans="1:15" ht="17" thickBot="1">
      <c r="A55" s="4">
        <v>53</v>
      </c>
      <c r="B55" s="5">
        <v>3.43</v>
      </c>
      <c r="C55" s="5">
        <v>342.3</v>
      </c>
      <c r="D55" s="5">
        <v>99.81</v>
      </c>
      <c r="O55" s="28"/>
    </row>
    <row r="56" spans="1:15" ht="17" thickBot="1">
      <c r="A56" s="4">
        <v>54</v>
      </c>
      <c r="B56" s="5">
        <v>3.47</v>
      </c>
      <c r="C56" s="5">
        <v>274.2</v>
      </c>
      <c r="D56" s="5">
        <v>79.02</v>
      </c>
      <c r="O56" s="28"/>
    </row>
    <row r="57" spans="1:15" ht="17" thickBot="1">
      <c r="A57" s="4">
        <v>55</v>
      </c>
      <c r="B57" s="5">
        <v>4.54</v>
      </c>
      <c r="C57" s="5">
        <v>341.3</v>
      </c>
      <c r="D57" s="5">
        <v>75.180000000000007</v>
      </c>
      <c r="O57" s="28"/>
    </row>
    <row r="58" spans="1:15" ht="17" thickBot="1">
      <c r="A58" s="4">
        <v>56</v>
      </c>
      <c r="B58" s="5">
        <v>3.26</v>
      </c>
      <c r="C58" s="5">
        <v>790.8</v>
      </c>
      <c r="D58" s="5">
        <v>242.57</v>
      </c>
      <c r="O58" s="28"/>
    </row>
    <row r="59" spans="1:15" ht="17" thickBot="1">
      <c r="A59" s="4">
        <v>57</v>
      </c>
      <c r="B59" s="5">
        <v>5.0599999999999996</v>
      </c>
      <c r="C59" s="5">
        <v>305.3</v>
      </c>
      <c r="D59" s="5">
        <v>60.33</v>
      </c>
      <c r="O59" s="28"/>
    </row>
    <row r="60" spans="1:15" ht="17" thickBot="1">
      <c r="A60" s="4">
        <v>58</v>
      </c>
      <c r="B60" s="5">
        <v>4.17</v>
      </c>
      <c r="C60" s="5">
        <v>235.2</v>
      </c>
      <c r="D60" s="5">
        <v>56.41</v>
      </c>
      <c r="O60" s="28"/>
    </row>
    <row r="61" spans="1:15" ht="17" thickBot="1">
      <c r="A61" s="4">
        <v>59</v>
      </c>
      <c r="B61" s="5">
        <v>2.67</v>
      </c>
      <c r="C61" s="5">
        <v>385.8</v>
      </c>
      <c r="D61" s="5">
        <v>144.47999999999999</v>
      </c>
      <c r="O61" s="28"/>
    </row>
    <row r="62" spans="1:15" ht="17" thickBot="1">
      <c r="A62" s="4">
        <v>60</v>
      </c>
      <c r="B62" s="5">
        <v>2.56</v>
      </c>
      <c r="C62" s="5">
        <v>280.89999999999998</v>
      </c>
      <c r="D62" s="5">
        <v>109.71</v>
      </c>
      <c r="O62" s="28"/>
    </row>
    <row r="63" spans="1:15" ht="17" thickBot="1">
      <c r="A63" s="4">
        <v>61</v>
      </c>
      <c r="B63" s="5">
        <v>4.3499999999999996</v>
      </c>
      <c r="C63" s="5">
        <v>400.6</v>
      </c>
      <c r="D63" s="5">
        <v>92.09</v>
      </c>
      <c r="O63" s="28"/>
    </row>
    <row r="64" spans="1:15" ht="17" thickBot="1">
      <c r="A64" s="4">
        <v>62</v>
      </c>
      <c r="B64" s="5">
        <v>2.78</v>
      </c>
      <c r="C64" s="5">
        <v>205.6</v>
      </c>
      <c r="D64" s="5">
        <v>73.95</v>
      </c>
      <c r="O64" s="28"/>
    </row>
    <row r="65" spans="1:15" ht="17" thickBot="1">
      <c r="A65" s="4">
        <v>63</v>
      </c>
      <c r="B65" s="5">
        <v>4.62</v>
      </c>
      <c r="C65" s="5">
        <v>541.5</v>
      </c>
      <c r="D65" s="5">
        <v>117.21</v>
      </c>
      <c r="O65" s="28"/>
    </row>
    <row r="66" spans="1:15" ht="17" thickBot="1">
      <c r="A66" s="4">
        <v>64</v>
      </c>
      <c r="B66" s="5">
        <v>1.6</v>
      </c>
      <c r="C66" s="5">
        <v>439.9</v>
      </c>
      <c r="D66" s="5">
        <v>274.94</v>
      </c>
      <c r="O66" s="28"/>
    </row>
    <row r="67" spans="1:15" ht="17" thickBot="1">
      <c r="A67" s="4">
        <v>65</v>
      </c>
      <c r="B67" s="5">
        <v>2.96</v>
      </c>
      <c r="C67" s="5">
        <v>318.5</v>
      </c>
      <c r="D67" s="5">
        <v>107.61</v>
      </c>
      <c r="O67" s="28"/>
    </row>
    <row r="68" spans="1:15" ht="17" thickBot="1">
      <c r="A68" s="4">
        <v>66</v>
      </c>
      <c r="B68" s="5">
        <v>2.62</v>
      </c>
      <c r="C68" s="5">
        <v>229.9</v>
      </c>
      <c r="D68" s="5">
        <v>87.73</v>
      </c>
      <c r="O68" s="28"/>
    </row>
    <row r="69" spans="1:15" ht="17" thickBot="1">
      <c r="A69" s="4">
        <v>67</v>
      </c>
      <c r="B69" s="5">
        <v>3.4</v>
      </c>
      <c r="C69" s="5">
        <v>417.3</v>
      </c>
      <c r="D69" s="5">
        <v>122.75</v>
      </c>
      <c r="O69" s="28"/>
    </row>
    <row r="70" spans="1:15" ht="17" thickBot="1">
      <c r="A70" s="4">
        <v>68</v>
      </c>
      <c r="B70" s="5">
        <v>4.3</v>
      </c>
      <c r="C70" s="5">
        <v>338.3</v>
      </c>
      <c r="D70" s="5">
        <v>78.680000000000007</v>
      </c>
      <c r="O70" s="28"/>
    </row>
    <row r="71" spans="1:15" ht="17" thickBot="1">
      <c r="A71" s="4">
        <v>69</v>
      </c>
      <c r="B71" s="5">
        <v>2.66</v>
      </c>
      <c r="C71" s="5">
        <v>387</v>
      </c>
      <c r="D71" s="5">
        <v>145.47999999999999</v>
      </c>
      <c r="O71" s="28"/>
    </row>
    <row r="72" spans="1:15" ht="17" thickBot="1">
      <c r="A72" s="4">
        <v>70</v>
      </c>
      <c r="B72" s="5">
        <v>3.57</v>
      </c>
      <c r="C72" s="5">
        <v>288.60000000000002</v>
      </c>
      <c r="D72" s="5">
        <v>80.849999999999994</v>
      </c>
      <c r="O72" s="28"/>
    </row>
    <row r="73" spans="1:15" ht="17" thickBot="1">
      <c r="A73" s="4">
        <v>71</v>
      </c>
      <c r="B73" s="5">
        <v>3.27</v>
      </c>
      <c r="C73" s="5">
        <v>183.1</v>
      </c>
      <c r="D73" s="5">
        <v>55.99</v>
      </c>
      <c r="O73" s="28"/>
    </row>
    <row r="74" spans="1:15" ht="17" thickBot="1">
      <c r="A74" s="4">
        <v>72</v>
      </c>
      <c r="B74" s="5">
        <v>2.39</v>
      </c>
      <c r="C74" s="5">
        <v>327</v>
      </c>
      <c r="D74" s="5">
        <v>136.84</v>
      </c>
      <c r="O74" s="28"/>
    </row>
    <row r="75" spans="1:15" ht="17" thickBot="1">
      <c r="A75" s="4">
        <v>73</v>
      </c>
      <c r="B75" s="5">
        <v>3.37</v>
      </c>
      <c r="C75" s="5">
        <v>294.7</v>
      </c>
      <c r="D75" s="5">
        <v>87.46</v>
      </c>
      <c r="O75" s="28"/>
    </row>
    <row r="76" spans="1:15" ht="17" thickBot="1">
      <c r="A76" s="4">
        <v>74</v>
      </c>
      <c r="B76" s="5">
        <v>3.32</v>
      </c>
      <c r="C76" s="5">
        <v>345.5</v>
      </c>
      <c r="D76" s="5">
        <v>104.05</v>
      </c>
      <c r="O76" s="28"/>
    </row>
    <row r="77" spans="1:15" ht="17" thickBot="1">
      <c r="A77" s="4">
        <v>75</v>
      </c>
      <c r="B77" s="5">
        <v>3.23</v>
      </c>
      <c r="C77" s="5">
        <v>359</v>
      </c>
      <c r="D77" s="5">
        <v>111.15</v>
      </c>
      <c r="O77" s="28"/>
    </row>
    <row r="78" spans="1:15" ht="17" thickBot="1">
      <c r="A78" s="4">
        <v>76</v>
      </c>
      <c r="B78" s="5">
        <v>3.69</v>
      </c>
      <c r="C78" s="5">
        <v>131.5</v>
      </c>
      <c r="D78" s="5">
        <v>35.630000000000003</v>
      </c>
      <c r="O78" s="28"/>
    </row>
    <row r="79" spans="1:15" ht="17" thickBot="1">
      <c r="A79" s="4">
        <v>77</v>
      </c>
      <c r="B79" s="5">
        <v>5.4</v>
      </c>
      <c r="C79" s="5">
        <v>196.3</v>
      </c>
      <c r="D79" s="5">
        <v>36.35</v>
      </c>
      <c r="O79" s="28"/>
    </row>
    <row r="80" spans="1:15" ht="17" thickBot="1">
      <c r="A80" s="4">
        <v>78</v>
      </c>
      <c r="B80" s="5">
        <v>2.09</v>
      </c>
      <c r="C80" s="5">
        <v>218.5</v>
      </c>
      <c r="D80" s="5">
        <v>104.54</v>
      </c>
      <c r="O80" s="28"/>
    </row>
    <row r="81" spans="1:4" ht="17" thickBot="1">
      <c r="A81" s="4">
        <v>79</v>
      </c>
      <c r="B81" s="5">
        <v>3.45</v>
      </c>
      <c r="C81" s="5">
        <v>242.3</v>
      </c>
      <c r="D81" s="5">
        <v>70.23</v>
      </c>
    </row>
    <row r="82" spans="1:4" ht="17" thickBot="1">
      <c r="A82" s="6" t="s">
        <v>43</v>
      </c>
      <c r="B82" s="7">
        <f>AVERAGE(B3:B81)</f>
        <v>3.1316455696202525</v>
      </c>
      <c r="C82" s="7">
        <f t="shared" ref="C82:D82" si="0">AVERAGE(C3:C81)</f>
        <v>316.99493670886068</v>
      </c>
      <c r="D82" s="7">
        <f t="shared" si="0"/>
        <v>113.97936708860756</v>
      </c>
    </row>
    <row r="83" spans="1:4" ht="31" thickBot="1">
      <c r="A83" s="6" t="s">
        <v>44</v>
      </c>
      <c r="B83" s="7">
        <f>STDEV(B3:B81)</f>
        <v>1.0235827354729692</v>
      </c>
      <c r="C83" s="7">
        <f t="shared" ref="C83:D83" si="1">STDEV(C3:C81)</f>
        <v>136.79580412175102</v>
      </c>
      <c r="D83" s="7">
        <f t="shared" si="1"/>
        <v>66.787770420934336</v>
      </c>
    </row>
  </sheetData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CC24B-D335-4444-ABEC-6DFBB49379BF}">
  <sheetPr codeName="Sheet3"/>
  <dimension ref="A1:L45"/>
  <sheetViews>
    <sheetView zoomScale="125" workbookViewId="0">
      <selection activeCell="M10" sqref="M10"/>
    </sheetView>
  </sheetViews>
  <sheetFormatPr baseColWidth="10" defaultRowHeight="16"/>
  <sheetData>
    <row r="1" spans="1:12" ht="19" customHeight="1" thickBot="1">
      <c r="A1" s="39" t="s">
        <v>45</v>
      </c>
      <c r="B1" s="40"/>
      <c r="C1" s="40"/>
      <c r="D1" s="41"/>
      <c r="G1" s="39" t="s">
        <v>48</v>
      </c>
      <c r="H1" s="40"/>
      <c r="I1" s="40"/>
      <c r="J1" s="41"/>
      <c r="L1" t="s">
        <v>82</v>
      </c>
    </row>
    <row r="2" spans="1:12" ht="45" customHeight="1">
      <c r="A2" s="37" t="s">
        <v>38</v>
      </c>
      <c r="B2" s="37" t="s">
        <v>92</v>
      </c>
      <c r="C2" s="37" t="s">
        <v>41</v>
      </c>
      <c r="D2" s="37" t="s">
        <v>42</v>
      </c>
      <c r="G2" s="37" t="s">
        <v>38</v>
      </c>
      <c r="H2" s="37" t="s">
        <v>92</v>
      </c>
      <c r="I2" s="37" t="s">
        <v>41</v>
      </c>
      <c r="J2" s="37" t="s">
        <v>42</v>
      </c>
      <c r="L2" s="27" t="s">
        <v>93</v>
      </c>
    </row>
    <row r="3" spans="1:12" ht="17" thickBot="1">
      <c r="A3" s="38"/>
      <c r="B3" s="38"/>
      <c r="C3" s="38"/>
      <c r="D3" s="38"/>
      <c r="G3" s="38"/>
      <c r="H3" s="38"/>
      <c r="I3" s="38"/>
      <c r="J3" s="38"/>
    </row>
    <row r="4" spans="1:12" ht="17" thickBot="1">
      <c r="A4" s="8">
        <v>1</v>
      </c>
      <c r="B4" s="9">
        <v>3.39</v>
      </c>
      <c r="C4" s="9">
        <v>475.6</v>
      </c>
      <c r="D4" s="9">
        <v>140.30000000000001</v>
      </c>
      <c r="G4" s="8">
        <v>1</v>
      </c>
      <c r="H4" s="9">
        <v>2.19</v>
      </c>
      <c r="I4" s="9">
        <v>219.8</v>
      </c>
      <c r="J4" s="9">
        <v>100.38</v>
      </c>
    </row>
    <row r="5" spans="1:12" ht="17" thickBot="1">
      <c r="A5" s="8">
        <v>2</v>
      </c>
      <c r="B5" s="9">
        <v>3.16</v>
      </c>
      <c r="C5" s="9">
        <v>321.7</v>
      </c>
      <c r="D5" s="9">
        <v>101.8</v>
      </c>
      <c r="G5" s="8">
        <v>2</v>
      </c>
      <c r="H5" s="9">
        <v>3.43</v>
      </c>
      <c r="I5" s="9">
        <v>364.8</v>
      </c>
      <c r="J5" s="9">
        <v>106.37</v>
      </c>
    </row>
    <row r="6" spans="1:12" ht="17" thickBot="1">
      <c r="A6" s="8">
        <v>3</v>
      </c>
      <c r="B6" s="9">
        <v>2.19</v>
      </c>
      <c r="C6" s="9">
        <v>377.7</v>
      </c>
      <c r="D6" s="9">
        <v>172.47</v>
      </c>
      <c r="G6" s="8">
        <v>3</v>
      </c>
      <c r="H6" s="9">
        <v>3.31</v>
      </c>
      <c r="I6" s="9">
        <v>563.70000000000005</v>
      </c>
      <c r="J6" s="9">
        <v>170.31</v>
      </c>
    </row>
    <row r="7" spans="1:12" ht="17" thickBot="1">
      <c r="A7" s="8">
        <v>4</v>
      </c>
      <c r="B7" s="9">
        <v>2.84</v>
      </c>
      <c r="C7" s="9">
        <v>316.2</v>
      </c>
      <c r="D7" s="9">
        <v>111.34</v>
      </c>
      <c r="G7" s="8">
        <v>4</v>
      </c>
      <c r="H7" s="9">
        <v>1.64</v>
      </c>
      <c r="I7" s="9">
        <v>308.8</v>
      </c>
      <c r="J7" s="9">
        <v>188.31</v>
      </c>
    </row>
    <row r="8" spans="1:12" ht="17" thickBot="1">
      <c r="A8" s="8">
        <v>5</v>
      </c>
      <c r="B8" s="9">
        <v>3.53</v>
      </c>
      <c r="C8" s="9">
        <v>258.3</v>
      </c>
      <c r="D8" s="9">
        <v>73.17</v>
      </c>
      <c r="G8" s="8">
        <v>5</v>
      </c>
      <c r="H8" s="9">
        <v>2.59</v>
      </c>
      <c r="I8" s="9">
        <v>222.1</v>
      </c>
      <c r="J8" s="9">
        <v>85.74</v>
      </c>
    </row>
    <row r="9" spans="1:12" ht="17" thickBot="1">
      <c r="A9" s="8">
        <v>6</v>
      </c>
      <c r="B9" s="9">
        <v>1.9</v>
      </c>
      <c r="C9" s="9">
        <v>477.9</v>
      </c>
      <c r="D9" s="9">
        <v>251.53</v>
      </c>
      <c r="G9" s="8">
        <v>6</v>
      </c>
      <c r="H9" s="9">
        <v>3.15</v>
      </c>
      <c r="I9" s="9">
        <v>282.10000000000002</v>
      </c>
      <c r="J9" s="9">
        <v>89.54</v>
      </c>
    </row>
    <row r="10" spans="1:12" ht="17" thickBot="1">
      <c r="A10" s="8">
        <v>7</v>
      </c>
      <c r="B10" s="9">
        <v>1.56</v>
      </c>
      <c r="C10" s="9">
        <v>337.7</v>
      </c>
      <c r="D10" s="9">
        <v>216.47</v>
      </c>
      <c r="G10" s="8">
        <v>7</v>
      </c>
      <c r="H10" s="9">
        <v>3.59</v>
      </c>
      <c r="I10" s="9">
        <v>398.8</v>
      </c>
      <c r="J10" s="9">
        <v>111.1</v>
      </c>
    </row>
    <row r="11" spans="1:12" ht="17" thickBot="1">
      <c r="A11" s="8">
        <v>8</v>
      </c>
      <c r="B11" s="9">
        <v>2.2799999999999998</v>
      </c>
      <c r="C11" s="9">
        <v>401.9</v>
      </c>
      <c r="D11" s="9">
        <v>176.29</v>
      </c>
      <c r="G11" s="8">
        <v>8</v>
      </c>
      <c r="H11" s="9">
        <v>2.02</v>
      </c>
      <c r="I11" s="9">
        <v>367.1</v>
      </c>
      <c r="J11" s="9">
        <v>181.74</v>
      </c>
    </row>
    <row r="12" spans="1:12" ht="17" thickBot="1">
      <c r="A12" s="8">
        <v>9</v>
      </c>
      <c r="B12" s="9">
        <v>2.52</v>
      </c>
      <c r="C12" s="9">
        <v>474.2</v>
      </c>
      <c r="D12" s="9">
        <v>188.19</v>
      </c>
      <c r="G12" s="8">
        <v>9</v>
      </c>
      <c r="H12" s="9">
        <v>2.36</v>
      </c>
      <c r="I12" s="9">
        <v>268.5</v>
      </c>
      <c r="J12" s="9">
        <v>113.75</v>
      </c>
    </row>
    <row r="13" spans="1:12" ht="17" thickBot="1">
      <c r="A13" s="8">
        <v>10</v>
      </c>
      <c r="B13" s="9">
        <v>3.65</v>
      </c>
      <c r="C13" s="9">
        <v>483.5</v>
      </c>
      <c r="D13" s="9">
        <v>132.47999999999999</v>
      </c>
      <c r="G13" s="8">
        <v>10</v>
      </c>
      <c r="H13" s="9">
        <v>1.98</v>
      </c>
      <c r="I13" s="9">
        <v>303.60000000000002</v>
      </c>
      <c r="J13" s="9">
        <v>153.35</v>
      </c>
    </row>
    <row r="14" spans="1:12" ht="17" thickBot="1">
      <c r="A14" s="8">
        <v>11</v>
      </c>
      <c r="B14" s="9">
        <v>2.1800000000000002</v>
      </c>
      <c r="C14" s="9">
        <v>244.6</v>
      </c>
      <c r="D14" s="9">
        <v>112.22</v>
      </c>
      <c r="G14" s="8">
        <v>11</v>
      </c>
      <c r="H14" s="9">
        <v>2.61</v>
      </c>
      <c r="I14" s="9">
        <v>342</v>
      </c>
      <c r="J14" s="9">
        <v>131.05000000000001</v>
      </c>
    </row>
    <row r="15" spans="1:12" ht="17" thickBot="1">
      <c r="A15" s="8">
        <v>12</v>
      </c>
      <c r="B15" s="9">
        <v>2.44</v>
      </c>
      <c r="C15" s="9">
        <v>463.5</v>
      </c>
      <c r="D15" s="9">
        <v>189.97</v>
      </c>
      <c r="G15" s="8">
        <v>12</v>
      </c>
      <c r="H15" s="9">
        <v>1.84</v>
      </c>
      <c r="I15" s="9">
        <v>171.9</v>
      </c>
      <c r="J15" s="9">
        <v>93.44</v>
      </c>
    </row>
    <row r="16" spans="1:12" ht="17" thickBot="1">
      <c r="A16" s="8">
        <v>13</v>
      </c>
      <c r="B16" s="9">
        <v>1.66</v>
      </c>
      <c r="C16" s="9">
        <v>720.5</v>
      </c>
      <c r="D16" s="9">
        <v>434.06</v>
      </c>
      <c r="G16" s="8">
        <v>13</v>
      </c>
      <c r="H16" s="9">
        <v>3.98</v>
      </c>
      <c r="I16" s="9">
        <v>428.5</v>
      </c>
      <c r="J16" s="9">
        <v>107.65</v>
      </c>
    </row>
    <row r="17" spans="1:10" ht="17" thickBot="1">
      <c r="A17" s="8">
        <v>14</v>
      </c>
      <c r="B17" s="9">
        <v>3.23</v>
      </c>
      <c r="C17" s="9">
        <v>369.3</v>
      </c>
      <c r="D17" s="9">
        <v>114.34</v>
      </c>
      <c r="G17" s="8">
        <v>14</v>
      </c>
      <c r="H17" s="9">
        <v>3.14</v>
      </c>
      <c r="I17" s="9">
        <v>426.5</v>
      </c>
      <c r="J17" s="9">
        <v>135.82</v>
      </c>
    </row>
    <row r="18" spans="1:10" ht="17" thickBot="1">
      <c r="A18" s="8">
        <v>15</v>
      </c>
      <c r="B18" s="9">
        <v>1.59</v>
      </c>
      <c r="C18" s="9">
        <v>530.6</v>
      </c>
      <c r="D18" s="9">
        <v>333.72</v>
      </c>
      <c r="G18" s="8">
        <v>15</v>
      </c>
      <c r="H18" s="9">
        <v>2.4700000000000002</v>
      </c>
      <c r="I18" s="9">
        <v>480.5</v>
      </c>
      <c r="J18" s="9">
        <v>194.52</v>
      </c>
    </row>
    <row r="19" spans="1:10" ht="17" thickBot="1">
      <c r="A19" s="8">
        <v>16</v>
      </c>
      <c r="B19" s="9">
        <v>3.06</v>
      </c>
      <c r="C19" s="9">
        <v>356.9</v>
      </c>
      <c r="D19" s="9">
        <v>116.62</v>
      </c>
      <c r="G19" s="8">
        <v>16</v>
      </c>
      <c r="H19" s="9">
        <v>1.56</v>
      </c>
      <c r="I19" s="9">
        <v>344.9</v>
      </c>
      <c r="J19" s="9">
        <v>221.09</v>
      </c>
    </row>
    <row r="20" spans="1:10" ht="17" thickBot="1">
      <c r="A20" s="8">
        <v>17</v>
      </c>
      <c r="B20" s="9">
        <v>4.3600000000000003</v>
      </c>
      <c r="C20" s="9">
        <v>930.1</v>
      </c>
      <c r="D20" s="9">
        <v>213.34</v>
      </c>
      <c r="G20" s="8">
        <v>17</v>
      </c>
      <c r="H20" s="9">
        <v>4.1500000000000004</v>
      </c>
      <c r="I20" s="9">
        <v>306.5</v>
      </c>
      <c r="J20" s="9">
        <v>73.86</v>
      </c>
    </row>
    <row r="21" spans="1:10" ht="17" thickBot="1">
      <c r="A21" s="8">
        <v>18</v>
      </c>
      <c r="B21" s="9">
        <v>3.1</v>
      </c>
      <c r="C21" s="9">
        <v>487.1</v>
      </c>
      <c r="D21" s="9">
        <v>157.13</v>
      </c>
      <c r="G21" s="8">
        <v>18</v>
      </c>
      <c r="H21" s="9">
        <v>2.4300000000000002</v>
      </c>
      <c r="I21" s="9">
        <v>226.2</v>
      </c>
      <c r="J21" s="9">
        <v>93.08</v>
      </c>
    </row>
    <row r="22" spans="1:10" ht="17" thickBot="1">
      <c r="A22" s="8">
        <v>19</v>
      </c>
      <c r="B22" s="9">
        <v>2.39</v>
      </c>
      <c r="C22" s="9">
        <v>513.79999999999995</v>
      </c>
      <c r="D22" s="9">
        <v>215</v>
      </c>
      <c r="G22" s="8">
        <v>19</v>
      </c>
      <c r="H22" s="9">
        <v>2.62</v>
      </c>
      <c r="I22" s="9">
        <v>287.5</v>
      </c>
      <c r="J22" s="9">
        <v>109.74</v>
      </c>
    </row>
    <row r="23" spans="1:10" ht="17" thickBot="1">
      <c r="A23" s="10" t="s">
        <v>43</v>
      </c>
      <c r="B23" s="11">
        <v>2.69</v>
      </c>
      <c r="C23" s="11">
        <v>449.5</v>
      </c>
      <c r="D23" s="11">
        <v>181.6</v>
      </c>
      <c r="G23" s="10" t="s">
        <v>43</v>
      </c>
      <c r="H23" s="11">
        <v>2.69</v>
      </c>
      <c r="I23" s="11">
        <v>332.3</v>
      </c>
      <c r="J23" s="11">
        <v>129.52000000000001</v>
      </c>
    </row>
    <row r="24" spans="1:10" ht="29" thickBot="1">
      <c r="A24" s="10" t="s">
        <v>44</v>
      </c>
      <c r="B24" s="11">
        <v>0.77</v>
      </c>
      <c r="C24" s="11">
        <v>161.19999999999999</v>
      </c>
      <c r="D24" s="11">
        <v>87.14</v>
      </c>
      <c r="G24" s="10" t="s">
        <v>44</v>
      </c>
      <c r="H24" s="11">
        <v>0.76</v>
      </c>
      <c r="I24" s="11">
        <v>98</v>
      </c>
      <c r="J24" s="11">
        <v>42.92</v>
      </c>
    </row>
    <row r="27" spans="1:10">
      <c r="H27" s="23"/>
    </row>
    <row r="28" spans="1:10">
      <c r="H28" s="23"/>
    </row>
    <row r="29" spans="1:10">
      <c r="H29" s="23"/>
    </row>
    <row r="30" spans="1:10">
      <c r="H30" s="23"/>
    </row>
    <row r="31" spans="1:10">
      <c r="H31" s="23"/>
    </row>
    <row r="32" spans="1:10">
      <c r="H32" s="23"/>
    </row>
    <row r="33" spans="8:8">
      <c r="H33" s="23"/>
    </row>
    <row r="34" spans="8:8">
      <c r="H34" s="23"/>
    </row>
    <row r="35" spans="8:8">
      <c r="H35" s="23"/>
    </row>
    <row r="36" spans="8:8">
      <c r="H36" s="23"/>
    </row>
    <row r="37" spans="8:8">
      <c r="H37" s="23"/>
    </row>
    <row r="38" spans="8:8">
      <c r="H38" s="23"/>
    </row>
    <row r="39" spans="8:8">
      <c r="H39" s="23"/>
    </row>
    <row r="40" spans="8:8">
      <c r="H40" s="23"/>
    </row>
    <row r="41" spans="8:8">
      <c r="H41" s="23"/>
    </row>
    <row r="42" spans="8:8">
      <c r="H42" s="23"/>
    </row>
    <row r="43" spans="8:8">
      <c r="H43" s="23"/>
    </row>
    <row r="44" spans="8:8">
      <c r="H44" s="23"/>
    </row>
    <row r="45" spans="8:8">
      <c r="H45" s="23"/>
    </row>
  </sheetData>
  <mergeCells count="10">
    <mergeCell ref="A1:D1"/>
    <mergeCell ref="A2:A3"/>
    <mergeCell ref="D2:D3"/>
    <mergeCell ref="G1:J1"/>
    <mergeCell ref="G2:G3"/>
    <mergeCell ref="B2:B3"/>
    <mergeCell ref="C2:C3"/>
    <mergeCell ref="H2:H3"/>
    <mergeCell ref="I2:I3"/>
    <mergeCell ref="J2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2FAFE-BFAA-5346-BB81-DC051DE5D79D}">
  <sheetPr codeName="Sheet4"/>
  <dimension ref="A1:L21"/>
  <sheetViews>
    <sheetView zoomScale="108" workbookViewId="0">
      <selection activeCell="M15" sqref="M15"/>
    </sheetView>
  </sheetViews>
  <sheetFormatPr baseColWidth="10" defaultRowHeight="16"/>
  <cols>
    <col min="1" max="1" width="22" customWidth="1"/>
    <col min="7" max="7" width="20.5" customWidth="1"/>
    <col min="8" max="8" width="10.83203125" customWidth="1"/>
  </cols>
  <sheetData>
    <row r="1" spans="1:12" ht="19" customHeight="1" thickBot="1">
      <c r="A1" s="39" t="s">
        <v>49</v>
      </c>
      <c r="B1" s="40"/>
      <c r="C1" s="40"/>
      <c r="D1" s="41"/>
      <c r="G1" s="39" t="s">
        <v>68</v>
      </c>
      <c r="H1" s="40"/>
      <c r="I1" s="40"/>
      <c r="J1" s="41"/>
      <c r="L1" t="s">
        <v>82</v>
      </c>
    </row>
    <row r="2" spans="1:12" ht="28" customHeight="1">
      <c r="A2" s="42"/>
      <c r="B2" s="12" t="s">
        <v>39</v>
      </c>
      <c r="C2" s="12" t="s">
        <v>46</v>
      </c>
      <c r="D2" s="42" t="s">
        <v>42</v>
      </c>
      <c r="G2" s="37"/>
      <c r="H2" s="12" t="s">
        <v>39</v>
      </c>
      <c r="I2" s="12" t="s">
        <v>46</v>
      </c>
      <c r="J2" s="42" t="s">
        <v>42</v>
      </c>
    </row>
    <row r="3" spans="1:12" ht="17" thickBot="1">
      <c r="A3" s="43"/>
      <c r="B3" s="13" t="s">
        <v>40</v>
      </c>
      <c r="C3" s="13" t="s">
        <v>47</v>
      </c>
      <c r="D3" s="43"/>
      <c r="G3" s="38"/>
      <c r="H3" s="13" t="s">
        <v>40</v>
      </c>
      <c r="I3" s="13" t="s">
        <v>47</v>
      </c>
      <c r="J3" s="43"/>
    </row>
    <row r="4" spans="1:12" ht="29" customHeight="1" thickBot="1">
      <c r="A4" s="14" t="s">
        <v>50</v>
      </c>
      <c r="B4" s="9">
        <v>1.75</v>
      </c>
      <c r="C4" s="9">
        <v>195.21</v>
      </c>
      <c r="D4" s="9">
        <v>111.55</v>
      </c>
      <c r="G4" s="14" t="s">
        <v>50</v>
      </c>
      <c r="H4" s="9">
        <v>1.75</v>
      </c>
      <c r="I4" s="9">
        <v>115.96</v>
      </c>
      <c r="J4" s="9">
        <v>66.260000000000005</v>
      </c>
    </row>
    <row r="5" spans="1:12" ht="29" customHeight="1" thickBot="1">
      <c r="A5" s="14" t="s">
        <v>51</v>
      </c>
      <c r="B5" s="9">
        <v>1.74</v>
      </c>
      <c r="C5" s="9">
        <v>122.22</v>
      </c>
      <c r="D5" s="9">
        <v>70.239999999999995</v>
      </c>
      <c r="G5" s="14" t="s">
        <v>51</v>
      </c>
      <c r="H5" s="9">
        <v>1.76</v>
      </c>
      <c r="I5" s="9">
        <v>123.74</v>
      </c>
      <c r="J5" s="9">
        <v>70.31</v>
      </c>
    </row>
    <row r="6" spans="1:12" ht="29" customHeight="1" thickBot="1">
      <c r="A6" s="14" t="s">
        <v>52</v>
      </c>
      <c r="B6" s="9">
        <v>1.75</v>
      </c>
      <c r="C6" s="9">
        <v>92.22</v>
      </c>
      <c r="D6" s="9">
        <v>52.7</v>
      </c>
      <c r="G6" s="14" t="s">
        <v>52</v>
      </c>
      <c r="H6" s="9">
        <v>1.76</v>
      </c>
      <c r="I6" s="9">
        <v>147.12</v>
      </c>
      <c r="J6" s="9">
        <v>83.59</v>
      </c>
    </row>
    <row r="7" spans="1:12" ht="29" customHeight="1" thickBot="1">
      <c r="A7" s="14" t="s">
        <v>53</v>
      </c>
      <c r="B7" s="9">
        <v>1.76</v>
      </c>
      <c r="C7" s="9">
        <v>79.23</v>
      </c>
      <c r="D7" s="9">
        <v>45.02</v>
      </c>
      <c r="G7" s="14" t="s">
        <v>53</v>
      </c>
      <c r="H7" s="9">
        <v>1.77</v>
      </c>
      <c r="I7" s="9">
        <v>108.47</v>
      </c>
      <c r="J7" s="9">
        <v>61.28</v>
      </c>
    </row>
    <row r="8" spans="1:12" ht="29" customHeight="1" thickBot="1">
      <c r="A8" s="15" t="s">
        <v>54</v>
      </c>
      <c r="B8" s="11">
        <f>AVERAGE(B4:B7)</f>
        <v>1.75</v>
      </c>
      <c r="C8" s="11">
        <v>122.22</v>
      </c>
      <c r="D8" s="11">
        <v>69.88</v>
      </c>
      <c r="G8" s="15" t="s">
        <v>54</v>
      </c>
      <c r="H8" s="11">
        <v>1.76</v>
      </c>
      <c r="I8" s="11">
        <v>123.82</v>
      </c>
      <c r="J8" s="11">
        <v>70.36</v>
      </c>
    </row>
    <row r="9" spans="1:12" ht="29" customHeight="1" thickBot="1">
      <c r="A9" s="15" t="s">
        <v>55</v>
      </c>
      <c r="B9" s="26">
        <f>STDEV(B4:B7)</f>
        <v>8.1649658092772682E-3</v>
      </c>
      <c r="C9" s="11">
        <v>51.88</v>
      </c>
      <c r="D9" s="11">
        <v>29.72</v>
      </c>
      <c r="G9" s="15" t="s">
        <v>55</v>
      </c>
      <c r="H9" s="13">
        <v>8.0000000000000002E-3</v>
      </c>
      <c r="I9" s="11">
        <v>16.73</v>
      </c>
      <c r="J9" s="11">
        <v>9.56</v>
      </c>
    </row>
    <row r="10" spans="1:12" ht="29" customHeight="1" thickBot="1">
      <c r="A10" s="14" t="s">
        <v>56</v>
      </c>
      <c r="B10" s="9">
        <v>1.75</v>
      </c>
      <c r="C10" s="9">
        <v>72.14</v>
      </c>
      <c r="D10" s="9">
        <v>41.22</v>
      </c>
      <c r="G10" s="14" t="s">
        <v>56</v>
      </c>
      <c r="H10" s="9">
        <v>1.75</v>
      </c>
      <c r="I10" s="9">
        <v>91.6</v>
      </c>
      <c r="J10" s="9">
        <v>52.34</v>
      </c>
    </row>
    <row r="11" spans="1:12" ht="29" customHeight="1" thickBot="1">
      <c r="A11" s="14" t="s">
        <v>57</v>
      </c>
      <c r="B11" s="9">
        <v>1.74</v>
      </c>
      <c r="C11" s="9">
        <v>68.08</v>
      </c>
      <c r="D11" s="9">
        <v>39.119999999999997</v>
      </c>
      <c r="G11" s="14" t="s">
        <v>57</v>
      </c>
      <c r="H11" s="9">
        <v>1.76</v>
      </c>
      <c r="I11" s="9">
        <v>96.4</v>
      </c>
      <c r="J11" s="9">
        <v>54.77</v>
      </c>
      <c r="L11" s="23"/>
    </row>
    <row r="12" spans="1:12" ht="29" customHeight="1" thickBot="1">
      <c r="A12" s="14" t="s">
        <v>58</v>
      </c>
      <c r="B12" s="9">
        <v>1.75</v>
      </c>
      <c r="C12" s="9">
        <v>71.040000000000006</v>
      </c>
      <c r="D12" s="9">
        <v>40.6</v>
      </c>
      <c r="G12" s="14" t="s">
        <v>58</v>
      </c>
      <c r="H12" s="9">
        <v>1.76</v>
      </c>
      <c r="I12" s="9">
        <v>55.39</v>
      </c>
      <c r="J12" s="9">
        <v>31.47</v>
      </c>
    </row>
    <row r="13" spans="1:12" ht="29" customHeight="1" thickBot="1">
      <c r="A13" s="14" t="s">
        <v>59</v>
      </c>
      <c r="B13" s="9">
        <v>1.76</v>
      </c>
      <c r="C13" s="9">
        <v>59.29</v>
      </c>
      <c r="D13" s="9">
        <v>33.69</v>
      </c>
      <c r="G13" s="14" t="s">
        <v>59</v>
      </c>
      <c r="H13" s="9">
        <v>1.77</v>
      </c>
      <c r="I13" s="9">
        <v>94.15</v>
      </c>
      <c r="J13" s="9">
        <v>53.19</v>
      </c>
    </row>
    <row r="14" spans="1:12" ht="29" customHeight="1" thickBot="1">
      <c r="A14" s="15" t="s">
        <v>60</v>
      </c>
      <c r="B14" s="11">
        <v>1.75</v>
      </c>
      <c r="C14" s="11">
        <v>67.64</v>
      </c>
      <c r="D14" s="11">
        <v>38.659999999999997</v>
      </c>
      <c r="G14" s="15" t="s">
        <v>60</v>
      </c>
      <c r="H14" s="11">
        <v>1.76</v>
      </c>
      <c r="I14" s="11">
        <v>84.38</v>
      </c>
      <c r="J14" s="11">
        <v>47.94</v>
      </c>
    </row>
    <row r="15" spans="1:12" ht="29" customHeight="1" thickBot="1">
      <c r="A15" s="15" t="s">
        <v>61</v>
      </c>
      <c r="B15" s="13">
        <v>8.0000000000000002E-3</v>
      </c>
      <c r="C15" s="11">
        <v>5.83</v>
      </c>
      <c r="D15" s="11">
        <v>3.43</v>
      </c>
      <c r="G15" s="15" t="s">
        <v>61</v>
      </c>
      <c r="H15" s="13">
        <v>8.0000000000000002E-3</v>
      </c>
      <c r="I15" s="11">
        <v>19.43</v>
      </c>
      <c r="J15" s="11">
        <v>11.03</v>
      </c>
    </row>
    <row r="16" spans="1:12" ht="29" customHeight="1" thickBot="1">
      <c r="A16" s="14" t="s">
        <v>62</v>
      </c>
      <c r="B16" s="9">
        <v>1.75</v>
      </c>
      <c r="C16" s="9">
        <v>49.38</v>
      </c>
      <c r="D16" s="9">
        <v>28.22</v>
      </c>
      <c r="G16" s="14" t="s">
        <v>62</v>
      </c>
      <c r="H16" s="9">
        <v>1.75</v>
      </c>
      <c r="I16" s="9">
        <v>57.44</v>
      </c>
      <c r="J16" s="9">
        <v>32.82</v>
      </c>
    </row>
    <row r="17" spans="1:10" ht="29" customHeight="1" thickBot="1">
      <c r="A17" s="14" t="s">
        <v>63</v>
      </c>
      <c r="B17" s="9">
        <v>1.74</v>
      </c>
      <c r="C17" s="9">
        <v>63.9</v>
      </c>
      <c r="D17" s="9">
        <v>36.72</v>
      </c>
      <c r="G17" s="14" t="s">
        <v>63</v>
      </c>
      <c r="H17" s="9">
        <v>1.76</v>
      </c>
      <c r="I17" s="9">
        <v>67.95</v>
      </c>
      <c r="J17" s="9">
        <v>38.61</v>
      </c>
    </row>
    <row r="18" spans="1:10" ht="29" customHeight="1" thickBot="1">
      <c r="A18" s="14" t="s">
        <v>64</v>
      </c>
      <c r="B18" s="9">
        <v>1.75</v>
      </c>
      <c r="C18" s="9">
        <v>27.43</v>
      </c>
      <c r="D18" s="9">
        <v>15.68</v>
      </c>
      <c r="G18" s="14" t="s">
        <v>64</v>
      </c>
      <c r="H18" s="9">
        <v>1.76</v>
      </c>
      <c r="I18" s="9">
        <v>33.119999999999997</v>
      </c>
      <c r="J18" s="9">
        <v>18.82</v>
      </c>
    </row>
    <row r="19" spans="1:10" ht="29" customHeight="1" thickBot="1">
      <c r="A19" s="14" t="s">
        <v>65</v>
      </c>
      <c r="B19" s="9">
        <v>1.76</v>
      </c>
      <c r="C19" s="9">
        <v>30.61</v>
      </c>
      <c r="D19" s="9">
        <v>17.39</v>
      </c>
      <c r="G19" s="14" t="s">
        <v>65</v>
      </c>
      <c r="H19" s="9">
        <v>1.77</v>
      </c>
      <c r="I19" s="9">
        <v>37.92</v>
      </c>
      <c r="J19" s="9">
        <v>21.42</v>
      </c>
    </row>
    <row r="20" spans="1:10" ht="29" customHeight="1" thickBot="1">
      <c r="A20" s="15" t="s">
        <v>66</v>
      </c>
      <c r="B20" s="11">
        <v>1.75</v>
      </c>
      <c r="C20" s="11">
        <v>42.83</v>
      </c>
      <c r="D20" s="11">
        <v>24.5</v>
      </c>
      <c r="G20" s="15" t="s">
        <v>66</v>
      </c>
      <c r="H20" s="11">
        <v>1.76</v>
      </c>
      <c r="I20" s="11">
        <v>49.11</v>
      </c>
      <c r="J20" s="11">
        <v>27.92</v>
      </c>
    </row>
    <row r="21" spans="1:10" ht="29" customHeight="1" thickBot="1">
      <c r="A21" s="15" t="s">
        <v>67</v>
      </c>
      <c r="B21" s="13">
        <v>8.0000000000000002E-3</v>
      </c>
      <c r="C21" s="11">
        <v>17.059999999999999</v>
      </c>
      <c r="D21" s="11">
        <v>9.86</v>
      </c>
      <c r="G21" s="15" t="s">
        <v>67</v>
      </c>
      <c r="H21" s="13">
        <v>8.0000000000000002E-3</v>
      </c>
      <c r="I21" s="11">
        <v>16.38</v>
      </c>
      <c r="J21" s="11">
        <v>9.3699999999999992</v>
      </c>
    </row>
  </sheetData>
  <mergeCells count="6">
    <mergeCell ref="A1:D1"/>
    <mergeCell ref="A2:A3"/>
    <mergeCell ref="D2:D3"/>
    <mergeCell ref="G1:J1"/>
    <mergeCell ref="G2:G3"/>
    <mergeCell ref="J2:J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806BC-0F26-2A4B-BE1D-3F938BEF431A}">
  <sheetPr codeName="Sheet5"/>
  <dimension ref="A1:L33"/>
  <sheetViews>
    <sheetView workbookViewId="0">
      <selection activeCell="M6" sqref="M6"/>
    </sheetView>
  </sheetViews>
  <sheetFormatPr baseColWidth="10" defaultRowHeight="16"/>
  <cols>
    <col min="1" max="1" width="21.6640625" customWidth="1"/>
    <col min="7" max="7" width="21.5" customWidth="1"/>
  </cols>
  <sheetData>
    <row r="1" spans="1:12" ht="19" thickBot="1">
      <c r="A1" s="39" t="s">
        <v>68</v>
      </c>
      <c r="B1" s="40"/>
      <c r="C1" s="40"/>
      <c r="D1" s="41"/>
      <c r="G1" s="39" t="s">
        <v>81</v>
      </c>
      <c r="H1" s="40"/>
      <c r="I1" s="40"/>
      <c r="J1" s="41"/>
      <c r="L1" t="s">
        <v>82</v>
      </c>
    </row>
    <row r="2" spans="1:12" ht="28" customHeight="1">
      <c r="A2" s="42"/>
      <c r="B2" s="12" t="s">
        <v>39</v>
      </c>
      <c r="C2" s="12" t="s">
        <v>46</v>
      </c>
      <c r="D2" s="42" t="s">
        <v>42</v>
      </c>
      <c r="G2" s="42"/>
      <c r="H2" s="12" t="s">
        <v>39</v>
      </c>
      <c r="I2" s="12" t="s">
        <v>46</v>
      </c>
      <c r="J2" s="42" t="s">
        <v>42</v>
      </c>
    </row>
    <row r="3" spans="1:12" ht="17" thickBot="1">
      <c r="A3" s="43"/>
      <c r="B3" s="13" t="s">
        <v>40</v>
      </c>
      <c r="C3" s="13" t="s">
        <v>47</v>
      </c>
      <c r="D3" s="43"/>
      <c r="G3" s="43"/>
      <c r="H3" s="13" t="s">
        <v>40</v>
      </c>
      <c r="I3" s="13" t="s">
        <v>47</v>
      </c>
      <c r="J3" s="43"/>
    </row>
    <row r="4" spans="1:12" ht="29" customHeight="1" thickBot="1">
      <c r="A4" s="14" t="s">
        <v>50</v>
      </c>
      <c r="B4" s="9">
        <v>1.77</v>
      </c>
      <c r="C4" s="9">
        <v>170.1</v>
      </c>
      <c r="D4" s="9">
        <v>96.1</v>
      </c>
      <c r="G4" s="14" t="s">
        <v>50</v>
      </c>
      <c r="H4" s="9">
        <v>1.78</v>
      </c>
      <c r="I4" s="9">
        <v>148.30000000000001</v>
      </c>
      <c r="J4" s="9">
        <v>83.31</v>
      </c>
    </row>
    <row r="5" spans="1:12" ht="29" customHeight="1" thickBot="1">
      <c r="A5" s="14" t="s">
        <v>51</v>
      </c>
      <c r="B5" s="9">
        <v>1.77</v>
      </c>
      <c r="C5" s="9">
        <v>125.21</v>
      </c>
      <c r="D5" s="9">
        <v>70.739999999999995</v>
      </c>
      <c r="G5" s="14" t="s">
        <v>51</v>
      </c>
      <c r="H5" s="9">
        <v>1.78</v>
      </c>
      <c r="I5" s="9">
        <v>154.93</v>
      </c>
      <c r="J5" s="9">
        <v>87.04</v>
      </c>
    </row>
    <row r="6" spans="1:12" ht="29" customHeight="1" thickBot="1">
      <c r="A6" s="14" t="s">
        <v>52</v>
      </c>
      <c r="B6" s="9">
        <v>1.8</v>
      </c>
      <c r="C6" s="9">
        <v>137.53</v>
      </c>
      <c r="D6" s="9">
        <v>76.41</v>
      </c>
      <c r="G6" s="14" t="s">
        <v>52</v>
      </c>
      <c r="H6" s="9">
        <v>1.78</v>
      </c>
      <c r="I6" s="9">
        <v>124.45</v>
      </c>
      <c r="J6" s="9">
        <v>69.91</v>
      </c>
    </row>
    <row r="7" spans="1:12" ht="29" customHeight="1" thickBot="1">
      <c r="A7" s="14" t="s">
        <v>53</v>
      </c>
      <c r="B7" s="9">
        <v>1.78</v>
      </c>
      <c r="C7" s="9">
        <v>127.6</v>
      </c>
      <c r="D7" s="9">
        <v>71.680000000000007</v>
      </c>
      <c r="G7" s="14" t="s">
        <v>53</v>
      </c>
      <c r="H7" s="9">
        <v>1.79</v>
      </c>
      <c r="I7" s="9">
        <v>162.22999999999999</v>
      </c>
      <c r="J7" s="9">
        <v>90.63</v>
      </c>
    </row>
    <row r="8" spans="1:12" ht="29" customHeight="1" thickBot="1">
      <c r="A8" s="15" t="s">
        <v>54</v>
      </c>
      <c r="B8" s="11">
        <v>1.78</v>
      </c>
      <c r="C8" s="11">
        <v>140.11000000000001</v>
      </c>
      <c r="D8" s="11">
        <v>78.73</v>
      </c>
      <c r="G8" s="15" t="s">
        <v>54</v>
      </c>
      <c r="H8" s="11">
        <v>1.78</v>
      </c>
      <c r="I8" s="11">
        <v>147.47999999999999</v>
      </c>
      <c r="J8" s="11">
        <v>82.72</v>
      </c>
    </row>
    <row r="9" spans="1:12" ht="29" customHeight="1" thickBot="1">
      <c r="A9" s="15" t="s">
        <v>55</v>
      </c>
      <c r="B9" s="13">
        <v>0.01</v>
      </c>
      <c r="C9" s="11">
        <v>20.69</v>
      </c>
      <c r="D9" s="11">
        <v>11.84</v>
      </c>
      <c r="G9" s="15" t="s">
        <v>55</v>
      </c>
      <c r="H9" s="13">
        <v>0.01</v>
      </c>
      <c r="I9" s="11">
        <v>16.37</v>
      </c>
      <c r="J9" s="11">
        <v>9.0500000000000007</v>
      </c>
    </row>
    <row r="10" spans="1:12" ht="29" customHeight="1" thickBot="1">
      <c r="A10" s="14" t="s">
        <v>56</v>
      </c>
      <c r="B10" s="9">
        <v>1.77</v>
      </c>
      <c r="C10" s="9">
        <v>94.72</v>
      </c>
      <c r="D10" s="9">
        <v>53.52</v>
      </c>
      <c r="G10" s="14" t="s">
        <v>56</v>
      </c>
      <c r="H10" s="9">
        <v>1.78</v>
      </c>
      <c r="I10" s="9">
        <v>48.03</v>
      </c>
      <c r="J10" s="9">
        <v>26.99</v>
      </c>
    </row>
    <row r="11" spans="1:12" ht="29" customHeight="1" thickBot="1">
      <c r="A11" s="14" t="s">
        <v>57</v>
      </c>
      <c r="B11" s="9">
        <v>1.77</v>
      </c>
      <c r="C11" s="9">
        <v>72.430000000000007</v>
      </c>
      <c r="D11" s="9">
        <v>40.92</v>
      </c>
      <c r="G11" s="14" t="s">
        <v>57</v>
      </c>
      <c r="H11" s="9">
        <v>1.78</v>
      </c>
      <c r="I11" s="9">
        <v>134.05000000000001</v>
      </c>
      <c r="J11" s="9">
        <v>75.31</v>
      </c>
    </row>
    <row r="12" spans="1:12" ht="29" customHeight="1" thickBot="1">
      <c r="A12" s="14" t="s">
        <v>58</v>
      </c>
      <c r="B12" s="9">
        <v>1.8</v>
      </c>
      <c r="C12" s="9">
        <v>100.48</v>
      </c>
      <c r="D12" s="9">
        <v>55.82</v>
      </c>
      <c r="G12" s="14" t="s">
        <v>58</v>
      </c>
      <c r="H12" s="9">
        <v>1.78</v>
      </c>
      <c r="I12" s="9">
        <v>84.46</v>
      </c>
      <c r="J12" s="9">
        <v>47.45</v>
      </c>
    </row>
    <row r="13" spans="1:12" ht="29" customHeight="1" thickBot="1">
      <c r="A13" s="14" t="s">
        <v>59</v>
      </c>
      <c r="B13" s="9">
        <v>1.78</v>
      </c>
      <c r="C13" s="9">
        <v>52.7</v>
      </c>
      <c r="D13" s="9">
        <v>29.61</v>
      </c>
      <c r="G13" s="14" t="s">
        <v>59</v>
      </c>
      <c r="H13" s="9">
        <v>1.79</v>
      </c>
      <c r="I13" s="9">
        <v>153.88</v>
      </c>
      <c r="J13" s="9">
        <v>85.97</v>
      </c>
    </row>
    <row r="14" spans="1:12" ht="29" customHeight="1" thickBot="1">
      <c r="A14" s="15" t="s">
        <v>60</v>
      </c>
      <c r="B14" s="11">
        <v>1.78</v>
      </c>
      <c r="C14" s="11">
        <v>80.08</v>
      </c>
      <c r="D14" s="11">
        <v>44.97</v>
      </c>
      <c r="G14" s="15" t="s">
        <v>60</v>
      </c>
      <c r="H14" s="11">
        <v>1.78</v>
      </c>
      <c r="I14" s="11">
        <v>105.11</v>
      </c>
      <c r="J14" s="11">
        <v>58.93</v>
      </c>
    </row>
    <row r="15" spans="1:12" ht="29" customHeight="1" thickBot="1">
      <c r="A15" s="15" t="s">
        <v>61</v>
      </c>
      <c r="B15" s="13">
        <v>0.01</v>
      </c>
      <c r="C15" s="11">
        <v>21.9</v>
      </c>
      <c r="D15" s="11">
        <v>12.15</v>
      </c>
      <c r="G15" s="15" t="s">
        <v>61</v>
      </c>
      <c r="H15" s="13">
        <v>0.01</v>
      </c>
      <c r="I15" s="11">
        <v>47.96</v>
      </c>
      <c r="J15" s="11">
        <v>26.78</v>
      </c>
    </row>
    <row r="16" spans="1:12" ht="29" customHeight="1" thickBot="1">
      <c r="A16" s="14" t="s">
        <v>62</v>
      </c>
      <c r="B16" s="9">
        <v>1.77</v>
      </c>
      <c r="C16" s="9">
        <v>55.9</v>
      </c>
      <c r="D16" s="9">
        <v>31.58</v>
      </c>
      <c r="G16" s="14" t="s">
        <v>62</v>
      </c>
      <c r="H16" s="9">
        <v>1.78</v>
      </c>
      <c r="I16" s="9">
        <v>30.26</v>
      </c>
      <c r="J16" s="9">
        <v>17</v>
      </c>
    </row>
    <row r="17" spans="1:10" ht="29" customHeight="1" thickBot="1">
      <c r="A17" s="14" t="s">
        <v>63</v>
      </c>
      <c r="B17" s="9">
        <v>1.77</v>
      </c>
      <c r="C17" s="9">
        <v>38.43</v>
      </c>
      <c r="D17" s="9">
        <v>21.71</v>
      </c>
      <c r="G17" s="14" t="s">
        <v>63</v>
      </c>
      <c r="H17" s="9">
        <v>1.78</v>
      </c>
      <c r="I17" s="9">
        <v>118.52</v>
      </c>
      <c r="J17" s="9">
        <v>66.58</v>
      </c>
    </row>
    <row r="18" spans="1:10" ht="29" customHeight="1" thickBot="1">
      <c r="A18" s="14" t="s">
        <v>64</v>
      </c>
      <c r="B18" s="9">
        <v>1.8</v>
      </c>
      <c r="C18" s="9">
        <v>38.700000000000003</v>
      </c>
      <c r="D18" s="9">
        <v>21.5</v>
      </c>
      <c r="G18" s="14" t="s">
        <v>64</v>
      </c>
      <c r="H18" s="9">
        <v>1.78</v>
      </c>
      <c r="I18" s="9">
        <v>44.37</v>
      </c>
      <c r="J18" s="9">
        <v>24.93</v>
      </c>
    </row>
    <row r="19" spans="1:10" ht="29" customHeight="1" thickBot="1">
      <c r="A19" s="14" t="s">
        <v>65</v>
      </c>
      <c r="B19" s="9">
        <v>1.78</v>
      </c>
      <c r="C19" s="9">
        <v>51.8</v>
      </c>
      <c r="D19" s="9">
        <v>29.1</v>
      </c>
      <c r="G19" s="14" t="s">
        <v>65</v>
      </c>
      <c r="H19" s="9">
        <v>1.79</v>
      </c>
      <c r="I19" s="9">
        <v>67.349999999999994</v>
      </c>
      <c r="J19" s="9">
        <v>37.619999999999997</v>
      </c>
    </row>
    <row r="20" spans="1:10" ht="29" customHeight="1" thickBot="1">
      <c r="A20" s="15" t="s">
        <v>66</v>
      </c>
      <c r="B20" s="11">
        <v>1.78</v>
      </c>
      <c r="C20" s="11">
        <v>46.21</v>
      </c>
      <c r="D20" s="11">
        <v>25.97</v>
      </c>
      <c r="G20" s="15" t="s">
        <v>66</v>
      </c>
      <c r="H20" s="11">
        <v>1.78</v>
      </c>
      <c r="I20" s="11">
        <v>65.12</v>
      </c>
      <c r="J20" s="11">
        <v>36.53</v>
      </c>
    </row>
    <row r="21" spans="1:10" ht="29" customHeight="1" thickBot="1">
      <c r="A21" s="15" t="s">
        <v>67</v>
      </c>
      <c r="B21" s="13">
        <v>0.01</v>
      </c>
      <c r="C21" s="11">
        <v>8.98</v>
      </c>
      <c r="D21" s="11">
        <v>5.14</v>
      </c>
      <c r="G21" s="15" t="s">
        <v>67</v>
      </c>
      <c r="H21" s="13">
        <v>0.01</v>
      </c>
      <c r="I21" s="11">
        <v>38.74</v>
      </c>
      <c r="J21" s="11">
        <v>21.76</v>
      </c>
    </row>
    <row r="22" spans="1:10" ht="29" customHeight="1" thickBot="1">
      <c r="A22" s="14" t="s">
        <v>69</v>
      </c>
      <c r="B22" s="16">
        <v>1.77</v>
      </c>
      <c r="C22" s="9">
        <v>49.98</v>
      </c>
      <c r="D22" s="9">
        <v>28.24</v>
      </c>
      <c r="G22" s="14" t="s">
        <v>69</v>
      </c>
      <c r="H22" s="16">
        <v>1.78</v>
      </c>
      <c r="I22" s="9">
        <v>54.18</v>
      </c>
      <c r="J22" s="9">
        <v>30.44</v>
      </c>
    </row>
    <row r="23" spans="1:10" ht="29" customHeight="1" thickBot="1">
      <c r="A23" s="14" t="s">
        <v>70</v>
      </c>
      <c r="B23" s="16">
        <v>1.77</v>
      </c>
      <c r="C23" s="9">
        <v>59.47</v>
      </c>
      <c r="D23" s="9">
        <v>33.6</v>
      </c>
      <c r="G23" s="14" t="s">
        <v>70</v>
      </c>
      <c r="H23" s="16">
        <v>1.78</v>
      </c>
      <c r="I23" s="9">
        <v>43.7</v>
      </c>
      <c r="J23" s="9">
        <v>24.55</v>
      </c>
    </row>
    <row r="24" spans="1:10" ht="29" customHeight="1" thickBot="1">
      <c r="A24" s="15" t="s">
        <v>71</v>
      </c>
      <c r="B24" s="13">
        <v>1.77</v>
      </c>
      <c r="C24" s="11">
        <v>54.72</v>
      </c>
      <c r="D24" s="11">
        <v>30.92</v>
      </c>
      <c r="G24" s="15" t="s">
        <v>71</v>
      </c>
      <c r="H24" s="13">
        <v>1.78</v>
      </c>
      <c r="I24" s="11">
        <v>48.94</v>
      </c>
      <c r="J24" s="11">
        <v>27.49</v>
      </c>
    </row>
    <row r="25" spans="1:10" ht="29" customHeight="1" thickBot="1">
      <c r="A25" s="15" t="s">
        <v>72</v>
      </c>
      <c r="B25" s="13">
        <v>0</v>
      </c>
      <c r="C25" s="11">
        <v>6.71</v>
      </c>
      <c r="D25" s="11">
        <v>3.79</v>
      </c>
      <c r="G25" s="15" t="s">
        <v>72</v>
      </c>
      <c r="H25" s="13">
        <v>0</v>
      </c>
      <c r="I25" s="11">
        <v>7.41</v>
      </c>
      <c r="J25" s="11">
        <v>4.16</v>
      </c>
    </row>
    <row r="26" spans="1:10" ht="29" customHeight="1" thickBot="1">
      <c r="A26" s="14" t="s">
        <v>73</v>
      </c>
      <c r="B26" s="16">
        <v>1.77</v>
      </c>
      <c r="C26" s="9">
        <v>49.41</v>
      </c>
      <c r="D26" s="9">
        <v>27.91</v>
      </c>
      <c r="G26" s="14" t="s">
        <v>73</v>
      </c>
      <c r="H26" s="16">
        <v>1.78</v>
      </c>
      <c r="I26" s="9">
        <v>40.340000000000003</v>
      </c>
      <c r="J26" s="9">
        <v>22.66</v>
      </c>
    </row>
    <row r="27" spans="1:10" ht="29" customHeight="1" thickBot="1">
      <c r="A27" s="14" t="s">
        <v>74</v>
      </c>
      <c r="B27" s="16">
        <v>1.77</v>
      </c>
      <c r="C27" s="9">
        <v>72.7</v>
      </c>
      <c r="D27" s="9">
        <v>41.07</v>
      </c>
      <c r="G27" s="14" t="s">
        <v>74</v>
      </c>
      <c r="H27" s="16">
        <v>1.78</v>
      </c>
      <c r="I27" s="9">
        <v>42.49</v>
      </c>
      <c r="J27" s="9">
        <v>23.87</v>
      </c>
    </row>
    <row r="28" spans="1:10" ht="29" customHeight="1" thickBot="1">
      <c r="A28" s="15" t="s">
        <v>75</v>
      </c>
      <c r="B28" s="13">
        <v>1.77</v>
      </c>
      <c r="C28" s="11">
        <v>61.05</v>
      </c>
      <c r="D28" s="11">
        <v>34.49</v>
      </c>
      <c r="G28" s="15" t="s">
        <v>75</v>
      </c>
      <c r="H28" s="13">
        <v>1.78</v>
      </c>
      <c r="I28" s="11">
        <v>41.41</v>
      </c>
      <c r="J28" s="11">
        <v>23.26</v>
      </c>
    </row>
    <row r="29" spans="1:10" ht="29" customHeight="1" thickBot="1">
      <c r="A29" s="15" t="s">
        <v>76</v>
      </c>
      <c r="B29" s="13">
        <v>0</v>
      </c>
      <c r="C29" s="11">
        <v>16.47</v>
      </c>
      <c r="D29" s="11">
        <v>9.3000000000000007</v>
      </c>
      <c r="G29" s="15" t="s">
        <v>76</v>
      </c>
      <c r="H29" s="13">
        <v>0</v>
      </c>
      <c r="I29" s="11">
        <v>1.52</v>
      </c>
      <c r="J29" s="11">
        <v>0.85</v>
      </c>
    </row>
    <row r="30" spans="1:10" ht="29" customHeight="1" thickBot="1">
      <c r="A30" s="14" t="s">
        <v>77</v>
      </c>
      <c r="B30" s="16">
        <v>1.77</v>
      </c>
      <c r="C30" s="9">
        <v>31.75</v>
      </c>
      <c r="D30" s="9">
        <v>17.940000000000001</v>
      </c>
      <c r="G30" s="14" t="s">
        <v>77</v>
      </c>
      <c r="H30" s="16">
        <v>1.78</v>
      </c>
      <c r="I30" s="9">
        <v>44.6</v>
      </c>
      <c r="J30" s="9">
        <v>25.06</v>
      </c>
    </row>
    <row r="31" spans="1:10" ht="29" customHeight="1" thickBot="1">
      <c r="A31" s="14" t="s">
        <v>78</v>
      </c>
      <c r="B31" s="16">
        <v>1.77</v>
      </c>
      <c r="C31" s="9">
        <v>34.47</v>
      </c>
      <c r="D31" s="9">
        <v>19.47</v>
      </c>
      <c r="G31" s="14" t="s">
        <v>78</v>
      </c>
      <c r="H31" s="16">
        <v>1.78</v>
      </c>
      <c r="I31" s="9">
        <v>52.43</v>
      </c>
      <c r="J31" s="9">
        <v>29.46</v>
      </c>
    </row>
    <row r="32" spans="1:10" ht="29" customHeight="1" thickBot="1">
      <c r="A32" s="15" t="s">
        <v>79</v>
      </c>
      <c r="B32" s="13">
        <v>1.77</v>
      </c>
      <c r="C32" s="11">
        <v>33.11</v>
      </c>
      <c r="D32" s="11">
        <v>18.7</v>
      </c>
      <c r="G32" s="15" t="s">
        <v>79</v>
      </c>
      <c r="H32" s="13">
        <v>1.78</v>
      </c>
      <c r="I32" s="11">
        <v>48.52</v>
      </c>
      <c r="J32" s="11">
        <v>27.26</v>
      </c>
    </row>
    <row r="33" spans="1:10" ht="29" customHeight="1" thickBot="1">
      <c r="A33" s="15" t="s">
        <v>80</v>
      </c>
      <c r="B33" s="13">
        <v>0</v>
      </c>
      <c r="C33" s="11">
        <v>1.92</v>
      </c>
      <c r="D33" s="11">
        <v>1.0900000000000001</v>
      </c>
      <c r="G33" s="15" t="s">
        <v>80</v>
      </c>
      <c r="H33" s="13">
        <v>0</v>
      </c>
      <c r="I33" s="11">
        <v>5.54</v>
      </c>
      <c r="J33" s="11">
        <v>3.11</v>
      </c>
    </row>
  </sheetData>
  <mergeCells count="6">
    <mergeCell ref="A1:D1"/>
    <mergeCell ref="A2:A3"/>
    <mergeCell ref="D2:D3"/>
    <mergeCell ref="G1:J1"/>
    <mergeCell ref="G2:G3"/>
    <mergeCell ref="J2:J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9A2E8-FC1C-1742-B7EC-0CAE9D717023}">
  <sheetPr codeName="Sheet6"/>
  <dimension ref="A1:AB173"/>
  <sheetViews>
    <sheetView workbookViewId="0">
      <selection activeCell="F25" sqref="F25:G27"/>
    </sheetView>
  </sheetViews>
  <sheetFormatPr baseColWidth="10" defaultRowHeight="16"/>
  <cols>
    <col min="1" max="1" width="14.33203125" bestFit="1" customWidth="1"/>
    <col min="2" max="2" width="12.83203125" bestFit="1" customWidth="1"/>
    <col min="3" max="3" width="9.5" bestFit="1" customWidth="1"/>
    <col min="4" max="4" width="16.6640625" bestFit="1" customWidth="1"/>
    <col min="5" max="6" width="13.33203125" bestFit="1" customWidth="1"/>
    <col min="7" max="7" width="14.6640625" bestFit="1" customWidth="1"/>
    <col min="14" max="14" width="10.1640625" bestFit="1" customWidth="1"/>
    <col min="15" max="15" width="8.1640625" bestFit="1" customWidth="1"/>
    <col min="16" max="16" width="7.83203125" bestFit="1" customWidth="1"/>
    <col min="17" max="17" width="16.6640625" bestFit="1" customWidth="1"/>
    <col min="18" max="19" width="13.33203125" bestFit="1" customWidth="1"/>
    <col min="20" max="20" width="15" customWidth="1"/>
  </cols>
  <sheetData>
    <row r="1" spans="1:28">
      <c r="A1" s="44" t="s">
        <v>84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AA1" s="47"/>
      <c r="AB1" s="48"/>
    </row>
    <row r="2" spans="1:28" s="48" customFormat="1">
      <c r="A2" s="54" t="s">
        <v>123</v>
      </c>
      <c r="B2" s="54"/>
      <c r="C2" s="54"/>
      <c r="D2" s="54"/>
      <c r="E2" s="54"/>
      <c r="F2" s="54"/>
      <c r="G2" s="54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AA2" s="47"/>
    </row>
    <row r="3" spans="1:28">
      <c r="A3" t="s">
        <v>89</v>
      </c>
      <c r="B3" t="s">
        <v>115</v>
      </c>
      <c r="C3" t="s">
        <v>116</v>
      </c>
      <c r="D3" t="s">
        <v>117</v>
      </c>
      <c r="E3" t="s">
        <v>118</v>
      </c>
      <c r="F3" t="s">
        <v>119</v>
      </c>
      <c r="AA3" s="49"/>
      <c r="AB3" s="48"/>
    </row>
    <row r="4" spans="1:28">
      <c r="A4" t="s">
        <v>122</v>
      </c>
      <c r="B4">
        <v>5</v>
      </c>
      <c r="C4">
        <v>64</v>
      </c>
      <c r="D4">
        <v>22</v>
      </c>
      <c r="E4">
        <v>5</v>
      </c>
      <c r="F4">
        <v>4</v>
      </c>
      <c r="AA4" s="49"/>
      <c r="AB4" s="50"/>
    </row>
    <row r="5" spans="1:28">
      <c r="A5" t="s">
        <v>12</v>
      </c>
      <c r="B5">
        <v>4</v>
      </c>
      <c r="C5">
        <v>71</v>
      </c>
      <c r="D5">
        <v>20</v>
      </c>
      <c r="E5">
        <v>3</v>
      </c>
      <c r="F5">
        <v>2</v>
      </c>
      <c r="AA5" s="49"/>
      <c r="AB5" s="51"/>
    </row>
    <row r="6" spans="1:28">
      <c r="A6" t="s">
        <v>10</v>
      </c>
      <c r="B6">
        <v>7</v>
      </c>
      <c r="C6">
        <v>47</v>
      </c>
      <c r="D6">
        <v>34</v>
      </c>
      <c r="E6">
        <v>7</v>
      </c>
      <c r="F6">
        <v>5</v>
      </c>
      <c r="AA6" s="49"/>
      <c r="AB6" s="50"/>
    </row>
    <row r="7" spans="1:28">
      <c r="A7" t="s">
        <v>11</v>
      </c>
      <c r="B7">
        <v>11</v>
      </c>
      <c r="C7">
        <v>70</v>
      </c>
      <c r="D7">
        <f>95-81</f>
        <v>14</v>
      </c>
      <c r="E7">
        <f>98-95</f>
        <v>3</v>
      </c>
      <c r="F7">
        <v>2</v>
      </c>
      <c r="AA7" s="49"/>
      <c r="AB7" s="50"/>
    </row>
    <row r="8" spans="1:28">
      <c r="A8" t="s">
        <v>14</v>
      </c>
      <c r="B8">
        <v>4</v>
      </c>
      <c r="C8">
        <v>62</v>
      </c>
      <c r="D8">
        <v>27</v>
      </c>
      <c r="E8">
        <v>3</v>
      </c>
      <c r="F8">
        <v>4</v>
      </c>
      <c r="AA8" s="49"/>
      <c r="AB8" s="51"/>
    </row>
    <row r="9" spans="1:28">
      <c r="A9" t="s">
        <v>17</v>
      </c>
      <c r="B9">
        <v>11</v>
      </c>
      <c r="C9">
        <v>60</v>
      </c>
      <c r="D9">
        <v>21</v>
      </c>
      <c r="E9">
        <v>5</v>
      </c>
      <c r="F9">
        <v>3</v>
      </c>
      <c r="AA9" s="49"/>
      <c r="AB9" s="51"/>
    </row>
    <row r="10" spans="1:28">
      <c r="A10" t="s">
        <v>27</v>
      </c>
      <c r="B10">
        <v>7</v>
      </c>
      <c r="C10">
        <f>73-7</f>
        <v>66</v>
      </c>
      <c r="D10">
        <f>94-73</f>
        <v>21</v>
      </c>
      <c r="E10">
        <f>96-94</f>
        <v>2</v>
      </c>
      <c r="F10">
        <v>4</v>
      </c>
      <c r="AA10" s="49"/>
      <c r="AB10" s="50"/>
    </row>
    <row r="11" spans="1:28">
      <c r="A11" t="s">
        <v>29</v>
      </c>
      <c r="B11">
        <v>5</v>
      </c>
      <c r="C11">
        <v>54</v>
      </c>
      <c r="D11">
        <f>84-59</f>
        <v>25</v>
      </c>
      <c r="E11">
        <f>90-84</f>
        <v>6</v>
      </c>
      <c r="F11">
        <v>10</v>
      </c>
      <c r="AA11" s="49"/>
      <c r="AB11" s="51"/>
    </row>
    <row r="12" spans="1:28">
      <c r="A12" t="s">
        <v>34</v>
      </c>
      <c r="B12">
        <v>12</v>
      </c>
      <c r="C12">
        <f>65-12</f>
        <v>53</v>
      </c>
      <c r="D12">
        <f>89-65</f>
        <v>24</v>
      </c>
      <c r="E12">
        <f>95-89</f>
        <v>6</v>
      </c>
      <c r="F12">
        <v>5</v>
      </c>
      <c r="AA12" s="49"/>
      <c r="AB12" s="51"/>
    </row>
    <row r="13" spans="1:28">
      <c r="A13" t="s">
        <v>33</v>
      </c>
      <c r="B13">
        <v>9</v>
      </c>
      <c r="C13">
        <f>78-9</f>
        <v>69</v>
      </c>
      <c r="D13">
        <f>97-78</f>
        <v>19</v>
      </c>
      <c r="E13">
        <f>99-97</f>
        <v>2</v>
      </c>
      <c r="F13">
        <v>1</v>
      </c>
      <c r="AA13" s="49"/>
      <c r="AB13" s="51"/>
    </row>
    <row r="14" spans="1:28">
      <c r="A14" t="s">
        <v>37</v>
      </c>
      <c r="B14">
        <v>8</v>
      </c>
      <c r="C14">
        <f>66-8</f>
        <v>58</v>
      </c>
      <c r="D14">
        <f>93-66</f>
        <v>27</v>
      </c>
      <c r="E14">
        <f>95-93</f>
        <v>2</v>
      </c>
      <c r="F14">
        <v>5</v>
      </c>
      <c r="AA14" s="49"/>
      <c r="AB14" s="52"/>
    </row>
    <row r="15" spans="1:28">
      <c r="A15" t="s">
        <v>91</v>
      </c>
      <c r="B15">
        <v>8</v>
      </c>
      <c r="C15">
        <f>73-8</f>
        <v>65</v>
      </c>
      <c r="D15">
        <f>94-73</f>
        <v>21</v>
      </c>
      <c r="E15">
        <f>97-94</f>
        <v>3</v>
      </c>
      <c r="F15">
        <v>3</v>
      </c>
      <c r="AA15" s="49"/>
      <c r="AB15" s="52"/>
    </row>
    <row r="16" spans="1:28">
      <c r="AA16" s="49"/>
      <c r="AB16" s="51"/>
    </row>
    <row r="17" spans="1:28">
      <c r="AA17" s="49"/>
      <c r="AB17" s="51"/>
    </row>
    <row r="18" spans="1:28">
      <c r="AA18" s="49"/>
      <c r="AB18" s="51"/>
    </row>
    <row r="19" spans="1:28">
      <c r="AA19" s="49"/>
      <c r="AB19" s="51"/>
    </row>
    <row r="20" spans="1:28">
      <c r="A20" s="55" t="s">
        <v>129</v>
      </c>
      <c r="B20" s="56"/>
      <c r="C20" s="56"/>
      <c r="D20" s="56"/>
      <c r="W20" s="30"/>
      <c r="AA20" s="49"/>
      <c r="AB20" s="51"/>
    </row>
    <row r="21" spans="1:28">
      <c r="A21" t="s">
        <v>89</v>
      </c>
      <c r="B21" t="s">
        <v>124</v>
      </c>
      <c r="C21" t="s">
        <v>125</v>
      </c>
      <c r="D21" t="s">
        <v>116</v>
      </c>
      <c r="W21" s="31"/>
      <c r="AA21" s="49"/>
      <c r="AB21" s="51"/>
    </row>
    <row r="22" spans="1:28">
      <c r="A22" t="s">
        <v>122</v>
      </c>
      <c r="B22">
        <v>7</v>
      </c>
      <c r="C22">
        <v>24</v>
      </c>
      <c r="D22">
        <v>69</v>
      </c>
      <c r="W22" s="31"/>
      <c r="AA22" s="49"/>
      <c r="AB22" s="51"/>
    </row>
    <row r="23" spans="1:28">
      <c r="A23" t="s">
        <v>12</v>
      </c>
      <c r="B23">
        <v>4</v>
      </c>
      <c r="C23">
        <v>21</v>
      </c>
      <c r="D23">
        <v>75</v>
      </c>
      <c r="W23" s="31"/>
      <c r="AA23" s="49"/>
      <c r="AB23" s="51"/>
    </row>
    <row r="24" spans="1:28">
      <c r="A24" t="s">
        <v>10</v>
      </c>
      <c r="B24">
        <v>9.5</v>
      </c>
      <c r="C24">
        <v>36.5</v>
      </c>
      <c r="D24">
        <v>54</v>
      </c>
      <c r="W24" s="31"/>
      <c r="AA24" s="49"/>
      <c r="AB24" s="51"/>
    </row>
    <row r="25" spans="1:28">
      <c r="A25" t="s">
        <v>11</v>
      </c>
      <c r="B25">
        <v>4</v>
      </c>
      <c r="C25">
        <v>15</v>
      </c>
      <c r="D25">
        <v>81</v>
      </c>
      <c r="F25" t="s">
        <v>124</v>
      </c>
      <c r="G25" t="s">
        <v>126</v>
      </c>
      <c r="W25" s="31"/>
      <c r="AA25" s="49"/>
      <c r="AB25" s="51"/>
    </row>
    <row r="26" spans="1:28">
      <c r="A26" t="s">
        <v>14</v>
      </c>
      <c r="B26">
        <v>5</v>
      </c>
      <c r="C26">
        <v>29</v>
      </c>
      <c r="D26">
        <v>66</v>
      </c>
      <c r="F26" t="s">
        <v>125</v>
      </c>
      <c r="G26" t="s">
        <v>127</v>
      </c>
      <c r="W26" s="31"/>
      <c r="AA26" s="49"/>
      <c r="AB26" s="51"/>
    </row>
    <row r="27" spans="1:28">
      <c r="A27" t="s">
        <v>17</v>
      </c>
      <c r="B27">
        <v>6.5</v>
      </c>
      <c r="C27">
        <v>22.5</v>
      </c>
      <c r="D27">
        <v>71</v>
      </c>
      <c r="F27" t="s">
        <v>116</v>
      </c>
      <c r="G27" t="s">
        <v>128</v>
      </c>
      <c r="W27" s="31"/>
      <c r="AA27" s="49"/>
      <c r="AB27" s="51"/>
    </row>
    <row r="28" spans="1:28">
      <c r="A28" t="s">
        <v>27</v>
      </c>
      <c r="B28">
        <v>4</v>
      </c>
      <c r="C28">
        <v>23</v>
      </c>
      <c r="D28">
        <v>73</v>
      </c>
      <c r="W28" s="31"/>
      <c r="AA28" s="49"/>
      <c r="AB28" s="51"/>
    </row>
    <row r="29" spans="1:28">
      <c r="A29" t="s">
        <v>29</v>
      </c>
      <c r="B29">
        <v>11</v>
      </c>
      <c r="C29">
        <v>30</v>
      </c>
      <c r="D29">
        <v>59</v>
      </c>
      <c r="W29" s="31"/>
      <c r="AA29" s="49"/>
      <c r="AB29" s="51"/>
    </row>
    <row r="30" spans="1:28">
      <c r="A30" t="s">
        <v>34</v>
      </c>
      <c r="B30">
        <v>8.5</v>
      </c>
      <c r="C30">
        <v>26.5</v>
      </c>
      <c r="D30">
        <v>65</v>
      </c>
      <c r="W30" s="31"/>
      <c r="AA30" s="49"/>
      <c r="AB30" s="51"/>
    </row>
    <row r="31" spans="1:28">
      <c r="A31" t="s">
        <v>33</v>
      </c>
      <c r="B31">
        <v>2.5</v>
      </c>
      <c r="C31">
        <v>19.5</v>
      </c>
      <c r="D31">
        <v>78</v>
      </c>
      <c r="W31" s="31"/>
      <c r="AA31" s="49"/>
      <c r="AB31" s="51"/>
    </row>
    <row r="32" spans="1:28">
      <c r="A32" t="s">
        <v>37</v>
      </c>
      <c r="B32">
        <v>4.5</v>
      </c>
      <c r="C32">
        <v>29.5</v>
      </c>
      <c r="D32">
        <v>66</v>
      </c>
      <c r="W32" s="31"/>
      <c r="AA32" s="49"/>
      <c r="AB32" s="51"/>
    </row>
    <row r="33" spans="1:28">
      <c r="A33" t="s">
        <v>91</v>
      </c>
      <c r="B33">
        <v>4.5</v>
      </c>
      <c r="C33">
        <v>22.5</v>
      </c>
      <c r="D33">
        <v>73</v>
      </c>
      <c r="W33" s="31"/>
      <c r="AA33" s="49"/>
      <c r="AB33" s="51"/>
    </row>
    <row r="34" spans="1:28">
      <c r="W34" s="31"/>
      <c r="AA34" s="49"/>
      <c r="AB34" s="51"/>
    </row>
    <row r="35" spans="1:28">
      <c r="W35" s="31"/>
      <c r="AA35" s="49"/>
      <c r="AB35" s="51"/>
    </row>
    <row r="36" spans="1:28">
      <c r="W36" s="31"/>
      <c r="AA36" s="49"/>
      <c r="AB36" s="51"/>
    </row>
    <row r="37" spans="1:28">
      <c r="W37" s="31"/>
      <c r="AA37" s="49"/>
      <c r="AB37" s="52"/>
    </row>
    <row r="38" spans="1:28">
      <c r="W38" s="31"/>
      <c r="AA38" s="49"/>
      <c r="AB38" s="50"/>
    </row>
    <row r="39" spans="1:28">
      <c r="W39" s="31"/>
      <c r="AA39" s="49"/>
      <c r="AB39" s="50"/>
    </row>
    <row r="40" spans="1:28">
      <c r="W40" s="31"/>
      <c r="AA40" s="49"/>
      <c r="AB40" s="51"/>
    </row>
    <row r="41" spans="1:28">
      <c r="W41" s="31"/>
      <c r="AA41" s="49"/>
      <c r="AB41" s="50"/>
    </row>
    <row r="42" spans="1:28">
      <c r="W42" s="31"/>
      <c r="AA42" s="49"/>
      <c r="AB42" s="50"/>
    </row>
    <row r="43" spans="1:28">
      <c r="W43" s="31"/>
      <c r="AA43" s="49"/>
      <c r="AB43" s="50"/>
    </row>
    <row r="44" spans="1:28">
      <c r="W44" s="31"/>
      <c r="AA44" s="49"/>
      <c r="AB44" s="50"/>
    </row>
    <row r="45" spans="1:28">
      <c r="W45" s="31"/>
      <c r="AA45" s="49"/>
      <c r="AB45" s="51"/>
    </row>
    <row r="46" spans="1:28">
      <c r="W46" s="31"/>
      <c r="AA46" s="49"/>
      <c r="AB46" s="51"/>
    </row>
    <row r="47" spans="1:28">
      <c r="W47" s="31"/>
      <c r="AA47" s="49"/>
      <c r="AB47" s="50"/>
    </row>
    <row r="48" spans="1:28">
      <c r="W48" s="31"/>
      <c r="AA48" s="48"/>
      <c r="AB48" s="48"/>
    </row>
    <row r="49" spans="1:23">
      <c r="W49" s="31"/>
    </row>
    <row r="50" spans="1:23">
      <c r="W50" s="31"/>
    </row>
    <row r="51" spans="1:23">
      <c r="W51" s="31"/>
    </row>
    <row r="52" spans="1:23">
      <c r="W52" s="31"/>
    </row>
    <row r="53" spans="1:23">
      <c r="W53" s="31"/>
    </row>
    <row r="54" spans="1:23">
      <c r="W54" s="31"/>
    </row>
    <row r="55" spans="1:23">
      <c r="W55" s="31"/>
    </row>
    <row r="56" spans="1:23">
      <c r="W56" s="31"/>
    </row>
    <row r="57" spans="1:23" ht="20">
      <c r="A57" s="18"/>
    </row>
    <row r="97" spans="1:1" ht="20">
      <c r="A97" s="18"/>
    </row>
    <row r="134" spans="1:1" ht="20">
      <c r="A134" s="18"/>
    </row>
    <row r="173" spans="1:1" ht="20">
      <c r="A173" s="18"/>
    </row>
  </sheetData>
  <mergeCells count="3">
    <mergeCell ref="A1:T1"/>
    <mergeCell ref="A2:G2"/>
    <mergeCell ref="A20:D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C4807-D015-7B47-9386-3AAF1D06028D}">
  <sheetPr codeName="Sheet7"/>
  <dimension ref="A1:AA48"/>
  <sheetViews>
    <sheetView zoomScale="130" zoomScaleNormal="130" workbookViewId="0">
      <selection activeCell="Q16" sqref="Q16"/>
    </sheetView>
  </sheetViews>
  <sheetFormatPr baseColWidth="10" defaultRowHeight="16"/>
  <cols>
    <col min="1" max="1" width="16.1640625" bestFit="1" customWidth="1"/>
    <col min="2" max="2" width="5.6640625" bestFit="1" customWidth="1"/>
    <col min="3" max="4" width="5.6640625" customWidth="1"/>
    <col min="5" max="5" width="5.6640625" bestFit="1" customWidth="1"/>
    <col min="6" max="6" width="7.6640625" bestFit="1" customWidth="1"/>
    <col min="7" max="7" width="16.33203125" customWidth="1"/>
    <col min="8" max="8" width="7.6640625" bestFit="1" customWidth="1"/>
    <col min="9" max="9" width="6.6640625" bestFit="1" customWidth="1"/>
    <col min="10" max="10" width="6.33203125" bestFit="1" customWidth="1"/>
    <col min="11" max="11" width="8" bestFit="1" customWidth="1"/>
    <col min="13" max="13" width="16.5" bestFit="1" customWidth="1"/>
    <col min="14" max="17" width="5.6640625" bestFit="1" customWidth="1"/>
  </cols>
  <sheetData>
    <row r="1" spans="1:27">
      <c r="A1" s="95" t="s">
        <v>85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</row>
    <row r="2" spans="1:27">
      <c r="B2" s="21">
        <v>30</v>
      </c>
      <c r="C2" s="21">
        <v>40</v>
      </c>
      <c r="D2" s="21">
        <v>50</v>
      </c>
      <c r="E2" s="21">
        <v>60</v>
      </c>
    </row>
    <row r="3" spans="1:27">
      <c r="A3" s="19" t="s">
        <v>2</v>
      </c>
      <c r="B3" s="24">
        <v>22</v>
      </c>
      <c r="C3" s="25">
        <f>66.318-B3</f>
        <v>44.317999999999998</v>
      </c>
      <c r="D3" s="25">
        <f>73.0032-66.318</f>
        <v>6.6852000000000089</v>
      </c>
      <c r="E3" s="25">
        <f>100-(SUM(B3:D3))</f>
        <v>26.996799999999993</v>
      </c>
      <c r="F3" s="25">
        <f>SUM(B3:E3)</f>
        <v>100</v>
      </c>
      <c r="G3" s="19"/>
      <c r="H3" s="25"/>
      <c r="I3" s="25"/>
      <c r="J3" s="25"/>
      <c r="K3" s="25"/>
    </row>
    <row r="4" spans="1:27">
      <c r="A4" s="19" t="s">
        <v>3</v>
      </c>
      <c r="B4" s="25">
        <v>34</v>
      </c>
      <c r="C4" s="25">
        <f>71-34</f>
        <v>37</v>
      </c>
      <c r="D4" s="25">
        <f>77-71</f>
        <v>6</v>
      </c>
      <c r="E4" s="25">
        <f t="shared" ref="E4:E25" si="0">100-(SUM(B4:D4))</f>
        <v>23</v>
      </c>
      <c r="F4" s="25">
        <f t="shared" ref="F4:F26" si="1">SUM(B4:E4)</f>
        <v>100</v>
      </c>
      <c r="G4" s="19"/>
      <c r="H4" s="25"/>
      <c r="I4" s="25"/>
      <c r="J4" s="25"/>
      <c r="K4" s="25"/>
    </row>
    <row r="5" spans="1:27">
      <c r="A5" s="19" t="s">
        <v>5</v>
      </c>
      <c r="B5" s="24">
        <v>23</v>
      </c>
      <c r="C5" s="25">
        <f>68-23</f>
        <v>45</v>
      </c>
      <c r="D5" s="25">
        <f>80-68</f>
        <v>12</v>
      </c>
      <c r="E5" s="25">
        <f>100-(SUM(B5:D5))</f>
        <v>20</v>
      </c>
      <c r="F5" s="25">
        <f t="shared" si="1"/>
        <v>100</v>
      </c>
      <c r="G5" s="19"/>
      <c r="H5" s="25"/>
      <c r="I5" s="25"/>
      <c r="J5" s="25"/>
      <c r="K5" s="25"/>
    </row>
    <row r="6" spans="1:27">
      <c r="A6" s="19" t="s">
        <v>87</v>
      </c>
      <c r="B6" s="24">
        <v>16</v>
      </c>
      <c r="C6" s="25">
        <f>64-16</f>
        <v>48</v>
      </c>
      <c r="D6" s="25">
        <f>75-64</f>
        <v>11</v>
      </c>
      <c r="E6" s="25">
        <f t="shared" si="0"/>
        <v>25</v>
      </c>
      <c r="F6" s="25">
        <f t="shared" si="1"/>
        <v>100</v>
      </c>
      <c r="G6" s="19"/>
      <c r="H6" s="25"/>
      <c r="I6" s="25"/>
      <c r="J6" s="25"/>
      <c r="K6" s="25"/>
    </row>
    <row r="7" spans="1:27">
      <c r="A7" s="19" t="s">
        <v>7</v>
      </c>
      <c r="B7" s="25">
        <v>17.227156802391999</v>
      </c>
      <c r="C7" s="25">
        <f>68.1101046521853-B7</f>
        <v>50.882947849793297</v>
      </c>
      <c r="D7" s="25">
        <f>72.9364172016533-SUM(B7:C7)</f>
        <v>4.8263125494679997</v>
      </c>
      <c r="E7" s="25">
        <f>100-(SUM(B7:D7))</f>
        <v>27.063582798346701</v>
      </c>
      <c r="F7" s="25">
        <f t="shared" si="1"/>
        <v>100</v>
      </c>
      <c r="G7" s="19"/>
      <c r="H7" s="25"/>
      <c r="I7" s="25"/>
      <c r="J7" s="25"/>
      <c r="K7" s="25"/>
    </row>
    <row r="8" spans="1:27">
      <c r="A8" s="19" t="s">
        <v>10</v>
      </c>
      <c r="B8" s="25">
        <v>6.2096561428194503</v>
      </c>
      <c r="C8" s="25">
        <f>62.50901416-B8</f>
        <v>56.299358017180552</v>
      </c>
      <c r="D8" s="25">
        <f>68.48913904-SUM(B8:C8)</f>
        <v>5.9801248799999982</v>
      </c>
      <c r="E8" s="25">
        <f>100-(SUM(B8:D8))</f>
        <v>31.510860960000002</v>
      </c>
      <c r="F8" s="25">
        <f t="shared" si="1"/>
        <v>100</v>
      </c>
      <c r="G8" s="19"/>
      <c r="H8" s="25"/>
      <c r="I8" s="25"/>
      <c r="J8" s="25"/>
      <c r="K8" s="25"/>
    </row>
    <row r="9" spans="1:27">
      <c r="A9" s="19" t="s">
        <v>11</v>
      </c>
      <c r="B9" s="25">
        <v>39.869844340867097</v>
      </c>
      <c r="C9" s="25">
        <f>78.4961744789376-B9</f>
        <v>38.626330138070507</v>
      </c>
      <c r="D9" s="25">
        <f>85.3038431096649-SUM(B9:C9)</f>
        <v>6.8076686307272922</v>
      </c>
      <c r="E9" s="25">
        <f>100-(SUM(B9:D9))</f>
        <v>14.696156890335104</v>
      </c>
      <c r="F9" s="25">
        <f>SUM(B9:E9)</f>
        <v>100</v>
      </c>
      <c r="G9" s="19"/>
      <c r="H9" s="25"/>
      <c r="I9" s="25"/>
      <c r="J9" s="25"/>
      <c r="K9" s="25"/>
    </row>
    <row r="10" spans="1:27">
      <c r="A10" s="19" t="s">
        <v>12</v>
      </c>
      <c r="B10" s="25">
        <v>24.149151349925202</v>
      </c>
      <c r="C10" s="25">
        <f>70.3201125670565-B10</f>
        <v>46.170961217131293</v>
      </c>
      <c r="D10" s="25">
        <f>76.2641808108345-SUM(B10:C10)</f>
        <v>5.9440682437780055</v>
      </c>
      <c r="E10" s="25">
        <f>100-(SUM(B10:D10))</f>
        <v>23.735819189165497</v>
      </c>
      <c r="F10" s="25">
        <f t="shared" si="1"/>
        <v>100</v>
      </c>
      <c r="G10" s="19"/>
      <c r="H10" s="25"/>
      <c r="I10" s="25"/>
      <c r="J10" s="25"/>
      <c r="K10" s="25"/>
    </row>
    <row r="11" spans="1:27">
      <c r="A11" s="19" t="s">
        <v>13</v>
      </c>
      <c r="B11" s="25">
        <v>27.4039222583765</v>
      </c>
      <c r="C11" s="25">
        <f>70.1829214668894-B11</f>
        <v>42.7789992085129</v>
      </c>
      <c r="D11" s="25">
        <f>80.1776448861138-SUM(B11:C11)</f>
        <v>9.9947234192243997</v>
      </c>
      <c r="E11" s="25">
        <f t="shared" si="0"/>
        <v>19.822355113886204</v>
      </c>
      <c r="F11" s="25">
        <f t="shared" si="1"/>
        <v>100</v>
      </c>
      <c r="G11" s="19"/>
      <c r="H11" s="25"/>
      <c r="I11" s="25"/>
      <c r="J11" s="25"/>
      <c r="K11" s="25"/>
    </row>
    <row r="12" spans="1:27">
      <c r="A12" s="19" t="s">
        <v>14</v>
      </c>
      <c r="B12" s="25">
        <v>20.211063231026198</v>
      </c>
      <c r="C12" s="25">
        <f>71.1687626418081-B12</f>
        <v>50.957699410781899</v>
      </c>
      <c r="D12" s="25">
        <f>82.11415003078-SUM(B12:C12)</f>
        <v>10.945387388971895</v>
      </c>
      <c r="E12" s="25">
        <f t="shared" si="0"/>
        <v>17.885849969220004</v>
      </c>
      <c r="F12" s="25">
        <f t="shared" si="1"/>
        <v>100</v>
      </c>
      <c r="G12" s="19"/>
      <c r="H12" s="25"/>
      <c r="I12" s="25"/>
      <c r="J12" s="25"/>
      <c r="K12" s="25"/>
    </row>
    <row r="13" spans="1:27">
      <c r="A13" s="19" t="s">
        <v>16</v>
      </c>
      <c r="B13" s="25">
        <v>28.233224870284001</v>
      </c>
      <c r="C13" s="25">
        <f>81.1432591680591-B13</f>
        <v>52.910034297775098</v>
      </c>
      <c r="D13" s="25">
        <f>88.0547005540409-SUM(B13:C13)</f>
        <v>6.9114413859818029</v>
      </c>
      <c r="E13" s="25">
        <f t="shared" si="0"/>
        <v>11.945299445959094</v>
      </c>
      <c r="F13" s="25">
        <f t="shared" si="1"/>
        <v>100</v>
      </c>
      <c r="G13" s="19"/>
      <c r="H13" s="25"/>
      <c r="I13" s="25"/>
      <c r="J13" s="25"/>
      <c r="K13" s="25"/>
    </row>
    <row r="14" spans="1:27">
      <c r="A14" s="19" t="s">
        <v>17</v>
      </c>
      <c r="B14" s="25">
        <v>34.7814616128748</v>
      </c>
      <c r="C14" s="25">
        <f>66.5051446662562-B14</f>
        <v>31.7236830533814</v>
      </c>
      <c r="D14" s="25">
        <f>80.3245097177029-SUM(B14:C14)</f>
        <v>13.819365051446695</v>
      </c>
      <c r="E14" s="25">
        <f t="shared" si="0"/>
        <v>19.675490282297105</v>
      </c>
      <c r="F14" s="25">
        <f t="shared" si="1"/>
        <v>100</v>
      </c>
      <c r="G14" s="19"/>
      <c r="H14" s="25"/>
      <c r="I14" s="25"/>
      <c r="J14" s="25"/>
      <c r="K14" s="25"/>
    </row>
    <row r="15" spans="1:27">
      <c r="A15" s="19" t="s">
        <v>25</v>
      </c>
      <c r="B15" s="25">
        <v>30.3394600299006</v>
      </c>
      <c r="C15" s="25">
        <f>75.2625098935889-B15</f>
        <v>44.923049863688298</v>
      </c>
      <c r="D15" s="25">
        <f>80.0729927007299-SUM(B15:C15)</f>
        <v>4.8104828071409997</v>
      </c>
      <c r="E15" s="25">
        <f t="shared" si="0"/>
        <v>19.927007299270102</v>
      </c>
      <c r="F15" s="25">
        <f t="shared" si="1"/>
        <v>100</v>
      </c>
      <c r="G15" s="19"/>
      <c r="H15" s="25"/>
      <c r="I15" s="25"/>
      <c r="J15" s="25"/>
      <c r="K15" s="25"/>
    </row>
    <row r="16" spans="1:27">
      <c r="A16" s="19" t="s">
        <v>26</v>
      </c>
      <c r="B16" s="25">
        <v>13.0674522909154</v>
      </c>
      <c r="C16" s="25">
        <f>59.7942133497493-B16</f>
        <v>46.726761058833901</v>
      </c>
      <c r="D16" s="25">
        <f>64.7823410430041-SUM(B16:C16)</f>
        <v>4.9881276932547962</v>
      </c>
      <c r="E16" s="25">
        <f t="shared" si="0"/>
        <v>35.217658956995905</v>
      </c>
      <c r="F16" s="25">
        <f t="shared" si="1"/>
        <v>100</v>
      </c>
      <c r="G16" s="19"/>
      <c r="H16" s="25"/>
      <c r="I16" s="25"/>
      <c r="J16" s="25"/>
      <c r="K16" s="25"/>
    </row>
    <row r="17" spans="1:14">
      <c r="A17" s="19" t="s">
        <v>27</v>
      </c>
      <c r="B17" s="25">
        <v>21.911001670917202</v>
      </c>
      <c r="C17" s="25">
        <f>69.3782428986017-B17</f>
        <v>47.467241227684497</v>
      </c>
      <c r="D17" s="25">
        <f>81.2690176765456-SUM(B17:C17)</f>
        <v>11.890774777943903</v>
      </c>
      <c r="E17" s="25">
        <f t="shared" si="0"/>
        <v>18.730982323454398</v>
      </c>
      <c r="F17" s="25">
        <f t="shared" si="1"/>
        <v>100</v>
      </c>
      <c r="G17" s="19"/>
      <c r="H17" s="25"/>
      <c r="I17" s="25"/>
      <c r="J17" s="25"/>
      <c r="K17" s="25"/>
    </row>
    <row r="18" spans="1:14">
      <c r="A18" s="19" t="s">
        <v>28</v>
      </c>
      <c r="B18" s="25">
        <v>43.204643391082499</v>
      </c>
      <c r="C18" s="25">
        <f>80.251517016973-B18</f>
        <v>37.046873625890498</v>
      </c>
      <c r="D18" s="25">
        <f>89.0713217834843-SUM(B18:C18)</f>
        <v>8.8198047665112966</v>
      </c>
      <c r="E18" s="25">
        <f t="shared" si="0"/>
        <v>10.928678216515706</v>
      </c>
      <c r="F18" s="25">
        <f t="shared" si="1"/>
        <v>100</v>
      </c>
      <c r="G18" s="19"/>
      <c r="H18" s="25"/>
      <c r="I18" s="25"/>
      <c r="J18" s="25"/>
      <c r="K18" s="25"/>
    </row>
    <row r="19" spans="1:14">
      <c r="A19" s="19" t="s">
        <v>29</v>
      </c>
      <c r="B19" s="25">
        <v>26.571981356081199</v>
      </c>
      <c r="C19" s="25">
        <f>67.2605751473045-B19</f>
        <v>40.688593791223298</v>
      </c>
      <c r="D19" s="25">
        <f>80.0342977750417-SUM(B19:C19)</f>
        <v>12.7737226277372</v>
      </c>
      <c r="E19" s="25">
        <f t="shared" si="0"/>
        <v>19.965702224958306</v>
      </c>
      <c r="F19" s="25">
        <f t="shared" si="1"/>
        <v>100</v>
      </c>
      <c r="G19" s="19"/>
      <c r="H19" s="25"/>
      <c r="I19" s="25"/>
      <c r="J19" s="25"/>
      <c r="K19" s="25"/>
    </row>
    <row r="20" spans="1:14">
      <c r="A20" s="19" t="s">
        <v>31</v>
      </c>
      <c r="B20" s="25">
        <v>16.091812505496399</v>
      </c>
      <c r="C20" s="25">
        <f>66.4453434174654-B20</f>
        <v>50.353530911968996</v>
      </c>
      <c r="D20" s="25">
        <f>76.5148183976783-SUM(B20:C20)</f>
        <v>10.069474980212902</v>
      </c>
      <c r="E20" s="25">
        <f t="shared" si="0"/>
        <v>23.485181602321703</v>
      </c>
      <c r="F20" s="25">
        <f t="shared" si="1"/>
        <v>100</v>
      </c>
      <c r="G20" s="19"/>
      <c r="H20" s="25"/>
      <c r="I20" s="25"/>
      <c r="J20" s="25"/>
      <c r="K20" s="25"/>
    </row>
    <row r="21" spans="1:14">
      <c r="A21" s="19" t="s">
        <v>33</v>
      </c>
      <c r="B21" s="25">
        <v>62.846715328467099</v>
      </c>
      <c r="C21" s="25">
        <f>83.0357928062615-B21</f>
        <v>20.189077477794399</v>
      </c>
      <c r="D21" s="25">
        <f>90.1670917245624-SUM(B21:C21)</f>
        <v>7.1312989183008995</v>
      </c>
      <c r="E21" s="25">
        <f t="shared" si="0"/>
        <v>9.8329082754376032</v>
      </c>
      <c r="F21" s="25">
        <f t="shared" si="1"/>
        <v>100</v>
      </c>
      <c r="G21" s="19"/>
      <c r="H21" s="25"/>
      <c r="I21" s="25"/>
      <c r="J21" s="25"/>
      <c r="K21" s="25"/>
    </row>
    <row r="22" spans="1:14">
      <c r="A22" s="19" t="s">
        <v>34</v>
      </c>
      <c r="B22" s="25">
        <v>7.9526866590449297</v>
      </c>
      <c r="C22" s="25">
        <f>63.6707413595989-B22</f>
        <v>55.718054700553971</v>
      </c>
      <c r="D22" s="25">
        <f>68.417905197432-SUM(B22:C22)</f>
        <v>4.7471638378331065</v>
      </c>
      <c r="E22" s="25">
        <f t="shared" si="0"/>
        <v>31.582094802567994</v>
      </c>
      <c r="F22" s="25">
        <f t="shared" si="1"/>
        <v>100</v>
      </c>
      <c r="G22" s="19"/>
      <c r="H22" s="25"/>
      <c r="I22" s="25"/>
      <c r="J22" s="25"/>
      <c r="K22" s="25"/>
    </row>
    <row r="23" spans="1:14">
      <c r="A23" s="19" t="s">
        <v>35</v>
      </c>
      <c r="B23" s="25">
        <v>19.264796411925001</v>
      </c>
      <c r="C23" s="25">
        <f>68.0678920059801-B23</f>
        <v>48.803095594055094</v>
      </c>
      <c r="D23" s="25">
        <f>75.3187934218626-SUM(B23:C23)</f>
        <v>7.2509014158824954</v>
      </c>
      <c r="E23" s="25">
        <f t="shared" si="0"/>
        <v>24.681206578137406</v>
      </c>
      <c r="F23" s="25">
        <f t="shared" si="1"/>
        <v>100</v>
      </c>
      <c r="G23" s="19"/>
      <c r="H23" s="25"/>
      <c r="I23" s="25"/>
      <c r="J23" s="25"/>
      <c r="K23" s="25"/>
    </row>
    <row r="24" spans="1:14">
      <c r="A24" s="19" t="s">
        <v>36</v>
      </c>
      <c r="B24" s="25">
        <v>23.4526426875384</v>
      </c>
      <c r="C24" s="25">
        <f>59.7537595638026-B24</f>
        <v>36.301116876264203</v>
      </c>
      <c r="D24" s="25">
        <f>77.9175094538738-SUM(B24:C24)</f>
        <v>18.163749890071202</v>
      </c>
      <c r="E24" s="25">
        <f t="shared" si="0"/>
        <v>22.082490546126195</v>
      </c>
      <c r="F24" s="25">
        <f t="shared" si="1"/>
        <v>100</v>
      </c>
      <c r="G24" s="19"/>
      <c r="H24" s="25"/>
      <c r="I24" s="25"/>
      <c r="J24" s="25"/>
      <c r="K24" s="25"/>
    </row>
    <row r="25" spans="1:14">
      <c r="A25" s="19" t="s">
        <v>90</v>
      </c>
      <c r="B25" s="25">
        <v>28.007211327059998</v>
      </c>
      <c r="C25" s="25">
        <f>77.4338228827719-B25</f>
        <v>49.426611555711908</v>
      </c>
      <c r="D25" s="25">
        <f>88.2015653856301-SUM(B25:C25)</f>
        <v>10.767742502858198</v>
      </c>
      <c r="E25" s="25">
        <f t="shared" si="0"/>
        <v>11.798434614369896</v>
      </c>
      <c r="F25" s="25">
        <f t="shared" si="1"/>
        <v>100</v>
      </c>
      <c r="G25" s="19"/>
      <c r="H25" s="25"/>
      <c r="I25" s="25"/>
      <c r="J25" s="25"/>
      <c r="K25" s="25"/>
    </row>
    <row r="26" spans="1:14">
      <c r="B26" s="29">
        <f>AVERAGE(B3:B25)</f>
        <v>25.469386272477994</v>
      </c>
      <c r="C26" s="25">
        <f>AVERAGE(C3:C25)</f>
        <v>44.44834869027374</v>
      </c>
      <c r="F26" s="25">
        <f t="shared" si="1"/>
        <v>69.917734962751737</v>
      </c>
    </row>
    <row r="27" spans="1:14">
      <c r="M27" s="45"/>
      <c r="N27" s="45"/>
    </row>
    <row r="36" spans="1:11">
      <c r="A36" s="96"/>
      <c r="B36" s="96"/>
      <c r="C36" s="96"/>
      <c r="D36" s="96"/>
      <c r="E36" s="96"/>
      <c r="F36" s="96"/>
      <c r="G36" s="96"/>
      <c r="H36" s="96"/>
      <c r="I36" s="96"/>
      <c r="J36" s="96"/>
      <c r="K36" s="96"/>
    </row>
    <row r="37" spans="1:11">
      <c r="A37" s="96"/>
      <c r="B37" s="96"/>
      <c r="C37" s="96"/>
      <c r="D37" s="96"/>
      <c r="E37" s="96"/>
      <c r="F37" s="96"/>
      <c r="G37" s="96"/>
      <c r="H37" s="96"/>
      <c r="I37" s="96"/>
      <c r="J37" s="96"/>
      <c r="K37" s="96"/>
    </row>
    <row r="38" spans="1:11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</row>
    <row r="39" spans="1:11">
      <c r="A39" s="96"/>
      <c r="B39" s="96"/>
      <c r="C39" s="96"/>
      <c r="D39" s="96"/>
      <c r="E39" s="96"/>
      <c r="F39" s="96"/>
      <c r="G39" s="96"/>
      <c r="H39" s="96"/>
      <c r="I39" s="96"/>
      <c r="J39" s="96"/>
      <c r="K39" s="96"/>
    </row>
    <row r="47" spans="1:11">
      <c r="B47" s="22"/>
      <c r="D47" s="22"/>
    </row>
    <row r="48" spans="1:11">
      <c r="B48" s="22"/>
      <c r="C48" s="22"/>
      <c r="D48" s="22"/>
      <c r="E48" s="22"/>
      <c r="F48" s="22"/>
      <c r="G48" s="22"/>
      <c r="H48" s="22"/>
      <c r="I48" s="22"/>
      <c r="J48" s="22"/>
      <c r="K48" s="22"/>
    </row>
  </sheetData>
  <autoFilter ref="X1:X70" xr:uid="{27AC4807-D015-7B47-9386-3AAF1D06028D}"/>
  <sortState xmlns:xlrd2="http://schemas.microsoft.com/office/spreadsheetml/2017/richdata2" ref="M3:N29">
    <sortCondition ref="M3:M29"/>
  </sortState>
  <mergeCells count="2">
    <mergeCell ref="M27:N27"/>
    <mergeCell ref="A1:AA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561D2-8D95-7A47-8536-86B8CD5B0057}">
  <sheetPr codeName="Sheet8"/>
  <dimension ref="A1:N45"/>
  <sheetViews>
    <sheetView zoomScale="90" zoomScaleNormal="90" workbookViewId="0">
      <selection activeCell="R42" sqref="R42"/>
    </sheetView>
  </sheetViews>
  <sheetFormatPr baseColWidth="10" defaultRowHeight="16"/>
  <cols>
    <col min="1" max="1" width="34.6640625" bestFit="1" customWidth="1"/>
    <col min="2" max="2" width="30.33203125" bestFit="1" customWidth="1"/>
  </cols>
  <sheetData>
    <row r="1" spans="1:14">
      <c r="A1" s="46" t="s">
        <v>88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>
      <c r="A2" s="67" t="s">
        <v>89</v>
      </c>
      <c r="B2" s="57" t="s">
        <v>130</v>
      </c>
      <c r="C2" s="57" t="s">
        <v>132</v>
      </c>
    </row>
    <row r="3" spans="1:14">
      <c r="A3" s="58" t="s">
        <v>3</v>
      </c>
      <c r="B3" s="59">
        <v>2.2999999999999998</v>
      </c>
      <c r="C3" s="60" t="s">
        <v>102</v>
      </c>
      <c r="D3" s="48"/>
    </row>
    <row r="4" spans="1:14">
      <c r="A4" s="58" t="s">
        <v>5</v>
      </c>
      <c r="B4" s="59">
        <v>2.4</v>
      </c>
      <c r="C4" s="60"/>
      <c r="D4" s="48"/>
    </row>
    <row r="5" spans="1:14">
      <c r="A5" s="58" t="s">
        <v>87</v>
      </c>
      <c r="B5" s="59">
        <v>2.2999999999999998</v>
      </c>
      <c r="C5" s="60"/>
      <c r="D5" s="48"/>
    </row>
    <row r="6" spans="1:14">
      <c r="A6" s="58" t="s">
        <v>7</v>
      </c>
      <c r="B6" s="61">
        <v>2</v>
      </c>
      <c r="C6" s="60"/>
      <c r="D6" s="48"/>
    </row>
    <row r="7" spans="1:14">
      <c r="A7" s="58" t="s">
        <v>94</v>
      </c>
      <c r="B7" s="61">
        <v>2</v>
      </c>
      <c r="C7" s="60"/>
      <c r="D7" s="48"/>
    </row>
    <row r="8" spans="1:14">
      <c r="A8" s="58" t="s">
        <v>8</v>
      </c>
      <c r="B8" s="59">
        <v>2.1</v>
      </c>
      <c r="C8" s="60"/>
      <c r="D8" s="48"/>
    </row>
    <row r="9" spans="1:14">
      <c r="A9" s="58" t="s">
        <v>16</v>
      </c>
      <c r="B9" s="59">
        <v>2.6</v>
      </c>
      <c r="C9" s="60"/>
      <c r="D9" s="48"/>
    </row>
    <row r="10" spans="1:14">
      <c r="A10" s="58" t="s">
        <v>13</v>
      </c>
      <c r="B10" s="59">
        <v>2.6</v>
      </c>
      <c r="C10" s="60"/>
      <c r="D10" s="48"/>
    </row>
    <row r="11" spans="1:14">
      <c r="A11" s="58" t="s">
        <v>33</v>
      </c>
      <c r="B11" s="59">
        <v>2.5</v>
      </c>
      <c r="C11" s="60"/>
      <c r="D11" s="48"/>
    </row>
    <row r="12" spans="1:14">
      <c r="A12" s="58" t="s">
        <v>11</v>
      </c>
      <c r="B12" s="59">
        <v>2.2000000000000002</v>
      </c>
      <c r="C12" s="60"/>
      <c r="D12" s="48"/>
    </row>
    <row r="13" spans="1:14">
      <c r="A13" s="58" t="s">
        <v>6</v>
      </c>
      <c r="B13" s="59">
        <v>2.7</v>
      </c>
      <c r="C13" s="60"/>
      <c r="D13" s="48"/>
    </row>
    <row r="14" spans="1:14">
      <c r="A14" s="58" t="s">
        <v>17</v>
      </c>
      <c r="B14" s="59">
        <v>2.2999999999999998</v>
      </c>
      <c r="C14" s="60"/>
      <c r="D14" s="48"/>
    </row>
    <row r="15" spans="1:14">
      <c r="A15" s="58" t="s">
        <v>86</v>
      </c>
      <c r="B15" s="59">
        <v>2.6</v>
      </c>
      <c r="C15" s="60"/>
      <c r="D15" s="48"/>
    </row>
    <row r="16" spans="1:14">
      <c r="A16" s="58" t="s">
        <v>18</v>
      </c>
      <c r="B16" s="59">
        <v>2.2999999999999998</v>
      </c>
      <c r="C16" s="60"/>
      <c r="D16" s="48"/>
    </row>
    <row r="17" spans="1:4">
      <c r="A17" s="58" t="s">
        <v>20</v>
      </c>
      <c r="B17" s="59">
        <v>2.1</v>
      </c>
      <c r="C17" s="60"/>
      <c r="D17" s="48"/>
    </row>
    <row r="18" spans="1:4">
      <c r="A18" s="58" t="s">
        <v>21</v>
      </c>
      <c r="B18" s="59">
        <v>2.2000000000000002</v>
      </c>
      <c r="C18" s="60"/>
      <c r="D18" s="48"/>
    </row>
    <row r="19" spans="1:4">
      <c r="A19" s="58" t="s">
        <v>14</v>
      </c>
      <c r="B19" s="59">
        <v>2.2999999999999998</v>
      </c>
      <c r="C19" s="60"/>
      <c r="D19" s="48"/>
    </row>
    <row r="20" spans="1:4">
      <c r="A20" s="58" t="s">
        <v>22</v>
      </c>
      <c r="B20" s="59">
        <v>2.4</v>
      </c>
      <c r="C20" s="60"/>
      <c r="D20" s="48"/>
    </row>
    <row r="21" spans="1:4">
      <c r="A21" s="58" t="s">
        <v>25</v>
      </c>
      <c r="B21" s="59">
        <v>2.1</v>
      </c>
      <c r="C21" s="60"/>
      <c r="D21" s="48"/>
    </row>
    <row r="22" spans="1:4">
      <c r="A22" s="58" t="s">
        <v>2</v>
      </c>
      <c r="B22" s="59">
        <v>2.2000000000000002</v>
      </c>
      <c r="C22" s="60"/>
      <c r="D22" s="48"/>
    </row>
    <row r="23" spans="1:4">
      <c r="A23" s="58" t="s">
        <v>27</v>
      </c>
      <c r="B23" s="59">
        <v>2.8</v>
      </c>
      <c r="C23" s="60"/>
      <c r="D23" s="48"/>
    </row>
    <row r="24" spans="1:4">
      <c r="A24" s="58" t="s">
        <v>28</v>
      </c>
      <c r="B24" s="59">
        <v>2.5</v>
      </c>
      <c r="C24" s="60"/>
      <c r="D24" s="48"/>
    </row>
    <row r="25" spans="1:4">
      <c r="A25" s="58" t="s">
        <v>29</v>
      </c>
      <c r="B25" s="59">
        <v>2.5</v>
      </c>
      <c r="C25" s="60"/>
      <c r="D25" s="48"/>
    </row>
    <row r="26" spans="1:4">
      <c r="A26" s="58" t="s">
        <v>32</v>
      </c>
      <c r="B26" s="59">
        <v>2.5</v>
      </c>
      <c r="C26" s="60"/>
      <c r="D26" s="48"/>
    </row>
    <row r="27" spans="1:4">
      <c r="A27" s="58" t="s">
        <v>31</v>
      </c>
      <c r="B27" s="59">
        <v>2.9</v>
      </c>
      <c r="C27" s="60"/>
      <c r="D27" s="48"/>
    </row>
    <row r="28" spans="1:4">
      <c r="A28" s="58" t="s">
        <v>10</v>
      </c>
      <c r="B28" s="59">
        <v>1.9</v>
      </c>
      <c r="C28" s="60"/>
      <c r="D28" s="48"/>
    </row>
    <row r="29" spans="1:4">
      <c r="A29" s="58" t="s">
        <v>34</v>
      </c>
      <c r="B29" s="61">
        <v>2</v>
      </c>
      <c r="C29" s="60"/>
      <c r="D29" s="48"/>
    </row>
    <row r="30" spans="1:4">
      <c r="A30" s="58" t="s">
        <v>15</v>
      </c>
      <c r="B30" s="62">
        <v>2.65</v>
      </c>
      <c r="C30" s="68" t="s">
        <v>109</v>
      </c>
      <c r="D30" s="48" t="s">
        <v>131</v>
      </c>
    </row>
    <row r="31" spans="1:4">
      <c r="A31" s="58" t="s">
        <v>26</v>
      </c>
      <c r="B31" s="61">
        <v>2.2000000000000002</v>
      </c>
      <c r="C31" s="68" t="s">
        <v>113</v>
      </c>
      <c r="D31" s="48" t="s">
        <v>131</v>
      </c>
    </row>
    <row r="32" spans="1:4">
      <c r="A32" s="58" t="s">
        <v>35</v>
      </c>
      <c r="B32" s="59">
        <v>2.2000000000000002</v>
      </c>
      <c r="C32" s="68" t="s">
        <v>102</v>
      </c>
      <c r="D32" s="48" t="s">
        <v>131</v>
      </c>
    </row>
    <row r="33" spans="1:4">
      <c r="A33" s="58" t="s">
        <v>37</v>
      </c>
      <c r="B33" s="61">
        <v>2.4</v>
      </c>
      <c r="C33" s="68" t="s">
        <v>114</v>
      </c>
      <c r="D33" s="48" t="s">
        <v>131</v>
      </c>
    </row>
    <row r="34" spans="1:4">
      <c r="A34" s="58" t="s">
        <v>24</v>
      </c>
      <c r="B34" s="59">
        <v>3.3</v>
      </c>
      <c r="C34" s="68" t="s">
        <v>102</v>
      </c>
      <c r="D34" s="48" t="s">
        <v>131</v>
      </c>
    </row>
    <row r="35" spans="1:4">
      <c r="A35" s="58" t="s">
        <v>95</v>
      </c>
      <c r="B35" s="64" t="s">
        <v>98</v>
      </c>
      <c r="C35" s="68"/>
      <c r="D35" s="48"/>
    </row>
    <row r="36" spans="1:4">
      <c r="A36" s="58" t="s">
        <v>1</v>
      </c>
      <c r="B36" s="61">
        <v>3.6</v>
      </c>
      <c r="C36" s="68" t="s">
        <v>104</v>
      </c>
      <c r="D36" s="48" t="s">
        <v>131</v>
      </c>
    </row>
    <row r="37" spans="1:4">
      <c r="A37" s="58" t="s">
        <v>30</v>
      </c>
      <c r="B37" s="59">
        <v>2.9</v>
      </c>
      <c r="C37" s="68" t="s">
        <v>102</v>
      </c>
      <c r="D37" s="48" t="s">
        <v>131</v>
      </c>
    </row>
    <row r="38" spans="1:4">
      <c r="A38" s="58" t="s">
        <v>96</v>
      </c>
      <c r="B38" s="59">
        <v>3.2</v>
      </c>
      <c r="C38" s="68" t="s">
        <v>103</v>
      </c>
      <c r="D38" s="48" t="s">
        <v>131</v>
      </c>
    </row>
    <row r="39" spans="1:4" ht="16" customHeight="1">
      <c r="A39" s="58" t="s">
        <v>97</v>
      </c>
      <c r="B39" s="64" t="s">
        <v>98</v>
      </c>
      <c r="C39" s="68"/>
      <c r="D39" s="48"/>
    </row>
    <row r="40" spans="1:4">
      <c r="A40" s="65" t="s">
        <v>4</v>
      </c>
      <c r="B40" s="63">
        <v>3.1</v>
      </c>
      <c r="C40" s="68" t="s">
        <v>105</v>
      </c>
      <c r="D40" s="48" t="s">
        <v>131</v>
      </c>
    </row>
    <row r="41" spans="1:4">
      <c r="A41" s="63" t="s">
        <v>9</v>
      </c>
      <c r="B41" s="63">
        <v>2.85</v>
      </c>
      <c r="C41" s="68" t="s">
        <v>106</v>
      </c>
      <c r="D41" s="48" t="s">
        <v>131</v>
      </c>
    </row>
    <row r="42" spans="1:4">
      <c r="A42" s="66" t="s">
        <v>107</v>
      </c>
      <c r="B42" s="63">
        <v>2.7</v>
      </c>
      <c r="C42" s="68" t="s">
        <v>108</v>
      </c>
      <c r="D42" s="48" t="s">
        <v>131</v>
      </c>
    </row>
    <row r="43" spans="1:4">
      <c r="A43" s="66" t="s">
        <v>19</v>
      </c>
      <c r="B43" s="63">
        <v>2.2000000000000002</v>
      </c>
      <c r="C43" s="68" t="s">
        <v>110</v>
      </c>
      <c r="D43" s="48" t="s">
        <v>131</v>
      </c>
    </row>
    <row r="44" spans="1:4">
      <c r="A44" s="66" t="s">
        <v>95</v>
      </c>
      <c r="B44" s="63">
        <v>3.06</v>
      </c>
      <c r="C44" s="68" t="s">
        <v>111</v>
      </c>
      <c r="D44" s="48" t="s">
        <v>131</v>
      </c>
    </row>
    <row r="45" spans="1:4">
      <c r="A45" s="66" t="s">
        <v>23</v>
      </c>
      <c r="B45" s="63">
        <v>1.9</v>
      </c>
      <c r="C45" s="68" t="s">
        <v>112</v>
      </c>
      <c r="D45" s="48" t="s">
        <v>131</v>
      </c>
    </row>
  </sheetData>
  <mergeCells count="2">
    <mergeCell ref="A1:N1"/>
    <mergeCell ref="C3:C29"/>
  </mergeCells>
  <phoneticPr fontId="25" type="noConversion"/>
  <hyperlinks>
    <hyperlink ref="C3" r:id="rId1" xr:uid="{7F158778-981A-5448-A7FB-BC7BD16DEFA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F6907-25F7-DF49-AC89-235DDFB89861}">
  <sheetPr codeName="Sheet11"/>
  <dimension ref="A1:U67"/>
  <sheetViews>
    <sheetView zoomScale="116" workbookViewId="0">
      <selection sqref="A1:U1"/>
    </sheetView>
  </sheetViews>
  <sheetFormatPr baseColWidth="10" defaultRowHeight="16"/>
  <cols>
    <col min="2" max="2" width="37.5" bestFit="1" customWidth="1"/>
    <col min="3" max="3" width="20.83203125" bestFit="1" customWidth="1"/>
  </cols>
  <sheetData>
    <row r="1" spans="1:21">
      <c r="A1" s="73" t="s">
        <v>133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</row>
    <row r="2" spans="1:21">
      <c r="A2" t="s">
        <v>121</v>
      </c>
      <c r="B2" s="33" t="s">
        <v>120</v>
      </c>
      <c r="E2" s="48"/>
      <c r="F2" s="74"/>
      <c r="G2" s="48"/>
      <c r="H2" s="48"/>
      <c r="I2" s="48"/>
      <c r="J2" s="48"/>
      <c r="L2" s="72"/>
      <c r="M2" s="72"/>
      <c r="N2" s="72"/>
      <c r="O2" s="48"/>
      <c r="P2" s="48"/>
      <c r="Q2" s="48"/>
    </row>
    <row r="3" spans="1:21">
      <c r="A3">
        <v>1997</v>
      </c>
      <c r="B3">
        <v>4.8099999999999996</v>
      </c>
      <c r="E3" s="48"/>
      <c r="F3" s="48"/>
      <c r="G3" s="48"/>
      <c r="H3" s="48"/>
      <c r="I3" s="48"/>
      <c r="J3" s="48"/>
      <c r="L3" s="48"/>
      <c r="M3" s="48"/>
      <c r="N3" s="48"/>
      <c r="O3" s="48"/>
      <c r="P3" s="48"/>
      <c r="Q3" s="48"/>
    </row>
    <row r="4" spans="1:21">
      <c r="A4">
        <v>1998</v>
      </c>
      <c r="B4">
        <v>4.82</v>
      </c>
      <c r="E4" s="48"/>
      <c r="F4" s="48"/>
      <c r="G4" s="48"/>
      <c r="H4" s="48"/>
      <c r="I4" s="48"/>
      <c r="J4" s="48"/>
      <c r="L4" s="48"/>
      <c r="M4" s="48"/>
      <c r="N4" s="48"/>
      <c r="O4" s="48"/>
      <c r="P4" s="48"/>
      <c r="Q4" s="48"/>
    </row>
    <row r="5" spans="1:21">
      <c r="A5">
        <v>1999</v>
      </c>
      <c r="B5">
        <v>4.87</v>
      </c>
      <c r="E5" s="48"/>
      <c r="F5" s="48"/>
      <c r="G5" s="48"/>
      <c r="H5" s="48"/>
      <c r="I5" s="48"/>
      <c r="J5" s="48"/>
      <c r="L5" s="48"/>
      <c r="M5" s="48"/>
      <c r="N5" s="48"/>
      <c r="O5" s="48"/>
      <c r="P5" s="48"/>
      <c r="Q5" s="48"/>
    </row>
    <row r="6" spans="1:21">
      <c r="A6">
        <v>2000</v>
      </c>
      <c r="B6">
        <v>4.8600000000000003</v>
      </c>
      <c r="E6" s="48"/>
      <c r="F6" s="48"/>
      <c r="G6" s="48"/>
      <c r="H6" s="48"/>
      <c r="I6" s="48"/>
      <c r="J6" s="48"/>
      <c r="L6" s="48"/>
      <c r="M6" s="48"/>
      <c r="N6" s="48"/>
      <c r="O6" s="48"/>
      <c r="P6" s="48"/>
      <c r="Q6" s="48"/>
    </row>
    <row r="7" spans="1:21">
      <c r="A7">
        <v>2001</v>
      </c>
      <c r="B7">
        <v>4.8600000000000003</v>
      </c>
      <c r="E7" s="48"/>
      <c r="F7" s="48"/>
      <c r="G7" s="48"/>
      <c r="H7" s="48"/>
      <c r="I7" s="48"/>
      <c r="J7" s="48"/>
      <c r="L7" s="48"/>
      <c r="M7" s="48"/>
      <c r="N7" s="48"/>
      <c r="O7" s="48"/>
      <c r="P7" s="48"/>
      <c r="Q7" s="48"/>
    </row>
    <row r="8" spans="1:21">
      <c r="A8">
        <v>2002</v>
      </c>
      <c r="B8">
        <v>4.92</v>
      </c>
      <c r="E8" s="48"/>
      <c r="F8" s="48"/>
      <c r="G8" s="48"/>
      <c r="H8" s="48"/>
      <c r="I8" s="48"/>
      <c r="J8" s="48"/>
      <c r="L8" s="72"/>
      <c r="M8" s="72"/>
      <c r="N8" s="72"/>
      <c r="O8" s="48"/>
      <c r="P8" s="48"/>
      <c r="Q8" s="48"/>
    </row>
    <row r="9" spans="1:21">
      <c r="A9">
        <v>2003</v>
      </c>
      <c r="B9">
        <v>5.01</v>
      </c>
      <c r="E9" s="48"/>
      <c r="F9" s="48"/>
      <c r="G9" s="48"/>
      <c r="H9" s="48"/>
      <c r="I9" s="48"/>
      <c r="J9" s="48"/>
      <c r="L9" s="72"/>
      <c r="M9" s="72"/>
      <c r="N9" s="72"/>
      <c r="O9" s="72"/>
      <c r="P9" s="48"/>
      <c r="Q9" s="48"/>
    </row>
    <row r="10" spans="1:21">
      <c r="A10">
        <v>2004</v>
      </c>
      <c r="B10">
        <v>5.2</v>
      </c>
      <c r="E10" s="48"/>
      <c r="F10" s="48"/>
      <c r="G10" s="48"/>
      <c r="H10" s="48"/>
      <c r="I10" s="48"/>
      <c r="J10" s="48"/>
      <c r="L10" s="48"/>
      <c r="M10" s="48"/>
      <c r="N10" s="48"/>
      <c r="O10" s="48"/>
      <c r="P10" s="48"/>
      <c r="Q10" s="48"/>
    </row>
    <row r="11" spans="1:21">
      <c r="A11">
        <v>2005</v>
      </c>
      <c r="B11">
        <v>5.36</v>
      </c>
      <c r="E11" s="48"/>
      <c r="F11" s="48"/>
      <c r="G11" s="48"/>
      <c r="H11" s="48"/>
      <c r="I11" s="48"/>
      <c r="J11" s="48"/>
      <c r="L11" s="48"/>
      <c r="M11" s="48"/>
      <c r="N11" s="48"/>
      <c r="O11" s="48"/>
      <c r="P11" s="48"/>
      <c r="Q11" s="48"/>
    </row>
    <row r="12" spans="1:21">
      <c r="A12">
        <v>2006</v>
      </c>
      <c r="B12">
        <v>5.5</v>
      </c>
      <c r="E12" s="48"/>
      <c r="F12" s="48"/>
      <c r="G12" s="48"/>
      <c r="H12" s="48"/>
      <c r="I12" s="48"/>
      <c r="J12" s="48"/>
      <c r="L12" s="48"/>
      <c r="M12" s="48"/>
      <c r="N12" s="48"/>
      <c r="O12" s="48"/>
      <c r="P12" s="48"/>
      <c r="Q12" s="48"/>
    </row>
    <row r="13" spans="1:21">
      <c r="A13">
        <v>2007</v>
      </c>
      <c r="B13">
        <v>5.83</v>
      </c>
      <c r="E13" s="48"/>
      <c r="F13" s="48"/>
      <c r="G13" s="48"/>
      <c r="H13" s="48"/>
      <c r="I13" s="48"/>
      <c r="J13" s="48"/>
      <c r="L13" s="48"/>
      <c r="M13" s="48"/>
      <c r="N13" s="48"/>
      <c r="O13" s="48"/>
      <c r="P13" s="48"/>
      <c r="Q13" s="48"/>
    </row>
    <row r="14" spans="1:21">
      <c r="A14">
        <v>2008</v>
      </c>
      <c r="B14">
        <v>6</v>
      </c>
      <c r="E14" s="48"/>
      <c r="F14" s="48"/>
      <c r="G14" s="48"/>
      <c r="H14" s="48"/>
      <c r="I14" s="48"/>
      <c r="J14" s="48"/>
      <c r="L14" s="48"/>
      <c r="M14" s="48"/>
      <c r="N14" s="48"/>
      <c r="O14" s="48"/>
      <c r="P14" s="48"/>
      <c r="Q14" s="48"/>
    </row>
    <row r="15" spans="1:21">
      <c r="A15">
        <v>2009</v>
      </c>
      <c r="B15">
        <v>6.23</v>
      </c>
      <c r="E15" s="48"/>
      <c r="F15" s="48"/>
      <c r="G15" s="48"/>
      <c r="H15" s="48"/>
      <c r="I15" s="48"/>
      <c r="J15" s="48"/>
      <c r="L15" s="48"/>
      <c r="M15" s="48"/>
      <c r="N15" s="48"/>
      <c r="O15" s="48"/>
      <c r="P15" s="48"/>
      <c r="Q15" s="48"/>
    </row>
    <row r="16" spans="1:21">
      <c r="A16">
        <v>2010</v>
      </c>
      <c r="B16">
        <v>6.5</v>
      </c>
      <c r="E16" s="48"/>
      <c r="F16" s="48"/>
      <c r="G16" s="48"/>
      <c r="H16" s="48"/>
      <c r="I16" s="48"/>
      <c r="J16" s="48"/>
      <c r="L16" s="48"/>
      <c r="M16" s="48"/>
      <c r="N16" s="48"/>
      <c r="O16" s="48"/>
      <c r="P16" s="48"/>
      <c r="Q16" s="48"/>
    </row>
    <row r="17" spans="1:19">
      <c r="A17">
        <v>2011</v>
      </c>
      <c r="B17">
        <v>6.73</v>
      </c>
      <c r="E17" s="48"/>
      <c r="F17" s="48"/>
      <c r="G17" s="48"/>
      <c r="H17" s="48"/>
      <c r="I17" s="48"/>
      <c r="J17" s="48"/>
      <c r="L17" s="48"/>
      <c r="M17" s="48"/>
      <c r="N17" s="48"/>
      <c r="O17" s="48"/>
      <c r="P17" s="48"/>
      <c r="Q17" s="48"/>
    </row>
    <row r="18" spans="1:19">
      <c r="A18">
        <v>2012</v>
      </c>
      <c r="B18">
        <v>6.79</v>
      </c>
      <c r="E18" s="48"/>
      <c r="F18" s="48"/>
      <c r="G18" s="48"/>
      <c r="H18" s="48"/>
      <c r="I18" s="48"/>
      <c r="J18" s="48"/>
      <c r="L18" s="72"/>
      <c r="M18" s="72"/>
      <c r="N18" s="72"/>
      <c r="O18" s="72"/>
      <c r="P18" s="72"/>
      <c r="Q18" s="48"/>
    </row>
    <row r="19" spans="1:19">
      <c r="A19">
        <v>2013</v>
      </c>
      <c r="B19">
        <v>7.04</v>
      </c>
      <c r="E19" s="48"/>
      <c r="F19" s="48"/>
      <c r="G19" s="48"/>
      <c r="H19" s="48"/>
      <c r="I19" s="75"/>
      <c r="J19" s="48"/>
      <c r="L19" s="48"/>
      <c r="M19" s="48"/>
      <c r="N19" s="48"/>
      <c r="O19" s="48"/>
      <c r="P19" s="48"/>
      <c r="Q19" s="48"/>
    </row>
    <row r="20" spans="1:19">
      <c r="A20" s="76">
        <v>2014</v>
      </c>
      <c r="B20" s="77">
        <v>6.9675735294117658</v>
      </c>
      <c r="C20" s="78" t="s">
        <v>134</v>
      </c>
      <c r="E20" s="48"/>
      <c r="F20" s="75"/>
      <c r="G20" s="75"/>
      <c r="H20" s="48"/>
      <c r="I20" s="75"/>
      <c r="J20" s="48"/>
      <c r="L20" s="48"/>
      <c r="M20" s="48"/>
      <c r="N20" s="48"/>
      <c r="O20" s="48"/>
      <c r="P20" s="48"/>
      <c r="Q20" s="48"/>
    </row>
    <row r="21" spans="1:19">
      <c r="A21" s="76">
        <v>2015</v>
      </c>
      <c r="B21" s="77">
        <v>7.118676470588241</v>
      </c>
      <c r="C21" s="78"/>
      <c r="E21" s="48"/>
      <c r="F21" s="75"/>
      <c r="G21" s="75"/>
      <c r="H21" s="48"/>
      <c r="I21" s="75"/>
      <c r="J21" s="48"/>
      <c r="L21" s="48"/>
      <c r="M21" s="48"/>
      <c r="N21" s="48"/>
      <c r="O21" s="48"/>
      <c r="P21" s="48"/>
      <c r="Q21" s="48"/>
    </row>
    <row r="22" spans="1:19">
      <c r="A22" s="76">
        <v>2016</v>
      </c>
      <c r="B22" s="77">
        <v>7.2818728373702584</v>
      </c>
      <c r="C22" s="78"/>
      <c r="E22" s="48"/>
      <c r="F22" s="75"/>
      <c r="G22" s="75"/>
      <c r="H22" s="48"/>
      <c r="I22" s="75"/>
      <c r="J22" s="48"/>
      <c r="L22" s="48"/>
      <c r="M22" s="48"/>
      <c r="N22" s="48"/>
      <c r="O22" s="48"/>
      <c r="P22" s="48"/>
      <c r="Q22" s="48"/>
    </row>
    <row r="23" spans="1:19">
      <c r="A23" s="76">
        <v>2017</v>
      </c>
      <c r="B23" s="77">
        <v>7.4550162769692747</v>
      </c>
      <c r="C23" s="78"/>
      <c r="E23" s="48"/>
      <c r="F23" s="75"/>
      <c r="G23" s="75"/>
      <c r="H23" s="48"/>
      <c r="I23" s="75"/>
      <c r="J23" s="48"/>
      <c r="L23" s="48"/>
      <c r="M23" s="48"/>
      <c r="N23" s="48"/>
      <c r="O23" s="48"/>
      <c r="P23" s="48"/>
      <c r="Q23" s="48"/>
    </row>
    <row r="24" spans="1:19">
      <c r="A24" s="76">
        <v>2018</v>
      </c>
      <c r="B24" s="77">
        <v>7.6368599542312836</v>
      </c>
      <c r="C24" s="78"/>
      <c r="E24" s="48"/>
      <c r="F24" s="75"/>
      <c r="G24" s="75"/>
      <c r="H24" s="48"/>
      <c r="I24" s="75"/>
      <c r="J24" s="48"/>
      <c r="L24" s="48"/>
      <c r="M24" s="48"/>
      <c r="N24" s="48"/>
      <c r="O24" s="48"/>
      <c r="P24" s="48"/>
      <c r="Q24" s="48"/>
    </row>
    <row r="25" spans="1:19">
      <c r="A25" s="76">
        <v>2019</v>
      </c>
      <c r="B25" s="77">
        <v>7.8244871267560825</v>
      </c>
      <c r="C25" s="78"/>
      <c r="E25" s="48"/>
      <c r="F25" s="75"/>
      <c r="G25" s="75"/>
      <c r="H25" s="48"/>
      <c r="I25" s="75"/>
      <c r="J25" s="48"/>
      <c r="L25" s="48"/>
      <c r="M25" s="48"/>
      <c r="N25" s="48"/>
      <c r="O25" s="48"/>
      <c r="P25" s="48"/>
      <c r="Q25" s="48"/>
    </row>
    <row r="26" spans="1:19">
      <c r="A26" s="35">
        <v>2020</v>
      </c>
      <c r="B26" s="36">
        <v>8.0147964340373505</v>
      </c>
      <c r="C26" s="78"/>
      <c r="E26" s="48"/>
      <c r="F26" s="75"/>
      <c r="G26" s="75"/>
      <c r="H26" s="48"/>
      <c r="I26" s="75"/>
      <c r="J26" s="48"/>
      <c r="L26" s="48"/>
      <c r="M26" s="48"/>
      <c r="N26" s="48"/>
      <c r="O26" s="48"/>
      <c r="P26" s="48"/>
      <c r="Q26" s="48"/>
    </row>
    <row r="27" spans="1:19">
      <c r="A27" s="76">
        <v>2021</v>
      </c>
      <c r="B27" s="77">
        <v>8.2055836404913407</v>
      </c>
      <c r="C27" s="78"/>
      <c r="E27" s="48"/>
      <c r="F27" s="75"/>
      <c r="G27" s="75"/>
      <c r="H27" s="48"/>
      <c r="I27" s="75"/>
      <c r="J27" s="48"/>
      <c r="L27" s="48"/>
      <c r="M27" s="48"/>
      <c r="N27" s="48"/>
      <c r="O27" s="48"/>
      <c r="P27" s="48"/>
      <c r="Q27" s="48"/>
    </row>
    <row r="28" spans="1:19">
      <c r="A28" s="76">
        <v>2022</v>
      </c>
      <c r="B28" s="77">
        <v>8.3949359383598789</v>
      </c>
      <c r="C28" s="78"/>
      <c r="E28" s="48"/>
      <c r="F28" s="75"/>
      <c r="G28" s="75"/>
      <c r="H28" s="48"/>
      <c r="I28" s="75"/>
      <c r="J28" s="48"/>
      <c r="L28" s="48"/>
      <c r="M28" s="48"/>
      <c r="N28" s="48"/>
      <c r="O28" s="48"/>
      <c r="P28" s="48"/>
      <c r="Q28" s="48"/>
    </row>
    <row r="29" spans="1:19">
      <c r="A29" s="76">
        <v>2023</v>
      </c>
      <c r="B29" s="77">
        <v>8.3949359383598789</v>
      </c>
      <c r="C29" s="78"/>
      <c r="E29" s="48"/>
      <c r="F29" s="75"/>
      <c r="G29" s="75"/>
      <c r="H29" s="48"/>
      <c r="I29" s="75"/>
      <c r="J29" s="48"/>
      <c r="L29" s="48"/>
      <c r="M29" s="48"/>
      <c r="N29" s="48"/>
      <c r="O29" s="48"/>
      <c r="P29" s="48"/>
      <c r="Q29" s="48"/>
    </row>
    <row r="30" spans="1:19">
      <c r="A30" s="76">
        <v>2024</v>
      </c>
      <c r="B30" s="77">
        <v>8.5827575743801958</v>
      </c>
      <c r="C30" s="78"/>
      <c r="E30" s="48"/>
      <c r="F30" s="48"/>
      <c r="G30" s="48"/>
      <c r="H30" s="48"/>
      <c r="I30" s="48"/>
      <c r="J30" s="48"/>
      <c r="L30" s="48"/>
      <c r="M30" s="48"/>
      <c r="N30" s="48"/>
      <c r="O30" s="48"/>
      <c r="P30" s="48"/>
      <c r="Q30" s="48"/>
      <c r="R30" s="48"/>
      <c r="S30" s="48"/>
    </row>
    <row r="31" spans="1:19">
      <c r="E31" s="48"/>
      <c r="F31" s="48"/>
      <c r="G31" s="48"/>
      <c r="H31" s="48"/>
      <c r="I31" s="48"/>
      <c r="J31" s="48"/>
      <c r="L31" s="48"/>
      <c r="M31" s="48"/>
      <c r="N31" s="48"/>
      <c r="O31" s="48"/>
      <c r="P31" s="48"/>
      <c r="Q31" s="48"/>
      <c r="R31" s="48"/>
      <c r="S31" s="48"/>
    </row>
    <row r="32" spans="1:19">
      <c r="E32" s="48"/>
      <c r="F32" s="48"/>
      <c r="G32" s="48"/>
      <c r="H32" s="48"/>
      <c r="I32" s="48"/>
      <c r="J32" s="48"/>
      <c r="L32" s="69"/>
      <c r="M32" s="69"/>
      <c r="N32" s="69"/>
      <c r="O32" s="69"/>
      <c r="P32" s="48"/>
      <c r="Q32" s="48"/>
      <c r="R32" s="48"/>
      <c r="S32" s="48"/>
    </row>
    <row r="33" spans="1:19">
      <c r="E33" s="48"/>
      <c r="F33" s="48"/>
      <c r="G33" s="48"/>
      <c r="H33" s="48"/>
      <c r="I33" s="48"/>
      <c r="J33" s="48"/>
      <c r="L33" s="48"/>
      <c r="M33" s="48"/>
      <c r="N33" s="48"/>
      <c r="O33" s="48"/>
      <c r="P33" s="48"/>
      <c r="Q33" s="48"/>
      <c r="R33" s="48"/>
      <c r="S33" s="48"/>
    </row>
    <row r="34" spans="1:19" ht="20">
      <c r="E34" s="48"/>
      <c r="F34" s="48"/>
      <c r="G34" s="48"/>
      <c r="H34" s="48"/>
      <c r="I34" s="48"/>
      <c r="J34" s="48"/>
      <c r="L34" s="48"/>
      <c r="M34" s="48"/>
      <c r="N34" s="48"/>
      <c r="O34" s="48"/>
      <c r="P34" s="48"/>
      <c r="Q34" s="48"/>
      <c r="R34" s="34"/>
      <c r="S34" s="48"/>
    </row>
    <row r="35" spans="1:19">
      <c r="E35" s="48"/>
      <c r="F35" s="48"/>
      <c r="G35" s="48"/>
      <c r="H35" s="48"/>
      <c r="I35" s="48"/>
      <c r="J35" s="48"/>
      <c r="L35" s="48"/>
      <c r="M35" s="48"/>
      <c r="N35" s="48"/>
      <c r="O35" s="48"/>
      <c r="P35" s="48"/>
      <c r="Q35" s="48"/>
      <c r="R35" s="48"/>
      <c r="S35" s="48"/>
    </row>
    <row r="36" spans="1:19">
      <c r="A36" s="48"/>
      <c r="B36" s="74"/>
      <c r="C36" s="48"/>
      <c r="D36" s="74"/>
      <c r="E36" s="48"/>
      <c r="F36" s="48"/>
      <c r="G36" s="48"/>
      <c r="H36" s="48"/>
      <c r="I36" s="48"/>
      <c r="J36" s="48"/>
      <c r="L36" s="48"/>
      <c r="M36" s="48"/>
      <c r="N36" s="48"/>
      <c r="O36" s="48"/>
      <c r="P36" s="48"/>
      <c r="Q36" s="48"/>
      <c r="R36" s="48"/>
      <c r="S36" s="48"/>
    </row>
    <row r="37" spans="1:19">
      <c r="A37" s="48"/>
      <c r="B37" s="48"/>
      <c r="C37" s="48"/>
      <c r="D37" s="48"/>
      <c r="E37" s="48"/>
      <c r="F37" s="48"/>
      <c r="G37" s="48"/>
      <c r="H37" s="48"/>
      <c r="I37" s="48"/>
      <c r="J37" s="48"/>
      <c r="L37" s="48"/>
      <c r="M37" s="48"/>
      <c r="N37" s="48"/>
      <c r="O37" s="48"/>
      <c r="P37" s="48"/>
      <c r="Q37" s="48"/>
      <c r="R37" s="48"/>
      <c r="S37" s="48"/>
    </row>
    <row r="38" spans="1:19">
      <c r="A38" s="48"/>
      <c r="B38" s="48"/>
      <c r="C38" s="48"/>
      <c r="D38" s="48"/>
      <c r="E38" s="48"/>
      <c r="F38" s="48"/>
      <c r="G38" s="48"/>
      <c r="H38" s="48"/>
      <c r="I38" s="48"/>
      <c r="J38" s="48"/>
      <c r="L38" s="48"/>
      <c r="M38" s="48"/>
      <c r="N38" s="48"/>
      <c r="O38" s="48"/>
      <c r="P38" s="48"/>
      <c r="Q38" s="48"/>
      <c r="R38" s="48"/>
      <c r="S38" s="48"/>
    </row>
    <row r="39" spans="1:19">
      <c r="A39" s="48"/>
      <c r="B39" s="48"/>
      <c r="C39" s="48"/>
      <c r="D39" s="48"/>
      <c r="E39" s="48"/>
      <c r="F39" s="48"/>
      <c r="G39" s="48"/>
      <c r="H39" s="48"/>
      <c r="I39" s="48"/>
      <c r="J39" s="48"/>
      <c r="L39" s="48"/>
      <c r="M39" s="48"/>
      <c r="N39" s="48"/>
      <c r="O39" s="48"/>
      <c r="P39" s="48"/>
      <c r="Q39" s="48"/>
      <c r="R39" s="48"/>
      <c r="S39" s="48"/>
    </row>
    <row r="40" spans="1:19">
      <c r="A40" s="48"/>
      <c r="B40" s="48"/>
      <c r="C40" s="48"/>
      <c r="D40" s="48"/>
      <c r="E40" s="48"/>
      <c r="F40" s="48"/>
      <c r="G40" s="48"/>
      <c r="H40" s="48"/>
      <c r="I40" s="48"/>
      <c r="J40" s="48"/>
      <c r="L40" s="70"/>
      <c r="M40" s="48"/>
      <c r="N40" s="48"/>
      <c r="O40" s="48"/>
      <c r="P40" s="48"/>
      <c r="Q40" s="48"/>
      <c r="R40" s="48"/>
      <c r="S40" s="48"/>
    </row>
    <row r="41" spans="1:19">
      <c r="A41" s="48"/>
      <c r="B41" s="48"/>
      <c r="C41" s="48"/>
      <c r="D41" s="48"/>
      <c r="E41" s="48"/>
      <c r="F41" s="48"/>
      <c r="G41" s="48"/>
      <c r="H41" s="48"/>
      <c r="I41" s="48"/>
      <c r="J41" s="48"/>
      <c r="L41" s="71"/>
      <c r="M41" s="48"/>
      <c r="N41" s="48"/>
      <c r="O41" s="48"/>
      <c r="P41" s="48"/>
      <c r="Q41" s="48"/>
      <c r="R41" s="48"/>
      <c r="S41" s="48"/>
    </row>
    <row r="42" spans="1:19">
      <c r="A42" s="48"/>
      <c r="B42" s="48"/>
      <c r="C42" s="48"/>
      <c r="D42" s="48"/>
      <c r="E42" s="48"/>
      <c r="F42" s="48"/>
      <c r="G42" s="48"/>
      <c r="H42" s="48"/>
      <c r="I42" s="48"/>
      <c r="J42" s="48"/>
      <c r="L42" s="72"/>
      <c r="M42" s="72"/>
      <c r="N42" s="72"/>
      <c r="O42" s="72"/>
      <c r="P42" s="72"/>
      <c r="Q42" s="72"/>
      <c r="R42" s="72"/>
      <c r="S42" s="48"/>
    </row>
    <row r="43" spans="1:19">
      <c r="A43" s="48"/>
      <c r="B43" s="48"/>
      <c r="C43" s="48"/>
      <c r="D43" s="48"/>
      <c r="E43" s="48"/>
      <c r="F43" s="48"/>
      <c r="G43" s="48"/>
      <c r="H43" s="48"/>
      <c r="I43" s="48"/>
      <c r="J43" s="48"/>
      <c r="L43" s="48"/>
      <c r="M43" s="48"/>
      <c r="N43" s="48"/>
      <c r="O43" s="48"/>
      <c r="P43" s="48"/>
      <c r="Q43" s="48"/>
      <c r="R43" s="48"/>
      <c r="S43" s="48"/>
    </row>
    <row r="44" spans="1:19">
      <c r="A44" s="48"/>
      <c r="B44" s="48"/>
      <c r="C44" s="48"/>
      <c r="D44" s="48"/>
      <c r="E44" s="48"/>
      <c r="F44" s="48"/>
      <c r="G44" s="48"/>
      <c r="H44" s="48"/>
      <c r="I44" s="48"/>
      <c r="J44" s="48"/>
      <c r="L44" s="71"/>
      <c r="M44" s="48"/>
      <c r="N44" s="48"/>
      <c r="O44" s="48"/>
      <c r="P44" s="48"/>
      <c r="Q44" s="48"/>
      <c r="R44" s="48"/>
      <c r="S44" s="48"/>
    </row>
    <row r="45" spans="1:19">
      <c r="A45" s="48"/>
      <c r="B45" s="48"/>
      <c r="C45" s="48"/>
      <c r="D45" s="48"/>
      <c r="E45" s="48"/>
      <c r="F45" s="48"/>
      <c r="G45" s="48"/>
      <c r="H45" s="48"/>
      <c r="I45" s="48"/>
      <c r="J45" s="48"/>
      <c r="L45" s="71"/>
      <c r="M45" s="48"/>
      <c r="N45" s="48"/>
      <c r="O45" s="48"/>
      <c r="P45" s="48"/>
      <c r="Q45" s="48"/>
      <c r="R45" s="48"/>
      <c r="S45" s="48"/>
    </row>
    <row r="46" spans="1:19">
      <c r="A46" s="48"/>
      <c r="B46" s="48"/>
      <c r="C46" s="48"/>
      <c r="D46" s="48"/>
      <c r="E46" s="48"/>
      <c r="F46" s="48"/>
      <c r="G46" s="48"/>
      <c r="H46" s="48"/>
      <c r="I46" s="48"/>
      <c r="J46" s="48"/>
      <c r="L46" s="71"/>
      <c r="M46" s="48"/>
      <c r="N46" s="48"/>
      <c r="O46" s="48"/>
      <c r="P46" s="48"/>
      <c r="Q46" s="48"/>
      <c r="R46" s="48"/>
      <c r="S46" s="48"/>
    </row>
    <row r="47" spans="1:19">
      <c r="A47" s="48"/>
      <c r="B47" s="48"/>
      <c r="C47" s="48"/>
      <c r="D47" s="48"/>
      <c r="E47" s="48"/>
      <c r="F47" s="48"/>
      <c r="G47" s="48"/>
      <c r="H47" s="48"/>
      <c r="I47" s="48"/>
      <c r="J47" s="48"/>
      <c r="L47" s="71"/>
      <c r="M47" s="48"/>
      <c r="N47" s="48"/>
      <c r="O47" s="48"/>
      <c r="P47" s="48"/>
      <c r="Q47" s="48"/>
      <c r="R47" s="48"/>
      <c r="S47" s="48"/>
    </row>
    <row r="48" spans="1:19">
      <c r="A48" s="48"/>
      <c r="B48" s="48"/>
      <c r="C48" s="48"/>
      <c r="D48" s="48"/>
      <c r="E48" s="48"/>
      <c r="F48" s="48"/>
      <c r="G48" s="48"/>
      <c r="H48" s="48"/>
      <c r="I48" s="48"/>
      <c r="J48" s="48"/>
      <c r="L48" s="71"/>
      <c r="M48" s="48"/>
      <c r="N48" s="48"/>
      <c r="O48" s="48"/>
      <c r="P48" s="48"/>
      <c r="Q48" s="48"/>
      <c r="R48" s="48"/>
      <c r="S48" s="48"/>
    </row>
    <row r="49" spans="1:19">
      <c r="A49" s="48"/>
      <c r="B49" s="48"/>
      <c r="C49" s="48"/>
      <c r="D49" s="48"/>
      <c r="E49" s="48"/>
      <c r="F49" s="48"/>
      <c r="G49" s="48"/>
      <c r="H49" s="48"/>
      <c r="I49" s="48"/>
      <c r="J49" s="48"/>
      <c r="L49" s="71"/>
      <c r="M49" s="48"/>
      <c r="N49" s="48"/>
      <c r="O49" s="48"/>
      <c r="P49" s="48"/>
      <c r="Q49" s="48"/>
      <c r="R49" s="48"/>
      <c r="S49" s="48"/>
    </row>
    <row r="50" spans="1:19">
      <c r="A50" s="48"/>
      <c r="B50" s="48"/>
      <c r="C50" s="48"/>
      <c r="D50" s="48"/>
      <c r="E50" s="48"/>
      <c r="F50" s="48"/>
      <c r="G50" s="48"/>
      <c r="H50" s="48"/>
      <c r="I50" s="48"/>
      <c r="J50" s="48"/>
      <c r="L50" s="71"/>
      <c r="M50" s="48"/>
      <c r="N50" s="48"/>
      <c r="O50" s="48"/>
      <c r="P50" s="48"/>
      <c r="Q50" s="48"/>
      <c r="R50" s="48"/>
      <c r="S50" s="48"/>
    </row>
    <row r="51" spans="1:19">
      <c r="A51" s="48"/>
      <c r="B51" s="48"/>
      <c r="C51" s="48"/>
      <c r="D51" s="48"/>
      <c r="E51" s="48"/>
      <c r="F51" s="48"/>
      <c r="G51" s="48"/>
      <c r="H51" s="48"/>
      <c r="I51" s="48"/>
      <c r="J51" s="48"/>
      <c r="L51" s="71"/>
      <c r="M51" s="48"/>
      <c r="N51" s="48"/>
      <c r="O51" s="48"/>
      <c r="P51" s="48"/>
      <c r="Q51" s="48"/>
      <c r="R51" s="48"/>
      <c r="S51" s="48"/>
    </row>
    <row r="52" spans="1:19">
      <c r="A52" s="48"/>
      <c r="B52" s="48"/>
      <c r="C52" s="48"/>
      <c r="D52" s="48"/>
      <c r="E52" s="48"/>
      <c r="F52" s="48"/>
      <c r="G52" s="48"/>
      <c r="H52" s="48"/>
      <c r="I52" s="48"/>
      <c r="J52" s="48"/>
      <c r="L52" s="71"/>
      <c r="M52" s="48"/>
      <c r="N52" s="48"/>
      <c r="O52" s="48"/>
      <c r="P52" s="48"/>
      <c r="Q52" s="48"/>
      <c r="R52" s="48"/>
      <c r="S52" s="48"/>
    </row>
    <row r="53" spans="1:19">
      <c r="A53" s="48"/>
      <c r="B53" s="48"/>
      <c r="C53" s="48"/>
      <c r="D53" s="48"/>
      <c r="E53" s="48"/>
      <c r="F53" s="48"/>
      <c r="G53" s="48"/>
      <c r="H53" s="48"/>
      <c r="I53" s="48"/>
      <c r="J53" s="48"/>
      <c r="L53" s="71"/>
      <c r="M53" s="48"/>
      <c r="N53" s="48"/>
      <c r="O53" s="48"/>
      <c r="P53" s="48"/>
      <c r="Q53" s="48"/>
      <c r="R53" s="48"/>
      <c r="S53" s="48"/>
    </row>
    <row r="54" spans="1:19">
      <c r="A54" s="48"/>
      <c r="B54" s="75"/>
      <c r="C54" s="48"/>
      <c r="D54" s="48"/>
      <c r="E54" s="48"/>
      <c r="F54" s="48"/>
      <c r="G54" s="48"/>
      <c r="H54" s="48"/>
      <c r="I54" s="48"/>
      <c r="J54" s="48"/>
      <c r="L54" s="71"/>
      <c r="M54" s="48"/>
      <c r="N54" s="48"/>
      <c r="O54" s="48"/>
      <c r="P54" s="48"/>
      <c r="Q54" s="48"/>
      <c r="R54" s="48"/>
      <c r="S54" s="48"/>
    </row>
    <row r="55" spans="1:19">
      <c r="A55" s="48"/>
      <c r="B55" s="75"/>
      <c r="C55" s="48"/>
      <c r="D55" s="48"/>
      <c r="E55" s="48"/>
      <c r="F55" s="48"/>
      <c r="G55" s="48"/>
      <c r="H55" s="48"/>
      <c r="I55" s="48"/>
      <c r="J55" s="48"/>
      <c r="L55" s="71"/>
      <c r="M55" s="48"/>
      <c r="N55" s="48"/>
      <c r="O55" s="48"/>
      <c r="P55" s="48"/>
      <c r="Q55" s="48"/>
      <c r="R55" s="48"/>
      <c r="S55" s="48"/>
    </row>
    <row r="56" spans="1:19">
      <c r="A56" s="48"/>
      <c r="B56" s="75"/>
      <c r="C56" s="48"/>
      <c r="D56" s="48"/>
      <c r="E56" s="48"/>
      <c r="F56" s="48"/>
      <c r="G56" s="48"/>
      <c r="H56" s="48"/>
      <c r="I56" s="48"/>
      <c r="J56" s="48"/>
      <c r="L56" s="71"/>
      <c r="M56" s="48"/>
      <c r="N56" s="48"/>
      <c r="O56" s="48"/>
      <c r="P56" s="48"/>
      <c r="Q56" s="48"/>
      <c r="R56" s="48"/>
      <c r="S56" s="48"/>
    </row>
    <row r="57" spans="1:19">
      <c r="A57" s="48"/>
      <c r="B57" s="75"/>
      <c r="C57" s="48"/>
      <c r="D57" s="48"/>
      <c r="E57" s="48"/>
      <c r="F57" s="48"/>
      <c r="G57" s="48"/>
      <c r="H57" s="48"/>
      <c r="I57" s="48"/>
      <c r="J57" s="48"/>
      <c r="L57" s="71"/>
      <c r="M57" s="48"/>
      <c r="N57" s="48"/>
      <c r="O57" s="48"/>
      <c r="P57" s="48"/>
      <c r="Q57" s="48"/>
      <c r="R57" s="48"/>
      <c r="S57" s="48"/>
    </row>
    <row r="58" spans="1:19">
      <c r="A58" s="48"/>
      <c r="B58" s="75"/>
      <c r="C58" s="48"/>
      <c r="D58" s="48"/>
      <c r="E58" s="48"/>
      <c r="F58" s="48"/>
      <c r="G58" s="48"/>
      <c r="H58" s="48"/>
      <c r="I58" s="48"/>
      <c r="J58" s="48"/>
      <c r="L58" s="71"/>
      <c r="M58" s="48"/>
      <c r="N58" s="48"/>
      <c r="O58" s="48"/>
      <c r="P58" s="48"/>
      <c r="Q58" s="48"/>
      <c r="R58" s="48"/>
      <c r="S58" s="48"/>
    </row>
    <row r="59" spans="1:19">
      <c r="A59" s="48"/>
      <c r="B59" s="75"/>
      <c r="C59" s="48"/>
      <c r="D59" s="48"/>
      <c r="E59" s="48"/>
      <c r="F59" s="48"/>
      <c r="G59" s="48"/>
      <c r="H59" s="48"/>
      <c r="I59" s="48"/>
      <c r="J59" s="48"/>
      <c r="L59" s="71"/>
      <c r="M59" s="48"/>
      <c r="N59" s="48"/>
      <c r="O59" s="48"/>
      <c r="P59" s="48"/>
      <c r="Q59" s="48"/>
      <c r="R59" s="48"/>
      <c r="S59" s="48"/>
    </row>
    <row r="60" spans="1:19">
      <c r="A60" s="48"/>
      <c r="B60" s="75"/>
      <c r="C60" s="48"/>
      <c r="D60" s="48"/>
      <c r="E60" s="48"/>
      <c r="F60" s="48"/>
      <c r="G60" s="48"/>
      <c r="H60" s="48"/>
      <c r="I60" s="48"/>
      <c r="J60" s="48"/>
      <c r="L60" s="71"/>
      <c r="M60" s="48"/>
      <c r="N60" s="48"/>
      <c r="O60" s="48"/>
      <c r="P60" s="48"/>
      <c r="Q60" s="48"/>
      <c r="R60" s="48"/>
      <c r="S60" s="48"/>
    </row>
    <row r="61" spans="1:19">
      <c r="A61" s="48"/>
      <c r="B61" s="75"/>
      <c r="C61" s="48"/>
      <c r="D61" s="48"/>
      <c r="E61" s="48"/>
      <c r="F61" s="48"/>
      <c r="G61" s="48"/>
      <c r="H61" s="48"/>
      <c r="I61" s="48"/>
      <c r="J61" s="48"/>
      <c r="L61" s="71"/>
      <c r="M61" s="48"/>
      <c r="N61" s="48"/>
      <c r="O61" s="48"/>
      <c r="P61" s="48"/>
      <c r="Q61" s="48"/>
      <c r="R61" s="48"/>
      <c r="S61" s="48"/>
    </row>
    <row r="62" spans="1:19">
      <c r="A62" s="48"/>
      <c r="B62" s="75"/>
      <c r="C62" s="48"/>
      <c r="D62" s="48"/>
      <c r="E62" s="48"/>
      <c r="F62" s="48"/>
      <c r="G62" s="48"/>
      <c r="H62" s="48"/>
      <c r="I62" s="48"/>
      <c r="J62" s="48"/>
      <c r="L62" s="48"/>
      <c r="M62" s="48"/>
      <c r="N62" s="48"/>
      <c r="O62" s="48"/>
      <c r="P62" s="48"/>
      <c r="Q62" s="48"/>
      <c r="R62" s="48"/>
      <c r="S62" s="48"/>
    </row>
    <row r="63" spans="1:19">
      <c r="A63" s="48"/>
      <c r="B63" s="75"/>
      <c r="C63" s="48"/>
      <c r="D63" s="48"/>
      <c r="E63" s="48"/>
      <c r="F63" s="48"/>
      <c r="G63" s="48"/>
      <c r="H63" s="48"/>
      <c r="I63" s="48"/>
      <c r="J63" s="48"/>
      <c r="L63" s="48"/>
      <c r="M63" s="48"/>
      <c r="N63" s="48"/>
      <c r="O63" s="48"/>
      <c r="P63" s="48"/>
      <c r="Q63" s="48"/>
      <c r="R63" s="48"/>
      <c r="S63" s="48"/>
    </row>
    <row r="64" spans="1:19">
      <c r="A64" s="48"/>
      <c r="B64" s="75"/>
      <c r="C64" s="48"/>
      <c r="D64" s="48"/>
      <c r="E64" s="48"/>
      <c r="F64" s="48"/>
      <c r="G64" s="48"/>
      <c r="H64" s="48"/>
      <c r="I64" s="48"/>
      <c r="J64" s="48"/>
    </row>
    <row r="65" spans="1:4">
      <c r="A65" s="48"/>
      <c r="B65" s="48"/>
      <c r="C65" s="48"/>
      <c r="D65" s="48"/>
    </row>
    <row r="66" spans="1:4">
      <c r="A66" s="48"/>
      <c r="B66" s="48"/>
      <c r="C66" s="48"/>
      <c r="D66" s="48"/>
    </row>
    <row r="67" spans="1:4">
      <c r="A67" s="48"/>
      <c r="B67" s="48"/>
      <c r="C67" s="48"/>
      <c r="D67" s="48"/>
    </row>
  </sheetData>
  <mergeCells count="7">
    <mergeCell ref="A1:U1"/>
    <mergeCell ref="C20:C30"/>
    <mergeCell ref="L18:P18"/>
    <mergeCell ref="L42:R42"/>
    <mergeCell ref="L8:N8"/>
    <mergeCell ref="L9:O9"/>
    <mergeCell ref="L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Main</vt:lpstr>
      <vt:lpstr>Consumer Wash Loads</vt:lpstr>
      <vt:lpstr>Wash temperature</vt:lpstr>
      <vt:lpstr>Detergent</vt:lpstr>
      <vt:lpstr>Softner</vt:lpstr>
      <vt:lpstr>Wash load distribution</vt:lpstr>
      <vt:lpstr>Wash temperature distribution</vt:lpstr>
      <vt:lpstr>Household size EU</vt:lpstr>
      <vt:lpstr>Washing Machine Capacity</vt:lpstr>
      <vt:lpstr>Microfibre release</vt:lpstr>
      <vt:lpstr>MF River potential accumulation</vt:lpstr>
      <vt:lpstr>Load_mass__kg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2023-02-16T17:59:11Z</dcterms:created>
  <dcterms:modified xsi:type="dcterms:W3CDTF">2023-08-20T23:11:03Z</dcterms:modified>
</cp:coreProperties>
</file>