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coalbertofiliperibeiro/Desktop/SUS_Cópias/"/>
    </mc:Choice>
  </mc:AlternateContent>
  <xr:revisionPtr revIDLastSave="0" documentId="13_ncr:1_{E0757C23-7654-3746-8323-2EF173051B02}" xr6:coauthVersionLast="37" xr6:coauthVersionMax="37" xr10:uidLastSave="{00000000-0000-0000-0000-000000000000}"/>
  <bookViews>
    <workbookView xWindow="460" yWindow="840" windowWidth="25040" windowHeight="14100" activeTab="1" xr2:uid="{7C1322F0-A282-964E-9895-813CC4C38831}"/>
  </bookViews>
  <sheets>
    <sheet name="Balanço" sheetId="1" r:id="rId1"/>
    <sheet name="Despesas_Receitas" sheetId="2" r:id="rId2"/>
    <sheet name="evolução" sheetId="7" r:id="rId3"/>
    <sheet name="GRÁFICOS - CC" sheetId="6" r:id="rId4"/>
    <sheet name="CC" sheetId="5" state="hidden" r:id="rId5"/>
  </sheets>
  <definedNames>
    <definedName name="_xlnm._FilterDatabase" localSheetId="1" hidden="1">Despesas_Receitas!$B$3:$L$223</definedName>
    <definedName name="_xlchart.v1.0" hidden="1">Balanço!$R$4:$R$15</definedName>
    <definedName name="_xlchart.v1.1" hidden="1">Balanço!$S$3</definedName>
    <definedName name="_xlchart.v1.2" hidden="1">Balanço!$S$4:$S$15</definedName>
    <definedName name="ANIVERSÁRIO_SUS">CC!$K$2:$K$4</definedName>
    <definedName name="ATIVIDADES_DIVERSAS">CC!$J$2:$J$4</definedName>
    <definedName name="BAR">CC!$A$2:$A$5</definedName>
    <definedName name="CC">CC!$A$1:$K$1</definedName>
    <definedName name="ENCARGOS_C__COLABORADORES">CC!$B$2:$B$5</definedName>
    <definedName name="ENCARGOS_C__INSTALAÇÕES">CC!$C$2:$C$20</definedName>
    <definedName name="EQUIPAMENTOS">CC!$D$2:$D$8</definedName>
    <definedName name="NOITE_DAS_CAMÉLIAS">CC!$E$2:$E$12</definedName>
    <definedName name="RECEITA_ATIVIDADES_CONTRATADAS">CC!$F$2</definedName>
    <definedName name="RENDA_RESTAURANTE">CC!$G$2</definedName>
    <definedName name="SÓCIOS">CC!$H$2:$H$4</definedName>
    <definedName name="TEATRO_UNIÃO">CC!$I$2:$I$6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A71" i="1" l="1"/>
  <c r="B71" i="1" s="1"/>
  <c r="A72" i="1"/>
  <c r="A70" i="1"/>
  <c r="A69" i="1"/>
  <c r="A67" i="1"/>
  <c r="C67" i="1" s="1"/>
  <c r="A68" i="1"/>
  <c r="F68" i="1" s="1"/>
  <c r="A66" i="1"/>
  <c r="I66" i="1" s="1"/>
  <c r="A65" i="1"/>
  <c r="A64" i="1"/>
  <c r="C64" i="1" s="1"/>
  <c r="A61" i="1"/>
  <c r="A62" i="1"/>
  <c r="A63" i="1"/>
  <c r="C63" i="1" s="1"/>
  <c r="A60" i="1"/>
  <c r="L60" i="1" s="1"/>
  <c r="A59" i="1"/>
  <c r="A57" i="1"/>
  <c r="A58" i="1"/>
  <c r="A56" i="1"/>
  <c r="A54" i="1"/>
  <c r="M54" i="1" s="1"/>
  <c r="A55" i="1"/>
  <c r="A53" i="1"/>
  <c r="L53" i="1" s="1"/>
  <c r="A52" i="1"/>
  <c r="D52" i="1" s="1"/>
  <c r="A51" i="1"/>
  <c r="G51" i="1" s="1"/>
  <c r="A50" i="1"/>
  <c r="B50" i="1" s="1"/>
  <c r="A43" i="1"/>
  <c r="C43" i="1" s="1"/>
  <c r="A44" i="1"/>
  <c r="C44" i="1" s="1"/>
  <c r="A45" i="1"/>
  <c r="B45" i="1" s="1"/>
  <c r="A46" i="1"/>
  <c r="A47" i="1"/>
  <c r="D47" i="1" s="1"/>
  <c r="A48" i="1"/>
  <c r="D48" i="1" s="1"/>
  <c r="A49" i="1"/>
  <c r="G49" i="1" s="1"/>
  <c r="A42" i="1"/>
  <c r="M42" i="1" s="1"/>
  <c r="A41" i="1"/>
  <c r="A35" i="1"/>
  <c r="A36" i="1"/>
  <c r="A37" i="1"/>
  <c r="A38" i="1"/>
  <c r="A39" i="1"/>
  <c r="A40" i="1"/>
  <c r="A34" i="1"/>
  <c r="A33" i="1"/>
  <c r="A30" i="1"/>
  <c r="C30" i="1" s="1"/>
  <c r="A31" i="1"/>
  <c r="K31" i="1" s="1"/>
  <c r="A32" i="1"/>
  <c r="B32" i="1" s="1"/>
  <c r="A29" i="1"/>
  <c r="A28" i="1"/>
  <c r="A26" i="1"/>
  <c r="A27" i="1"/>
  <c r="L27" i="1" s="1"/>
  <c r="A25" i="1"/>
  <c r="G25" i="1" s="1"/>
  <c r="A24" i="1"/>
  <c r="A6" i="1"/>
  <c r="A7" i="1"/>
  <c r="H7" i="1" s="1"/>
  <c r="A8" i="1"/>
  <c r="A9" i="1"/>
  <c r="M9" i="1" s="1"/>
  <c r="A10" i="1"/>
  <c r="A11" i="1"/>
  <c r="B11" i="1" s="1"/>
  <c r="A12" i="1"/>
  <c r="G12" i="1" s="1"/>
  <c r="A13" i="1"/>
  <c r="E13" i="1" s="1"/>
  <c r="A14" i="1"/>
  <c r="A15" i="1"/>
  <c r="B15" i="1" s="1"/>
  <c r="A16" i="1"/>
  <c r="G16" i="1" s="1"/>
  <c r="A17" i="1"/>
  <c r="E17" i="1" s="1"/>
  <c r="A18" i="1"/>
  <c r="A19" i="1"/>
  <c r="B19" i="1" s="1"/>
  <c r="A20" i="1"/>
  <c r="G20" i="1" s="1"/>
  <c r="A21" i="1"/>
  <c r="I21" i="1" s="1"/>
  <c r="A22" i="1"/>
  <c r="I22" i="1" s="1"/>
  <c r="A23" i="1"/>
  <c r="B23" i="1" s="1"/>
  <c r="A5" i="1"/>
  <c r="A4" i="1"/>
  <c r="D9" i="6"/>
  <c r="B9" i="6"/>
  <c r="D8" i="6"/>
  <c r="B8" i="6"/>
  <c r="D7" i="6"/>
  <c r="B7" i="6"/>
  <c r="B58" i="1" l="1"/>
  <c r="F47" i="1"/>
  <c r="J49" i="1"/>
  <c r="F45" i="1"/>
  <c r="K39" i="1"/>
  <c r="B49" i="1"/>
  <c r="E53" i="1"/>
  <c r="B51" i="1"/>
  <c r="J58" i="1"/>
  <c r="J51" i="1"/>
  <c r="K47" i="1"/>
  <c r="B63" i="1"/>
  <c r="K52" i="1"/>
  <c r="C52" i="1"/>
  <c r="F48" i="1"/>
  <c r="B44" i="1"/>
  <c r="E60" i="1"/>
  <c r="F64" i="1"/>
  <c r="B67" i="1"/>
  <c r="F57" i="1"/>
  <c r="J52" i="1"/>
  <c r="B52" i="1"/>
  <c r="F50" i="1"/>
  <c r="K48" i="1"/>
  <c r="C48" i="1"/>
  <c r="J47" i="1"/>
  <c r="E47" i="1"/>
  <c r="J43" i="1"/>
  <c r="I53" i="1"/>
  <c r="I60" i="1"/>
  <c r="B64" i="1"/>
  <c r="M71" i="1"/>
  <c r="J48" i="1"/>
  <c r="B48" i="1"/>
  <c r="I47" i="1"/>
  <c r="C47" i="1"/>
  <c r="J44" i="1"/>
  <c r="F43" i="1"/>
  <c r="M53" i="1"/>
  <c r="M60" i="1"/>
  <c r="J63" i="1"/>
  <c r="J67" i="1"/>
  <c r="I71" i="1"/>
  <c r="I56" i="1"/>
  <c r="E42" i="1"/>
  <c r="G52" i="1"/>
  <c r="F52" i="1"/>
  <c r="G48" i="1"/>
  <c r="M47" i="1"/>
  <c r="G47" i="1"/>
  <c r="B47" i="1"/>
  <c r="F44" i="1"/>
  <c r="B43" i="1"/>
  <c r="J64" i="1"/>
  <c r="F63" i="1"/>
  <c r="F67" i="1"/>
  <c r="E71" i="1"/>
  <c r="K42" i="1"/>
  <c r="G42" i="1"/>
  <c r="C42" i="1"/>
  <c r="J42" i="1"/>
  <c r="F42" i="1"/>
  <c r="B42" i="1"/>
  <c r="C46" i="1"/>
  <c r="G46" i="1"/>
  <c r="K46" i="1"/>
  <c r="D46" i="1"/>
  <c r="H46" i="1"/>
  <c r="L46" i="1"/>
  <c r="E46" i="1"/>
  <c r="I46" i="1"/>
  <c r="M46" i="1"/>
  <c r="D57" i="1"/>
  <c r="H57" i="1"/>
  <c r="L57" i="1"/>
  <c r="D58" i="1"/>
  <c r="H58" i="1"/>
  <c r="L58" i="1"/>
  <c r="K56" i="1"/>
  <c r="G56" i="1"/>
  <c r="C56" i="1"/>
  <c r="E57" i="1"/>
  <c r="I57" i="1"/>
  <c r="M57" i="1"/>
  <c r="E58" i="1"/>
  <c r="I58" i="1"/>
  <c r="M58" i="1"/>
  <c r="J56" i="1"/>
  <c r="F56" i="1"/>
  <c r="B56" i="1"/>
  <c r="C62" i="1"/>
  <c r="G62" i="1"/>
  <c r="K62" i="1"/>
  <c r="D62" i="1"/>
  <c r="H62" i="1"/>
  <c r="L62" i="1"/>
  <c r="E62" i="1"/>
  <c r="I62" i="1"/>
  <c r="M62" i="1"/>
  <c r="M70" i="1"/>
  <c r="I70" i="1"/>
  <c r="E70" i="1"/>
  <c r="L70" i="1"/>
  <c r="H70" i="1"/>
  <c r="C70" i="1"/>
  <c r="K70" i="1"/>
  <c r="G70" i="1"/>
  <c r="B70" i="1"/>
  <c r="J70" i="1"/>
  <c r="F70" i="1"/>
  <c r="D56" i="1"/>
  <c r="L56" i="1"/>
  <c r="G58" i="1"/>
  <c r="K57" i="1"/>
  <c r="C57" i="1"/>
  <c r="H42" i="1"/>
  <c r="F46" i="1"/>
  <c r="E66" i="1"/>
  <c r="D49" i="1"/>
  <c r="H49" i="1"/>
  <c r="L49" i="1"/>
  <c r="E49" i="1"/>
  <c r="I49" i="1"/>
  <c r="M49" i="1"/>
  <c r="C45" i="1"/>
  <c r="G45" i="1"/>
  <c r="K45" i="1"/>
  <c r="D45" i="1"/>
  <c r="H45" i="1"/>
  <c r="L45" i="1"/>
  <c r="E45" i="1"/>
  <c r="I45" i="1"/>
  <c r="M45" i="1"/>
  <c r="D51" i="1"/>
  <c r="H51" i="1"/>
  <c r="L51" i="1"/>
  <c r="E51" i="1"/>
  <c r="I51" i="1"/>
  <c r="M51" i="1"/>
  <c r="L54" i="1"/>
  <c r="H54" i="1"/>
  <c r="D54" i="1"/>
  <c r="K54" i="1"/>
  <c r="G54" i="1"/>
  <c r="C54" i="1"/>
  <c r="J54" i="1"/>
  <c r="F54" i="1"/>
  <c r="B54" i="1"/>
  <c r="C61" i="1"/>
  <c r="G61" i="1"/>
  <c r="K61" i="1"/>
  <c r="D61" i="1"/>
  <c r="H61" i="1"/>
  <c r="L61" i="1"/>
  <c r="E61" i="1"/>
  <c r="I61" i="1"/>
  <c r="M61" i="1"/>
  <c r="C68" i="1"/>
  <c r="G68" i="1"/>
  <c r="K68" i="1"/>
  <c r="D68" i="1"/>
  <c r="H68" i="1"/>
  <c r="L68" i="1"/>
  <c r="E68" i="1"/>
  <c r="I68" i="1"/>
  <c r="M68" i="1"/>
  <c r="B72" i="1"/>
  <c r="F72" i="1"/>
  <c r="J72" i="1"/>
  <c r="C72" i="1"/>
  <c r="G72" i="1"/>
  <c r="K72" i="1"/>
  <c r="D72" i="1"/>
  <c r="H72" i="1"/>
  <c r="L72" i="1"/>
  <c r="E72" i="1"/>
  <c r="I72" i="1"/>
  <c r="M72" i="1"/>
  <c r="E56" i="1"/>
  <c r="M56" i="1"/>
  <c r="F58" i="1"/>
  <c r="J57" i="1"/>
  <c r="B57" i="1"/>
  <c r="I42" i="1"/>
  <c r="F51" i="1"/>
  <c r="J50" i="1"/>
  <c r="F49" i="1"/>
  <c r="B46" i="1"/>
  <c r="J61" i="1"/>
  <c r="B68" i="1"/>
  <c r="D50" i="1"/>
  <c r="H50" i="1"/>
  <c r="L50" i="1"/>
  <c r="E50" i="1"/>
  <c r="I50" i="1"/>
  <c r="M50" i="1"/>
  <c r="L66" i="1"/>
  <c r="H66" i="1"/>
  <c r="D66" i="1"/>
  <c r="K66" i="1"/>
  <c r="G66" i="1"/>
  <c r="C66" i="1"/>
  <c r="C65" i="1" s="1"/>
  <c r="J66" i="1"/>
  <c r="F66" i="1"/>
  <c r="F65" i="1" s="1"/>
  <c r="B66" i="1"/>
  <c r="K50" i="1"/>
  <c r="C50" i="1"/>
  <c r="B62" i="1"/>
  <c r="H56" i="1"/>
  <c r="K58" i="1"/>
  <c r="C58" i="1"/>
  <c r="G57" i="1"/>
  <c r="D42" i="1"/>
  <c r="L42" i="1"/>
  <c r="K51" i="1"/>
  <c r="C51" i="1"/>
  <c r="G50" i="1"/>
  <c r="K49" i="1"/>
  <c r="C49" i="1"/>
  <c r="J45" i="1"/>
  <c r="E54" i="1"/>
  <c r="J62" i="1"/>
  <c r="F61" i="1"/>
  <c r="M66" i="1"/>
  <c r="J46" i="1"/>
  <c r="I54" i="1"/>
  <c r="F62" i="1"/>
  <c r="B61" i="1"/>
  <c r="J68" i="1"/>
  <c r="M52" i="1"/>
  <c r="I52" i="1"/>
  <c r="E52" i="1"/>
  <c r="M48" i="1"/>
  <c r="I48" i="1"/>
  <c r="E48" i="1"/>
  <c r="M44" i="1"/>
  <c r="I44" i="1"/>
  <c r="E44" i="1"/>
  <c r="M43" i="1"/>
  <c r="I43" i="1"/>
  <c r="E43" i="1"/>
  <c r="B53" i="1"/>
  <c r="F53" i="1"/>
  <c r="J53" i="1"/>
  <c r="B60" i="1"/>
  <c r="F60" i="1"/>
  <c r="J60" i="1"/>
  <c r="M64" i="1"/>
  <c r="I64" i="1"/>
  <c r="E64" i="1"/>
  <c r="M63" i="1"/>
  <c r="I63" i="1"/>
  <c r="E63" i="1"/>
  <c r="M67" i="1"/>
  <c r="I67" i="1"/>
  <c r="E67" i="1"/>
  <c r="L71" i="1"/>
  <c r="H71" i="1"/>
  <c r="D71" i="1"/>
  <c r="B35" i="1"/>
  <c r="L52" i="1"/>
  <c r="H52" i="1"/>
  <c r="L48" i="1"/>
  <c r="H48" i="1"/>
  <c r="L47" i="1"/>
  <c r="H47" i="1"/>
  <c r="L44" i="1"/>
  <c r="H44" i="1"/>
  <c r="D44" i="1"/>
  <c r="L43" i="1"/>
  <c r="H43" i="1"/>
  <c r="D43" i="1"/>
  <c r="C53" i="1"/>
  <c r="G53" i="1"/>
  <c r="K53" i="1"/>
  <c r="C60" i="1"/>
  <c r="G60" i="1"/>
  <c r="K60" i="1"/>
  <c r="L64" i="1"/>
  <c r="H64" i="1"/>
  <c r="D64" i="1"/>
  <c r="L63" i="1"/>
  <c r="H63" i="1"/>
  <c r="D63" i="1"/>
  <c r="L67" i="1"/>
  <c r="H67" i="1"/>
  <c r="D67" i="1"/>
  <c r="K71" i="1"/>
  <c r="G71" i="1"/>
  <c r="C71" i="1"/>
  <c r="K44" i="1"/>
  <c r="G44" i="1"/>
  <c r="K43" i="1"/>
  <c r="G43" i="1"/>
  <c r="D53" i="1"/>
  <c r="H53" i="1"/>
  <c r="D60" i="1"/>
  <c r="H60" i="1"/>
  <c r="K64" i="1"/>
  <c r="G64" i="1"/>
  <c r="K63" i="1"/>
  <c r="G63" i="1"/>
  <c r="K67" i="1"/>
  <c r="G67" i="1"/>
  <c r="J71" i="1"/>
  <c r="F71" i="1"/>
  <c r="B34" i="1"/>
  <c r="F34" i="1"/>
  <c r="J34" i="1"/>
  <c r="M40" i="1"/>
  <c r="I40" i="1"/>
  <c r="E40" i="1"/>
  <c r="M39" i="1"/>
  <c r="I39" i="1"/>
  <c r="E39" i="1"/>
  <c r="M38" i="1"/>
  <c r="I38" i="1"/>
  <c r="E38" i="1"/>
  <c r="M37" i="1"/>
  <c r="I37" i="1"/>
  <c r="E37" i="1"/>
  <c r="M36" i="1"/>
  <c r="I36" i="1"/>
  <c r="E36" i="1"/>
  <c r="M35" i="1"/>
  <c r="I35" i="1"/>
  <c r="E35" i="1"/>
  <c r="C34" i="1"/>
  <c r="G34" i="1"/>
  <c r="K34" i="1"/>
  <c r="L40" i="1"/>
  <c r="H40" i="1"/>
  <c r="D40" i="1"/>
  <c r="L39" i="1"/>
  <c r="H39" i="1"/>
  <c r="D39" i="1"/>
  <c r="L38" i="1"/>
  <c r="H38" i="1"/>
  <c r="D38" i="1"/>
  <c r="L37" i="1"/>
  <c r="H37" i="1"/>
  <c r="D37" i="1"/>
  <c r="L36" i="1"/>
  <c r="H36" i="1"/>
  <c r="D36" i="1"/>
  <c r="L35" i="1"/>
  <c r="H35" i="1"/>
  <c r="D35" i="1"/>
  <c r="G39" i="1"/>
  <c r="C39" i="1"/>
  <c r="K38" i="1"/>
  <c r="G38" i="1"/>
  <c r="C38" i="1"/>
  <c r="K37" i="1"/>
  <c r="G37" i="1"/>
  <c r="C37" i="1"/>
  <c r="K36" i="1"/>
  <c r="G36" i="1"/>
  <c r="C36" i="1"/>
  <c r="K35" i="1"/>
  <c r="G35" i="1"/>
  <c r="C35" i="1"/>
  <c r="D34" i="1"/>
  <c r="H34" i="1"/>
  <c r="L34" i="1"/>
  <c r="K40" i="1"/>
  <c r="G40" i="1"/>
  <c r="C40" i="1"/>
  <c r="E34" i="1"/>
  <c r="I34" i="1"/>
  <c r="M34" i="1"/>
  <c r="J40" i="1"/>
  <c r="F40" i="1"/>
  <c r="B40" i="1"/>
  <c r="J39" i="1"/>
  <c r="F39" i="1"/>
  <c r="B39" i="1"/>
  <c r="J38" i="1"/>
  <c r="F38" i="1"/>
  <c r="B38" i="1"/>
  <c r="J37" i="1"/>
  <c r="F37" i="1"/>
  <c r="B37" i="1"/>
  <c r="J36" i="1"/>
  <c r="F36" i="1"/>
  <c r="B36" i="1"/>
  <c r="J35" i="1"/>
  <c r="F35" i="1"/>
  <c r="I23" i="1"/>
  <c r="E19" i="1"/>
  <c r="E15" i="1"/>
  <c r="E11" i="1"/>
  <c r="G32" i="1"/>
  <c r="E23" i="1"/>
  <c r="M17" i="1"/>
  <c r="I13" i="1"/>
  <c r="L7" i="1"/>
  <c r="M32" i="1"/>
  <c r="E32" i="1"/>
  <c r="M19" i="1"/>
  <c r="M15" i="1"/>
  <c r="M11" i="1"/>
  <c r="D7" i="1"/>
  <c r="K32" i="1"/>
  <c r="C32" i="1"/>
  <c r="M23" i="1"/>
  <c r="I19" i="1"/>
  <c r="I15" i="1"/>
  <c r="I11" i="1"/>
  <c r="D27" i="1"/>
  <c r="I32" i="1"/>
  <c r="L5" i="1"/>
  <c r="F5" i="1"/>
  <c r="M29" i="1"/>
  <c r="I29" i="1"/>
  <c r="E29" i="1"/>
  <c r="K29" i="1"/>
  <c r="G29" i="1"/>
  <c r="C29" i="1"/>
  <c r="J29" i="1"/>
  <c r="F29" i="1"/>
  <c r="B29" i="1"/>
  <c r="D5" i="1"/>
  <c r="I20" i="1"/>
  <c r="D29" i="1"/>
  <c r="K30" i="1"/>
  <c r="H5" i="1"/>
  <c r="M21" i="1"/>
  <c r="I17" i="1"/>
  <c r="H29" i="1"/>
  <c r="G30" i="1"/>
  <c r="B31" i="1"/>
  <c r="F31" i="1"/>
  <c r="J31" i="1"/>
  <c r="D31" i="1"/>
  <c r="H31" i="1"/>
  <c r="L31" i="1"/>
  <c r="E31" i="1"/>
  <c r="I31" i="1"/>
  <c r="M31" i="1"/>
  <c r="I12" i="1"/>
  <c r="L29" i="1"/>
  <c r="G31" i="1"/>
  <c r="B21" i="1"/>
  <c r="C21" i="1"/>
  <c r="K21" i="1"/>
  <c r="G21" i="1"/>
  <c r="B17" i="1"/>
  <c r="G17" i="1"/>
  <c r="C17" i="1"/>
  <c r="K17" i="1"/>
  <c r="B13" i="1"/>
  <c r="C13" i="1"/>
  <c r="K13" i="1"/>
  <c r="G13" i="1"/>
  <c r="B9" i="1"/>
  <c r="G9" i="1"/>
  <c r="C9" i="1"/>
  <c r="K9" i="1"/>
  <c r="E9" i="1"/>
  <c r="B30" i="1"/>
  <c r="F30" i="1"/>
  <c r="J30" i="1"/>
  <c r="D30" i="1"/>
  <c r="H30" i="1"/>
  <c r="L30" i="1"/>
  <c r="E30" i="1"/>
  <c r="I30" i="1"/>
  <c r="M30" i="1"/>
  <c r="E21" i="1"/>
  <c r="I16" i="1"/>
  <c r="M13" i="1"/>
  <c r="I9" i="1"/>
  <c r="C31" i="1"/>
  <c r="K23" i="1"/>
  <c r="C23" i="1"/>
  <c r="G19" i="1"/>
  <c r="K15" i="1"/>
  <c r="C15" i="1"/>
  <c r="G11" i="1"/>
  <c r="L32" i="1"/>
  <c r="H32" i="1"/>
  <c r="D32" i="1"/>
  <c r="G23" i="1"/>
  <c r="K19" i="1"/>
  <c r="C19" i="1"/>
  <c r="G15" i="1"/>
  <c r="K11" i="1"/>
  <c r="C11" i="1"/>
  <c r="J32" i="1"/>
  <c r="F32" i="1"/>
  <c r="B22" i="1"/>
  <c r="F22" i="1"/>
  <c r="J22" i="1"/>
  <c r="D22" i="1"/>
  <c r="H22" i="1"/>
  <c r="L22" i="1"/>
  <c r="B18" i="1"/>
  <c r="F18" i="1"/>
  <c r="J18" i="1"/>
  <c r="D18" i="1"/>
  <c r="H18" i="1"/>
  <c r="L18" i="1"/>
  <c r="B14" i="1"/>
  <c r="F14" i="1"/>
  <c r="J14" i="1"/>
  <c r="D14" i="1"/>
  <c r="H14" i="1"/>
  <c r="L14" i="1"/>
  <c r="B10" i="1"/>
  <c r="F10" i="1"/>
  <c r="J10" i="1"/>
  <c r="D10" i="1"/>
  <c r="H10" i="1"/>
  <c r="L10" i="1"/>
  <c r="C6" i="1"/>
  <c r="G6" i="1"/>
  <c r="K6" i="1"/>
  <c r="E6" i="1"/>
  <c r="I6" i="1"/>
  <c r="M6" i="1"/>
  <c r="F6" i="1"/>
  <c r="H6" i="1"/>
  <c r="B6" i="1"/>
  <c r="J6" i="1"/>
  <c r="C26" i="1"/>
  <c r="G26" i="1"/>
  <c r="K26" i="1"/>
  <c r="E26" i="1"/>
  <c r="I26" i="1"/>
  <c r="M26" i="1"/>
  <c r="B26" i="1"/>
  <c r="J26" i="1"/>
  <c r="D26" i="1"/>
  <c r="L26" i="1"/>
  <c r="F26" i="1"/>
  <c r="I14" i="1"/>
  <c r="G14" i="1"/>
  <c r="G10" i="1"/>
  <c r="M5" i="1"/>
  <c r="I5" i="1"/>
  <c r="E5" i="1"/>
  <c r="K5" i="1"/>
  <c r="G5" i="1"/>
  <c r="C5" i="1"/>
  <c r="B20" i="1"/>
  <c r="F20" i="1"/>
  <c r="J20" i="1"/>
  <c r="D20" i="1"/>
  <c r="H20" i="1"/>
  <c r="L20" i="1"/>
  <c r="B16" i="1"/>
  <c r="F16" i="1"/>
  <c r="J16" i="1"/>
  <c r="D16" i="1"/>
  <c r="H16" i="1"/>
  <c r="L16" i="1"/>
  <c r="B12" i="1"/>
  <c r="F12" i="1"/>
  <c r="J12" i="1"/>
  <c r="D12" i="1"/>
  <c r="H12" i="1"/>
  <c r="L12" i="1"/>
  <c r="C8" i="1"/>
  <c r="G8" i="1"/>
  <c r="K8" i="1"/>
  <c r="E8" i="1"/>
  <c r="I8" i="1"/>
  <c r="M8" i="1"/>
  <c r="F8" i="1"/>
  <c r="H8" i="1"/>
  <c r="B8" i="1"/>
  <c r="J8" i="1"/>
  <c r="L25" i="1"/>
  <c r="H25" i="1"/>
  <c r="D25" i="1"/>
  <c r="J25" i="1"/>
  <c r="F25" i="1"/>
  <c r="B25" i="1"/>
  <c r="M25" i="1"/>
  <c r="E25" i="1"/>
  <c r="K25" i="1"/>
  <c r="C25" i="1"/>
  <c r="I25" i="1"/>
  <c r="B5" i="1"/>
  <c r="J5" i="1"/>
  <c r="M22" i="1"/>
  <c r="E22" i="1"/>
  <c r="M20" i="1"/>
  <c r="E20" i="1"/>
  <c r="M18" i="1"/>
  <c r="E18" i="1"/>
  <c r="M16" i="1"/>
  <c r="E16" i="1"/>
  <c r="M14" i="1"/>
  <c r="E14" i="1"/>
  <c r="M12" i="1"/>
  <c r="E12" i="1"/>
  <c r="M10" i="1"/>
  <c r="E10" i="1"/>
  <c r="L8" i="1"/>
  <c r="I18" i="1"/>
  <c r="I10" i="1"/>
  <c r="D6" i="1"/>
  <c r="H26" i="1"/>
  <c r="G22" i="1"/>
  <c r="G18" i="1"/>
  <c r="K22" i="1"/>
  <c r="C22" i="1"/>
  <c r="K20" i="1"/>
  <c r="C20" i="1"/>
  <c r="K18" i="1"/>
  <c r="C18" i="1"/>
  <c r="K16" i="1"/>
  <c r="C16" i="1"/>
  <c r="K14" i="1"/>
  <c r="C14" i="1"/>
  <c r="K12" i="1"/>
  <c r="C12" i="1"/>
  <c r="K10" i="1"/>
  <c r="C10" i="1"/>
  <c r="D8" i="1"/>
  <c r="L6" i="1"/>
  <c r="C7" i="1"/>
  <c r="G7" i="1"/>
  <c r="K7" i="1"/>
  <c r="E7" i="1"/>
  <c r="I7" i="1"/>
  <c r="M7" i="1"/>
  <c r="C27" i="1"/>
  <c r="G27" i="1"/>
  <c r="K27" i="1"/>
  <c r="E27" i="1"/>
  <c r="I27" i="1"/>
  <c r="M27" i="1"/>
  <c r="D70" i="1"/>
  <c r="L23" i="1"/>
  <c r="H23" i="1"/>
  <c r="D23" i="1"/>
  <c r="L21" i="1"/>
  <c r="H21" i="1"/>
  <c r="D21" i="1"/>
  <c r="L19" i="1"/>
  <c r="H19" i="1"/>
  <c r="D19" i="1"/>
  <c r="L17" i="1"/>
  <c r="H17" i="1"/>
  <c r="D17" i="1"/>
  <c r="L15" i="1"/>
  <c r="H15" i="1"/>
  <c r="D15" i="1"/>
  <c r="L13" i="1"/>
  <c r="H13" i="1"/>
  <c r="D13" i="1"/>
  <c r="L11" i="1"/>
  <c r="H11" i="1"/>
  <c r="D11" i="1"/>
  <c r="L9" i="1"/>
  <c r="H9" i="1"/>
  <c r="D9" i="1"/>
  <c r="F7" i="1"/>
  <c r="J27" i="1"/>
  <c r="B27" i="1"/>
  <c r="H27" i="1"/>
  <c r="J23" i="1"/>
  <c r="F23" i="1"/>
  <c r="J21" i="1"/>
  <c r="F21" i="1"/>
  <c r="J19" i="1"/>
  <c r="F19" i="1"/>
  <c r="J17" i="1"/>
  <c r="F17" i="1"/>
  <c r="J15" i="1"/>
  <c r="F15" i="1"/>
  <c r="J13" i="1"/>
  <c r="F13" i="1"/>
  <c r="J11" i="1"/>
  <c r="F11" i="1"/>
  <c r="J9" i="1"/>
  <c r="F9" i="1"/>
  <c r="J7" i="1"/>
  <c r="B7" i="1"/>
  <c r="F27" i="1"/>
  <c r="F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5" i="2"/>
  <c r="S15" i="1" l="1"/>
  <c r="S11" i="1"/>
  <c r="S7" i="1"/>
  <c r="S14" i="1"/>
  <c r="S10" i="1"/>
  <c r="S6" i="1"/>
  <c r="S13" i="1"/>
  <c r="S9" i="1"/>
  <c r="S5" i="1"/>
  <c r="S12" i="1"/>
  <c r="S8" i="1"/>
  <c r="S4" i="1"/>
  <c r="D12" i="6"/>
  <c r="B12" i="6"/>
  <c r="C59" i="1"/>
  <c r="M55" i="1"/>
  <c r="L55" i="1"/>
  <c r="D69" i="1"/>
  <c r="H55" i="1"/>
  <c r="B65" i="1"/>
  <c r="L24" i="1"/>
  <c r="F59" i="1"/>
  <c r="D24" i="1"/>
  <c r="M65" i="1"/>
  <c r="I55" i="1"/>
  <c r="G24" i="1"/>
  <c r="I65" i="1"/>
  <c r="M41" i="1"/>
  <c r="E55" i="1"/>
  <c r="K28" i="1"/>
  <c r="E33" i="1"/>
  <c r="L33" i="1"/>
  <c r="D59" i="1"/>
  <c r="G59" i="1"/>
  <c r="B59" i="1"/>
  <c r="E24" i="1"/>
  <c r="J24" i="1"/>
  <c r="D28" i="1"/>
  <c r="F28" i="1"/>
  <c r="G33" i="1"/>
  <c r="J33" i="1"/>
  <c r="D41" i="1"/>
  <c r="G65" i="1"/>
  <c r="L65" i="1"/>
  <c r="J69" i="1"/>
  <c r="C69" i="1"/>
  <c r="I69" i="1"/>
  <c r="F55" i="1"/>
  <c r="C55" i="1"/>
  <c r="J41" i="1"/>
  <c r="E41" i="1"/>
  <c r="E59" i="1"/>
  <c r="I24" i="1"/>
  <c r="M24" i="1"/>
  <c r="J28" i="1"/>
  <c r="E28" i="1"/>
  <c r="H33" i="1"/>
  <c r="C33" i="1"/>
  <c r="F33" i="1"/>
  <c r="K65" i="1"/>
  <c r="I41" i="1"/>
  <c r="H41" i="1"/>
  <c r="B69" i="1"/>
  <c r="H69" i="1"/>
  <c r="M69" i="1"/>
  <c r="J55" i="1"/>
  <c r="G55" i="1"/>
  <c r="C41" i="1"/>
  <c r="M59" i="1"/>
  <c r="C24" i="1"/>
  <c r="B24" i="1"/>
  <c r="H24" i="1"/>
  <c r="C28" i="1"/>
  <c r="I28" i="1"/>
  <c r="M33" i="1"/>
  <c r="D33" i="1"/>
  <c r="B33" i="1"/>
  <c r="J59" i="1"/>
  <c r="J65" i="1"/>
  <c r="D65" i="1"/>
  <c r="D55" i="1"/>
  <c r="G69" i="1"/>
  <c r="L69" i="1"/>
  <c r="K55" i="1"/>
  <c r="B41" i="1"/>
  <c r="G41" i="1"/>
  <c r="K24" i="1"/>
  <c r="F24" i="1"/>
  <c r="L28" i="1"/>
  <c r="H28" i="1"/>
  <c r="B28" i="1"/>
  <c r="G28" i="1"/>
  <c r="M28" i="1"/>
  <c r="I33" i="1"/>
  <c r="K33" i="1"/>
  <c r="H59" i="1"/>
  <c r="K59" i="1"/>
  <c r="L41" i="1"/>
  <c r="H65" i="1"/>
  <c r="L59" i="1"/>
  <c r="E65" i="1"/>
  <c r="F69" i="1"/>
  <c r="K69" i="1"/>
  <c r="E69" i="1"/>
  <c r="B55" i="1"/>
  <c r="F41" i="1"/>
  <c r="K41" i="1"/>
  <c r="I59" i="1"/>
  <c r="N48" i="1"/>
  <c r="N47" i="1"/>
  <c r="N44" i="1"/>
  <c r="N51" i="1"/>
  <c r="N43" i="1"/>
  <c r="N52" i="1"/>
  <c r="N49" i="1"/>
  <c r="N50" i="1"/>
  <c r="N45" i="1"/>
  <c r="N46" i="1"/>
  <c r="N56" i="1"/>
  <c r="N62" i="1"/>
  <c r="N32" i="1"/>
  <c r="N7" i="1"/>
  <c r="N58" i="1"/>
  <c r="N35" i="1"/>
  <c r="N21" i="1"/>
  <c r="F4" i="1"/>
  <c r="N11" i="1"/>
  <c r="N19" i="1"/>
  <c r="N36" i="1"/>
  <c r="N31" i="1"/>
  <c r="N9" i="1"/>
  <c r="N17" i="1"/>
  <c r="L4" i="1"/>
  <c r="D4" i="1"/>
  <c r="N39" i="1"/>
  <c r="H4" i="1"/>
  <c r="N15" i="1"/>
  <c r="N23" i="1"/>
  <c r="N38" i="1"/>
  <c r="N40" i="1"/>
  <c r="N30" i="1"/>
  <c r="N37" i="1"/>
  <c r="N60" i="1"/>
  <c r="N67" i="1"/>
  <c r="N71" i="1"/>
  <c r="N27" i="1"/>
  <c r="N63" i="1"/>
  <c r="N29" i="1"/>
  <c r="N25" i="1"/>
  <c r="K4" i="1"/>
  <c r="N66" i="1"/>
  <c r="N57" i="1"/>
  <c r="N13" i="1"/>
  <c r="N34" i="1"/>
  <c r="N53" i="1"/>
  <c r="N12" i="1"/>
  <c r="N20" i="1"/>
  <c r="E4" i="1"/>
  <c r="N26" i="1"/>
  <c r="N6" i="1"/>
  <c r="N14" i="1"/>
  <c r="N22" i="1"/>
  <c r="N64" i="1"/>
  <c r="N70" i="1"/>
  <c r="J4" i="1"/>
  <c r="C4" i="1"/>
  <c r="I4" i="1"/>
  <c r="N68" i="1"/>
  <c r="N61" i="1"/>
  <c r="N54" i="1"/>
  <c r="N42" i="1"/>
  <c r="B4" i="1"/>
  <c r="N5" i="1"/>
  <c r="N8" i="1"/>
  <c r="N16" i="1"/>
  <c r="G4" i="1"/>
  <c r="M4" i="1"/>
  <c r="N72" i="1"/>
  <c r="N10" i="1"/>
  <c r="N18" i="1"/>
  <c r="D5" i="6"/>
  <c r="B5" i="6"/>
  <c r="D6" i="6"/>
  <c r="B6" i="6"/>
  <c r="D3" i="6"/>
  <c r="B3" i="6"/>
  <c r="D2" i="6"/>
  <c r="B2" i="6"/>
  <c r="B4" i="6"/>
  <c r="D4" i="6"/>
  <c r="B11" i="6"/>
  <c r="D11" i="6"/>
  <c r="B10" i="6"/>
  <c r="D10" i="6"/>
  <c r="M73" i="1" l="1"/>
  <c r="J73" i="1"/>
  <c r="L73" i="1"/>
  <c r="N55" i="1"/>
  <c r="G73" i="1"/>
  <c r="B73" i="1"/>
  <c r="H73" i="1"/>
  <c r="N59" i="1"/>
  <c r="N24" i="1"/>
  <c r="N65" i="1"/>
  <c r="I73" i="1"/>
  <c r="C73" i="1"/>
  <c r="N28" i="1"/>
  <c r="N33" i="1"/>
  <c r="E73" i="1"/>
  <c r="K73" i="1"/>
  <c r="D73" i="1"/>
  <c r="F73" i="1"/>
  <c r="N41" i="1"/>
  <c r="N69" i="1"/>
  <c r="N4" i="1"/>
  <c r="B13" i="6"/>
  <c r="C10" i="6" s="1"/>
  <c r="D13" i="6"/>
  <c r="N73" i="1" l="1"/>
  <c r="C2" i="6"/>
  <c r="C6" i="6"/>
  <c r="C4" i="6"/>
  <c r="C3" i="6"/>
  <c r="E12" i="6"/>
  <c r="E6" i="6"/>
  <c r="E7" i="6"/>
  <c r="E9" i="6"/>
  <c r="E8" i="6"/>
  <c r="E3" i="6"/>
  <c r="E5" i="6"/>
  <c r="E11" i="6"/>
  <c r="E2" i="6"/>
  <c r="E4" i="6"/>
  <c r="C7" i="6"/>
  <c r="C9" i="6"/>
  <c r="C12" i="6"/>
  <c r="C8" i="6"/>
  <c r="C5" i="6"/>
  <c r="C11" i="6"/>
  <c r="E10" i="6"/>
</calcChain>
</file>

<file path=xl/sharedStrings.xml><?xml version="1.0" encoding="utf-8"?>
<sst xmlns="http://schemas.openxmlformats.org/spreadsheetml/2006/main" count="1199" uniqueCount="338">
  <si>
    <t>SOCIEDADE UNIÃO SINTRENSE</t>
  </si>
  <si>
    <t xml:space="preserve"> BALANÇO ACTIVIDADES - EXERCICIO 2019</t>
  </si>
  <si>
    <t>GASTOS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</si>
  <si>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</si>
  <si>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</si>
  <si>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</si>
  <si>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</si>
  <si>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</si>
  <si>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</si>
  <si>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</si>
  <si>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</si>
  <si>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</si>
  <si>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</si>
  <si>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</si>
  <si>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</si>
  <si>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</si>
  <si>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RUBRICA</t>
  </si>
  <si>
    <t>CONSUMO ÁGUA (SMAS)</t>
  </si>
  <si>
    <t>ANIVERSÁRIO SUS</t>
  </si>
  <si>
    <t>CONSUMO ELECTRICIDADE - SUS</t>
  </si>
  <si>
    <t>CONSUMO ELECTRICIDADE - JESÉLIA</t>
  </si>
  <si>
    <t>DONATIVO</t>
  </si>
  <si>
    <t>GÁS BUTANO</t>
  </si>
  <si>
    <t>EQUIPAMENTOS</t>
  </si>
  <si>
    <t>SECURITAS - ALARME</t>
  </si>
  <si>
    <t>HOMENAGENS</t>
  </si>
  <si>
    <t>SEGUROS - FIDELIDADE</t>
  </si>
  <si>
    <t>QUOTAS</t>
  </si>
  <si>
    <t>MATERIAL ESCRITÓRIO / CARTÕES</t>
  </si>
  <si>
    <t>COMUNICAÇÕES - VODAFONE</t>
  </si>
  <si>
    <t>UTENSILIOS DE DESGASTE RÁPIDO</t>
  </si>
  <si>
    <t>DESP. BANCÁRIAS</t>
  </si>
  <si>
    <t>QUOTA - FEDERAÇÃO DAS COLECTIVIDADES</t>
  </si>
  <si>
    <t>IMPOSTOS</t>
  </si>
  <si>
    <t>PUBLICIDADE</t>
  </si>
  <si>
    <t>OUTROS</t>
  </si>
  <si>
    <t>BAR</t>
  </si>
  <si>
    <t>CENÁRIO</t>
  </si>
  <si>
    <t>SEG. AC. TRABALHO</t>
  </si>
  <si>
    <t>IGAC / SPA</t>
  </si>
  <si>
    <t>GUARDA ROUPA</t>
  </si>
  <si>
    <t>CENTRO DE CUSTO</t>
  </si>
  <si>
    <t>COMBUSTIVEL</t>
  </si>
  <si>
    <t>PORTAGENS</t>
  </si>
  <si>
    <t>ALIMENTAÇÃO</t>
  </si>
  <si>
    <t>NOITE DAS CAMÉLIAS</t>
  </si>
  <si>
    <t>TEATRO UNIÃO</t>
  </si>
  <si>
    <t>ENCARGOS C/ COLABORADORES</t>
  </si>
  <si>
    <t>SÓCIOS</t>
  </si>
  <si>
    <t>ART. DECORATIVOS</t>
  </si>
  <si>
    <t>OBRAS/MANUTENÇÃO</t>
  </si>
  <si>
    <t>ENCARGOS C/ INSTALAÇÕES</t>
  </si>
  <si>
    <t>MANUTENÇÃO / OBRAS</t>
  </si>
  <si>
    <t>PIANO</t>
  </si>
  <si>
    <t>EQUIPAMENTOS SOM</t>
  </si>
  <si>
    <t>PROJECTORES/MESA DE LUZ &amp; CONSUMÍVEIS</t>
  </si>
  <si>
    <t>REGA</t>
  </si>
  <si>
    <t>SERVIÇO DE LIMPEZA</t>
  </si>
  <si>
    <t>PRODUTOS/EQUIPAMENTOS DE LIMPEZA</t>
  </si>
  <si>
    <t>OBSERVAÇÕES</t>
  </si>
  <si>
    <t xml:space="preserve">Procurar sustentabilidade </t>
  </si>
  <si>
    <t>RECEITA</t>
  </si>
  <si>
    <t>Gastos dissociados de eventos - são transversais a várias atividades</t>
  </si>
  <si>
    <t>Gastos associados ao evento</t>
  </si>
  <si>
    <t>RENDA RESTAURANTE</t>
  </si>
  <si>
    <t>RECEITA ATIVIDADES CONTRATADAS</t>
  </si>
  <si>
    <t>Aluguer de Sala; Palco; etc</t>
  </si>
  <si>
    <t>N/A</t>
  </si>
  <si>
    <t>GASTO/RECEITA</t>
  </si>
  <si>
    <t>DÉBITO/CRÉDITO</t>
  </si>
  <si>
    <t>SALDO</t>
  </si>
  <si>
    <t>DESCRITIVO BANCO</t>
  </si>
  <si>
    <t>CENTRO CUSTO</t>
  </si>
  <si>
    <t>DESCRITIVO</t>
  </si>
  <si>
    <t>FORNECEDOR</t>
  </si>
  <si>
    <t>DOC</t>
  </si>
  <si>
    <t>SALDO DE 2018</t>
  </si>
  <si>
    <t>NOITE_DAS_CAMÉLIAS</t>
  </si>
  <si>
    <t>RECEITA_ATIVIDADES_CONTRATADAS</t>
  </si>
  <si>
    <t>RENDA_RESTAURANTE</t>
  </si>
  <si>
    <t>TEATRO_UNIÃO</t>
  </si>
  <si>
    <t>ENCARGOS_C__COLABORADORES</t>
  </si>
  <si>
    <t>ENCARGOS_C__INSTALAÇÕES</t>
  </si>
  <si>
    <t>COMPRAS</t>
  </si>
  <si>
    <t>MANUTENÇÃO EQUIPAMENTOS</t>
  </si>
  <si>
    <t>DATA-SHOW</t>
  </si>
  <si>
    <t>EQUIPAMENTO JARDIM</t>
  </si>
  <si>
    <t>DONATIVO DE PORTA</t>
  </si>
  <si>
    <t>BENGALEIRO</t>
  </si>
  <si>
    <t>APOIO</t>
  </si>
  <si>
    <t>ATIVIDADES DIVERSAS</t>
  </si>
  <si>
    <t>ATIVIDADES_DIVERSAS</t>
  </si>
  <si>
    <t>ANIVERSÁRIO_SUS</t>
  </si>
  <si>
    <t>DATA MOVIMENTO</t>
  </si>
  <si>
    <t>DATA FATURA</t>
  </si>
  <si>
    <t>SP-00026322892 SECURITAS DIREC</t>
  </si>
  <si>
    <t>SP-00531446107 VODAFONE PORTUG</t>
  </si>
  <si>
    <t>SP-P05100001520EDP SERVICO UNI</t>
  </si>
  <si>
    <t>SP-10367661    MAFEP MATERIAL</t>
  </si>
  <si>
    <t>COMPRA   IKEA ALFRAGIDE</t>
  </si>
  <si>
    <t>COMPRA   AMARAL &amp; FILHOS LDA</t>
  </si>
  <si>
    <t>COMPRA   FUTURO ENCANTADO LDA</t>
  </si>
  <si>
    <t>COMPRA   FORUM CHINA</t>
  </si>
  <si>
    <t>COMPRA   BRICO DEPOT SIN</t>
  </si>
  <si>
    <t>COMPRA   BIJOU BRIGITTE</t>
  </si>
  <si>
    <t>SP-96611566046 Servicos Munici</t>
  </si>
  <si>
    <t>TRF. PT50000700000032524109823</t>
  </si>
  <si>
    <t>COMPRA   LEFTIES</t>
  </si>
  <si>
    <t>COMPRA   RHG MODA LDA</t>
  </si>
  <si>
    <t>COMPRA   MB LOJA 179 LIDL &amp;</t>
  </si>
  <si>
    <t>TRF. PT50001800000671233402153</t>
  </si>
  <si>
    <t>COMPRA   PINGO DOCE CAVALEIRA</t>
  </si>
  <si>
    <t>COMPRA   PRIMARK SINTRA-FORUM</t>
  </si>
  <si>
    <t>COMPRA   SEMANA SOLIDA</t>
  </si>
  <si>
    <t>COMPRA   IKEA ALFRAGIDE-REST</t>
  </si>
  <si>
    <t>PAG.SERV. 11034 059039787</t>
  </si>
  <si>
    <t>COMPRA   PRENDA ESPECIAL</t>
  </si>
  <si>
    <t>COMPRA   XIANGYANG ZHOU</t>
  </si>
  <si>
    <t>COMPRA   BCM - BRICOLAGE S.A.</t>
  </si>
  <si>
    <t>COMPRA   BCM BRICOLAGE SA</t>
  </si>
  <si>
    <t>COMPRA   MEDIA MARKT SINTRA</t>
  </si>
  <si>
    <t>COMPRA   MAREC ESPACO CASA SA</t>
  </si>
  <si>
    <t>COMPRA   TINTAS ROBBIALAC SA</t>
  </si>
  <si>
    <t>COMPRA   PARK DOS TECIDOS</t>
  </si>
  <si>
    <t>COMPRA   ACACIO PAIVA E PAIVA</t>
  </si>
  <si>
    <t>ANUL.CPR PRIMARK SINTRA-FORUM</t>
  </si>
  <si>
    <t>TRF. PT50003600509910031520496</t>
  </si>
  <si>
    <t>TRF. PT50003300000000812850405</t>
  </si>
  <si>
    <t>TRF. PT50001000005641720000138</t>
  </si>
  <si>
    <t>COMPRA   PETROMONSERRATE LDA</t>
  </si>
  <si>
    <t>LEV.ATM    7681</t>
  </si>
  <si>
    <t>TRF. PT50000700000015233724023</t>
  </si>
  <si>
    <t>TRF. PT50001800010020191957645</t>
  </si>
  <si>
    <t>COMPRA   PALACIO DA COLINA LD</t>
  </si>
  <si>
    <t>COMPRA   JUMBO DE SINTRA</t>
  </si>
  <si>
    <t>COMPRA   SPICYDRAGON LDA</t>
  </si>
  <si>
    <t>COMPRA   ORIENTE PERFEITO</t>
  </si>
  <si>
    <t>COMPRA   MACROCHINA</t>
  </si>
  <si>
    <t>DEVOL.   IKEA ALFRAGIDE</t>
  </si>
  <si>
    <t>COMPRA   PINGO DOCE, SA.</t>
  </si>
  <si>
    <t>COMPRA   LEROY MERLIN SINTRA</t>
  </si>
  <si>
    <t>TRF. PT50003300004536624719105</t>
  </si>
  <si>
    <t>TRF. PT50004553804013075525539</t>
  </si>
  <si>
    <t>TRF. PT50003507860006820140010</t>
  </si>
  <si>
    <t>COMPRA   C&amp;A FORUM SINTRA</t>
  </si>
  <si>
    <t>COMPRA   REFUGIO OURESSA</t>
  </si>
  <si>
    <t>COMPRA   TECIDOS E COMPANHIA</t>
  </si>
  <si>
    <t>PAG.SERV. 11473 449305566</t>
  </si>
  <si>
    <t>PAG.ESP.  PAG-ESTADO</t>
  </si>
  <si>
    <t>TRF. PT50001000005295601000177</t>
  </si>
  <si>
    <t>TRF. PT50003501810000046033029</t>
  </si>
  <si>
    <t>TRF. PT50001800032273467702065</t>
  </si>
  <si>
    <t>COMPRA   H M</t>
  </si>
  <si>
    <t>COMPRA   TIGER FORUM SINTRA</t>
  </si>
  <si>
    <t>COMPRA   STAPLES PORTUGAL SA</t>
  </si>
  <si>
    <t>PAG.SERV. 11034 066654975</t>
  </si>
  <si>
    <t>PAG.SERV. 11249 700993007</t>
  </si>
  <si>
    <t>ANUIDADE  2019            7681</t>
  </si>
  <si>
    <t>I.SELO OP.BANC.</t>
  </si>
  <si>
    <t>COMPRA   LIDL SINTRA ALGUEIRA</t>
  </si>
  <si>
    <t>COMPRA   SINTRA ELECTRICA DE</t>
  </si>
  <si>
    <t>SMAS</t>
  </si>
  <si>
    <t>LIDL</t>
  </si>
  <si>
    <t>LEROY MERLIN</t>
  </si>
  <si>
    <t>SECURITAS</t>
  </si>
  <si>
    <t>VODAFONE</t>
  </si>
  <si>
    <t>MAFEP</t>
  </si>
  <si>
    <t>IKEA</t>
  </si>
  <si>
    <t>AMARAL &amp; FILHOS LDA</t>
  </si>
  <si>
    <t>FUTURO ENCANTADO LDA</t>
  </si>
  <si>
    <t>FORUM CHINA</t>
  </si>
  <si>
    <t>BRICO DEPOT</t>
  </si>
  <si>
    <t>BIJOU BRIGITTE</t>
  </si>
  <si>
    <t>LEFTIES</t>
  </si>
  <si>
    <t>RHG MODA LDA</t>
  </si>
  <si>
    <t>PINGO DOCE</t>
  </si>
  <si>
    <t>PRIMARK</t>
  </si>
  <si>
    <t>SEMANA SOLIDA</t>
  </si>
  <si>
    <t>PRENDA ESPECIAL</t>
  </si>
  <si>
    <t>XIANGYANG ZHOU</t>
  </si>
  <si>
    <t>MEDIA MARKT</t>
  </si>
  <si>
    <t>ESPACO CASA SA</t>
  </si>
  <si>
    <t>TINTAS ROBBIALAC SA</t>
  </si>
  <si>
    <t>PARK DOS TECIDOS</t>
  </si>
  <si>
    <t>ACACIO PAIVA E PAIVA</t>
  </si>
  <si>
    <t>PETROMONSERRATE LDA</t>
  </si>
  <si>
    <t>PALACIO DA COLINA LDA</t>
  </si>
  <si>
    <t>JUMBO DE SINTRA</t>
  </si>
  <si>
    <t xml:space="preserve"> MEDIA MARKT</t>
  </si>
  <si>
    <t>SPICYDRAGON LDA</t>
  </si>
  <si>
    <t>JUMBO</t>
  </si>
  <si>
    <t>ORIENTE PERFEITO</t>
  </si>
  <si>
    <t>MACROCHINA</t>
  </si>
  <si>
    <t>C&amp;A</t>
  </si>
  <si>
    <t>REFUGIO OURESSA</t>
  </si>
  <si>
    <t>TECIDOS E COMPANHIA</t>
  </si>
  <si>
    <t>H&amp;M</t>
  </si>
  <si>
    <t>VOFAFONE</t>
  </si>
  <si>
    <t>TIGER</t>
  </si>
  <si>
    <t>STAPLES</t>
  </si>
  <si>
    <t>SINTRA ELECTRICA</t>
  </si>
  <si>
    <t>EDP</t>
  </si>
  <si>
    <t>CONFERIDO</t>
  </si>
  <si>
    <t>IVONE</t>
  </si>
  <si>
    <t>CARNAVAL</t>
  </si>
  <si>
    <t>ALUGUER EXTINTORES</t>
  </si>
  <si>
    <t>DE MÃO EM MÃO</t>
  </si>
  <si>
    <t>FIDELIDADE</t>
  </si>
  <si>
    <t>VICE-VERSA</t>
  </si>
  <si>
    <t>SPA</t>
  </si>
  <si>
    <t>MARIA EMILIA</t>
  </si>
  <si>
    <t>BANDA NOITE DAS CAMÉLIAS</t>
  </si>
  <si>
    <t>NOVADIS</t>
  </si>
  <si>
    <t>ÁGUAS E SUMOS PARA O BAR COM TROCO DEPOSITADO POSTERIORMENTE</t>
  </si>
  <si>
    <t>HELENA DINIZ</t>
  </si>
  <si>
    <t>JCSA</t>
  </si>
  <si>
    <t>LONA DE PUBLICIDADE</t>
  </si>
  <si>
    <t>ESSENCIA CAFÉ</t>
  </si>
  <si>
    <t>REPARAÇÃO DA MÁQUINA DE LOIÇA</t>
  </si>
  <si>
    <t>FLORISTA A CAMÉLIA</t>
  </si>
  <si>
    <t>RAMA DE CAMÉLIA</t>
  </si>
  <si>
    <t>PARTYVAL</t>
  </si>
  <si>
    <t>TECIDO DE CENÁRIO</t>
  </si>
  <si>
    <t>PINTURAS</t>
  </si>
  <si>
    <t>GASPAR FONTES</t>
  </si>
  <si>
    <t>BANDA</t>
  </si>
  <si>
    <t>SEGURANÇA - CAMARAS FALSAS</t>
  </si>
  <si>
    <t>IMI</t>
  </si>
  <si>
    <t>MONTEPIO</t>
  </si>
  <si>
    <t>ALUGUER DE EXTINTORES</t>
  </si>
  <si>
    <t>ALARME DE INTRUSÃO</t>
  </si>
  <si>
    <t>CONSUMO ELECTRICIDADE NA JESÉLIA</t>
  </si>
  <si>
    <t>CONSUMO ELECTRICIDADE NA SUS</t>
  </si>
  <si>
    <t>DESPESAS DO BANCO</t>
  </si>
  <si>
    <t>GÁS PARA COZINHA E/OU AQUECIMENTO</t>
  </si>
  <si>
    <t>PRODUTOS PARA SERVIÇO DE LIMPEZA</t>
  </si>
  <si>
    <t>ALIMENTAÇÃO DE COLABORADORES POR TRABALHO VOLUNTÁRIO</t>
  </si>
  <si>
    <t>DESPESA</t>
  </si>
  <si>
    <t>%</t>
  </si>
  <si>
    <t>TOTAL MOVIMENTOS</t>
  </si>
  <si>
    <t>DECORAÇÃO DO SALÃO</t>
  </si>
  <si>
    <t>ESPAÇO FONSECA - PLANTAS</t>
  </si>
  <si>
    <t>ARTIGOS DECORATIVOS VÁRIOS</t>
  </si>
  <si>
    <t>LACAS E ACESSÓRIOS</t>
  </si>
  <si>
    <t>ACESSÓRIOS E MOBILIARIOS</t>
  </si>
  <si>
    <t>SEGURO DE RESPONSABILIDADE CIVIL</t>
  </si>
  <si>
    <t>SACOS DE PLASTICO, TESOURAS E AFINS PARA MANUTENÇÃO</t>
  </si>
  <si>
    <t>MATERIAL PARA MANUTENÇÃO DIVERSA</t>
  </si>
  <si>
    <t>ESPAÇO FONSECA - TERRA</t>
  </si>
  <si>
    <t>ESPAÇO FONSECA - MANUTENÇÃO</t>
  </si>
  <si>
    <t>DISCO RIGIDO PARA ARMAZENAMENTO DE DADOS</t>
  </si>
  <si>
    <t>CAIXAS DE ORGANIZAÇÃO</t>
  </si>
  <si>
    <t>ARTIGOS DE CAMARINS</t>
  </si>
  <si>
    <t>ELECTRO-SERRA E MÁQUINA DE LAVAR À PRESSÃO</t>
  </si>
  <si>
    <t>TINTAS</t>
  </si>
  <si>
    <t>DEVOLUÇÃO DE ARTIGO CONSTANTE NA FATURA DE 12/03/2019</t>
  </si>
  <si>
    <t>ESTICADORES, AGRAFOS, PARAFUSOS, ETC</t>
  </si>
  <si>
    <t>PANOS E AVENTAIS</t>
  </si>
  <si>
    <t>TRANSPORTE E COMPRAS AO SERVIÇO DA SUS EM CARRO PARTICULAR</t>
  </si>
  <si>
    <t>CERVEJA E ÁGUA</t>
  </si>
  <si>
    <t>PANOS DE PALCO</t>
  </si>
  <si>
    <t>ARCA CONGELADORA</t>
  </si>
  <si>
    <t>BEBIDAS</t>
  </si>
  <si>
    <t>PÃO</t>
  </si>
  <si>
    <t>LAMPADAS E PILHAS</t>
  </si>
  <si>
    <t>DEVOLUÇÃO DE ARTIGO CONSTANTE NA FATURA DE 27/03/2019</t>
  </si>
  <si>
    <t>ESPUMA PU E XYLOFENE</t>
  </si>
  <si>
    <t>RESTITUIÇÃO DE PEÇA DE ROUPA ESTRAGADA AO SERVIÇO DA SUS</t>
  </si>
  <si>
    <t>GANCHOS DE CORTINADOS</t>
  </si>
  <si>
    <t>TECIDOS PARA ROUPA</t>
  </si>
  <si>
    <t>PREGOS, PORCAS, SACOS</t>
  </si>
  <si>
    <t>LAMPADAS</t>
  </si>
  <si>
    <t>ARTIGOS DE MANUTENÇÃO DIVERSOS</t>
  </si>
  <si>
    <t>ESPAÇO FONSECA - DECORAÇÃO/ILUMINAÇÃO NOTURNA</t>
  </si>
  <si>
    <t>MATERIAL DE ESCRITORIO</t>
  </si>
  <si>
    <t>COMIDA E BEBIDA E ARTIGOS DECORATIVOS</t>
  </si>
  <si>
    <t>COMIDA E BEBIDA</t>
  </si>
  <si>
    <t xml:space="preserve">XYLOFENE </t>
  </si>
  <si>
    <t>MATERIAL ELETRICO PARA SUBSTITUIÇÃO DE TOMADAS AVARIADAS</t>
  </si>
  <si>
    <t>MÊS</t>
  </si>
  <si>
    <t>CONSUMO</t>
  </si>
  <si>
    <t>COMPRA BCM- BRICOLAGE S.A.</t>
  </si>
  <si>
    <t>COMPRA FORUM CHINA</t>
  </si>
  <si>
    <t>COMPRA LEROY MERLIN SINTRA</t>
  </si>
  <si>
    <t>COMPRA AMARAL &amp; FILHOS LDA</t>
  </si>
  <si>
    <t>COMPRA BCM-BRICOLAGE S.A.</t>
  </si>
  <si>
    <t>SP-9661 1566046 Servicos Munici</t>
  </si>
  <si>
    <t>COMISSAO MANUTENCAO DE CO</t>
  </si>
  <si>
    <t>LSELO OP.BANC.</t>
  </si>
  <si>
    <t>SP-10367661  MAFEP MATERIAL</t>
  </si>
  <si>
    <t>TRF. PT50003300004520578979105</t>
  </si>
  <si>
    <t>LEV.ATM 7681</t>
  </si>
  <si>
    <t>| SELO OP.BANC.</t>
  </si>
  <si>
    <t>SP-10367661 MAFEP MATERIAL</t>
  </si>
  <si>
    <t>TR-REEMBOLSOS IRC </t>
  </si>
  <si>
    <t>COMISSAO MANUTENCGAO DE CO</t>
  </si>
  <si>
    <t>COMPRA SINTRA ELECTRICA DE</t>
  </si>
  <si>
    <t>SP-966 11566046 Servicos Munici</t>
  </si>
  <si>
    <t>COMPRA LEROY MERLIN ALFRAGI</t>
  </si>
  <si>
    <t>TRF. PT50000700000032524 109823</t>
  </si>
  <si>
    <t>COMPRA LIDL SINTRA ALGUEIRA</t>
  </si>
  <si>
    <t>COMPRA SERVELEC</t>
  </si>
  <si>
    <t>COMPRA CARTORIO NOTARIAL</t>
  </si>
  <si>
    <t>COMPRA PRIMEIRA CONSERVATOR</t>
  </si>
  <si>
    <t>ENTREGA VALORES P/COBRANGA</t>
  </si>
  <si>
    <t>ENT. NUMERARIOTROCO NOVADIS</t>
  </si>
  <si>
    <t>ENT. NUMERARIOCAMELIAS BENGAL</t>
  </si>
  <si>
    <t>ENT. NUMERARIOCAMELIAS ENTRAD</t>
  </si>
  <si>
    <t>ENT. NUMERARIOTEATRO ENTRADA</t>
  </si>
  <si>
    <t>ENT. NUMERARIOCAMELIAS BAR</t>
  </si>
  <si>
    <t>TR-UNIAO FREGUESIAS SINTRA</t>
  </si>
  <si>
    <t>TRF. PT500007000000325241 09823</t>
  </si>
  <si>
    <t>ENT, NUMERARIOTEATRO BAR</t>
  </si>
  <si>
    <t>ENT. NUMERARIODEPATM768122/11</t>
  </si>
  <si>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</si>
  <si>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</si>
  <si>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</si>
  <si>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</si>
  <si>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</si>
  <si>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</si>
  <si>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</si>
  <si>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</si>
  <si>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</si>
  <si>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</si>
  <si>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</si>
  <si>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</si>
  <si>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</si>
  <si>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Despesas</t>
  </si>
  <si>
    <t>ENCARGOS COM INSTALAÇÕES:</t>
  </si>
  <si>
    <t>PRODUTOS DE LIMPEZA</t>
  </si>
  <si>
    <t>EQUIPAMENTOS:</t>
  </si>
  <si>
    <t>ACTIVIDADES VÁRIAS:</t>
  </si>
  <si>
    <t xml:space="preserve">SEGUROS </t>
  </si>
  <si>
    <t>MANUTENÇÃO</t>
  </si>
  <si>
    <t>MATERIAL ESCRITÓRIO</t>
  </si>
  <si>
    <t>COMUNICAÇÕES</t>
  </si>
  <si>
    <t>OBRAS</t>
  </si>
  <si>
    <t>AARTIGOS DECORATIVOS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</si>
</sst>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&quot;€&quot;#,##0.00"/>
  </numFmts>
  <fonts count="15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50"/>
      <name val="MS Gothic"/>
      <family val="3"/>
    </font>
    <font>
      <b/>
      <sz val="24"/>
      <name val="MS Gothic"/>
      <family val="3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41"/>
      </patternFill>
    </fill>
    <fill>
      <patternFill patternType="solid">
        <fgColor theme="3" tint="-0.249977111117893"/>
        <bgColor indexed="26"/>
      </patternFill>
    </fill>
    <fill>
      <patternFill patternType="solid">
        <fgColor rgb="FFFFFF00"/>
        <bgColor indexed="27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4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49" fontId="7" fillId="6" borderId="8" xfId="0" applyNumberFormat="1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7" xfId="0" applyBorder="1"/>
    <xf numFmtId="0" fontId="0" fillId="0" borderId="0" xfId="0" applyBorder="1"/>
    <xf numFmtId="0" fontId="0" fillId="9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1" fillId="16" borderId="8" xfId="0" applyFont="1" applyFill="1" applyBorder="1"/>
    <xf numFmtId="164" fontId="11" fillId="16" borderId="8" xfId="0" applyNumberFormat="1" applyFont="1" applyFill="1" applyBorder="1"/>
    <xf numFmtId="0" fontId="7" fillId="6" borderId="8" xfId="0" applyFont="1" applyFill="1" applyBorder="1" applyAlignment="1">
      <alignment horizontal="center" vertical="center" wrapText="1"/>
    </xf>
    <xf numFmtId="1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0" fillId="9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/>
    <xf numFmtId="0" fontId="9" fillId="9" borderId="11" xfId="0" applyFont="1" applyFill="1" applyBorder="1" applyAlignment="1" applyProtection="1">
      <alignment vertical="distributed" justifyLastLine="1"/>
    </xf>
    <xf numFmtId="0" fontId="9" fillId="8" borderId="11" xfId="0" applyFont="1" applyFill="1" applyBorder="1" applyAlignment="1">
      <alignment vertical="center" wrapText="1"/>
    </xf>
    <xf numFmtId="0" fontId="9" fillId="12" borderId="11" xfId="0" applyFont="1" applyFill="1" applyBorder="1" applyAlignment="1">
      <alignment vertical="center"/>
    </xf>
    <xf numFmtId="0" fontId="9" fillId="10" borderId="11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 wrapText="1"/>
    </xf>
    <xf numFmtId="0" fontId="9" fillId="13" borderId="11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7" borderId="11" xfId="0" applyFill="1" applyBorder="1" applyAlignment="1">
      <alignment horizontal="center"/>
    </xf>
    <xf numFmtId="0" fontId="9" fillId="15" borderId="11" xfId="0" applyFont="1" applyFill="1" applyBorder="1" applyAlignment="1">
      <alignment horizontal="left" vertical="center"/>
    </xf>
    <xf numFmtId="0" fontId="8" fillId="8" borderId="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8" fillId="12" borderId="0" xfId="0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0" fontId="9" fillId="7" borderId="11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8" fillId="17" borderId="0" xfId="0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0" fillId="17" borderId="11" xfId="0" applyFill="1" applyBorder="1"/>
    <xf numFmtId="0" fontId="0" fillId="18" borderId="11" xfId="0" applyFill="1" applyBorder="1"/>
    <xf numFmtId="0" fontId="0" fillId="18" borderId="12" xfId="0" applyFill="1" applyBorder="1"/>
    <xf numFmtId="0" fontId="8" fillId="18" borderId="6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14" fontId="12" fillId="0" borderId="0" xfId="0" applyNumberFormat="1" applyFont="1"/>
    <xf numFmtId="2" fontId="12" fillId="0" borderId="0" xfId="0" applyNumberFormat="1" applyFont="1"/>
    <xf numFmtId="0" fontId="12" fillId="0" borderId="0" xfId="0" applyFont="1"/>
    <xf numFmtId="0" fontId="2" fillId="10" borderId="0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3" borderId="0" xfId="0" applyFont="1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165" fontId="0" fillId="0" borderId="9" xfId="0" applyNumberFormat="1" applyBorder="1"/>
    <xf numFmtId="165" fontId="0" fillId="0" borderId="9" xfId="0" applyNumberFormat="1" applyFill="1" applyBorder="1"/>
    <xf numFmtId="165" fontId="0" fillId="0" borderId="7" xfId="0" applyNumberFormat="1" applyBorder="1"/>
    <xf numFmtId="165" fontId="0" fillId="0" borderId="11" xfId="0" applyNumberFormat="1" applyBorder="1"/>
    <xf numFmtId="165" fontId="0" fillId="0" borderId="11" xfId="0" applyNumberFormat="1" applyFill="1" applyBorder="1"/>
    <xf numFmtId="165" fontId="0" fillId="0" borderId="12" xfId="0" applyNumberFormat="1" applyBorder="1"/>
    <xf numFmtId="0" fontId="0" fillId="0" borderId="1" xfId="0" applyBorder="1"/>
    <xf numFmtId="0" fontId="0" fillId="0" borderId="10" xfId="0" applyBorder="1"/>
    <xf numFmtId="0" fontId="0" fillId="0" borderId="1" xfId="0" applyFill="1" applyBorder="1"/>
    <xf numFmtId="1" fontId="0" fillId="0" borderId="9" xfId="0" applyNumberFormat="1" applyBorder="1"/>
    <xf numFmtId="1" fontId="0" fillId="0" borderId="7" xfId="0" applyNumberFormat="1" applyBorder="1"/>
    <xf numFmtId="0" fontId="5" fillId="3" borderId="14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vertical="center" wrapText="1"/>
    </xf>
    <xf numFmtId="0" fontId="0" fillId="0" borderId="8" xfId="0" applyBorder="1"/>
    <xf numFmtId="0" fontId="2" fillId="6" borderId="8" xfId="0" applyFont="1" applyFill="1" applyBorder="1"/>
    <xf numFmtId="4" fontId="1" fillId="4" borderId="15" xfId="0" applyNumberFormat="1" applyFont="1" applyFill="1" applyBorder="1" applyAlignment="1">
      <alignment horizontal="center" vertical="center"/>
    </xf>
    <xf numFmtId="4" fontId="6" fillId="5" borderId="8" xfId="0" applyNumberFormat="1" applyFont="1" applyFill="1" applyBorder="1" applyAlignment="1">
      <alignment vertical="center"/>
    </xf>
    <xf numFmtId="4" fontId="1" fillId="4" borderId="16" xfId="0" applyNumberFormat="1" applyFont="1" applyFill="1" applyBorder="1" applyAlignment="1">
      <alignment horizontal="center" vertical="center"/>
    </xf>
    <xf numFmtId="0" fontId="0" fillId="6" borderId="8" xfId="0" applyFill="1" applyBorder="1"/>
    <xf numFmtId="4" fontId="6" fillId="0" borderId="8" xfId="0" applyNumberFormat="1" applyFont="1" applyFill="1" applyBorder="1" applyAlignment="1">
      <alignment vertical="center"/>
    </xf>
    <xf numFmtId="0" fontId="1" fillId="16" borderId="0" xfId="0" applyFont="1" applyFill="1" applyAlignment="1">
      <alignment vertical="center"/>
    </xf>
    <xf numFmtId="4" fontId="1" fillId="16" borderId="0" xfId="0" applyNumberFormat="1" applyFont="1" applyFill="1" applyAlignment="1">
      <alignment vertical="center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1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14" fontId="13" fillId="0" borderId="0" xfId="0" applyNumberFormat="1" applyFont="1"/>
    <xf numFmtId="2" fontId="13" fillId="0" borderId="0" xfId="0" applyNumberFormat="1" applyFont="1"/>
    <xf numFmtId="0" fontId="13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center"/>
    </xf>
    <xf numFmtId="0" fontId="0" fillId="19" borderId="0" xfId="0" applyFill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8" xfId="0" applyFont="1" applyFill="1" applyBorder="1"/>
    <xf numFmtId="0" fontId="14" fillId="6" borderId="8" xfId="0" applyFont="1" applyFill="1" applyBorder="1"/>
    <xf numFmtId="0" fontId="14" fillId="7" borderId="8" xfId="0" applyFont="1" applyFill="1" applyBorder="1"/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24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PREVISÃO DE SALDO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Balanço!$S$3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-0.11656937758880918"/>
                  <c:y val="-0.38516316472080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strRef>
              <c:f>Balanço!$R$4:$R$9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xVal>
          <c:yVal>
            <c:numRef>
              <c:f>Balanço!$S$4:$S$9</c:f>
              <c:numCache>
                <c:formatCode>General</c:formatCode>
                <c:ptCount val="6"/>
                <c:pt idx="0">
                  <c:v>16330.060000000001</c:v>
                </c:pt>
                <c:pt idx="1">
                  <c:v>15065.62</c:v>
                </c:pt>
                <c:pt idx="2">
                  <c:v>10696.35</c:v>
                </c:pt>
                <c:pt idx="3">
                  <c:v>7150.0100000000011</c:v>
                </c:pt>
                <c:pt idx="4">
                  <c:v>6053.07</c:v>
                </c:pt>
                <c:pt idx="5">
                  <c:v>5874.24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D641-B815-9A1A494E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552720"/>
        <c:axId val="775554400"/>
      </c:scatterChart>
      <c:valAx>
        <c:axId val="7755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5554400"/>
        <c:crosses val="autoZero"/>
        <c:crossBetween val="midCat"/>
      </c:valAx>
      <c:valAx>
        <c:axId val="7755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7555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DESPESAS POR CENTRO DE CUSTO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'GRÁFICOS - CC'!$E$1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7C7-124F-8017-E27A11027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C7-124F-8017-E27A11027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C7-124F-8017-E27A1102787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C7-124F-8017-E27A1102787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7C7-124F-8017-E27A1102787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7C7-124F-8017-E27A1102787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7C7-124F-8017-E27A1102787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7C7-124F-8017-E27A1102787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7C7-124F-8017-E27A1102787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7C7-124F-8017-E27A1102787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7C7-124F-8017-E27A11027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- CC'!$A$2:$A$12</c:f>
              <c:strCache>
                <c:ptCount val="11"/>
                <c:pt idx="0">
                  <c:v>BAR</c:v>
                </c:pt>
                <c:pt idx="1">
                  <c:v>ENCARGOS C/ COLABORADORES</c:v>
                </c:pt>
                <c:pt idx="2">
                  <c:v>ENCARGOS C/ INSTALAÇÕES</c:v>
                </c:pt>
                <c:pt idx="3">
                  <c:v>EQUIPAMENTOS</c:v>
                </c:pt>
                <c:pt idx="4">
                  <c:v>NOITE DAS CAMÉLIAS</c:v>
                </c:pt>
                <c:pt idx="5">
                  <c:v>RECEITA ATIVIDADES CONTRATADAS</c:v>
                </c:pt>
                <c:pt idx="6">
                  <c:v>RENDA RESTAURANTE</c:v>
                </c:pt>
                <c:pt idx="7">
                  <c:v>SÓCIOS</c:v>
                </c:pt>
                <c:pt idx="8">
                  <c:v>TEATRO UNIÃO</c:v>
                </c:pt>
                <c:pt idx="9">
                  <c:v>ATIVIDADES DIVERSAS</c:v>
                </c:pt>
                <c:pt idx="10">
                  <c:v>ANIVERSÁRIO SUS</c:v>
                </c:pt>
              </c:strCache>
            </c:strRef>
          </c:cat>
          <c:val>
            <c:numRef>
              <c:f>'GRÁFICOS - CC'!$E$2:$E$12</c:f>
              <c:numCache>
                <c:formatCode>0</c:formatCode>
                <c:ptCount val="11"/>
                <c:pt idx="0">
                  <c:v>7.1761933367219628</c:v>
                </c:pt>
                <c:pt idx="1">
                  <c:v>2.69186807361638</c:v>
                </c:pt>
                <c:pt idx="2">
                  <c:v>56.608830373513591</c:v>
                </c:pt>
                <c:pt idx="3">
                  <c:v>3.3914486217199533</c:v>
                </c:pt>
                <c:pt idx="4">
                  <c:v>17.888564072563174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8.9527826723035346</c:v>
                </c:pt>
                <c:pt idx="9">
                  <c:v>1.4907064072127243</c:v>
                </c:pt>
                <c:pt idx="10">
                  <c:v>1.7996064423486866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C-4A48-BF44-32F7D3AB8E8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5391185609762"/>
          <c:y val="7.7797820464502551E-2"/>
          <c:w val="0.25613770036704814"/>
          <c:h val="0.83892632538033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SALDO MENSAL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 panose="020F0502020204030204"/>
            </a:rPr>
            <a:t>SALDO MENSAL</a:t>
          </a:r>
        </a:p>
      </cx:txPr>
    </cx:title>
    <cx:plotArea>
      <cx:plotAreaRegion>
        <cx:series layoutId="clusteredColumn" uniqueId="{380460C3-FD5F-1C4A-85CA-5E010BB172BD}" formatIdx="0">
          <cx:tx>
            <cx:txData>
              <cx:f>_xlchart.v1.1</cx:f>
              <cx:v>TOTAL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/>
    </cs:fontRef>
    <cs:defRPr sz="9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957381</xdr:colOff>
      <xdr:row>0</xdr:row>
      <xdr:rowOff>78153</xdr:rowOff>
    </xdr:from>
    <xdr:to>
      <xdr:col>13</xdr:col>
      <xdr:colOff>958038</xdr:colOff>
      <xdr:row>1</xdr:row>
      <xdr:rowOff>293077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28D182-7996-4249-B9D7-26D6AE02B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200"/>
        <a:stretch>
          <a:fillRect/>
        </a:stretch>
      </xdr:blipFill>
      <xdr:spPr bwMode="auto">
        <a:xfrm>
          <a:off x="17037535" y="78153"/>
          <a:ext cx="1114349" cy="9573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50798</xdr:colOff>
      <xdr:row>1</xdr:row>
      <xdr:rowOff>355598</xdr:rowOff>
    </xdr:from>
    <xdr:to>
      <xdr:col>25</xdr:col>
      <xdr:colOff>491065</xdr:colOff>
      <xdr:row>14</xdr:row>
      <xdr:rowOff>220133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CBF3886-30E7-2841-BD73-945ADBECAF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440898" y="1092198"/>
              <a:ext cx="5685367" cy="3141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19</xdr:col>
      <xdr:colOff>33864</xdr:colOff>
      <xdr:row>15</xdr:row>
      <xdr:rowOff>33864</xdr:rowOff>
    </xdr:from>
    <xdr:to>
      <xdr:col>25</xdr:col>
      <xdr:colOff>474131</xdr:colOff>
      <xdr:row>28</xdr:row>
      <xdr:rowOff>16932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26F4C1-C7E5-2A4E-9985-42461E8E5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92029</xdr:colOff>
      <xdr:row>0</xdr:row>
      <xdr:rowOff>147247</xdr:rowOff>
    </xdr:from>
    <xdr:to>
      <xdr:col>18</xdr:col>
      <xdr:colOff>404928</xdr:colOff>
      <xdr:row>32</xdr:row>
      <xdr:rowOff>36813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B89EC7-5F11-314F-B544-BFBAA74D5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3FE-63AC-6444-A596-73EB92A11CDA}">
  <dimension ref="A1:S73"/>
  <sheetViews>
    <sheetView topLeftCell="A48" zoomScale="50" zoomScaleNormal="50" workbookViewId="0">
      <selection activeCell="H9" sqref="H9"/>
    </sheetView>
  </sheetViews>
  <sheetFormatPr baseColWidth="10" defaultRowHeight="16"/>
  <cols>
    <col min="1" max="1" width="46.33203125" customWidth="1"/>
    <col min="2" max="2" width="16.6640625" customWidth="1"/>
    <col min="3" max="3" width="14.83203125" customWidth="1"/>
    <col min="4" max="4" width="14.5" customWidth="1"/>
    <col min="5" max="9" width="14.83203125" customWidth="1"/>
    <col min="10" max="11" width="14.6640625" customWidth="1"/>
    <col min="12" max="12" width="14.83203125" customWidth="1"/>
    <col min="13" max="14" width="14.5" customWidth="1"/>
    <col min="21" max="21" width="14.6640625" customWidth="1"/>
  </cols>
  <sheetData>
    <row r="1" spans="1:19" ht="58">
      <c r="A1" s="97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9"/>
    </row>
    <row r="2" spans="1:19" ht="29" thickBot="1">
      <c r="A2" s="100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2"/>
    </row>
    <row r="3" spans="1:19" ht="19">
      <c r="A3" s="76" t="s">
        <v>2</v>
      </c>
      <c r="B3" s="82" t="s">
        <v>3</v>
      </c>
      <c r="C3" s="82" t="s">
        <v>4</v>
      </c>
      <c r="D3" s="82" t="s">
        <v>5</v>
      </c>
      <c r="E3" s="82" t="s">
        <v>6</v>
      </c>
      <c r="F3" s="82" t="s">
        <v>7</v>
      </c>
      <c r="G3" s="82" t="s">
        <v>8</v>
      </c>
      <c r="H3" s="82" t="s">
        <v>9</v>
      </c>
      <c r="I3" s="82" t="s">
        <v>10</v>
      </c>
      <c r="J3" s="82" t="s">
        <v>11</v>
      </c>
      <c r="K3" s="82" t="s">
        <v>12</v>
      </c>
      <c r="L3" s="82" t="s">
        <v>13</v>
      </c>
      <c r="M3" s="82" t="s">
        <v>14</v>
      </c>
      <c r="N3" s="80" t="s">
        <v>15</v>
      </c>
      <c r="Q3" s="88" t="s">
        <v>280</v>
      </c>
      <c r="R3" s="88" t="s">
        <v>279</v>
      </c>
      <c r="S3" s="87" t="s">
        <v>15</v>
      </c>
    </row>
    <row r="4" spans="1:19" ht="20">
      <c r="A4" s="77" t="str">
        <f>Despesas_Receitas!N12</f>
        <v>ENCARGOS C/ INSTALAÇÕES</v>
      </c>
      <c r="B4" s="81">
        <f>SUM(B5:B23)</f>
        <v>-702.70999999999992</v>
      </c>
      <c r="C4" s="81">
        <f t="shared" ref="C4:M4" si="0">SUM(C5:C23)</f>
        <v>-748.84</v>
      </c>
      <c r="D4" s="81">
        <f t="shared" si="0"/>
        <v>-1638.46</v>
      </c>
      <c r="E4" s="81">
        <f t="shared" si="0"/>
        <v>-2406.52</v>
      </c>
      <c r="F4" s="81">
        <f t="shared" si="0"/>
        <v>-802.53000000000009</v>
      </c>
      <c r="G4" s="81">
        <f t="shared" si="0"/>
        <v>-178.83</v>
      </c>
      <c r="H4" s="81">
        <f t="shared" si="0"/>
        <v>0</v>
      </c>
      <c r="I4" s="81">
        <f t="shared" si="0"/>
        <v>0</v>
      </c>
      <c r="J4" s="81">
        <f t="shared" si="0"/>
        <v>0</v>
      </c>
      <c r="K4" s="81">
        <f t="shared" si="0"/>
        <v>0</v>
      </c>
      <c r="L4" s="81">
        <f t="shared" si="0"/>
        <v>0</v>
      </c>
      <c r="M4" s="81">
        <f t="shared" si="0"/>
        <v>0</v>
      </c>
      <c r="N4" s="81">
        <f>SUM(B4:M4)</f>
        <v>-6477.89</v>
      </c>
      <c r="Q4" s="78">
        <v>-800.92999999999984</v>
      </c>
      <c r="R4" s="78" t="s">
        <v>3</v>
      </c>
      <c r="S4" s="78">
        <f>Despesas_Receitas!F$4+Q4</f>
        <v>16330.060000000001</v>
      </c>
    </row>
    <row r="5" spans="1:19" ht="19">
      <c r="A5" s="78" t="str">
        <f>Despesas_Receitas!O12</f>
        <v>CONSUMO ÁGUA (SMAS)</v>
      </c>
      <c r="B5" s="78">
        <f>SUM(SUMIFS(Despesas_Receitas!E:E,Despesas_Receitas!H:H,"ENCARGOS_C__INSTALAÇÕES",Despesas_Receitas!I:I,A5,Despesas_Receitas!C:C,"&gt;=01/01/2019",Despesas_Receitas!C:C,"&lt;=31/01/2019"))</f>
        <v>-18.23</v>
      </c>
      <c r="C5" s="78">
        <f>SUM(SUMIFS(Despesas_Receitas!E:E,Despesas_Receitas!H:H,"ENCARGOS_C__INSTALAÇÕES",Despesas_Receitas!I:I,A5,Despesas_Receitas!C:C,"&gt;=01/02/2019",Despesas_Receitas!C:C,"&lt;=28/02/2019"))</f>
        <v>-18.489999999999998</v>
      </c>
      <c r="D5" s="78">
        <f>SUM(SUMIFS(Despesas_Receitas!E:E,Despesas_Receitas!H:H,"ENCARGOS_C__INSTALAÇÕES",Despesas_Receitas!I:I,A5,Despesas_Receitas!C:C,"&gt;=01/03/2019",Despesas_Receitas!C:C,"&lt;=31/03/2019"))</f>
        <v>-16.82</v>
      </c>
      <c r="E5" s="78">
        <f>SUM(SUMIFS(Despesas_Receitas!E:E,Despesas_Receitas!H:H,"ENCARGOS_C__INSTALAÇÕES",Despesas_Receitas!I:I,A5,Despesas_Receitas!C:C,"&gt;=01/04/2019",Despesas_Receitas!C:C,"&lt;=30/04/2019"))</f>
        <v>-8.44</v>
      </c>
      <c r="F5" s="78">
        <f>SUM(SUMIFS(Despesas_Receitas!E:E,Despesas_Receitas!H:H,"ENCARGOS_C__INSTALAÇÕES",Despesas_Receitas!I:I,A5,Despesas_Receitas!C:C,"&gt;=01/05/2019",Despesas_Receitas!C:C,"&lt;=31/05/2019"))</f>
        <v>-17.04</v>
      </c>
      <c r="G5" s="78">
        <f>SUM(SUMIFS(Despesas_Receitas!E:E,Despesas_Receitas!H:H,"ENCARGOS_C__INSTALAÇÕES",Despesas_Receitas!I:I,A5,Despesas_Receitas!C:C,"&gt;=01/06/2019",Despesas_Receitas!C:C,"&lt;=30/06/2019"))</f>
        <v>0</v>
      </c>
      <c r="H5" s="78">
        <f>SUM(SUMIFS(Despesas_Receitas!E:E,Despesas_Receitas!H:H,"ENCARGOS_C__INSTALAÇÕES",Despesas_Receitas!I:I,A5,Despesas_Receitas!C:C,"&gt;=01/07/2019",Despesas_Receitas!C:C,"&lt;=31/07/2019"))</f>
        <v>0</v>
      </c>
      <c r="I5" s="78">
        <f>SUM(SUMIFS(Despesas_Receitas!E:E,Despesas_Receitas!H:H,"ENCARGOS_C__INSTALAÇÕES",Despesas_Receitas!I:I,A5,Despesas_Receitas!C:C,"&gt;=01/08/2019",Despesas_Receitas!C:C,"&lt;=31/08/2019"))</f>
        <v>0</v>
      </c>
      <c r="J5" s="78">
        <f>SUM(SUMIFS(Despesas_Receitas!E:E,Despesas_Receitas!H:H,"ENCARGOS_C__INSTALAÇÕES",Despesas_Receitas!I:I,A5,Despesas_Receitas!C:C,"&gt;=01/09/2019",Despesas_Receitas!C:C,"&lt;=30/09/2019"))</f>
        <v>0</v>
      </c>
      <c r="K5" s="78">
        <f>SUM(SUMIFS(Despesas_Receitas!E:E,Despesas_Receitas!H:H,"ENCARGOS_C__INSTALAÇÕES",Despesas_Receitas!I:I,A5,Despesas_Receitas!C:C,"&gt;=01/10/2019",Despesas_Receitas!C:C,"&lt;=31/10/2019"))</f>
        <v>0</v>
      </c>
      <c r="L5" s="78">
        <f>SUM(SUMIFS(Despesas_Receitas!E:E,Despesas_Receitas!H:H,"ENCARGOS_C__INSTALAÇÕES",Despesas_Receitas!I:I,A5,Despesas_Receitas!C:C,"&gt;=01/11/2019",Despesas_Receitas!C:C,"&lt;=30/11/2019"))</f>
        <v>0</v>
      </c>
      <c r="M5" s="78">
        <f>SUM(SUMIFS(Despesas_Receitas!E:E,Despesas_Receitas!H:H,"ENCARGOS_C__INSTALAÇÕES",Despesas_Receitas!I:I,A5,Despesas_Receitas!C:C,"&gt;=01/12/2019",Despesas_Receitas!C:C,"&lt;=31/12/2019"))</f>
        <v>0</v>
      </c>
      <c r="N5" s="84">
        <f t="shared" ref="N5:N68" si="1">SUM(B5:M5)</f>
        <v>-79.02</v>
      </c>
      <c r="Q5" s="78">
        <v>-1264.44</v>
      </c>
      <c r="R5" s="78" t="s">
        <v>4</v>
      </c>
      <c r="S5" s="78">
        <f>Despesas_Receitas!F$4+Q5+Q4</f>
        <v>15065.62</v>
      </c>
    </row>
    <row r="6" spans="1:19" ht="19">
      <c r="A6" s="78" t="str">
        <f>Despesas_Receitas!O13</f>
        <v>CONSUMO ELECTRICIDADE - SUS</v>
      </c>
      <c r="B6" s="78">
        <f>SUM(SUMIFS(Despesas_Receitas!E:E,Despesas_Receitas!H:H,"ENCARGOS_C__INSTALAÇÕES",Despesas_Receitas!I:I,A6,Despesas_Receitas!C:C,"&gt;=01/01/2019",Despesas_Receitas!C:C,"&lt;=31/01/2019"))</f>
        <v>-246.48</v>
      </c>
      <c r="C6" s="78">
        <f>SUM(SUMIFS(Despesas_Receitas!E:E,Despesas_Receitas!H:H,"ENCARGOS_C__INSTALAÇÕES",Despesas_Receitas!I:I,A6,Despesas_Receitas!C:C,"&gt;=01/02/2019",Despesas_Receitas!C:C,"&lt;=28/02/2019"))</f>
        <v>0</v>
      </c>
      <c r="D6" s="78">
        <f>SUM(SUMIFS(Despesas_Receitas!E:E,Despesas_Receitas!H:H,"ENCARGOS_C__INSTALAÇÕES",Despesas_Receitas!I:I,A6,Despesas_Receitas!C:C,"&gt;=01/03/2019",Despesas_Receitas!C:C,"&lt;=31/03/2019"))</f>
        <v>-351.51</v>
      </c>
      <c r="E6" s="78">
        <f>SUM(SUMIFS(Despesas_Receitas!E:E,Despesas_Receitas!H:H,"ENCARGOS_C__INSTALAÇÕES",Despesas_Receitas!I:I,A6,Despesas_Receitas!C:C,"&gt;=01/04/2019",Despesas_Receitas!C:C,"&lt;=30/04/2019"))</f>
        <v>0</v>
      </c>
      <c r="F6" s="78">
        <f>SUM(SUMIFS(Despesas_Receitas!E:E,Despesas_Receitas!H:H,"ENCARGOS_C__INSTALAÇÕES",Despesas_Receitas!I:I,A6,Despesas_Receitas!C:C,"&gt;=01/05/2019",Despesas_Receitas!C:C,"&lt;=31/05/2019"))</f>
        <v>-366.15</v>
      </c>
      <c r="G6" s="78">
        <f>SUM(SUMIFS(Despesas_Receitas!E:E,Despesas_Receitas!H:H,"ENCARGOS_C__INSTALAÇÕES",Despesas_Receitas!I:I,A6,Despesas_Receitas!C:C,"&gt;=01/06/2019",Despesas_Receitas!C:C,"&lt;=30/06/2019"))</f>
        <v>0</v>
      </c>
      <c r="H6" s="78">
        <f>SUM(SUMIFS(Despesas_Receitas!E:E,Despesas_Receitas!H:H,"ENCARGOS_C__INSTALAÇÕES",Despesas_Receitas!I:I,A6,Despesas_Receitas!C:C,"&gt;=01/07/2019",Despesas_Receitas!C:C,"&lt;=31/07/2019"))</f>
        <v>0</v>
      </c>
      <c r="I6" s="78">
        <f>SUM(SUMIFS(Despesas_Receitas!E:E,Despesas_Receitas!H:H,"ENCARGOS_C__INSTALAÇÕES",Despesas_Receitas!I:I,A6,Despesas_Receitas!C:C,"&gt;=01/08/2019",Despesas_Receitas!C:C,"&lt;=31/08/2019"))</f>
        <v>0</v>
      </c>
      <c r="J6" s="78">
        <f>SUM(SUMIFS(Despesas_Receitas!E:E,Despesas_Receitas!H:H,"ENCARGOS_C__INSTALAÇÕES",Despesas_Receitas!I:I,A6,Despesas_Receitas!C:C,"&gt;=01/09/2019",Despesas_Receitas!C:C,"&lt;=30/09/2019"))</f>
        <v>0</v>
      </c>
      <c r="K6" s="78">
        <f>SUM(SUMIFS(Despesas_Receitas!E:E,Despesas_Receitas!H:H,"ENCARGOS_C__INSTALAÇÕES",Despesas_Receitas!I:I,A6,Despesas_Receitas!C:C,"&gt;=01/10/2019",Despesas_Receitas!C:C,"&lt;=31/10/2019"))</f>
        <v>0</v>
      </c>
      <c r="L6" s="78">
        <f>SUM(SUMIFS(Despesas_Receitas!E:E,Despesas_Receitas!H:H,"ENCARGOS_C__INSTALAÇÕES",Despesas_Receitas!I:I,A6,Despesas_Receitas!C:C,"&gt;=01/11/2019",Despesas_Receitas!C:C,"&lt;=30/11/2019"))</f>
        <v>0</v>
      </c>
      <c r="M6" s="78">
        <f>SUM(SUMIFS(Despesas_Receitas!E:E,Despesas_Receitas!H:H,"ENCARGOS_C__INSTALAÇÕES",Despesas_Receitas!I:I,A6,Despesas_Receitas!C:C,"&gt;=01/12/2019",Despesas_Receitas!C:C,"&lt;=31/12/2019"))</f>
        <v>0</v>
      </c>
      <c r="N6" s="84">
        <f t="shared" si="1"/>
        <v>-964.14</v>
      </c>
      <c r="Q6" s="78">
        <v>-4369.2699999999995</v>
      </c>
      <c r="R6" s="78" t="s">
        <v>5</v>
      </c>
      <c r="S6" s="78">
        <f>Despesas_Receitas!F$4+Q6+Q5+Q4</f>
        <v>10696.35</v>
      </c>
    </row>
    <row r="7" spans="1:19" ht="19">
      <c r="A7" s="78" t="str">
        <f>Despesas_Receitas!O14</f>
        <v>CONSUMO ELECTRICIDADE - JESÉLIA</v>
      </c>
      <c r="B7" s="78">
        <f>SUM(SUMIFS(Despesas_Receitas!E:E,Despesas_Receitas!H:H,"ENCARGOS_C__INSTALAÇÕES",Despesas_Receitas!I:I,A7,Despesas_Receitas!C:C,"&gt;=01/01/2019",Despesas_Receitas!C:C,"&lt;=31/01/2019"))</f>
        <v>-35.950000000000003</v>
      </c>
      <c r="C7" s="78">
        <f>SUM(SUMIFS(Despesas_Receitas!E:E,Despesas_Receitas!H:H,"ENCARGOS_C__INSTALAÇÕES",Despesas_Receitas!I:I,A7,Despesas_Receitas!C:C,"&gt;=01/02/2019",Despesas_Receitas!C:C,"&lt;=28/02/2019"))</f>
        <v>0</v>
      </c>
      <c r="D7" s="78">
        <f>SUM(SUMIFS(Despesas_Receitas!E:E,Despesas_Receitas!H:H,"ENCARGOS_C__INSTALAÇÕES",Despesas_Receitas!I:I,A7,Despesas_Receitas!C:C,"&gt;=01/03/2019",Despesas_Receitas!C:C,"&lt;=31/03/2019"))</f>
        <v>-35.67</v>
      </c>
      <c r="E7" s="78">
        <f>SUM(SUMIFS(Despesas_Receitas!E:E,Despesas_Receitas!H:H,"ENCARGOS_C__INSTALAÇÕES",Despesas_Receitas!I:I,A7,Despesas_Receitas!C:C,"&gt;=01/04/2019",Despesas_Receitas!C:C,"&lt;=30/04/2019"))</f>
        <v>0</v>
      </c>
      <c r="F7" s="78">
        <f>SUM(SUMIFS(Despesas_Receitas!E:E,Despesas_Receitas!H:H,"ENCARGOS_C__INSTALAÇÕES",Despesas_Receitas!I:I,A7,Despesas_Receitas!C:C,"&gt;=01/05/2019",Despesas_Receitas!C:C,"&lt;=31/05/2019"))</f>
        <v>-42.17</v>
      </c>
      <c r="G7" s="78">
        <f>SUM(SUMIFS(Despesas_Receitas!E:E,Despesas_Receitas!H:H,"ENCARGOS_C__INSTALAÇÕES",Despesas_Receitas!I:I,A7,Despesas_Receitas!C:C,"&gt;=01/06/2019",Despesas_Receitas!C:C,"&lt;=30/06/2019"))</f>
        <v>0</v>
      </c>
      <c r="H7" s="78">
        <f>SUM(SUMIFS(Despesas_Receitas!E:E,Despesas_Receitas!H:H,"ENCARGOS_C__INSTALAÇÕES",Despesas_Receitas!I:I,A7,Despesas_Receitas!C:C,"&gt;=01/07/2019",Despesas_Receitas!C:C,"&lt;=31/07/2019"))</f>
        <v>0</v>
      </c>
      <c r="I7" s="78">
        <f>SUM(SUMIFS(Despesas_Receitas!E:E,Despesas_Receitas!H:H,"ENCARGOS_C__INSTALAÇÕES",Despesas_Receitas!I:I,A7,Despesas_Receitas!C:C,"&gt;=01/08/2019",Despesas_Receitas!C:C,"&lt;=31/08/2019"))</f>
        <v>0</v>
      </c>
      <c r="J7" s="78">
        <f>SUM(SUMIFS(Despesas_Receitas!E:E,Despesas_Receitas!H:H,"ENCARGOS_C__INSTALAÇÕES",Despesas_Receitas!I:I,A7,Despesas_Receitas!C:C,"&gt;=01/09/2019",Despesas_Receitas!C:C,"&lt;=30/09/2019"))</f>
        <v>0</v>
      </c>
      <c r="K7" s="78">
        <f>SUM(SUMIFS(Despesas_Receitas!E:E,Despesas_Receitas!H:H,"ENCARGOS_C__INSTALAÇÕES",Despesas_Receitas!I:I,A7,Despesas_Receitas!C:C,"&gt;=01/10/2019",Despesas_Receitas!C:C,"&lt;=31/10/2019"))</f>
        <v>0</v>
      </c>
      <c r="L7" s="78">
        <f>SUM(SUMIFS(Despesas_Receitas!E:E,Despesas_Receitas!H:H,"ENCARGOS_C__INSTALAÇÕES",Despesas_Receitas!I:I,A7,Despesas_Receitas!C:C,"&gt;=01/11/2019",Despesas_Receitas!C:C,"&lt;=30/11/2019"))</f>
        <v>0</v>
      </c>
      <c r="M7" s="78">
        <f>SUM(SUMIFS(Despesas_Receitas!E:E,Despesas_Receitas!H:H,"ENCARGOS_C__INSTALAÇÕES",Despesas_Receitas!I:I,A7,Despesas_Receitas!C:C,"&gt;=01/12/2019",Despesas_Receitas!C:C,"&lt;=31/12/2019"))</f>
        <v>0</v>
      </c>
      <c r="N7" s="84">
        <f t="shared" si="1"/>
        <v>-113.79</v>
      </c>
      <c r="Q7" s="78">
        <v>-3546.3399999999997</v>
      </c>
      <c r="R7" s="78" t="s">
        <v>6</v>
      </c>
      <c r="S7" s="78">
        <f>Despesas_Receitas!F$4+Q7+Q4+Q5+Q6</f>
        <v>7150.0100000000011</v>
      </c>
    </row>
    <row r="8" spans="1:19" ht="19">
      <c r="A8" s="78" t="str">
        <f>Despesas_Receitas!O15</f>
        <v>GÁS BUTANO</v>
      </c>
      <c r="B8" s="78">
        <f>SUM(SUMIFS(Despesas_Receitas!E:E,Despesas_Receitas!H:H,"ENCARGOS_C__INSTALAÇÕES",Despesas_Receitas!I:I,A8,Despesas_Receitas!C:C,"&gt;=01/01/2019",Despesas_Receitas!C:C,"&lt;=31/01/2019"))</f>
        <v>0</v>
      </c>
      <c r="C8" s="78">
        <f>SUM(SUMIFS(Despesas_Receitas!E:E,Despesas_Receitas!H:H,"ENCARGOS_C__INSTALAÇÕES",Despesas_Receitas!I:I,A8,Despesas_Receitas!C:C,"&gt;=01/02/2019",Despesas_Receitas!C:C,"&lt;=28/02/2019"))</f>
        <v>0</v>
      </c>
      <c r="D8" s="78">
        <f>SUM(SUMIFS(Despesas_Receitas!E:E,Despesas_Receitas!H:H,"ENCARGOS_C__INSTALAÇÕES",Despesas_Receitas!I:I,A8,Despesas_Receitas!C:C,"&gt;=01/03/2019",Despesas_Receitas!C:C,"&lt;=31/03/2019"))</f>
        <v>-78</v>
      </c>
      <c r="E8" s="78">
        <f>SUM(SUMIFS(Despesas_Receitas!E:E,Despesas_Receitas!H:H,"ENCARGOS_C__INSTALAÇÕES",Despesas_Receitas!I:I,A8,Despesas_Receitas!C:C,"&gt;=01/04/2019",Despesas_Receitas!C:C,"&lt;=30/04/2019"))</f>
        <v>0</v>
      </c>
      <c r="F8" s="78">
        <f>SUM(SUMIFS(Despesas_Receitas!E:E,Despesas_Receitas!H:H,"ENCARGOS_C__INSTALAÇÕES",Despesas_Receitas!I:I,A8,Despesas_Receitas!C:C,"&gt;=01/05/2019",Despesas_Receitas!C:C,"&lt;=31/05/2019"))</f>
        <v>0</v>
      </c>
      <c r="G8" s="78">
        <f>SUM(SUMIFS(Despesas_Receitas!E:E,Despesas_Receitas!H:H,"ENCARGOS_C__INSTALAÇÕES",Despesas_Receitas!I:I,A8,Despesas_Receitas!C:C,"&gt;=01/06/2019",Despesas_Receitas!C:C,"&lt;=30/06/2019"))</f>
        <v>0</v>
      </c>
      <c r="H8" s="78">
        <f>SUM(SUMIFS(Despesas_Receitas!E:E,Despesas_Receitas!H:H,"ENCARGOS_C__INSTALAÇÕES",Despesas_Receitas!I:I,A8,Despesas_Receitas!C:C,"&gt;=01/07/2019",Despesas_Receitas!C:C,"&lt;=31/07/2019"))</f>
        <v>0</v>
      </c>
      <c r="I8" s="78">
        <f>SUM(SUMIFS(Despesas_Receitas!E:E,Despesas_Receitas!H:H,"ENCARGOS_C__INSTALAÇÕES",Despesas_Receitas!I:I,A8,Despesas_Receitas!C:C,"&gt;=01/08/2019",Despesas_Receitas!C:C,"&lt;=31/08/2019"))</f>
        <v>0</v>
      </c>
      <c r="J8" s="78">
        <f>SUM(SUMIFS(Despesas_Receitas!E:E,Despesas_Receitas!H:H,"ENCARGOS_C__INSTALAÇÕES",Despesas_Receitas!I:I,A8,Despesas_Receitas!C:C,"&gt;=01/09/2019",Despesas_Receitas!C:C,"&lt;=30/09/2019"))</f>
        <v>0</v>
      </c>
      <c r="K8" s="78">
        <f>SUM(SUMIFS(Despesas_Receitas!E:E,Despesas_Receitas!H:H,"ENCARGOS_C__INSTALAÇÕES",Despesas_Receitas!I:I,A8,Despesas_Receitas!C:C,"&gt;=01/10/2019",Despesas_Receitas!C:C,"&lt;=31/10/2019"))</f>
        <v>0</v>
      </c>
      <c r="L8" s="78">
        <f>SUM(SUMIFS(Despesas_Receitas!E:E,Despesas_Receitas!H:H,"ENCARGOS_C__INSTALAÇÕES",Despesas_Receitas!I:I,A8,Despesas_Receitas!C:C,"&gt;=01/11/2019",Despesas_Receitas!C:C,"&lt;=30/11/2019"))</f>
        <v>0</v>
      </c>
      <c r="M8" s="78">
        <f>SUM(SUMIFS(Despesas_Receitas!E:E,Despesas_Receitas!H:H,"ENCARGOS_C__INSTALAÇÕES",Despesas_Receitas!I:I,A8,Despesas_Receitas!C:C,"&gt;=01/12/2019",Despesas_Receitas!C:C,"&lt;=31/12/2019"))</f>
        <v>0</v>
      </c>
      <c r="N8" s="84">
        <f t="shared" si="1"/>
        <v>-78</v>
      </c>
      <c r="Q8" s="78">
        <v>-1096.94</v>
      </c>
      <c r="R8" s="78" t="s">
        <v>7</v>
      </c>
      <c r="S8" s="78">
        <f>Despesas_Receitas!F$4+Q8+Q4+Q5+Q6+Q7</f>
        <v>6053.07</v>
      </c>
    </row>
    <row r="9" spans="1:19" ht="19">
      <c r="A9" s="78" t="str">
        <f>Despesas_Receitas!O16</f>
        <v>SECURITAS - ALARME</v>
      </c>
      <c r="B9" s="78">
        <f>SUM(SUMIFS(Despesas_Receitas!E:E,Despesas_Receitas!H:H,"ENCARGOS_C__INSTALAÇÕES",Despesas_Receitas!I:I,A9,Despesas_Receitas!C:C,"&gt;=01/01/2019",Despesas_Receitas!C:C,"&lt;=31/01/2019"))</f>
        <v>-49.54</v>
      </c>
      <c r="C9" s="78">
        <f>SUM(SUMIFS(Despesas_Receitas!E:E,Despesas_Receitas!H:H,"ENCARGOS_C__INSTALAÇÕES",Despesas_Receitas!I:I,A9,Despesas_Receitas!C:C,"&gt;=01/02/2019",Despesas_Receitas!C:C,"&lt;=28/02/2019"))</f>
        <v>-49.54</v>
      </c>
      <c r="D9" s="78">
        <f>SUM(SUMIFS(Despesas_Receitas!E:E,Despesas_Receitas!H:H,"ENCARGOS_C__INSTALAÇÕES",Despesas_Receitas!I:I,A9,Despesas_Receitas!C:C,"&gt;=01/03/2019",Despesas_Receitas!C:C,"&lt;=31/03/2019"))</f>
        <v>-49.54</v>
      </c>
      <c r="E9" s="78">
        <f>SUM(SUMIFS(Despesas_Receitas!E:E,Despesas_Receitas!H:H,"ENCARGOS_C__INSTALAÇÕES",Despesas_Receitas!I:I,A9,Despesas_Receitas!C:C,"&gt;=01/04/2019",Despesas_Receitas!C:C,"&lt;=30/04/2019"))</f>
        <v>-49.54</v>
      </c>
      <c r="F9" s="78">
        <f>SUM(SUMIFS(Despesas_Receitas!E:E,Despesas_Receitas!H:H,"ENCARGOS_C__INSTALAÇÕES",Despesas_Receitas!I:I,A9,Despesas_Receitas!C:C,"&gt;=01/05/2019",Despesas_Receitas!C:C,"&lt;=31/05/2019"))</f>
        <v>-49.54</v>
      </c>
      <c r="G9" s="78">
        <f>SUM(SUMIFS(Despesas_Receitas!E:E,Despesas_Receitas!H:H,"ENCARGOS_C__INSTALAÇÕES",Despesas_Receitas!I:I,A9,Despesas_Receitas!C:C,"&gt;=01/06/2019",Despesas_Receitas!C:C,"&lt;=30/06/2019"))</f>
        <v>-49.54</v>
      </c>
      <c r="H9" s="78">
        <f>SUM(SUMIFS(Despesas_Receitas!E:E,Despesas_Receitas!H:H,"ENCARGOS_C__INSTALAÇÕES",Despesas_Receitas!I:I,A9,Despesas_Receitas!C:C,"&gt;=01/07/2019",Despesas_Receitas!C:C,"&lt;=31/07/2019"))</f>
        <v>0</v>
      </c>
      <c r="I9" s="78">
        <f>SUM(SUMIFS(Despesas_Receitas!E:E,Despesas_Receitas!H:H,"ENCARGOS_C__INSTALAÇÕES",Despesas_Receitas!I:I,A9,Despesas_Receitas!C:C,"&gt;=01/08/2019",Despesas_Receitas!C:C,"&lt;=31/08/2019"))</f>
        <v>0</v>
      </c>
      <c r="J9" s="78">
        <f>SUM(SUMIFS(Despesas_Receitas!E:E,Despesas_Receitas!H:H,"ENCARGOS_C__INSTALAÇÕES",Despesas_Receitas!I:I,A9,Despesas_Receitas!C:C,"&gt;=01/09/2019",Despesas_Receitas!C:C,"&lt;=30/09/2019"))</f>
        <v>0</v>
      </c>
      <c r="K9" s="78">
        <f>SUM(SUMIFS(Despesas_Receitas!E:E,Despesas_Receitas!H:H,"ENCARGOS_C__INSTALAÇÕES",Despesas_Receitas!I:I,A9,Despesas_Receitas!C:C,"&gt;=01/10/2019",Despesas_Receitas!C:C,"&lt;=31/10/2019"))</f>
        <v>0</v>
      </c>
      <c r="L9" s="78">
        <f>SUM(SUMIFS(Despesas_Receitas!E:E,Despesas_Receitas!H:H,"ENCARGOS_C__INSTALAÇÕES",Despesas_Receitas!I:I,A9,Despesas_Receitas!C:C,"&gt;=01/11/2019",Despesas_Receitas!C:C,"&lt;=30/11/2019"))</f>
        <v>0</v>
      </c>
      <c r="M9" s="78">
        <f>SUM(SUMIFS(Despesas_Receitas!E:E,Despesas_Receitas!H:H,"ENCARGOS_C__INSTALAÇÕES",Despesas_Receitas!I:I,A9,Despesas_Receitas!C:C,"&gt;=01/12/2019",Despesas_Receitas!C:C,"&lt;=31/12/2019"))</f>
        <v>0</v>
      </c>
      <c r="N9" s="84">
        <f t="shared" si="1"/>
        <v>-297.24</v>
      </c>
      <c r="Q9" s="78">
        <v>-178.83</v>
      </c>
      <c r="R9" s="78" t="s">
        <v>8</v>
      </c>
      <c r="S9" s="78">
        <f>Despesas_Receitas!F$4+Q9+Q4+Q5+Q6+Q7+Q8</f>
        <v>5874.24</v>
      </c>
    </row>
    <row r="10" spans="1:19" ht="19">
      <c r="A10" s="78" t="str">
        <f>Despesas_Receitas!O17</f>
        <v>SEGUROS - FIDELIDADE</v>
      </c>
      <c r="B10" s="78">
        <f>SUM(SUMIFS(Despesas_Receitas!E:E,Despesas_Receitas!H:H,"ENCARGOS_C__INSTALAÇÕES",Despesas_Receitas!I:I,A10,Despesas_Receitas!C:C,"&gt;=01/01/2019",Despesas_Receitas!C:C,"&lt;=31/01/2019"))</f>
        <v>0</v>
      </c>
      <c r="C10" s="78">
        <f>SUM(SUMIFS(Despesas_Receitas!E:E,Despesas_Receitas!H:H,"ENCARGOS_C__INSTALAÇÕES",Despesas_Receitas!I:I,A10,Despesas_Receitas!C:C,"&gt;=01/02/2019",Despesas_Receitas!C:C,"&lt;=28/02/2019"))</f>
        <v>-146.06</v>
      </c>
      <c r="D10" s="78">
        <f>SUM(SUMIFS(Despesas_Receitas!E:E,Despesas_Receitas!H:H,"ENCARGOS_C__INSTALAÇÕES",Despesas_Receitas!I:I,A10,Despesas_Receitas!C:C,"&gt;=01/03/2019",Despesas_Receitas!C:C,"&lt;=31/03/2019"))</f>
        <v>0</v>
      </c>
      <c r="E10" s="78">
        <f>SUM(SUMIFS(Despesas_Receitas!E:E,Despesas_Receitas!H:H,"ENCARGOS_C__INSTALAÇÕES",Despesas_Receitas!I:I,A10,Despesas_Receitas!C:C,"&gt;=01/04/2019",Despesas_Receitas!C:C,"&lt;=30/04/2019"))</f>
        <v>0</v>
      </c>
      <c r="F10" s="78">
        <f>SUM(SUMIFS(Despesas_Receitas!E:E,Despesas_Receitas!H:H,"ENCARGOS_C__INSTALAÇÕES",Despesas_Receitas!I:I,A10,Despesas_Receitas!C:C,"&gt;=01/05/2019",Despesas_Receitas!C:C,"&lt;=31/05/2019"))</f>
        <v>0</v>
      </c>
      <c r="G10" s="78">
        <f>SUM(SUMIFS(Despesas_Receitas!E:E,Despesas_Receitas!H:H,"ENCARGOS_C__INSTALAÇÕES",Despesas_Receitas!I:I,A10,Despesas_Receitas!C:C,"&gt;=01/06/2019",Despesas_Receitas!C:C,"&lt;=30/06/2019"))</f>
        <v>0</v>
      </c>
      <c r="H10" s="78">
        <f>SUM(SUMIFS(Despesas_Receitas!E:E,Despesas_Receitas!H:H,"ENCARGOS_C__INSTALAÇÕES",Despesas_Receitas!I:I,A10,Despesas_Receitas!C:C,"&gt;=01/07/2019",Despesas_Receitas!C:C,"&lt;=31/07/2019"))</f>
        <v>0</v>
      </c>
      <c r="I10" s="78">
        <f>SUM(SUMIFS(Despesas_Receitas!E:E,Despesas_Receitas!H:H,"ENCARGOS_C__INSTALAÇÕES",Despesas_Receitas!I:I,A10,Despesas_Receitas!C:C,"&gt;=01/08/2019",Despesas_Receitas!C:C,"&lt;=31/08/2019"))</f>
        <v>0</v>
      </c>
      <c r="J10" s="78">
        <f>SUM(SUMIFS(Despesas_Receitas!E:E,Despesas_Receitas!H:H,"ENCARGOS_C__INSTALAÇÕES",Despesas_Receitas!I:I,A10,Despesas_Receitas!C:C,"&gt;=01/09/2019",Despesas_Receitas!C:C,"&lt;=30/09/2019"))</f>
        <v>0</v>
      </c>
      <c r="K10" s="78">
        <f>SUM(SUMIFS(Despesas_Receitas!E:E,Despesas_Receitas!H:H,"ENCARGOS_C__INSTALAÇÕES",Despesas_Receitas!I:I,A10,Despesas_Receitas!C:C,"&gt;=01/10/2019",Despesas_Receitas!C:C,"&lt;=31/10/2019"))</f>
        <v>0</v>
      </c>
      <c r="L10" s="78">
        <f>SUM(SUMIFS(Despesas_Receitas!E:E,Despesas_Receitas!H:H,"ENCARGOS_C__INSTALAÇÕES",Despesas_Receitas!I:I,A10,Despesas_Receitas!C:C,"&gt;=01/11/2019",Despesas_Receitas!C:C,"&lt;=30/11/2019"))</f>
        <v>0</v>
      </c>
      <c r="M10" s="78">
        <f>SUM(SUMIFS(Despesas_Receitas!E:E,Despesas_Receitas!H:H,"ENCARGOS_C__INSTALAÇÕES",Despesas_Receitas!I:I,A10,Despesas_Receitas!C:C,"&gt;=01/12/2019",Despesas_Receitas!C:C,"&lt;=31/12/2019"))</f>
        <v>0</v>
      </c>
      <c r="N10" s="84">
        <f t="shared" si="1"/>
        <v>-146.06</v>
      </c>
      <c r="Q10" s="78">
        <v>0</v>
      </c>
      <c r="R10" s="78" t="s">
        <v>9</v>
      </c>
      <c r="S10" s="78">
        <f>Despesas_Receitas!F$4+Q10+Q4+Q5+Q6+Q7+Q8+Q9</f>
        <v>5874.2400000000016</v>
      </c>
    </row>
    <row r="11" spans="1:19" ht="19">
      <c r="A11" s="78" t="str">
        <f>Despesas_Receitas!O18</f>
        <v>MANUTENÇÃO / OBRAS</v>
      </c>
      <c r="B11" s="78">
        <f>SUM(SUMIFS(Despesas_Receitas!E:E,Despesas_Receitas!H:H,"ENCARGOS_C__INSTALAÇÕES",Despesas_Receitas!I:I,A11,Despesas_Receitas!C:C,"&gt;=01/01/2019",Despesas_Receitas!C:C,"&lt;=31/01/2019"))</f>
        <v>0</v>
      </c>
      <c r="C11" s="78">
        <f>SUM(SUMIFS(Despesas_Receitas!E:E,Despesas_Receitas!H:H,"ENCARGOS_C__INSTALAÇÕES",Despesas_Receitas!I:I,A11,Despesas_Receitas!C:C,"&gt;=01/02/2019",Despesas_Receitas!C:C,"&lt;=28/02/2019"))</f>
        <v>-197.81</v>
      </c>
      <c r="D11" s="78">
        <f>SUM(SUMIFS(Despesas_Receitas!E:E,Despesas_Receitas!H:H,"ENCARGOS_C__INSTALAÇÕES",Despesas_Receitas!I:I,A11,Despesas_Receitas!C:C,"&gt;=01/03/2019",Despesas_Receitas!C:C,"&lt;=31/03/2019"))</f>
        <v>-114.69</v>
      </c>
      <c r="E11" s="78">
        <f>SUM(SUMIFS(Despesas_Receitas!E:E,Despesas_Receitas!H:H,"ENCARGOS_C__INSTALAÇÕES",Despesas_Receitas!I:I,A11,Despesas_Receitas!C:C,"&gt;=01/04/2019",Despesas_Receitas!C:C,"&lt;=30/04/2019"))</f>
        <v>-840</v>
      </c>
      <c r="F11" s="78">
        <f>SUM(SUMIFS(Despesas_Receitas!E:E,Despesas_Receitas!H:H,"ENCARGOS_C__INSTALAÇÕES",Despesas_Receitas!I:I,A11,Despesas_Receitas!C:C,"&gt;=01/05/2019",Despesas_Receitas!C:C,"&lt;=31/05/2019"))</f>
        <v>-129.05000000000001</v>
      </c>
      <c r="G11" s="78">
        <f>SUM(SUMIFS(Despesas_Receitas!E:E,Despesas_Receitas!H:H,"ENCARGOS_C__INSTALAÇÕES",Despesas_Receitas!I:I,A11,Despesas_Receitas!C:C,"&gt;=01/06/2019",Despesas_Receitas!C:C,"&lt;=30/06/2019"))</f>
        <v>-35.57</v>
      </c>
      <c r="H11" s="78">
        <f>SUM(SUMIFS(Despesas_Receitas!E:E,Despesas_Receitas!H:H,"ENCARGOS_C__INSTALAÇÕES",Despesas_Receitas!I:I,A11,Despesas_Receitas!C:C,"&gt;=01/07/2019",Despesas_Receitas!C:C,"&lt;=31/07/2019"))</f>
        <v>0</v>
      </c>
      <c r="I11" s="78">
        <f>SUM(SUMIFS(Despesas_Receitas!E:E,Despesas_Receitas!H:H,"ENCARGOS_C__INSTALAÇÕES",Despesas_Receitas!I:I,A11,Despesas_Receitas!C:C,"&gt;=01/08/2019",Despesas_Receitas!C:C,"&lt;=31/08/2019"))</f>
        <v>0</v>
      </c>
      <c r="J11" s="78">
        <f>SUM(SUMIFS(Despesas_Receitas!E:E,Despesas_Receitas!H:H,"ENCARGOS_C__INSTALAÇÕES",Despesas_Receitas!I:I,A11,Despesas_Receitas!C:C,"&gt;=01/09/2019",Despesas_Receitas!C:C,"&lt;=30/09/2019"))</f>
        <v>0</v>
      </c>
      <c r="K11" s="78">
        <f>SUM(SUMIFS(Despesas_Receitas!E:E,Despesas_Receitas!H:H,"ENCARGOS_C__INSTALAÇÕES",Despesas_Receitas!I:I,A11,Despesas_Receitas!C:C,"&gt;=01/10/2019",Despesas_Receitas!C:C,"&lt;=31/10/2019"))</f>
        <v>0</v>
      </c>
      <c r="L11" s="78">
        <f>SUM(SUMIFS(Despesas_Receitas!E:E,Despesas_Receitas!H:H,"ENCARGOS_C__INSTALAÇÕES",Despesas_Receitas!I:I,A11,Despesas_Receitas!C:C,"&gt;=01/11/2019",Despesas_Receitas!C:C,"&lt;=30/11/2019"))</f>
        <v>0</v>
      </c>
      <c r="M11" s="78">
        <f>SUM(SUMIFS(Despesas_Receitas!E:E,Despesas_Receitas!H:H,"ENCARGOS_C__INSTALAÇÕES",Despesas_Receitas!I:I,A11,Despesas_Receitas!C:C,"&gt;=01/12/2019",Despesas_Receitas!C:C,"&lt;=31/12/2019"))</f>
        <v>0</v>
      </c>
      <c r="N11" s="84">
        <f t="shared" si="1"/>
        <v>-1317.12</v>
      </c>
      <c r="Q11" s="78">
        <v>0</v>
      </c>
      <c r="R11" s="78" t="s">
        <v>10</v>
      </c>
      <c r="S11" s="78">
        <f>Despesas_Receitas!F$4+Q11+Q4+Q5+Q6+Q7+Q8+Q9+Q10</f>
        <v>5874.2400000000016</v>
      </c>
    </row>
    <row r="12" spans="1:19" ht="19">
      <c r="A12" s="78" t="str">
        <f>Despesas_Receitas!O19</f>
        <v>ART. DECORATIVOS</v>
      </c>
      <c r="B12" s="78">
        <f>SUM(SUMIFS(Despesas_Receitas!E:E,Despesas_Receitas!H:H,"ENCARGOS_C__INSTALAÇÕES",Despesas_Receitas!I:I,A12,Despesas_Receitas!C:C,"&gt;=01/01/2019",Despesas_Receitas!C:C,"&lt;=31/01/2019"))</f>
        <v>-37.49</v>
      </c>
      <c r="C12" s="78">
        <f>SUM(SUMIFS(Despesas_Receitas!E:E,Despesas_Receitas!H:H,"ENCARGOS_C__INSTALAÇÕES",Despesas_Receitas!I:I,A12,Despesas_Receitas!C:C,"&gt;=01/02/2019",Despesas_Receitas!C:C,"&lt;=28/02/2019"))</f>
        <v>0</v>
      </c>
      <c r="D12" s="78">
        <f>SUM(SUMIFS(Despesas_Receitas!E:E,Despesas_Receitas!H:H,"ENCARGOS_C__INSTALAÇÕES",Despesas_Receitas!I:I,A12,Despesas_Receitas!C:C,"&gt;=01/03/2019",Despesas_Receitas!C:C,"&lt;=31/03/2019"))</f>
        <v>-255.49</v>
      </c>
      <c r="E12" s="78">
        <f>SUM(SUMIFS(Despesas_Receitas!E:E,Despesas_Receitas!H:H,"ENCARGOS_C__INSTALAÇÕES",Despesas_Receitas!I:I,A12,Despesas_Receitas!C:C,"&gt;=01/04/2019",Despesas_Receitas!C:C,"&lt;=30/04/2019"))</f>
        <v>-144.84</v>
      </c>
      <c r="F12" s="78">
        <f>SUM(SUMIFS(Despesas_Receitas!E:E,Despesas_Receitas!H:H,"ENCARGOS_C__INSTALAÇÕES",Despesas_Receitas!I:I,A12,Despesas_Receitas!C:C,"&gt;=01/05/2019",Despesas_Receitas!C:C,"&lt;=31/05/2019"))</f>
        <v>-18.96</v>
      </c>
      <c r="G12" s="78">
        <f>SUM(SUMIFS(Despesas_Receitas!E:E,Despesas_Receitas!H:H,"ENCARGOS_C__INSTALAÇÕES",Despesas_Receitas!I:I,A12,Despesas_Receitas!C:C,"&gt;=01/06/2019",Despesas_Receitas!C:C,"&lt;=30/06/2019"))</f>
        <v>0</v>
      </c>
      <c r="H12" s="78">
        <f>SUM(SUMIFS(Despesas_Receitas!E:E,Despesas_Receitas!H:H,"ENCARGOS_C__INSTALAÇÕES",Despesas_Receitas!I:I,A12,Despesas_Receitas!C:C,"&gt;=01/07/2019",Despesas_Receitas!C:C,"&lt;=31/07/2019"))</f>
        <v>0</v>
      </c>
      <c r="I12" s="78">
        <f>SUM(SUMIFS(Despesas_Receitas!E:E,Despesas_Receitas!H:H,"ENCARGOS_C__INSTALAÇÕES",Despesas_Receitas!I:I,A12,Despesas_Receitas!C:C,"&gt;=01/08/2019",Despesas_Receitas!C:C,"&lt;=31/08/2019"))</f>
        <v>0</v>
      </c>
      <c r="J12" s="78">
        <f>SUM(SUMIFS(Despesas_Receitas!E:E,Despesas_Receitas!H:H,"ENCARGOS_C__INSTALAÇÕES",Despesas_Receitas!I:I,A12,Despesas_Receitas!C:C,"&gt;=01/09/2019",Despesas_Receitas!C:C,"&lt;=30/09/2019"))</f>
        <v>0</v>
      </c>
      <c r="K12" s="78">
        <f>SUM(SUMIFS(Despesas_Receitas!E:E,Despesas_Receitas!H:H,"ENCARGOS_C__INSTALAÇÕES",Despesas_Receitas!I:I,A12,Despesas_Receitas!C:C,"&gt;=01/10/2019",Despesas_Receitas!C:C,"&lt;=31/10/2019"))</f>
        <v>0</v>
      </c>
      <c r="L12" s="78">
        <f>SUM(SUMIFS(Despesas_Receitas!E:E,Despesas_Receitas!H:H,"ENCARGOS_C__INSTALAÇÕES",Despesas_Receitas!I:I,A12,Despesas_Receitas!C:C,"&gt;=01/11/2019",Despesas_Receitas!C:C,"&lt;=30/11/2019"))</f>
        <v>0</v>
      </c>
      <c r="M12" s="78">
        <f>SUM(SUMIFS(Despesas_Receitas!E:E,Despesas_Receitas!H:H,"ENCARGOS_C__INSTALAÇÕES",Despesas_Receitas!I:I,A12,Despesas_Receitas!C:C,"&gt;=01/12/2019",Despesas_Receitas!C:C,"&lt;=31/12/2019"))</f>
        <v>0</v>
      </c>
      <c r="N12" s="84">
        <f t="shared" si="1"/>
        <v>-456.78000000000003</v>
      </c>
      <c r="Q12" s="78">
        <v>0</v>
      </c>
      <c r="R12" s="78" t="s">
        <v>11</v>
      </c>
      <c r="S12" s="89">
        <f>Despesas_Receitas!F$4+Q12+Q4+Q5+Q6+Q7+Q8+Q9+Q10+Q11</f>
        <v>5874.2400000000016</v>
      </c>
    </row>
    <row r="13" spans="1:19" ht="19">
      <c r="A13" s="78" t="str">
        <f>Despesas_Receitas!O20</f>
        <v>MATERIAL ESCRITÓRIO / CARTÕES</v>
      </c>
      <c r="B13" s="78">
        <f>SUM(SUMIFS(Despesas_Receitas!E:E,Despesas_Receitas!H:H,"ENCARGOS_C__INSTALAÇÕES",Despesas_Receitas!I:I,A13,Despesas_Receitas!C:C,"&gt;=01/01/2019",Despesas_Receitas!C:C,"&lt;=31/01/2019"))</f>
        <v>0</v>
      </c>
      <c r="C13" s="78">
        <f>SUM(SUMIFS(Despesas_Receitas!E:E,Despesas_Receitas!H:H,"ENCARGOS_C__INSTALAÇÕES",Despesas_Receitas!I:I,A13,Despesas_Receitas!C:C,"&gt;=01/02/2019",Despesas_Receitas!C:C,"&lt;=28/02/2019"))</f>
        <v>0</v>
      </c>
      <c r="D13" s="78">
        <f>SUM(SUMIFS(Despesas_Receitas!E:E,Despesas_Receitas!H:H,"ENCARGOS_C__INSTALAÇÕES",Despesas_Receitas!I:I,A13,Despesas_Receitas!C:C,"&gt;=01/03/2019",Despesas_Receitas!C:C,"&lt;=31/03/2019"))</f>
        <v>-97.98</v>
      </c>
      <c r="E13" s="78">
        <f>SUM(SUMIFS(Despesas_Receitas!E:E,Despesas_Receitas!H:H,"ENCARGOS_C__INSTALAÇÕES",Despesas_Receitas!I:I,A13,Despesas_Receitas!C:C,"&gt;=01/04/2019",Despesas_Receitas!C:C,"&lt;=30/04/2019"))</f>
        <v>0</v>
      </c>
      <c r="F13" s="78">
        <f>SUM(SUMIFS(Despesas_Receitas!E:E,Despesas_Receitas!H:H,"ENCARGOS_C__INSTALAÇÕES",Despesas_Receitas!I:I,A13,Despesas_Receitas!C:C,"&gt;=01/05/2019",Despesas_Receitas!C:C,"&lt;=31/05/2019"))</f>
        <v>-66.53</v>
      </c>
      <c r="G13" s="78">
        <f>SUM(SUMIFS(Despesas_Receitas!E:E,Despesas_Receitas!H:H,"ENCARGOS_C__INSTALAÇÕES",Despesas_Receitas!I:I,A13,Despesas_Receitas!C:C,"&gt;=01/06/2019",Despesas_Receitas!C:C,"&lt;=30/06/2019"))</f>
        <v>0</v>
      </c>
      <c r="H13" s="78">
        <f>SUM(SUMIFS(Despesas_Receitas!E:E,Despesas_Receitas!H:H,"ENCARGOS_C__INSTALAÇÕES",Despesas_Receitas!I:I,A13,Despesas_Receitas!C:C,"&gt;=01/07/2019",Despesas_Receitas!C:C,"&lt;=31/07/2019"))</f>
        <v>0</v>
      </c>
      <c r="I13" s="78">
        <f>SUM(SUMIFS(Despesas_Receitas!E:E,Despesas_Receitas!H:H,"ENCARGOS_C__INSTALAÇÕES",Despesas_Receitas!I:I,A13,Despesas_Receitas!C:C,"&gt;=01/08/2019",Despesas_Receitas!C:C,"&lt;=31/08/2019"))</f>
        <v>0</v>
      </c>
      <c r="J13" s="78">
        <f>SUM(SUMIFS(Despesas_Receitas!E:E,Despesas_Receitas!H:H,"ENCARGOS_C__INSTALAÇÕES",Despesas_Receitas!I:I,A13,Despesas_Receitas!C:C,"&gt;=01/09/2019",Despesas_Receitas!C:C,"&lt;=30/09/2019"))</f>
        <v>0</v>
      </c>
      <c r="K13" s="78">
        <f>SUM(SUMIFS(Despesas_Receitas!E:E,Despesas_Receitas!H:H,"ENCARGOS_C__INSTALAÇÕES",Despesas_Receitas!I:I,A13,Despesas_Receitas!C:C,"&gt;=01/10/2019",Despesas_Receitas!C:C,"&lt;=31/10/2019"))</f>
        <v>0</v>
      </c>
      <c r="L13" s="78">
        <f>SUM(SUMIFS(Despesas_Receitas!E:E,Despesas_Receitas!H:H,"ENCARGOS_C__INSTALAÇÕES",Despesas_Receitas!I:I,A13,Despesas_Receitas!C:C,"&gt;=01/11/2019",Despesas_Receitas!C:C,"&lt;=30/11/2019"))</f>
        <v>0</v>
      </c>
      <c r="M13" s="78">
        <f>SUM(SUMIFS(Despesas_Receitas!E:E,Despesas_Receitas!H:H,"ENCARGOS_C__INSTALAÇÕES",Despesas_Receitas!I:I,A13,Despesas_Receitas!C:C,"&gt;=01/12/2019",Despesas_Receitas!C:C,"&lt;=31/12/2019"))</f>
        <v>0</v>
      </c>
      <c r="N13" s="84">
        <f t="shared" si="1"/>
        <v>-164.51</v>
      </c>
      <c r="Q13" s="78">
        <v>0</v>
      </c>
      <c r="R13" s="78" t="s">
        <v>12</v>
      </c>
      <c r="S13" s="78">
        <f>Despesas_Receitas!F$4+Q13+Q4+Q5+Q6+Q7+Q8+Q9+Q10+Q11+Q12</f>
        <v>5874.2400000000016</v>
      </c>
    </row>
    <row r="14" spans="1:19" ht="19">
      <c r="A14" s="78" t="str">
        <f>Despesas_Receitas!O21</f>
        <v>COMUNICAÇÕES - VODAFONE</v>
      </c>
      <c r="B14" s="78">
        <f>SUM(SUMIFS(Despesas_Receitas!E:E,Despesas_Receitas!H:H,"ENCARGOS_C__INSTALAÇÕES",Despesas_Receitas!I:I,A14,Despesas_Receitas!C:C,"&gt;=01/01/2019",Despesas_Receitas!C:C,"&lt;=31/01/2019"))</f>
        <v>-60.95</v>
      </c>
      <c r="C14" s="78">
        <f>SUM(SUMIFS(Despesas_Receitas!E:E,Despesas_Receitas!H:H,"ENCARGOS_C__INSTALAÇÕES",Despesas_Receitas!I:I,A14,Despesas_Receitas!C:C,"&gt;=01/02/2019",Despesas_Receitas!C:C,"&lt;=28/02/2019"))</f>
        <v>-66.930000000000007</v>
      </c>
      <c r="D14" s="78">
        <f>SUM(SUMIFS(Despesas_Receitas!E:E,Despesas_Receitas!H:H,"ENCARGOS_C__INSTALAÇÕES",Despesas_Receitas!I:I,A14,Despesas_Receitas!C:C,"&gt;=01/03/2019",Despesas_Receitas!C:C,"&lt;=31/03/2019"))</f>
        <v>-79.260000000000005</v>
      </c>
      <c r="E14" s="78">
        <f>SUM(SUMIFS(Despesas_Receitas!E:E,Despesas_Receitas!H:H,"ENCARGOS_C__INSTALAÇÕES",Despesas_Receitas!I:I,A14,Despesas_Receitas!C:C,"&gt;=01/04/2019",Despesas_Receitas!C:C,"&lt;=30/04/2019"))</f>
        <v>-60.95</v>
      </c>
      <c r="F14" s="78">
        <f>SUM(SUMIFS(Despesas_Receitas!E:E,Despesas_Receitas!H:H,"ENCARGOS_C__INSTALAÇÕES",Despesas_Receitas!I:I,A14,Despesas_Receitas!C:C,"&gt;=01/05/2019",Despesas_Receitas!C:C,"&lt;=31/05/2019"))</f>
        <v>-58</v>
      </c>
      <c r="G14" s="78">
        <f>SUM(SUMIFS(Despesas_Receitas!E:E,Despesas_Receitas!H:H,"ENCARGOS_C__INSTALAÇÕES",Despesas_Receitas!I:I,A14,Despesas_Receitas!C:C,"&gt;=01/06/2019",Despesas_Receitas!C:C,"&lt;=30/06/2019"))</f>
        <v>-38.130000000000003</v>
      </c>
      <c r="H14" s="78">
        <f>SUM(SUMIFS(Despesas_Receitas!E:E,Despesas_Receitas!H:H,"ENCARGOS_C__INSTALAÇÕES",Despesas_Receitas!I:I,A14,Despesas_Receitas!C:C,"&gt;=01/07/2019",Despesas_Receitas!C:C,"&lt;=31/07/2019"))</f>
        <v>0</v>
      </c>
      <c r="I14" s="78">
        <f>SUM(SUMIFS(Despesas_Receitas!E:E,Despesas_Receitas!H:H,"ENCARGOS_C__INSTALAÇÕES",Despesas_Receitas!I:I,A14,Despesas_Receitas!C:C,"&gt;=01/08/2019",Despesas_Receitas!C:C,"&lt;=31/08/2019"))</f>
        <v>0</v>
      </c>
      <c r="J14" s="78">
        <f>SUM(SUMIFS(Despesas_Receitas!E:E,Despesas_Receitas!H:H,"ENCARGOS_C__INSTALAÇÕES",Despesas_Receitas!I:I,A14,Despesas_Receitas!C:C,"&gt;=01/09/2019",Despesas_Receitas!C:C,"&lt;=30/09/2019"))</f>
        <v>0</v>
      </c>
      <c r="K14" s="78">
        <f>SUM(SUMIFS(Despesas_Receitas!E:E,Despesas_Receitas!H:H,"ENCARGOS_C__INSTALAÇÕES",Despesas_Receitas!I:I,A14,Despesas_Receitas!C:C,"&gt;=01/10/2019",Despesas_Receitas!C:C,"&lt;=31/10/2019"))</f>
        <v>0</v>
      </c>
      <c r="L14" s="78">
        <f>SUM(SUMIFS(Despesas_Receitas!E:E,Despesas_Receitas!H:H,"ENCARGOS_C__INSTALAÇÕES",Despesas_Receitas!I:I,A14,Despesas_Receitas!C:C,"&gt;=01/11/2019",Despesas_Receitas!C:C,"&lt;=30/11/2019"))</f>
        <v>0</v>
      </c>
      <c r="M14" s="78">
        <f>SUM(SUMIFS(Despesas_Receitas!E:E,Despesas_Receitas!H:H,"ENCARGOS_C__INSTALAÇÕES",Despesas_Receitas!I:I,A14,Despesas_Receitas!C:C,"&gt;=01/12/2019",Despesas_Receitas!C:C,"&lt;=31/12/2019"))</f>
        <v>0</v>
      </c>
      <c r="N14" s="84">
        <f t="shared" si="1"/>
        <v>-364.22</v>
      </c>
      <c r="Q14" s="78">
        <v>0</v>
      </c>
      <c r="R14" s="78" t="s">
        <v>13</v>
      </c>
      <c r="S14" s="78">
        <f>Despesas_Receitas!F$4+Q14+Q4+Q5+Q6+Q7+Q8+Q9+Q10+Q11+Q12+Q13</f>
        <v>5874.2400000000016</v>
      </c>
    </row>
    <row r="15" spans="1:19" ht="19">
      <c r="A15" s="78" t="str">
        <f>Despesas_Receitas!O22</f>
        <v>UTENSILIOS DE DESGASTE RÁPIDO</v>
      </c>
      <c r="B15" s="78">
        <f>SUM(SUMIFS(Despesas_Receitas!E:E,Despesas_Receitas!H:H,"ENCARGOS_C__INSTALAÇÕES",Despesas_Receitas!I:I,A15,Despesas_Receitas!C:C,"&gt;=01/01/2019",Despesas_Receitas!C:C,"&lt;=31/01/2019"))</f>
        <v>0</v>
      </c>
      <c r="C15" s="78">
        <f>SUM(SUMIFS(Despesas_Receitas!E:E,Despesas_Receitas!H:H,"ENCARGOS_C__INSTALAÇÕES",Despesas_Receitas!I:I,A15,Despesas_Receitas!C:C,"&gt;=01/02/2019",Despesas_Receitas!C:C,"&lt;=28/02/2019"))</f>
        <v>-26.04</v>
      </c>
      <c r="D15" s="78">
        <f>SUM(SUMIFS(Despesas_Receitas!E:E,Despesas_Receitas!H:H,"ENCARGOS_C__INSTALAÇÕES",Despesas_Receitas!I:I,A15,Despesas_Receitas!C:C,"&gt;=01/03/2019",Despesas_Receitas!C:C,"&lt;=31/03/2019"))</f>
        <v>-245.36</v>
      </c>
      <c r="E15" s="78">
        <f>SUM(SUMIFS(Despesas_Receitas!E:E,Despesas_Receitas!H:H,"ENCARGOS_C__INSTALAÇÕES",Despesas_Receitas!I:I,A15,Despesas_Receitas!C:C,"&gt;=01/04/2019",Despesas_Receitas!C:C,"&lt;=30/04/2019"))</f>
        <v>-139.29000000000002</v>
      </c>
      <c r="F15" s="78">
        <f>SUM(SUMIFS(Despesas_Receitas!E:E,Despesas_Receitas!H:H,"ENCARGOS_C__INSTALAÇÕES",Despesas_Receitas!I:I,A15,Despesas_Receitas!C:C,"&gt;=01/05/2019",Despesas_Receitas!C:C,"&lt;=31/05/2019"))</f>
        <v>0</v>
      </c>
      <c r="G15" s="78">
        <f>SUM(SUMIFS(Despesas_Receitas!E:E,Despesas_Receitas!H:H,"ENCARGOS_C__INSTALAÇÕES",Despesas_Receitas!I:I,A15,Despesas_Receitas!C:C,"&gt;=01/06/2019",Despesas_Receitas!C:C,"&lt;=30/06/2019"))</f>
        <v>0</v>
      </c>
      <c r="H15" s="78">
        <f>SUM(SUMIFS(Despesas_Receitas!E:E,Despesas_Receitas!H:H,"ENCARGOS_C__INSTALAÇÕES",Despesas_Receitas!I:I,A15,Despesas_Receitas!C:C,"&gt;=01/07/2019",Despesas_Receitas!C:C,"&lt;=31/07/2019"))</f>
        <v>0</v>
      </c>
      <c r="I15" s="78">
        <f>SUM(SUMIFS(Despesas_Receitas!E:E,Despesas_Receitas!H:H,"ENCARGOS_C__INSTALAÇÕES",Despesas_Receitas!I:I,A15,Despesas_Receitas!C:C,"&gt;=01/08/2019",Despesas_Receitas!C:C,"&lt;=31/08/2019"))</f>
        <v>0</v>
      </c>
      <c r="J15" s="78">
        <f>SUM(SUMIFS(Despesas_Receitas!E:E,Despesas_Receitas!H:H,"ENCARGOS_C__INSTALAÇÕES",Despesas_Receitas!I:I,A15,Despesas_Receitas!C:C,"&gt;=01/09/2019",Despesas_Receitas!C:C,"&lt;=30/09/2019"))</f>
        <v>0</v>
      </c>
      <c r="K15" s="78">
        <f>SUM(SUMIFS(Despesas_Receitas!E:E,Despesas_Receitas!H:H,"ENCARGOS_C__INSTALAÇÕES",Despesas_Receitas!I:I,A15,Despesas_Receitas!C:C,"&gt;=01/10/2019",Despesas_Receitas!C:C,"&lt;=31/10/2019"))</f>
        <v>0</v>
      </c>
      <c r="L15" s="78">
        <f>SUM(SUMIFS(Despesas_Receitas!E:E,Despesas_Receitas!H:H,"ENCARGOS_C__INSTALAÇÕES",Despesas_Receitas!I:I,A15,Despesas_Receitas!C:C,"&gt;=01/11/2019",Despesas_Receitas!C:C,"&lt;=30/11/2019"))</f>
        <v>0</v>
      </c>
      <c r="M15" s="78">
        <f>SUM(SUMIFS(Despesas_Receitas!E:E,Despesas_Receitas!H:H,"ENCARGOS_C__INSTALAÇÕES",Despesas_Receitas!I:I,A15,Despesas_Receitas!C:C,"&gt;=01/12/2019",Despesas_Receitas!C:C,"&lt;=31/12/2019"))</f>
        <v>0</v>
      </c>
      <c r="N15" s="84">
        <f t="shared" si="1"/>
        <v>-410.69000000000005</v>
      </c>
      <c r="Q15" s="78">
        <v>0</v>
      </c>
      <c r="R15" s="78" t="s">
        <v>14</v>
      </c>
      <c r="S15" s="78">
        <f>Despesas_Receitas!F$4+Q15+Q4+Q5+Q6+Q7+Q8+Q9+Q11+Q10+Q12+Q13+Q14</f>
        <v>5874.2400000000016</v>
      </c>
    </row>
    <row r="16" spans="1:19" ht="19">
      <c r="A16" s="78" t="str">
        <f>Despesas_Receitas!O23</f>
        <v>DESP. BANCÁRIAS</v>
      </c>
      <c r="B16" s="78">
        <f>SUM(SUMIFS(Despesas_Receitas!E:E,Despesas_Receitas!H:H,"ENCARGOS_C__INSTALAÇÕES",Despesas_Receitas!I:I,A16,Despesas_Receitas!C:C,"&gt;=01/01/2019",Despesas_Receitas!C:C,"&lt;=31/01/2019"))</f>
        <v>0</v>
      </c>
      <c r="C16" s="78">
        <f>SUM(SUMIFS(Despesas_Receitas!E:E,Despesas_Receitas!H:H,"ENCARGOS_C__INSTALAÇÕES",Despesas_Receitas!I:I,A16,Despesas_Receitas!C:C,"&gt;=01/02/2019",Despesas_Receitas!C:C,"&lt;=28/02/2019"))</f>
        <v>0</v>
      </c>
      <c r="D16" s="78">
        <f>SUM(SUMIFS(Despesas_Receitas!E:E,Despesas_Receitas!H:H,"ENCARGOS_C__INSTALAÇÕES",Despesas_Receitas!I:I,A16,Despesas_Receitas!C:C,"&gt;=01/03/2019",Despesas_Receitas!C:C,"&lt;=31/03/2019"))</f>
        <v>0</v>
      </c>
      <c r="E16" s="78">
        <f>SUM(SUMIFS(Despesas_Receitas!E:E,Despesas_Receitas!H:H,"ENCARGOS_C__INSTALAÇÕES",Despesas_Receitas!I:I,A16,Despesas_Receitas!C:C,"&gt;=01/04/2019",Despesas_Receitas!C:C,"&lt;=30/04/2019"))</f>
        <v>0</v>
      </c>
      <c r="F16" s="78">
        <f>SUM(SUMIFS(Despesas_Receitas!E:E,Despesas_Receitas!H:H,"ENCARGOS_C__INSTALAÇÕES",Despesas_Receitas!I:I,A16,Despesas_Receitas!C:C,"&gt;=01/05/2019",Despesas_Receitas!C:C,"&lt;=31/05/2019"))</f>
        <v>-15.6</v>
      </c>
      <c r="G16" s="78">
        <f>SUM(SUMIFS(Despesas_Receitas!E:E,Despesas_Receitas!H:H,"ENCARGOS_C__INSTALAÇÕES",Despesas_Receitas!I:I,A16,Despesas_Receitas!C:C,"&gt;=01/06/2019",Despesas_Receitas!C:C,"&lt;=30/06/2019"))</f>
        <v>0</v>
      </c>
      <c r="H16" s="78">
        <f>SUM(SUMIFS(Despesas_Receitas!E:E,Despesas_Receitas!H:H,"ENCARGOS_C__INSTALAÇÕES",Despesas_Receitas!I:I,A16,Despesas_Receitas!C:C,"&gt;=01/07/2019",Despesas_Receitas!C:C,"&lt;=31/07/2019"))</f>
        <v>0</v>
      </c>
      <c r="I16" s="78">
        <f>SUM(SUMIFS(Despesas_Receitas!E:E,Despesas_Receitas!H:H,"ENCARGOS_C__INSTALAÇÕES",Despesas_Receitas!I:I,A16,Despesas_Receitas!C:C,"&gt;=01/08/2019",Despesas_Receitas!C:C,"&lt;=31/08/2019"))</f>
        <v>0</v>
      </c>
      <c r="J16" s="78">
        <f>SUM(SUMIFS(Despesas_Receitas!E:E,Despesas_Receitas!H:H,"ENCARGOS_C__INSTALAÇÕES",Despesas_Receitas!I:I,A16,Despesas_Receitas!C:C,"&gt;=01/09/2019",Despesas_Receitas!C:C,"&lt;=30/09/2019"))</f>
        <v>0</v>
      </c>
      <c r="K16" s="78">
        <f>SUM(SUMIFS(Despesas_Receitas!E:E,Despesas_Receitas!H:H,"ENCARGOS_C__INSTALAÇÕES",Despesas_Receitas!I:I,A16,Despesas_Receitas!C:C,"&gt;=01/10/2019",Despesas_Receitas!C:C,"&lt;=31/10/2019"))</f>
        <v>0</v>
      </c>
      <c r="L16" s="78">
        <f>SUM(SUMIFS(Despesas_Receitas!E:E,Despesas_Receitas!H:H,"ENCARGOS_C__INSTALAÇÕES",Despesas_Receitas!I:I,A16,Despesas_Receitas!C:C,"&gt;=01/11/2019",Despesas_Receitas!C:C,"&lt;=30/11/2019"))</f>
        <v>0</v>
      </c>
      <c r="M16" s="78">
        <f>SUM(SUMIFS(Despesas_Receitas!E:E,Despesas_Receitas!H:H,"ENCARGOS_C__INSTALAÇÕES",Despesas_Receitas!I:I,A16,Despesas_Receitas!C:C,"&gt;=01/12/2019",Despesas_Receitas!C:C,"&lt;=31/12/2019"))</f>
        <v>0</v>
      </c>
      <c r="N16" s="84">
        <f t="shared" si="1"/>
        <v>-15.6</v>
      </c>
    </row>
    <row r="17" spans="1:17" ht="19">
      <c r="A17" s="78" t="str">
        <f>Despesas_Receitas!O24</f>
        <v>QUOTA - FEDERAÇÃO DAS COLECTIVIDADES</v>
      </c>
      <c r="B17" s="78">
        <f>SUM(SUMIFS(Despesas_Receitas!E:E,Despesas_Receitas!H:H,"ENCARGOS_C__INSTALAÇÕES",Despesas_Receitas!I:I,A17,Despesas_Receitas!C:C,"&gt;=01/01/2019",Despesas_Receitas!C:C,"&lt;=31/01/2019"))</f>
        <v>0</v>
      </c>
      <c r="C17" s="78">
        <f>SUM(SUMIFS(Despesas_Receitas!E:E,Despesas_Receitas!H:H,"ENCARGOS_C__INSTALAÇÕES",Despesas_Receitas!I:I,A17,Despesas_Receitas!C:C,"&gt;=01/02/2019",Despesas_Receitas!C:C,"&lt;=28/02/2019"))</f>
        <v>0</v>
      </c>
      <c r="D17" s="78">
        <f>SUM(SUMIFS(Despesas_Receitas!E:E,Despesas_Receitas!H:H,"ENCARGOS_C__INSTALAÇÕES",Despesas_Receitas!I:I,A17,Despesas_Receitas!C:C,"&gt;=01/03/2019",Despesas_Receitas!C:C,"&lt;=31/03/2019"))</f>
        <v>0</v>
      </c>
      <c r="E17" s="78">
        <f>SUM(SUMIFS(Despesas_Receitas!E:E,Despesas_Receitas!H:H,"ENCARGOS_C__INSTALAÇÕES",Despesas_Receitas!I:I,A17,Despesas_Receitas!C:C,"&gt;=01/04/2019",Despesas_Receitas!C:C,"&lt;=30/04/2019"))</f>
        <v>0</v>
      </c>
      <c r="F17" s="78">
        <f>SUM(SUMIFS(Despesas_Receitas!E:E,Despesas_Receitas!H:H,"ENCARGOS_C__INSTALAÇÕES",Despesas_Receitas!I:I,A17,Despesas_Receitas!C:C,"&gt;=01/05/2019",Despesas_Receitas!C:C,"&lt;=31/05/2019"))</f>
        <v>0</v>
      </c>
      <c r="G17" s="78">
        <f>SUM(SUMIFS(Despesas_Receitas!E:E,Despesas_Receitas!H:H,"ENCARGOS_C__INSTALAÇÕES",Despesas_Receitas!I:I,A17,Despesas_Receitas!C:C,"&gt;=01/06/2019",Despesas_Receitas!C:C,"&lt;=30/06/2019"))</f>
        <v>0</v>
      </c>
      <c r="H17" s="78">
        <f>SUM(SUMIFS(Despesas_Receitas!E:E,Despesas_Receitas!H:H,"ENCARGOS_C__INSTALAÇÕES",Despesas_Receitas!I:I,A17,Despesas_Receitas!C:C,"&gt;=01/07/2019",Despesas_Receitas!C:C,"&lt;=31/07/2019"))</f>
        <v>0</v>
      </c>
      <c r="I17" s="78">
        <f>SUM(SUMIFS(Despesas_Receitas!E:E,Despesas_Receitas!H:H,"ENCARGOS_C__INSTALAÇÕES",Despesas_Receitas!I:I,A17,Despesas_Receitas!C:C,"&gt;=01/08/2019",Despesas_Receitas!C:C,"&lt;=31/08/2019"))</f>
        <v>0</v>
      </c>
      <c r="J17" s="78">
        <f>SUM(SUMIFS(Despesas_Receitas!E:E,Despesas_Receitas!H:H,"ENCARGOS_C__INSTALAÇÕES",Despesas_Receitas!I:I,A17,Despesas_Receitas!C:C,"&gt;=01/09/2019",Despesas_Receitas!C:C,"&lt;=30/09/2019"))</f>
        <v>0</v>
      </c>
      <c r="K17" s="78">
        <f>SUM(SUMIFS(Despesas_Receitas!E:E,Despesas_Receitas!H:H,"ENCARGOS_C__INSTALAÇÕES",Despesas_Receitas!I:I,A17,Despesas_Receitas!C:C,"&gt;=01/10/2019",Despesas_Receitas!C:C,"&lt;=31/10/2019"))</f>
        <v>0</v>
      </c>
      <c r="L17" s="78">
        <f>SUM(SUMIFS(Despesas_Receitas!E:E,Despesas_Receitas!H:H,"ENCARGOS_C__INSTALAÇÕES",Despesas_Receitas!I:I,A17,Despesas_Receitas!C:C,"&gt;=01/11/2019",Despesas_Receitas!C:C,"&lt;=30/11/2019"))</f>
        <v>0</v>
      </c>
      <c r="M17" s="78">
        <f>SUM(SUMIFS(Despesas_Receitas!E:E,Despesas_Receitas!H:H,"ENCARGOS_C__INSTALAÇÕES",Despesas_Receitas!I:I,A17,Despesas_Receitas!C:C,"&gt;=01/12/2019",Despesas_Receitas!C:C,"&lt;=31/12/2019"))</f>
        <v>0</v>
      </c>
      <c r="N17" s="84">
        <f t="shared" si="1"/>
        <v>0</v>
      </c>
      <c r="Q17" s="93"/>
    </row>
    <row r="18" spans="1:17" ht="19">
      <c r="A18" s="78" t="str">
        <f>Despesas_Receitas!O25</f>
        <v>IMPOSTOS</v>
      </c>
      <c r="B18" s="78">
        <f>SUM(SUMIFS(Despesas_Receitas!E:E,Despesas_Receitas!H:H,"ENCARGOS_C__INSTALAÇÕES",Despesas_Receitas!I:I,A18,Despesas_Receitas!C:C,"&gt;=01/01/2019",Despesas_Receitas!C:C,"&lt;=31/01/2019"))</f>
        <v>0</v>
      </c>
      <c r="C18" s="78">
        <f>SUM(SUMIFS(Despesas_Receitas!E:E,Despesas_Receitas!H:H,"ENCARGOS_C__INSTALAÇÕES",Despesas_Receitas!I:I,A18,Despesas_Receitas!C:C,"&gt;=01/02/2019",Despesas_Receitas!C:C,"&lt;=28/02/2019"))</f>
        <v>0</v>
      </c>
      <c r="D18" s="78">
        <f>SUM(SUMIFS(Despesas_Receitas!E:E,Despesas_Receitas!H:H,"ENCARGOS_C__INSTALAÇÕES",Despesas_Receitas!I:I,A18,Despesas_Receitas!C:C,"&gt;=01/03/2019",Despesas_Receitas!C:C,"&lt;=31/03/2019"))</f>
        <v>0</v>
      </c>
      <c r="E18" s="78">
        <f>SUM(SUMIFS(Despesas_Receitas!E:E,Despesas_Receitas!H:H,"ENCARGOS_C__INSTALAÇÕES",Despesas_Receitas!I:I,A18,Despesas_Receitas!C:C,"&gt;=01/04/2019",Despesas_Receitas!C:C,"&lt;=30/04/2019"))</f>
        <v>-1066.7</v>
      </c>
      <c r="F18" s="78">
        <f>SUM(SUMIFS(Despesas_Receitas!E:E,Despesas_Receitas!H:H,"ENCARGOS_C__INSTALAÇÕES",Despesas_Receitas!I:I,A18,Despesas_Receitas!C:C,"&gt;=01/05/2019",Despesas_Receitas!C:C,"&lt;=31/05/2019"))</f>
        <v>0</v>
      </c>
      <c r="G18" s="78">
        <f>SUM(SUMIFS(Despesas_Receitas!E:E,Despesas_Receitas!H:H,"ENCARGOS_C__INSTALAÇÕES",Despesas_Receitas!I:I,A18,Despesas_Receitas!C:C,"&gt;=01/06/2019",Despesas_Receitas!C:C,"&lt;=30/06/2019"))</f>
        <v>0</v>
      </c>
      <c r="H18" s="78">
        <f>SUM(SUMIFS(Despesas_Receitas!E:E,Despesas_Receitas!H:H,"ENCARGOS_C__INSTALAÇÕES",Despesas_Receitas!I:I,A18,Despesas_Receitas!C:C,"&gt;=01/07/2019",Despesas_Receitas!C:C,"&lt;=31/07/2019"))</f>
        <v>0</v>
      </c>
      <c r="I18" s="78">
        <f>SUM(SUMIFS(Despesas_Receitas!E:E,Despesas_Receitas!H:H,"ENCARGOS_C__INSTALAÇÕES",Despesas_Receitas!I:I,A18,Despesas_Receitas!C:C,"&gt;=01/08/2019",Despesas_Receitas!C:C,"&lt;=31/08/2019"))</f>
        <v>0</v>
      </c>
      <c r="J18" s="78">
        <f>SUM(SUMIFS(Despesas_Receitas!E:E,Despesas_Receitas!H:H,"ENCARGOS_C__INSTALAÇÕES",Despesas_Receitas!I:I,A18,Despesas_Receitas!C:C,"&gt;=01/09/2019",Despesas_Receitas!C:C,"&lt;=30/09/2019"))</f>
        <v>0</v>
      </c>
      <c r="K18" s="78">
        <f>SUM(SUMIFS(Despesas_Receitas!E:E,Despesas_Receitas!H:H,"ENCARGOS_C__INSTALAÇÕES",Despesas_Receitas!I:I,A18,Despesas_Receitas!C:C,"&gt;=01/10/2019",Despesas_Receitas!C:C,"&lt;=31/10/2019"))</f>
        <v>0</v>
      </c>
      <c r="L18" s="78">
        <f>SUM(SUMIFS(Despesas_Receitas!E:E,Despesas_Receitas!H:H,"ENCARGOS_C__INSTALAÇÕES",Despesas_Receitas!I:I,A18,Despesas_Receitas!C:C,"&gt;=01/11/2019",Despesas_Receitas!C:C,"&lt;=30/11/2019"))</f>
        <v>0</v>
      </c>
      <c r="M18" s="78">
        <f>SUM(SUMIFS(Despesas_Receitas!E:E,Despesas_Receitas!H:H,"ENCARGOS_C__INSTALAÇÕES",Despesas_Receitas!I:I,A18,Despesas_Receitas!C:C,"&gt;=01/12/2019",Despesas_Receitas!C:C,"&lt;=31/12/2019"))</f>
        <v>0</v>
      </c>
      <c r="N18" s="84">
        <f t="shared" si="1"/>
        <v>-1066.7</v>
      </c>
    </row>
    <row r="19" spans="1:17" ht="19">
      <c r="A19" s="78" t="str">
        <f>Despesas_Receitas!O26</f>
        <v>SERVIÇO DE LIMPEZA</v>
      </c>
      <c r="B19" s="78">
        <f>SUM(SUMIFS(Despesas_Receitas!E:E,Despesas_Receitas!H:H,"ENCARGOS_C__INSTALAÇÕES",Despesas_Receitas!I:I,A19,Despesas_Receitas!C:C,"&gt;=01/01/2019",Despesas_Receitas!C:C,"&lt;=31/01/2019"))</f>
        <v>-72</v>
      </c>
      <c r="C19" s="78">
        <f>SUM(SUMIFS(Despesas_Receitas!E:E,Despesas_Receitas!H:H,"ENCARGOS_C__INSTALAÇÕES",Despesas_Receitas!I:I,A19,Despesas_Receitas!C:C,"&gt;=01/02/2019",Despesas_Receitas!C:C,"&lt;=28/02/2019"))</f>
        <v>0</v>
      </c>
      <c r="D19" s="78">
        <f>SUM(SUMIFS(Despesas_Receitas!E:E,Despesas_Receitas!H:H,"ENCARGOS_C__INSTALAÇÕES",Despesas_Receitas!I:I,A19,Despesas_Receitas!C:C,"&gt;=01/03/2019",Despesas_Receitas!C:C,"&lt;=31/03/2019"))</f>
        <v>-72</v>
      </c>
      <c r="E19" s="78">
        <f>SUM(SUMIFS(Despesas_Receitas!E:E,Despesas_Receitas!H:H,"ENCARGOS_C__INSTALAÇÕES",Despesas_Receitas!I:I,A19,Despesas_Receitas!C:C,"&gt;=01/04/2019",Despesas_Receitas!C:C,"&lt;=30/04/2019"))</f>
        <v>-54</v>
      </c>
      <c r="F19" s="78">
        <f>SUM(SUMIFS(Despesas_Receitas!E:E,Despesas_Receitas!H:H,"ENCARGOS_C__INSTALAÇÕES",Despesas_Receitas!I:I,A19,Despesas_Receitas!C:C,"&gt;=01/05/2019",Despesas_Receitas!C:C,"&lt;=31/05/2019"))</f>
        <v>0</v>
      </c>
      <c r="G19" s="78">
        <f>SUM(SUMIFS(Despesas_Receitas!E:E,Despesas_Receitas!H:H,"ENCARGOS_C__INSTALAÇÕES",Despesas_Receitas!I:I,A19,Despesas_Receitas!C:C,"&gt;=01/06/2019",Despesas_Receitas!C:C,"&lt;=30/06/2019"))</f>
        <v>0</v>
      </c>
      <c r="H19" s="78">
        <f>SUM(SUMIFS(Despesas_Receitas!E:E,Despesas_Receitas!H:H,"ENCARGOS_C__INSTALAÇÕES",Despesas_Receitas!I:I,A19,Despesas_Receitas!C:C,"&gt;=01/07/2019",Despesas_Receitas!C:C,"&lt;=31/07/2019"))</f>
        <v>0</v>
      </c>
      <c r="I19" s="78">
        <f>SUM(SUMIFS(Despesas_Receitas!E:E,Despesas_Receitas!H:H,"ENCARGOS_C__INSTALAÇÕES",Despesas_Receitas!I:I,A19,Despesas_Receitas!C:C,"&gt;=01/08/2019",Despesas_Receitas!C:C,"&lt;=31/08/2019"))</f>
        <v>0</v>
      </c>
      <c r="J19" s="78">
        <f>SUM(SUMIFS(Despesas_Receitas!E:E,Despesas_Receitas!H:H,"ENCARGOS_C__INSTALAÇÕES",Despesas_Receitas!I:I,A19,Despesas_Receitas!C:C,"&gt;=01/09/2019",Despesas_Receitas!C:C,"&lt;=30/09/2019"))</f>
        <v>0</v>
      </c>
      <c r="K19" s="78">
        <f>SUM(SUMIFS(Despesas_Receitas!E:E,Despesas_Receitas!H:H,"ENCARGOS_C__INSTALAÇÕES",Despesas_Receitas!I:I,A19,Despesas_Receitas!C:C,"&gt;=01/10/2019",Despesas_Receitas!C:C,"&lt;=31/10/2019"))</f>
        <v>0</v>
      </c>
      <c r="L19" s="78">
        <f>SUM(SUMIFS(Despesas_Receitas!E:E,Despesas_Receitas!H:H,"ENCARGOS_C__INSTALAÇÕES",Despesas_Receitas!I:I,A19,Despesas_Receitas!C:C,"&gt;=01/11/2019",Despesas_Receitas!C:C,"&lt;=30/11/2019"))</f>
        <v>0</v>
      </c>
      <c r="M19" s="78">
        <f>SUM(SUMIFS(Despesas_Receitas!E:E,Despesas_Receitas!H:H,"ENCARGOS_C__INSTALAÇÕES",Despesas_Receitas!I:I,A19,Despesas_Receitas!C:C,"&gt;=01/12/2019",Despesas_Receitas!C:C,"&lt;=31/12/2019"))</f>
        <v>0</v>
      </c>
      <c r="N19" s="84">
        <f t="shared" si="1"/>
        <v>-198</v>
      </c>
    </row>
    <row r="20" spans="1:17" ht="19">
      <c r="A20" s="78" t="str">
        <f>Despesas_Receitas!O27</f>
        <v>PRODUTOS/EQUIPAMENTOS DE LIMPEZA</v>
      </c>
      <c r="B20" s="78">
        <f>SUM(SUMIFS(Despesas_Receitas!E:E,Despesas_Receitas!H:H,"ENCARGOS_C__INSTALAÇÕES",Despesas_Receitas!I:I,A20,Despesas_Receitas!C:C,"&gt;=01/01/2019",Despesas_Receitas!C:C,"&lt;=31/01/2019"))</f>
        <v>-73.650000000000006</v>
      </c>
      <c r="C20" s="78">
        <f>SUM(SUMIFS(Despesas_Receitas!E:E,Despesas_Receitas!H:H,"ENCARGOS_C__INSTALAÇÕES",Despesas_Receitas!I:I,A20,Despesas_Receitas!C:C,"&gt;=01/02/2019",Despesas_Receitas!C:C,"&lt;=28/02/2019"))</f>
        <v>-28.48</v>
      </c>
      <c r="D20" s="78">
        <f>SUM(SUMIFS(Despesas_Receitas!E:E,Despesas_Receitas!H:H,"ENCARGOS_C__INSTALAÇÕES",Despesas_Receitas!I:I,A20,Despesas_Receitas!C:C,"&gt;=01/03/2019",Despesas_Receitas!C:C,"&lt;=31/03/2019"))</f>
        <v>-125.36</v>
      </c>
      <c r="E20" s="78">
        <f>SUM(SUMIFS(Despesas_Receitas!E:E,Despesas_Receitas!H:H,"ENCARGOS_C__INSTALAÇÕES",Despesas_Receitas!I:I,A20,Despesas_Receitas!C:C,"&gt;=01/04/2019",Despesas_Receitas!C:C,"&lt;=30/04/2019"))</f>
        <v>-4.2699999999999996</v>
      </c>
      <c r="F20" s="78">
        <f>SUM(SUMIFS(Despesas_Receitas!E:E,Despesas_Receitas!H:H,"ENCARGOS_C__INSTALAÇÕES",Despesas_Receitas!I:I,A20,Despesas_Receitas!C:C,"&gt;=01/05/2019",Despesas_Receitas!C:C,"&lt;=31/05/2019"))</f>
        <v>0</v>
      </c>
      <c r="G20" s="78">
        <f>SUM(SUMIFS(Despesas_Receitas!E:E,Despesas_Receitas!H:H,"ENCARGOS_C__INSTALAÇÕES",Despesas_Receitas!I:I,A20,Despesas_Receitas!C:C,"&gt;=01/06/2019",Despesas_Receitas!C:C,"&lt;=30/06/2019"))</f>
        <v>-26.07</v>
      </c>
      <c r="H20" s="78">
        <f>SUM(SUMIFS(Despesas_Receitas!E:E,Despesas_Receitas!H:H,"ENCARGOS_C__INSTALAÇÕES",Despesas_Receitas!I:I,A20,Despesas_Receitas!C:C,"&gt;=01/07/2019",Despesas_Receitas!C:C,"&lt;=31/07/2019"))</f>
        <v>0</v>
      </c>
      <c r="I20" s="78">
        <f>SUM(SUMIFS(Despesas_Receitas!E:E,Despesas_Receitas!H:H,"ENCARGOS_C__INSTALAÇÕES",Despesas_Receitas!I:I,A20,Despesas_Receitas!C:C,"&gt;=01/08/2019",Despesas_Receitas!C:C,"&lt;=31/08/2019"))</f>
        <v>0</v>
      </c>
      <c r="J20" s="78">
        <f>SUM(SUMIFS(Despesas_Receitas!E:E,Despesas_Receitas!H:H,"ENCARGOS_C__INSTALAÇÕES",Despesas_Receitas!I:I,A20,Despesas_Receitas!C:C,"&gt;=01/09/2019",Despesas_Receitas!C:C,"&lt;=30/09/2019"))</f>
        <v>0</v>
      </c>
      <c r="K20" s="78">
        <f>SUM(SUMIFS(Despesas_Receitas!E:E,Despesas_Receitas!H:H,"ENCARGOS_C__INSTALAÇÕES",Despesas_Receitas!I:I,A20,Despesas_Receitas!C:C,"&gt;=01/10/2019",Despesas_Receitas!C:C,"&lt;=31/10/2019"))</f>
        <v>0</v>
      </c>
      <c r="L20" s="78">
        <f>SUM(SUMIFS(Despesas_Receitas!E:E,Despesas_Receitas!H:H,"ENCARGOS_C__INSTALAÇÕES",Despesas_Receitas!I:I,A20,Despesas_Receitas!C:C,"&gt;=01/11/2019",Despesas_Receitas!C:C,"&lt;=30/11/2019"))</f>
        <v>0</v>
      </c>
      <c r="M20" s="78">
        <f>SUM(SUMIFS(Despesas_Receitas!E:E,Despesas_Receitas!H:H,"ENCARGOS_C__INSTALAÇÕES",Despesas_Receitas!I:I,A20,Despesas_Receitas!C:C,"&gt;=01/12/2019",Despesas_Receitas!C:C,"&lt;=31/12/2019"))</f>
        <v>0</v>
      </c>
      <c r="N20" s="84">
        <f t="shared" si="1"/>
        <v>-257.83000000000004</v>
      </c>
    </row>
    <row r="21" spans="1:17" ht="19">
      <c r="A21" s="78" t="str">
        <f>Despesas_Receitas!O28</f>
        <v>APOIO</v>
      </c>
      <c r="B21" s="78">
        <f>SUM(SUMIFS(Despesas_Receitas!E:E,Despesas_Receitas!H:H,"ENCARGOS_C__INSTALAÇÕES",Despesas_Receitas!I:I,A21,Despesas_Receitas!C:C,"&gt;=01/01/2019",Despesas_Receitas!C:C,"&lt;=31/01/2019"))</f>
        <v>0</v>
      </c>
      <c r="C21" s="78">
        <f>SUM(SUMIFS(Despesas_Receitas!E:E,Despesas_Receitas!H:H,"ENCARGOS_C__INSTALAÇÕES",Despesas_Receitas!I:I,A21,Despesas_Receitas!C:C,"&gt;=01/02/2019",Despesas_Receitas!C:C,"&lt;=28/02/2019"))</f>
        <v>0</v>
      </c>
      <c r="D21" s="78">
        <f>SUM(SUMIFS(Despesas_Receitas!E:E,Despesas_Receitas!H:H,"ENCARGOS_C__INSTALAÇÕES",Despesas_Receitas!I:I,A21,Despesas_Receitas!C:C,"&gt;=01/03/2019",Despesas_Receitas!C:C,"&lt;=31/03/2019"))</f>
        <v>0</v>
      </c>
      <c r="E21" s="78">
        <f>SUM(SUMIFS(Despesas_Receitas!E:E,Despesas_Receitas!H:H,"ENCARGOS_C__INSTALAÇÕES",Despesas_Receitas!I:I,A21,Despesas_Receitas!C:C,"&gt;=01/04/2019",Despesas_Receitas!C:C,"&lt;=30/04/2019"))</f>
        <v>0</v>
      </c>
      <c r="F21" s="78">
        <f>SUM(SUMIFS(Despesas_Receitas!E:E,Despesas_Receitas!H:H,"ENCARGOS_C__INSTALAÇÕES",Despesas_Receitas!I:I,A21,Despesas_Receitas!C:C,"&gt;=01/05/2019",Despesas_Receitas!C:C,"&lt;=31/05/2019"))</f>
        <v>0</v>
      </c>
      <c r="G21" s="78">
        <f>SUM(SUMIFS(Despesas_Receitas!E:E,Despesas_Receitas!H:H,"ENCARGOS_C__INSTALAÇÕES",Despesas_Receitas!I:I,A21,Despesas_Receitas!C:C,"&gt;=01/06/2019",Despesas_Receitas!C:C,"&lt;=30/06/2019"))</f>
        <v>0</v>
      </c>
      <c r="H21" s="78">
        <f>SUM(SUMIFS(Despesas_Receitas!E:E,Despesas_Receitas!H:H,"ENCARGOS_C__INSTALAÇÕES",Despesas_Receitas!I:I,A21,Despesas_Receitas!C:C,"&gt;=01/07/2019",Despesas_Receitas!C:C,"&lt;=31/07/2019"))</f>
        <v>0</v>
      </c>
      <c r="I21" s="78">
        <f>SUM(SUMIFS(Despesas_Receitas!E:E,Despesas_Receitas!H:H,"ENCARGOS_C__INSTALAÇÕES",Despesas_Receitas!I:I,A21,Despesas_Receitas!C:C,"&gt;=01/08/2019",Despesas_Receitas!C:C,"&lt;=31/08/2019"))</f>
        <v>0</v>
      </c>
      <c r="J21" s="78">
        <f>SUM(SUMIFS(Despesas_Receitas!E:E,Despesas_Receitas!H:H,"ENCARGOS_C__INSTALAÇÕES",Despesas_Receitas!I:I,A21,Despesas_Receitas!C:C,"&gt;=01/09/2019",Despesas_Receitas!C:C,"&lt;=30/09/2019"))</f>
        <v>0</v>
      </c>
      <c r="K21" s="78">
        <f>SUM(SUMIFS(Despesas_Receitas!E:E,Despesas_Receitas!H:H,"ENCARGOS_C__INSTALAÇÕES",Despesas_Receitas!I:I,A21,Despesas_Receitas!C:C,"&gt;=01/10/2019",Despesas_Receitas!C:C,"&lt;=31/10/2019"))</f>
        <v>0</v>
      </c>
      <c r="L21" s="78">
        <f>SUM(SUMIFS(Despesas_Receitas!E:E,Despesas_Receitas!H:H,"ENCARGOS_C__INSTALAÇÕES",Despesas_Receitas!I:I,A21,Despesas_Receitas!C:C,"&gt;=01/11/2019",Despesas_Receitas!C:C,"&lt;=30/11/2019"))</f>
        <v>0</v>
      </c>
      <c r="M21" s="78">
        <f>SUM(SUMIFS(Despesas_Receitas!E:E,Despesas_Receitas!H:H,"ENCARGOS_C__INSTALAÇÕES",Despesas_Receitas!I:I,A21,Despesas_Receitas!C:C,"&gt;=01/12/2019",Despesas_Receitas!C:C,"&lt;=31/12/2019"))</f>
        <v>0</v>
      </c>
      <c r="N21" s="84">
        <f t="shared" si="1"/>
        <v>0</v>
      </c>
    </row>
    <row r="22" spans="1:17" ht="19">
      <c r="A22" s="78" t="str">
        <f>Despesas_Receitas!O29</f>
        <v>ALUGUER EXTINTORES</v>
      </c>
      <c r="B22" s="78">
        <f>SUM(SUMIFS(Despesas_Receitas!E:E,Despesas_Receitas!H:H,"ENCARGOS_C__INSTALAÇÕES",Despesas_Receitas!I:I,A22,Despesas_Receitas!C:C,"&gt;=01/01/2019",Despesas_Receitas!C:C,"&lt;=31/01/2019"))</f>
        <v>-29.52</v>
      </c>
      <c r="C22" s="78">
        <f>SUM(SUMIFS(Despesas_Receitas!E:E,Despesas_Receitas!H:H,"ENCARGOS_C__INSTALAÇÕES",Despesas_Receitas!I:I,A22,Despesas_Receitas!C:C,"&gt;=01/02/2019",Despesas_Receitas!C:C,"&lt;=28/02/2019"))</f>
        <v>-29.52</v>
      </c>
      <c r="D22" s="78">
        <f>SUM(SUMIFS(Despesas_Receitas!E:E,Despesas_Receitas!H:H,"ENCARGOS_C__INSTALAÇÕES",Despesas_Receitas!I:I,A22,Despesas_Receitas!C:C,"&gt;=01/03/2019",Despesas_Receitas!C:C,"&lt;=31/03/2019"))</f>
        <v>-29.52</v>
      </c>
      <c r="E22" s="78">
        <f>SUM(SUMIFS(Despesas_Receitas!E:E,Despesas_Receitas!H:H,"ENCARGOS_C__INSTALAÇÕES",Despesas_Receitas!I:I,A22,Despesas_Receitas!C:C,"&gt;=01/04/2019",Despesas_Receitas!C:C,"&lt;=30/04/2019"))</f>
        <v>-29.52</v>
      </c>
      <c r="F22" s="78">
        <f>SUM(SUMIFS(Despesas_Receitas!E:E,Despesas_Receitas!H:H,"ENCARGOS_C__INSTALAÇÕES",Despesas_Receitas!I:I,A22,Despesas_Receitas!C:C,"&gt;=01/05/2019",Despesas_Receitas!C:C,"&lt;=31/05/2019"))</f>
        <v>-29.52</v>
      </c>
      <c r="G22" s="78">
        <f>SUM(SUMIFS(Despesas_Receitas!E:E,Despesas_Receitas!H:H,"ENCARGOS_C__INSTALAÇÕES",Despesas_Receitas!I:I,A22,Despesas_Receitas!C:C,"&gt;=01/06/2019",Despesas_Receitas!C:C,"&lt;=30/06/2019"))</f>
        <v>-29.52</v>
      </c>
      <c r="H22" s="78">
        <f>SUM(SUMIFS(Despesas_Receitas!E:E,Despesas_Receitas!H:H,"ENCARGOS_C__INSTALAÇÕES",Despesas_Receitas!I:I,A22,Despesas_Receitas!C:C,"&gt;=01/07/2019",Despesas_Receitas!C:C,"&lt;=31/07/2019"))</f>
        <v>0</v>
      </c>
      <c r="I22" s="78">
        <f>SUM(SUMIFS(Despesas_Receitas!E:E,Despesas_Receitas!H:H,"ENCARGOS_C__INSTALAÇÕES",Despesas_Receitas!I:I,A22,Despesas_Receitas!C:C,"&gt;=01/08/2019",Despesas_Receitas!C:C,"&lt;=31/08/2019"))</f>
        <v>0</v>
      </c>
      <c r="J22" s="78">
        <f>SUM(SUMIFS(Despesas_Receitas!E:E,Despesas_Receitas!H:H,"ENCARGOS_C__INSTALAÇÕES",Despesas_Receitas!I:I,A22,Despesas_Receitas!C:C,"&gt;=01/09/2019",Despesas_Receitas!C:C,"&lt;=30/09/2019"))</f>
        <v>0</v>
      </c>
      <c r="K22" s="78">
        <f>SUM(SUMIFS(Despesas_Receitas!E:E,Despesas_Receitas!H:H,"ENCARGOS_C__INSTALAÇÕES",Despesas_Receitas!I:I,A22,Despesas_Receitas!C:C,"&gt;=01/10/2019",Despesas_Receitas!C:C,"&lt;=31/10/2019"))</f>
        <v>0</v>
      </c>
      <c r="L22" s="78">
        <f>SUM(SUMIFS(Despesas_Receitas!E:E,Despesas_Receitas!H:H,"ENCARGOS_C__INSTALAÇÕES",Despesas_Receitas!I:I,A22,Despesas_Receitas!C:C,"&gt;=01/11/2019",Despesas_Receitas!C:C,"&lt;=30/11/2019"))</f>
        <v>0</v>
      </c>
      <c r="M22" s="78">
        <f>SUM(SUMIFS(Despesas_Receitas!E:E,Despesas_Receitas!H:H,"ENCARGOS_C__INSTALAÇÕES",Despesas_Receitas!I:I,A22,Despesas_Receitas!C:C,"&gt;=01/12/2019",Despesas_Receitas!C:C,"&lt;=31/12/2019"))</f>
        <v>0</v>
      </c>
      <c r="N22" s="84">
        <f t="shared" si="1"/>
        <v>-177.12</v>
      </c>
    </row>
    <row r="23" spans="1:17" ht="19">
      <c r="A23" s="78" t="str">
        <f>Despesas_Receitas!O30</f>
        <v>OUTROS</v>
      </c>
      <c r="B23" s="78">
        <f>SUM(SUMIFS(Despesas_Receitas!E:E,Despesas_Receitas!H:H,"ENCARGOS_C__INSTALAÇÕES",Despesas_Receitas!I:I,A23,Despesas_Receitas!C:C,"&gt;=01/01/2019",Despesas_Receitas!C:C,"&lt;=31/01/2019"))</f>
        <v>-78.900000000000006</v>
      </c>
      <c r="C23" s="78">
        <f>SUM(SUMIFS(Despesas_Receitas!E:E,Despesas_Receitas!H:H,"ENCARGOS_C__INSTALAÇÕES",Despesas_Receitas!I:I,A23,Despesas_Receitas!C:C,"&gt;=01/02/2019",Despesas_Receitas!C:C,"&lt;=28/02/2019"))</f>
        <v>-185.97</v>
      </c>
      <c r="D23" s="78">
        <f>SUM(SUMIFS(Despesas_Receitas!E:E,Despesas_Receitas!H:H,"ENCARGOS_C__INSTALAÇÕES",Despesas_Receitas!I:I,A23,Despesas_Receitas!C:C,"&gt;=01/03/2019",Despesas_Receitas!C:C,"&lt;=31/03/2019"))</f>
        <v>-87.259999999999991</v>
      </c>
      <c r="E23" s="78">
        <f>SUM(SUMIFS(Despesas_Receitas!E:E,Despesas_Receitas!H:H,"ENCARGOS_C__INSTALAÇÕES",Despesas_Receitas!I:I,A23,Despesas_Receitas!C:C,"&gt;=01/04/2019",Despesas_Receitas!C:C,"&lt;=30/04/2019"))</f>
        <v>-8.9700000000000006</v>
      </c>
      <c r="F23" s="78">
        <f>SUM(SUMIFS(Despesas_Receitas!E:E,Despesas_Receitas!H:H,"ENCARGOS_C__INSTALAÇÕES",Despesas_Receitas!I:I,A23,Despesas_Receitas!C:C,"&gt;=01/05/2019",Despesas_Receitas!C:C,"&lt;=31/05/2019"))</f>
        <v>-9.9700000000000006</v>
      </c>
      <c r="G23" s="78">
        <f>SUM(SUMIFS(Despesas_Receitas!E:E,Despesas_Receitas!H:H,"ENCARGOS_C__INSTALAÇÕES",Despesas_Receitas!I:I,A23,Despesas_Receitas!C:C,"&gt;=01/06/2019",Despesas_Receitas!C:C,"&lt;=30/06/2019"))</f>
        <v>0</v>
      </c>
      <c r="H23" s="78">
        <f>SUM(SUMIFS(Despesas_Receitas!E:E,Despesas_Receitas!H:H,"ENCARGOS_C__INSTALAÇÕES",Despesas_Receitas!I:I,A23,Despesas_Receitas!C:C,"&gt;=01/07/2019",Despesas_Receitas!C:C,"&lt;=31/07/2019"))</f>
        <v>0</v>
      </c>
      <c r="I23" s="78">
        <f>SUM(SUMIFS(Despesas_Receitas!E:E,Despesas_Receitas!H:H,"ENCARGOS_C__INSTALAÇÕES",Despesas_Receitas!I:I,A23,Despesas_Receitas!C:C,"&gt;=01/08/2019",Despesas_Receitas!C:C,"&lt;=31/08/2019"))</f>
        <v>0</v>
      </c>
      <c r="J23" s="78">
        <f>SUM(SUMIFS(Despesas_Receitas!E:E,Despesas_Receitas!H:H,"ENCARGOS_C__INSTALAÇÕES",Despesas_Receitas!I:I,A23,Despesas_Receitas!C:C,"&gt;=01/09/2019",Despesas_Receitas!C:C,"&lt;=30/09/2019"))</f>
        <v>0</v>
      </c>
      <c r="K23" s="78">
        <f>SUM(SUMIFS(Despesas_Receitas!E:E,Despesas_Receitas!H:H,"ENCARGOS_C__INSTALAÇÕES",Despesas_Receitas!I:I,A23,Despesas_Receitas!C:C,"&gt;=01/10/2019",Despesas_Receitas!C:C,"&lt;=31/10/2019"))</f>
        <v>0</v>
      </c>
      <c r="L23" s="78">
        <f>SUM(SUMIFS(Despesas_Receitas!E:E,Despesas_Receitas!H:H,"ENCARGOS_C__INSTALAÇÕES",Despesas_Receitas!I:I,A23,Despesas_Receitas!C:C,"&gt;=01/11/2019",Despesas_Receitas!C:C,"&lt;=30/11/2019"))</f>
        <v>0</v>
      </c>
      <c r="M23" s="78">
        <f>SUM(SUMIFS(Despesas_Receitas!E:E,Despesas_Receitas!H:H,"ENCARGOS_C__INSTALAÇÕES",Despesas_Receitas!I:I,A23,Despesas_Receitas!C:C,"&gt;=01/12/2019",Despesas_Receitas!C:C,"&lt;=31/12/2019"))</f>
        <v>0</v>
      </c>
      <c r="N23" s="84">
        <f t="shared" si="1"/>
        <v>-371.07000000000005</v>
      </c>
    </row>
    <row r="24" spans="1:17" ht="20">
      <c r="A24" s="77" t="str">
        <f>Despesas_Receitas!N4</f>
        <v>BAR</v>
      </c>
      <c r="B24" s="83">
        <f>SUM(B25:B27)</f>
        <v>0</v>
      </c>
      <c r="C24" s="83">
        <f t="shared" ref="C24:M24" si="2">SUM(C25:C27)</f>
        <v>0</v>
      </c>
      <c r="D24" s="83">
        <f t="shared" si="2"/>
        <v>-653.1</v>
      </c>
      <c r="E24" s="83">
        <f t="shared" si="2"/>
        <v>0</v>
      </c>
      <c r="F24" s="83">
        <f t="shared" si="2"/>
        <v>0</v>
      </c>
      <c r="G24" s="83">
        <f t="shared" si="2"/>
        <v>0</v>
      </c>
      <c r="H24" s="83">
        <f t="shared" si="2"/>
        <v>0</v>
      </c>
      <c r="I24" s="83">
        <f t="shared" si="2"/>
        <v>0</v>
      </c>
      <c r="J24" s="83">
        <f t="shared" si="2"/>
        <v>0</v>
      </c>
      <c r="K24" s="83">
        <f t="shared" si="2"/>
        <v>0</v>
      </c>
      <c r="L24" s="83">
        <f t="shared" si="2"/>
        <v>0</v>
      </c>
      <c r="M24" s="83">
        <f t="shared" si="2"/>
        <v>0</v>
      </c>
      <c r="N24" s="81">
        <f t="shared" si="1"/>
        <v>-653.1</v>
      </c>
    </row>
    <row r="25" spans="1:17" ht="19">
      <c r="A25" s="78" t="str">
        <f>Despesas_Receitas!O4</f>
        <v>COMPRAS</v>
      </c>
      <c r="B25" s="78">
        <f>SUM(SUMIFS(Despesas_Receitas!E:E,Despesas_Receitas!H:H,"BAR",Despesas_Receitas!I:I,A25,Despesas_Receitas!C:C,"&gt;=01/01/2019",Despesas_Receitas!C:C,"&lt;=31/01/2019"))</f>
        <v>0</v>
      </c>
      <c r="C25" s="78">
        <f>SUM(SUMIFS(Despesas_Receitas!E:E,Despesas_Receitas!H:H,"BAR",Despesas_Receitas!I:I,A25,Despesas_Receitas!C:C,"&gt;=01/02/2019",Despesas_Receitas!C:C,"&lt;=28/02/2019"))</f>
        <v>0</v>
      </c>
      <c r="D25" s="78">
        <f>SUM(SUMIFS(Despesas_Receitas!E:E,Despesas_Receitas!H:H,"BAR",Despesas_Receitas!I:I,A25,Despesas_Receitas!C:C,"&gt;=01/03/2019",Despesas_Receitas!C:C,"&lt;=31/03/2019"))</f>
        <v>-477.1</v>
      </c>
      <c r="E25" s="78">
        <f>SUM(SUMIFS(Despesas_Receitas!E:E,Despesas_Receitas!H:H,"BAR",Despesas_Receitas!I:I,A25,Despesas_Receitas!C:C,"&gt;=01/04/2019",Despesas_Receitas!C:C,"&lt;=30/04/2019"))</f>
        <v>0</v>
      </c>
      <c r="F25" s="78">
        <f>SUM(SUMIFS(Despesas_Receitas!E:E,Despesas_Receitas!H:H,"BAR",Despesas_Receitas!I:I,A25,Despesas_Receitas!C:C,"&gt;=01/05/2019",Despesas_Receitas!C:C,"&lt;=31/05/2019"))</f>
        <v>0</v>
      </c>
      <c r="G25" s="78">
        <f>SUM(SUMIFS(Despesas_Receitas!E:E,Despesas_Receitas!H:H,"BAR",Despesas_Receitas!I:I,A25,Despesas_Receitas!C:C,"&gt;=01/06/2019",Despesas_Receitas!C:C,"&lt;=30/06/2019"))</f>
        <v>0</v>
      </c>
      <c r="H25" s="78">
        <f>SUM(SUMIFS(Despesas_Receitas!E:E,Despesas_Receitas!H:H,"BAR",Despesas_Receitas!I:I,A25,Despesas_Receitas!C:C,"&gt;=01/07/2019",Despesas_Receitas!C:C,"&lt;=31/07/2019"))</f>
        <v>0</v>
      </c>
      <c r="I25" s="78">
        <f>SUM(SUMIFS(Despesas_Receitas!E:E,Despesas_Receitas!H:H,"BAR",Despesas_Receitas!I:I,A25,Despesas_Receitas!C:C,"&gt;=01/08/2019",Despesas_Receitas!C:C,"&lt;=31/08/2019"))</f>
        <v>0</v>
      </c>
      <c r="J25" s="78">
        <f>SUM(SUMIFS(Despesas_Receitas!E:E,Despesas_Receitas!H:H,"BAR",Despesas_Receitas!I:I,A25,Despesas_Receitas!C:C,"&gt;=01/09/2019",Despesas_Receitas!C:C,"&lt;=30/09/2019"))</f>
        <v>0</v>
      </c>
      <c r="K25" s="78">
        <f>SUM(SUMIFS(Despesas_Receitas!E:E,Despesas_Receitas!H:H,"BAR",Despesas_Receitas!I:I,A25,Despesas_Receitas!C:C,"&gt;=01/10/2019",Despesas_Receitas!C:C,"&lt;=31/10/2019"))</f>
        <v>0</v>
      </c>
      <c r="L25" s="78">
        <f>SUM(SUMIFS(Despesas_Receitas!E:E,Despesas_Receitas!H:H,"BAR",Despesas_Receitas!I:I,A25,Despesas_Receitas!C:C,"&gt;=01/11/2019",Despesas_Receitas!C:C,"&lt;=30/11/2019"))</f>
        <v>0</v>
      </c>
      <c r="M25" s="78">
        <f>SUM(SUMIFS(Despesas_Receitas!E:E,Despesas_Receitas!H:H,"BAR",Despesas_Receitas!I:I,A25,Despesas_Receitas!C:C,"&gt;=01/12/2019",Despesas_Receitas!C:C,"&lt;=31/12/2019"))</f>
        <v>0</v>
      </c>
      <c r="N25" s="84">
        <f t="shared" si="1"/>
        <v>-477.1</v>
      </c>
    </row>
    <row r="26" spans="1:17" ht="19">
      <c r="A26" s="78" t="str">
        <f>Despesas_Receitas!O5</f>
        <v>RECEITA</v>
      </c>
      <c r="B26" s="78">
        <f>SUM(SUMIFS(Despesas_Receitas!E:E,Despesas_Receitas!H:H,"BAR",Despesas_Receitas!I:I,A26,Despesas_Receitas!C:C,"&gt;=01/01/2019",Despesas_Receitas!C:C,"&lt;=31/01/2019"))</f>
        <v>0</v>
      </c>
      <c r="C26" s="78">
        <f>SUM(SUMIFS(Despesas_Receitas!E:E,Despesas_Receitas!H:H,"BAR",Despesas_Receitas!I:I,A26,Despesas_Receitas!C:C,"&gt;=01/02/2019",Despesas_Receitas!C:C,"&lt;=28/02/2019"))</f>
        <v>0</v>
      </c>
      <c r="D26" s="78">
        <f>SUM(SUMIFS(Despesas_Receitas!E:E,Despesas_Receitas!H:H,"BAR",Despesas_Receitas!I:I,A26,Despesas_Receitas!C:C,"&gt;=01/03/2019",Despesas_Receitas!C:C,"&lt;=31/03/2019"))</f>
        <v>0</v>
      </c>
      <c r="E26" s="78">
        <f>SUM(SUMIFS(Despesas_Receitas!E:E,Despesas_Receitas!H:H,"BAR",Despesas_Receitas!I:I,A26,Despesas_Receitas!C:C,"&gt;=01/04/2019",Despesas_Receitas!C:C,"&lt;=30/04/2019"))</f>
        <v>0</v>
      </c>
      <c r="F26" s="78">
        <f>SUM(SUMIFS(Despesas_Receitas!E:E,Despesas_Receitas!H:H,"BAR",Despesas_Receitas!I:I,A26,Despesas_Receitas!C:C,"&gt;=01/05/2019",Despesas_Receitas!C:C,"&lt;=31/05/2019"))</f>
        <v>0</v>
      </c>
      <c r="G26" s="78">
        <f>SUM(SUMIFS(Despesas_Receitas!E:E,Despesas_Receitas!H:H,"BAR",Despesas_Receitas!I:I,A26,Despesas_Receitas!C:C,"&gt;=01/06/2019",Despesas_Receitas!C:C,"&lt;=30/06/2019"))</f>
        <v>0</v>
      </c>
      <c r="H26" s="78">
        <f>SUM(SUMIFS(Despesas_Receitas!E:E,Despesas_Receitas!H:H,"BAR",Despesas_Receitas!I:I,A26,Despesas_Receitas!C:C,"&gt;=01/07/2019",Despesas_Receitas!C:C,"&lt;=31/07/2019"))</f>
        <v>0</v>
      </c>
      <c r="I26" s="78">
        <f>SUM(SUMIFS(Despesas_Receitas!E:E,Despesas_Receitas!H:H,"BAR",Despesas_Receitas!I:I,A26,Despesas_Receitas!C:C,"&gt;=01/08/2019",Despesas_Receitas!C:C,"&lt;=31/08/2019"))</f>
        <v>0</v>
      </c>
      <c r="J26" s="78">
        <f>SUM(SUMIFS(Despesas_Receitas!E:E,Despesas_Receitas!H:H,"BAR",Despesas_Receitas!I:I,A26,Despesas_Receitas!C:C,"&gt;=01/09/2019",Despesas_Receitas!C:C,"&lt;=30/09/2019"))</f>
        <v>0</v>
      </c>
      <c r="K26" s="78">
        <f>SUM(SUMIFS(Despesas_Receitas!E:E,Despesas_Receitas!H:H,"BAR",Despesas_Receitas!I:I,A26,Despesas_Receitas!C:C,"&gt;=01/10/2019",Despesas_Receitas!C:C,"&lt;=31/10/2019"))</f>
        <v>0</v>
      </c>
      <c r="L26" s="78">
        <f>SUM(SUMIFS(Despesas_Receitas!E:E,Despesas_Receitas!H:H,"BAR",Despesas_Receitas!I:I,A26,Despesas_Receitas!C:C,"&gt;=01/11/2019",Despesas_Receitas!C:C,"&lt;=30/11/2019"))</f>
        <v>0</v>
      </c>
      <c r="M26" s="78">
        <f>SUM(SUMIFS(Despesas_Receitas!E:E,Despesas_Receitas!H:H,"BAR",Despesas_Receitas!I:I,A26,Despesas_Receitas!C:C,"&gt;=01/12/2019",Despesas_Receitas!C:C,"&lt;=31/12/2019"))</f>
        <v>0</v>
      </c>
      <c r="N26" s="84">
        <f t="shared" si="1"/>
        <v>0</v>
      </c>
    </row>
    <row r="27" spans="1:17" ht="19">
      <c r="A27" s="78" t="str">
        <f>Despesas_Receitas!O6</f>
        <v>EQUIPAMENTOS</v>
      </c>
      <c r="B27" s="78">
        <f>SUM(SUMIFS(Despesas_Receitas!E:E,Despesas_Receitas!H:H,"BAR",Despesas_Receitas!I:I,A27,Despesas_Receitas!C:C,"&gt;=01/01/2019",Despesas_Receitas!C:C,"&lt;=31/01/2019"))</f>
        <v>0</v>
      </c>
      <c r="C27" s="78">
        <f>SUM(SUMIFS(Despesas_Receitas!E:E,Despesas_Receitas!H:H,"BAR",Despesas_Receitas!I:I,A27,Despesas_Receitas!C:C,"&gt;=01/02/2019",Despesas_Receitas!C:C,"&lt;=28/02/2019"))</f>
        <v>0</v>
      </c>
      <c r="D27" s="78">
        <f>SUM(SUMIFS(Despesas_Receitas!E:E,Despesas_Receitas!H:H,"BAR",Despesas_Receitas!I:I,A27,Despesas_Receitas!C:C,"&gt;=01/03/2019",Despesas_Receitas!C:C,"&lt;=31/03/2019"))</f>
        <v>-176</v>
      </c>
      <c r="E27" s="78">
        <f>SUM(SUMIFS(Despesas_Receitas!E:E,Despesas_Receitas!H:H,"BAR",Despesas_Receitas!I:I,A27,Despesas_Receitas!C:C,"&gt;=01/04/2019",Despesas_Receitas!C:C,"&lt;=30/04/2019"))</f>
        <v>0</v>
      </c>
      <c r="F27" s="78">
        <f>SUM(SUMIFS(Despesas_Receitas!E:E,Despesas_Receitas!H:H,"BAR",Despesas_Receitas!I:I,A27,Despesas_Receitas!C:C,"&gt;=01/05/2019",Despesas_Receitas!C:C,"&lt;=31/05/2019"))</f>
        <v>0</v>
      </c>
      <c r="G27" s="78">
        <f>SUM(SUMIFS(Despesas_Receitas!E:E,Despesas_Receitas!H:H,"BAR",Despesas_Receitas!I:I,A27,Despesas_Receitas!C:C,"&gt;=01/06/2019",Despesas_Receitas!C:C,"&lt;=30/06/2019"))</f>
        <v>0</v>
      </c>
      <c r="H27" s="78">
        <f>SUM(SUMIFS(Despesas_Receitas!E:E,Despesas_Receitas!H:H,"BAR",Despesas_Receitas!I:I,A27,Despesas_Receitas!C:C,"&gt;=01/07/2019",Despesas_Receitas!C:C,"&lt;=31/07/2019"))</f>
        <v>0</v>
      </c>
      <c r="I27" s="78">
        <f>SUM(SUMIFS(Despesas_Receitas!E:E,Despesas_Receitas!H:H,"BAR",Despesas_Receitas!I:I,A27,Despesas_Receitas!C:C,"&gt;=01/08/2019",Despesas_Receitas!C:C,"&lt;=31/08/2019"))</f>
        <v>0</v>
      </c>
      <c r="J27" s="78">
        <f>SUM(SUMIFS(Despesas_Receitas!E:E,Despesas_Receitas!H:H,"BAR",Despesas_Receitas!I:I,A27,Despesas_Receitas!C:C,"&gt;=01/09/2019",Despesas_Receitas!C:C,"&lt;=30/09/2019"))</f>
        <v>0</v>
      </c>
      <c r="K27" s="78">
        <f>SUM(SUMIFS(Despesas_Receitas!E:E,Despesas_Receitas!H:H,"BAR",Despesas_Receitas!I:I,A27,Despesas_Receitas!C:C,"&gt;=01/10/2019",Despesas_Receitas!C:C,"&lt;=31/10/2019"))</f>
        <v>0</v>
      </c>
      <c r="L27" s="78">
        <f>SUM(SUMIFS(Despesas_Receitas!E:E,Despesas_Receitas!H:H,"BAR",Despesas_Receitas!I:I,A27,Despesas_Receitas!C:C,"&gt;=01/11/2019",Despesas_Receitas!C:C,"&lt;=30/11/2019"))</f>
        <v>0</v>
      </c>
      <c r="M27" s="78">
        <f>SUM(SUMIFS(Despesas_Receitas!E:E,Despesas_Receitas!H:H,"BAR",Despesas_Receitas!I:I,A27,Despesas_Receitas!C:C,"&gt;=01/12/2019",Despesas_Receitas!C:C,"&lt;=31/12/2019"))</f>
        <v>0</v>
      </c>
      <c r="N27" s="84">
        <f t="shared" si="1"/>
        <v>-176</v>
      </c>
    </row>
    <row r="28" spans="1:17" ht="20">
      <c r="A28" s="77" t="str">
        <f>Despesas_Receitas!N8</f>
        <v>ENCARGOS C/ COLABORADORES</v>
      </c>
      <c r="B28" s="83">
        <f>SUM(B29:B32)</f>
        <v>0</v>
      </c>
      <c r="C28" s="83">
        <f t="shared" ref="C28:M28" si="3">SUM(C29:C32)</f>
        <v>-14.1</v>
      </c>
      <c r="D28" s="83">
        <f t="shared" si="3"/>
        <v>-237.45000000000002</v>
      </c>
      <c r="E28" s="83">
        <f t="shared" si="3"/>
        <v>-57.2</v>
      </c>
      <c r="F28" s="83">
        <f t="shared" si="3"/>
        <v>0</v>
      </c>
      <c r="G28" s="83">
        <f t="shared" si="3"/>
        <v>0</v>
      </c>
      <c r="H28" s="83">
        <f t="shared" si="3"/>
        <v>0</v>
      </c>
      <c r="I28" s="83">
        <f t="shared" si="3"/>
        <v>0</v>
      </c>
      <c r="J28" s="83">
        <f t="shared" si="3"/>
        <v>0</v>
      </c>
      <c r="K28" s="83">
        <f t="shared" si="3"/>
        <v>0</v>
      </c>
      <c r="L28" s="83">
        <f t="shared" si="3"/>
        <v>0</v>
      </c>
      <c r="M28" s="83">
        <f t="shared" si="3"/>
        <v>0</v>
      </c>
      <c r="N28" s="81">
        <f t="shared" si="1"/>
        <v>-308.75</v>
      </c>
    </row>
    <row r="29" spans="1:17" ht="19">
      <c r="A29" s="78" t="str">
        <f>Despesas_Receitas!O8</f>
        <v>COMBUSTIVEL</v>
      </c>
      <c r="B29" s="78">
        <f>SUM(SUMIFS(Despesas_Receitas!E:E,Despesas_Receitas!H:H,"ENCARGOS_C__COLABORADORES",Despesas_Receitas!I:I,A29,Despesas_Receitas!C:C,"&gt;=01/01/2019",Despesas_Receitas!C:C,"&lt;=31/01/2019"))</f>
        <v>0</v>
      </c>
      <c r="C29" s="78">
        <f>SUM(SUMIFS(Despesas_Receitas!E:E,Despesas_Receitas!H:H,"ENCARGOS_C__COLABORADORES",Despesas_Receitas!I:I,A29,Despesas_Receitas!C:C,"&gt;=01/02/2019",Despesas_Receitas!C:C,"&lt;=28/02/2019"))</f>
        <v>0</v>
      </c>
      <c r="D29" s="78">
        <f>SUM(SUMIFS(Despesas_Receitas!E:E,Despesas_Receitas!H:H,"ENCARGOS_C__COLABORADORES",Despesas_Receitas!I:I,A29,Despesas_Receitas!C:C,"&gt;=01/03/2019",Despesas_Receitas!C:C,"&lt;=31/03/2019"))</f>
        <v>-67.97</v>
      </c>
      <c r="E29" s="78">
        <f>SUM(SUMIFS(Despesas_Receitas!E:E,Despesas_Receitas!H:H,"ENCARGOS_C__COLABORADORES",Despesas_Receitas!I:I,A29,Despesas_Receitas!C:C,"&gt;=01/04/2019",Despesas_Receitas!C:C,"&lt;=30/04/2019"))</f>
        <v>0</v>
      </c>
      <c r="F29" s="78">
        <f>SUM(SUMIFS(Despesas_Receitas!E:E,Despesas_Receitas!H:H,"ENCARGOS_C__COLABORADORES",Despesas_Receitas!I:I,A29,Despesas_Receitas!C:C,"&gt;=01/05/2019",Despesas_Receitas!C:C,"&lt;=31/05/2019"))</f>
        <v>0</v>
      </c>
      <c r="G29" s="78">
        <f>SUM(SUMIFS(Despesas_Receitas!E:E,Despesas_Receitas!H:H,"ENCARGOS_C__COLABORADORES",Despesas_Receitas!I:I,A29,Despesas_Receitas!C:C,"&gt;=01/06/2019",Despesas_Receitas!C:C,"&lt;=30/06/2019"))</f>
        <v>0</v>
      </c>
      <c r="H29" s="78">
        <f>SUM(SUMIFS(Despesas_Receitas!E:E,Despesas_Receitas!H:H,"ENCARGOS_C__COLABORADORES",Despesas_Receitas!I:I,A29,Despesas_Receitas!C:C,"&gt;=01/07/2019",Despesas_Receitas!C:C,"&lt;=31/07/2019"))</f>
        <v>0</v>
      </c>
      <c r="I29" s="78">
        <f>SUM(SUMIFS(Despesas_Receitas!E:E,Despesas_Receitas!H:H,"ENCARGOS_C__COLABORADORES",Despesas_Receitas!I:I,A29,Despesas_Receitas!C:C,"&gt;=01/08/2019",Despesas_Receitas!C:C,"&lt;=31/08/2019"))</f>
        <v>0</v>
      </c>
      <c r="J29" s="78">
        <f>SUM(SUMIFS(Despesas_Receitas!E:E,Despesas_Receitas!H:H,"ENCARGOS_C__COLABORADORES",Despesas_Receitas!I:I,A29,Despesas_Receitas!C:C,"&gt;=01/09/2019",Despesas_Receitas!C:C,"&lt;=30/09/2019"))</f>
        <v>0</v>
      </c>
      <c r="K29" s="78">
        <f>SUM(SUMIFS(Despesas_Receitas!E:E,Despesas_Receitas!H:H,"ENCARGOS_C__COLABORADORES",Despesas_Receitas!I:I,A29,Despesas_Receitas!C:C,"&gt;=01/10/2019",Despesas_Receitas!C:C,"&lt;=31/10/2019"))</f>
        <v>0</v>
      </c>
      <c r="L29" s="78">
        <f>SUM(SUMIFS(Despesas_Receitas!E:E,Despesas_Receitas!H:H,"ENCARGOS_C__COLABORADORES",Despesas_Receitas!I:I,A29,Despesas_Receitas!C:C,"&gt;=01/11/2019",Despesas_Receitas!C:C,"&lt;=30/11/2019"))</f>
        <v>0</v>
      </c>
      <c r="M29" s="78">
        <f>SUM(SUMIFS(Despesas_Receitas!E:E,Despesas_Receitas!H:H,"ENCARGOS_C__COLABORADORES",Despesas_Receitas!I:I,A29,Despesas_Receitas!C:C,"&gt;=01/12/2019",Despesas_Receitas!C:C,"&lt;=31/12/2019"))</f>
        <v>0</v>
      </c>
      <c r="N29" s="84">
        <f t="shared" si="1"/>
        <v>-67.97</v>
      </c>
    </row>
    <row r="30" spans="1:17" ht="19">
      <c r="A30" s="78" t="str">
        <f>Despesas_Receitas!O9</f>
        <v>PORTAGENS</v>
      </c>
      <c r="B30" s="78">
        <f>SUM(SUMIFS(Despesas_Receitas!E:E,Despesas_Receitas!H:H,"ENCARGOS_C__COLABORADORES",Despesas_Receitas!I:I,A30,Despesas_Receitas!C:C,"&gt;=01/01/2019",Despesas_Receitas!C:C,"&lt;=31/01/2019"))</f>
        <v>0</v>
      </c>
      <c r="C30" s="78">
        <f>SUM(SUMIFS(Despesas_Receitas!E:E,Despesas_Receitas!H:H,"ENCARGOS_C__COLABORADORES",Despesas_Receitas!I:I,A30,Despesas_Receitas!C:C,"&gt;=01/02/2019",Despesas_Receitas!C:C,"&lt;=28/02/2019"))</f>
        <v>0</v>
      </c>
      <c r="D30" s="78">
        <f>SUM(SUMIFS(Despesas_Receitas!E:E,Despesas_Receitas!H:H,"ENCARGOS_C__COLABORADORES",Despesas_Receitas!I:I,A30,Despesas_Receitas!C:C,"&gt;=01/03/2019",Despesas_Receitas!C:C,"&lt;=31/03/2019"))</f>
        <v>0</v>
      </c>
      <c r="E30" s="78">
        <f>SUM(SUMIFS(Despesas_Receitas!E:E,Despesas_Receitas!H:H,"ENCARGOS_C__COLABORADORES",Despesas_Receitas!I:I,A30,Despesas_Receitas!C:C,"&gt;=01/04/2019",Despesas_Receitas!C:C,"&lt;=30/04/2019"))</f>
        <v>0</v>
      </c>
      <c r="F30" s="78">
        <f>SUM(SUMIFS(Despesas_Receitas!E:E,Despesas_Receitas!H:H,"ENCARGOS_C__COLABORADORES",Despesas_Receitas!I:I,A30,Despesas_Receitas!C:C,"&gt;=01/05/2019",Despesas_Receitas!C:C,"&lt;=31/05/2019"))</f>
        <v>0</v>
      </c>
      <c r="G30" s="78">
        <f>SUM(SUMIFS(Despesas_Receitas!E:E,Despesas_Receitas!H:H,"ENCARGOS_C__COLABORADORES",Despesas_Receitas!I:I,A30,Despesas_Receitas!C:C,"&gt;=01/06/2019",Despesas_Receitas!C:C,"&lt;=30/06/2019"))</f>
        <v>0</v>
      </c>
      <c r="H30" s="78">
        <f>SUM(SUMIFS(Despesas_Receitas!E:E,Despesas_Receitas!H:H,"ENCARGOS_C__COLABORADORES",Despesas_Receitas!I:I,A30,Despesas_Receitas!C:C,"&gt;=01/07/2019",Despesas_Receitas!C:C,"&lt;=31/07/2019"))</f>
        <v>0</v>
      </c>
      <c r="I30" s="78">
        <f>SUM(SUMIFS(Despesas_Receitas!E:E,Despesas_Receitas!H:H,"ENCARGOS_C__COLABORADORES",Despesas_Receitas!I:I,A30,Despesas_Receitas!C:C,"&gt;=01/08/2019",Despesas_Receitas!C:C,"&lt;=31/08/2019"))</f>
        <v>0</v>
      </c>
      <c r="J30" s="78">
        <f>SUM(SUMIFS(Despesas_Receitas!E:E,Despesas_Receitas!H:H,"ENCARGOS_C__COLABORADORES",Despesas_Receitas!I:I,A30,Despesas_Receitas!C:C,"&gt;=01/09/2019",Despesas_Receitas!C:C,"&lt;=30/09/2019"))</f>
        <v>0</v>
      </c>
      <c r="K30" s="78">
        <f>SUM(SUMIFS(Despesas_Receitas!E:E,Despesas_Receitas!H:H,"ENCARGOS_C__COLABORADORES",Despesas_Receitas!I:I,A30,Despesas_Receitas!C:C,"&gt;=01/10/2019",Despesas_Receitas!C:C,"&lt;=31/10/2019"))</f>
        <v>0</v>
      </c>
      <c r="L30" s="78">
        <f>SUM(SUMIFS(Despesas_Receitas!E:E,Despesas_Receitas!H:H,"ENCARGOS_C__COLABORADORES",Despesas_Receitas!I:I,A30,Despesas_Receitas!C:C,"&gt;=01/11/2019",Despesas_Receitas!C:C,"&lt;=30/11/2019"))</f>
        <v>0</v>
      </c>
      <c r="M30" s="78">
        <f>SUM(SUMIFS(Despesas_Receitas!E:E,Despesas_Receitas!H:H,"ENCARGOS_C__COLABORADORES",Despesas_Receitas!I:I,A30,Despesas_Receitas!C:C,"&gt;=01/12/2019",Despesas_Receitas!C:C,"&lt;=31/12/2019"))</f>
        <v>0</v>
      </c>
      <c r="N30" s="84">
        <f t="shared" si="1"/>
        <v>0</v>
      </c>
    </row>
    <row r="31" spans="1:17" ht="19">
      <c r="A31" s="78" t="str">
        <f>Despesas_Receitas!O10</f>
        <v>ALIMENTAÇÃO</v>
      </c>
      <c r="B31" s="78">
        <f>SUM(SUMIFS(Despesas_Receitas!E:E,Despesas_Receitas!H:H,"ENCARGOS_C__COLABORADORES",Despesas_Receitas!I:I,A31,Despesas_Receitas!C:C,"&gt;=01/01/2019",Despesas_Receitas!C:C,"&lt;=31/01/2019"))</f>
        <v>0</v>
      </c>
      <c r="C31" s="78">
        <f>SUM(SUMIFS(Despesas_Receitas!E:E,Despesas_Receitas!H:H,"ENCARGOS_C__COLABORADORES",Despesas_Receitas!I:I,A31,Despesas_Receitas!C:C,"&gt;=01/02/2019",Despesas_Receitas!C:C,"&lt;=28/02/2019"))</f>
        <v>-14.1</v>
      </c>
      <c r="D31" s="78">
        <f>SUM(SUMIFS(Despesas_Receitas!E:E,Despesas_Receitas!H:H,"ENCARGOS_C__COLABORADORES",Despesas_Receitas!I:I,A31,Despesas_Receitas!C:C,"&gt;=01/03/2019",Despesas_Receitas!C:C,"&lt;=31/03/2019"))</f>
        <v>-169.48000000000002</v>
      </c>
      <c r="E31" s="78">
        <f>SUM(SUMIFS(Despesas_Receitas!E:E,Despesas_Receitas!H:H,"ENCARGOS_C__COLABORADORES",Despesas_Receitas!I:I,A31,Despesas_Receitas!C:C,"&gt;=01/04/2019",Despesas_Receitas!C:C,"&lt;=30/04/2019"))</f>
        <v>-28.2</v>
      </c>
      <c r="F31" s="78">
        <f>SUM(SUMIFS(Despesas_Receitas!E:E,Despesas_Receitas!H:H,"ENCARGOS_C__COLABORADORES",Despesas_Receitas!I:I,A31,Despesas_Receitas!C:C,"&gt;=01/05/2019",Despesas_Receitas!C:C,"&lt;=31/05/2019"))</f>
        <v>0</v>
      </c>
      <c r="G31" s="78">
        <f>SUM(SUMIFS(Despesas_Receitas!E:E,Despesas_Receitas!H:H,"ENCARGOS_C__COLABORADORES",Despesas_Receitas!I:I,A31,Despesas_Receitas!C:C,"&gt;=01/06/2019",Despesas_Receitas!C:C,"&lt;=30/06/2019"))</f>
        <v>0</v>
      </c>
      <c r="H31" s="78">
        <f>SUM(SUMIFS(Despesas_Receitas!E:E,Despesas_Receitas!H:H,"ENCARGOS_C__COLABORADORES",Despesas_Receitas!I:I,A31,Despesas_Receitas!C:C,"&gt;=01/07/2019",Despesas_Receitas!C:C,"&lt;=31/07/2019"))</f>
        <v>0</v>
      </c>
      <c r="I31" s="78">
        <f>SUM(SUMIFS(Despesas_Receitas!E:E,Despesas_Receitas!H:H,"ENCARGOS_C__COLABORADORES",Despesas_Receitas!I:I,A31,Despesas_Receitas!C:C,"&gt;=01/08/2019",Despesas_Receitas!C:C,"&lt;=31/08/2019"))</f>
        <v>0</v>
      </c>
      <c r="J31" s="78">
        <f>SUM(SUMIFS(Despesas_Receitas!E:E,Despesas_Receitas!H:H,"ENCARGOS_C__COLABORADORES",Despesas_Receitas!I:I,A31,Despesas_Receitas!C:C,"&gt;=01/09/2019",Despesas_Receitas!C:C,"&lt;=30/09/2019"))</f>
        <v>0</v>
      </c>
      <c r="K31" s="78">
        <f>SUM(SUMIFS(Despesas_Receitas!E:E,Despesas_Receitas!H:H,"ENCARGOS_C__COLABORADORES",Despesas_Receitas!I:I,A31,Despesas_Receitas!C:C,"&gt;=01/10/2019",Despesas_Receitas!C:C,"&lt;=31/10/2019"))</f>
        <v>0</v>
      </c>
      <c r="L31" s="78">
        <f>SUM(SUMIFS(Despesas_Receitas!E:E,Despesas_Receitas!H:H,"ENCARGOS_C__COLABORADORES",Despesas_Receitas!I:I,A31,Despesas_Receitas!C:C,"&gt;=01/11/2019",Despesas_Receitas!C:C,"&lt;=30/11/2019"))</f>
        <v>0</v>
      </c>
      <c r="M31" s="78">
        <f>SUM(SUMIFS(Despesas_Receitas!E:E,Despesas_Receitas!H:H,"ENCARGOS_C__COLABORADORES",Despesas_Receitas!I:I,A31,Despesas_Receitas!C:C,"&gt;=01/12/2019",Despesas_Receitas!C:C,"&lt;=31/12/2019"))</f>
        <v>0</v>
      </c>
      <c r="N31" s="84">
        <f t="shared" si="1"/>
        <v>-211.78</v>
      </c>
    </row>
    <row r="32" spans="1:17" ht="19">
      <c r="A32" s="78" t="str">
        <f>Despesas_Receitas!O11</f>
        <v>OUTROS</v>
      </c>
      <c r="B32" s="78">
        <f>SUM(SUMIFS(Despesas_Receitas!E:E,Despesas_Receitas!H:H,"ENCARGOS_C__COLABORADORES",Despesas_Receitas!I:I,A32,Despesas_Receitas!C:C,"&gt;=01/01/2019",Despesas_Receitas!C:C,"&lt;=31/01/2019"))</f>
        <v>0</v>
      </c>
      <c r="C32" s="78">
        <f>SUM(SUMIFS(Despesas_Receitas!E:E,Despesas_Receitas!H:H,"ENCARGOS_C__COLABORADORES",Despesas_Receitas!I:I,A32,Despesas_Receitas!C:C,"&gt;=01/02/2019",Despesas_Receitas!C:C,"&lt;=28/02/2019"))</f>
        <v>0</v>
      </c>
      <c r="D32" s="78">
        <f>SUM(SUMIFS(Despesas_Receitas!E:E,Despesas_Receitas!H:H,"ENCARGOS_C__COLABORADORES",Despesas_Receitas!I:I,A32,Despesas_Receitas!C:C,"&gt;=01/03/2019",Despesas_Receitas!C:C,"&lt;=31/03/2019"))</f>
        <v>0</v>
      </c>
      <c r="E32" s="78">
        <f>SUM(SUMIFS(Despesas_Receitas!E:E,Despesas_Receitas!H:H,"ENCARGOS_C__COLABORADORES",Despesas_Receitas!I:I,A32,Despesas_Receitas!C:C,"&gt;=01/04/2019",Despesas_Receitas!C:C,"&lt;=30/04/2019"))</f>
        <v>-29</v>
      </c>
      <c r="F32" s="78">
        <f>SUM(SUMIFS(Despesas_Receitas!E:E,Despesas_Receitas!H:H,"ENCARGOS_C__COLABORADORES",Despesas_Receitas!I:I,A32,Despesas_Receitas!C:C,"&gt;=01/05/2019",Despesas_Receitas!C:C,"&lt;=31/05/2019"))</f>
        <v>0</v>
      </c>
      <c r="G32" s="78">
        <f>SUM(SUMIFS(Despesas_Receitas!E:E,Despesas_Receitas!H:H,"ENCARGOS_C__COLABORADORES",Despesas_Receitas!I:I,A32,Despesas_Receitas!C:C,"&gt;=01/06/2019",Despesas_Receitas!C:C,"&lt;=30/06/2019"))</f>
        <v>0</v>
      </c>
      <c r="H32" s="78">
        <f>SUM(SUMIFS(Despesas_Receitas!E:E,Despesas_Receitas!H:H,"ENCARGOS_C__COLABORADORES",Despesas_Receitas!I:I,A32,Despesas_Receitas!C:C,"&gt;=01/07/2019",Despesas_Receitas!C:C,"&lt;=31/07/2019"))</f>
        <v>0</v>
      </c>
      <c r="I32" s="78">
        <f>SUM(SUMIFS(Despesas_Receitas!E:E,Despesas_Receitas!H:H,"ENCARGOS_C__COLABORADORES",Despesas_Receitas!I:I,A32,Despesas_Receitas!C:C,"&gt;=01/08/2019",Despesas_Receitas!C:C,"&lt;=31/08/2019"))</f>
        <v>0</v>
      </c>
      <c r="J32" s="78">
        <f>SUM(SUMIFS(Despesas_Receitas!E:E,Despesas_Receitas!H:H,"ENCARGOS_C__COLABORADORES",Despesas_Receitas!I:I,A32,Despesas_Receitas!C:C,"&gt;=01/09/2019",Despesas_Receitas!C:C,"&lt;=30/09/2019"))</f>
        <v>0</v>
      </c>
      <c r="K32" s="78">
        <f>SUM(SUMIFS(Despesas_Receitas!E:E,Despesas_Receitas!H:H,"ENCARGOS_C__COLABORADORES",Despesas_Receitas!I:I,A32,Despesas_Receitas!C:C,"&gt;=01/10/2019",Despesas_Receitas!C:C,"&lt;=31/10/2019"))</f>
        <v>0</v>
      </c>
      <c r="L32" s="78">
        <f>SUM(SUMIFS(Despesas_Receitas!E:E,Despesas_Receitas!H:H,"ENCARGOS_C__COLABORADORES",Despesas_Receitas!I:I,A32,Despesas_Receitas!C:C,"&gt;=01/11/2019",Despesas_Receitas!C:C,"&lt;=30/11/2019"))</f>
        <v>0</v>
      </c>
      <c r="M32" s="78">
        <f>SUM(SUMIFS(Despesas_Receitas!E:E,Despesas_Receitas!H:H,"ENCARGOS_C__COLABORADORES",Despesas_Receitas!I:I,A32,Despesas_Receitas!C:C,"&gt;=01/12/2019",Despesas_Receitas!C:C,"&lt;=31/12/2019"))</f>
        <v>0</v>
      </c>
      <c r="N32" s="84">
        <f t="shared" si="1"/>
        <v>-29</v>
      </c>
    </row>
    <row r="33" spans="1:14" ht="20">
      <c r="A33" s="77" t="str">
        <f>Despesas_Receitas!N31</f>
        <v>EQUIPAMENTOS</v>
      </c>
      <c r="B33" s="83">
        <f>SUM(B34:B40)</f>
        <v>0</v>
      </c>
      <c r="C33" s="83">
        <f t="shared" ref="C33:M33" si="4">SUM(C34:C40)</f>
        <v>0</v>
      </c>
      <c r="D33" s="83">
        <f t="shared" si="4"/>
        <v>-388.99</v>
      </c>
      <c r="E33" s="83">
        <f t="shared" si="4"/>
        <v>0</v>
      </c>
      <c r="F33" s="83">
        <f t="shared" si="4"/>
        <v>0</v>
      </c>
      <c r="G33" s="83">
        <f t="shared" si="4"/>
        <v>0</v>
      </c>
      <c r="H33" s="83">
        <f t="shared" si="4"/>
        <v>0</v>
      </c>
      <c r="I33" s="83">
        <f t="shared" si="4"/>
        <v>0</v>
      </c>
      <c r="J33" s="83">
        <f t="shared" si="4"/>
        <v>0</v>
      </c>
      <c r="K33" s="83">
        <f t="shared" si="4"/>
        <v>0</v>
      </c>
      <c r="L33" s="83">
        <f t="shared" si="4"/>
        <v>0</v>
      </c>
      <c r="M33" s="83">
        <f t="shared" si="4"/>
        <v>0</v>
      </c>
      <c r="N33" s="81">
        <f t="shared" si="1"/>
        <v>-388.99</v>
      </c>
    </row>
    <row r="34" spans="1:14" ht="19">
      <c r="A34" s="78" t="str">
        <f>Despesas_Receitas!O31</f>
        <v>PIANO</v>
      </c>
      <c r="B34" s="78">
        <f>SUM(SUMIFS(Despesas_Receitas!E:E,Despesas_Receitas!H:H,A$33,Despesas_Receitas!I:I,A34,Despesas_Receitas!C:C,"&gt;=01/01/2019",Despesas_Receitas!C:C,"&lt;=31/01/2019"))</f>
        <v>0</v>
      </c>
      <c r="C34" s="78">
        <f>SUM(SUMIFS(Despesas_Receitas!E:E,Despesas_Receitas!H:H,A$33,Despesas_Receitas!I:I,A34,Despesas_Receitas!C:C,"&gt;=01/02/2019",Despesas_Receitas!C:C,"&lt;=28/02/2019"))</f>
        <v>0</v>
      </c>
      <c r="D34" s="78">
        <f>SUM(SUMIFS(Despesas_Receitas!E:E,Despesas_Receitas!H:H,A$33,Despesas_Receitas!I:I,A34,Despesas_Receitas!C:C,"&gt;=01/03/2019",Despesas_Receitas!C:C,"&lt;=31/03/2019"))</f>
        <v>0</v>
      </c>
      <c r="E34" s="78">
        <f>SUM(SUMIFS(Despesas_Receitas!E:E,Despesas_Receitas!H:H,A$33,Despesas_Receitas!I:I,A34,Despesas_Receitas!C:C,"&gt;=01/04/2019",Despesas_Receitas!C:C,"&lt;=30/04/2019"))</f>
        <v>0</v>
      </c>
      <c r="F34" s="78">
        <f>SUM(SUMIFS(Despesas_Receitas!E:E,Despesas_Receitas!H:H,A$33,Despesas_Receitas!I:I,A34,Despesas_Receitas!C:C,"&gt;=01/05/2019",Despesas_Receitas!C:C,"&lt;=31/05/2019"))</f>
        <v>0</v>
      </c>
      <c r="G34" s="78">
        <f>SUM(SUMIFS(Despesas_Receitas!E:E,Despesas_Receitas!H:H,A$33,Despesas_Receitas!I:I,A34,Despesas_Receitas!C:C,"&gt;=01/06/2019",Despesas_Receitas!C:C,"&lt;=30/06/2019"))</f>
        <v>0</v>
      </c>
      <c r="H34" s="78">
        <f>SUM(SUMIFS(Despesas_Receitas!E:E,Despesas_Receitas!H:H,A$33,Despesas_Receitas!I:I,A34,Despesas_Receitas!C:C,"&gt;=01/07/2019",Despesas_Receitas!C:C,"&lt;=31/07/2019"))</f>
        <v>0</v>
      </c>
      <c r="I34" s="78">
        <f>SUM(SUMIFS(Despesas_Receitas!E:E,Despesas_Receitas!H:H,A$33,Despesas_Receitas!I:I,A34,Despesas_Receitas!C:C,"&gt;=01/08/2019",Despesas_Receitas!C:C,"&lt;=31/08/2019"))</f>
        <v>0</v>
      </c>
      <c r="J34" s="78">
        <f>SUM(SUMIFS(Despesas_Receitas!E:E,Despesas_Receitas!H:H,A$33,Despesas_Receitas!I:I,A34,Despesas_Receitas!C:C,"&gt;=01/09/2019",Despesas_Receitas!C:C,"&lt;=30/09/2019"))</f>
        <v>0</v>
      </c>
      <c r="K34" s="78">
        <f>SUM(SUMIFS(Despesas_Receitas!E:E,Despesas_Receitas!H:H,A$33,Despesas_Receitas!I:I,A34,Despesas_Receitas!C:C,"&gt;=01/10/2019",Despesas_Receitas!C:C,"&lt;=31/10/2019"))</f>
        <v>0</v>
      </c>
      <c r="L34" s="78">
        <f>SUM(SUMIFS(Despesas_Receitas!E:E,Despesas_Receitas!H:H,A$33,Despesas_Receitas!I:I,A34,Despesas_Receitas!C:C,"&gt;=01/11/2019",Despesas_Receitas!C:C,"&lt;=30/11/2019"))</f>
        <v>0</v>
      </c>
      <c r="M34" s="78">
        <f>SUM(SUMIFS(Despesas_Receitas!E:E,Despesas_Receitas!H:H,A$33,Despesas_Receitas!I:I,A34,Despesas_Receitas!C:C,"&gt;=01/12/2019",Despesas_Receitas!C:C,"&lt;=31/12/2019"))</f>
        <v>0</v>
      </c>
      <c r="N34" s="84">
        <f t="shared" ref="N34:N41" si="5">SUM(B34:M34)</f>
        <v>0</v>
      </c>
    </row>
    <row r="35" spans="1:14" ht="19">
      <c r="A35" s="78" t="str">
        <f>Despesas_Receitas!O32</f>
        <v>PROJECTORES/MESA DE LUZ &amp; CONSUMÍVEIS</v>
      </c>
      <c r="B35" s="78">
        <f>SUM(SUMIFS(Despesas_Receitas!E:E,Despesas_Receitas!H:H,A$33,Despesas_Receitas!I:I,A35,Despesas_Receitas!C:C,"&gt;=01/01/2019",Despesas_Receitas!C:C,"&lt;=31/01/2019"))</f>
        <v>0</v>
      </c>
      <c r="C35" s="78">
        <f>SUM(SUMIFS(Despesas_Receitas!E:E,Despesas_Receitas!H:H,A$33,Despesas_Receitas!I:I,A35,Despesas_Receitas!C:C,"&gt;=01/02/2019",Despesas_Receitas!C:C,"&lt;=28/02/2019"))</f>
        <v>0</v>
      </c>
      <c r="D35" s="78">
        <f>SUM(SUMIFS(Despesas_Receitas!E:E,Despesas_Receitas!H:H,A$33,Despesas_Receitas!I:I,A35,Despesas_Receitas!C:C,"&gt;=01/03/2019",Despesas_Receitas!C:C,"&lt;=31/03/2019"))</f>
        <v>0</v>
      </c>
      <c r="E35" s="78">
        <f>SUM(SUMIFS(Despesas_Receitas!E:E,Despesas_Receitas!H:H,A$33,Despesas_Receitas!I:I,A35,Despesas_Receitas!C:C,"&gt;=01/04/2019",Despesas_Receitas!C:C,"&lt;=30/04/2019"))</f>
        <v>0</v>
      </c>
      <c r="F35" s="78">
        <f>SUM(SUMIFS(Despesas_Receitas!E:E,Despesas_Receitas!H:H,A$33,Despesas_Receitas!I:I,A35,Despesas_Receitas!C:C,"&gt;=01/05/2019",Despesas_Receitas!C:C,"&lt;=31/05/2019"))</f>
        <v>0</v>
      </c>
      <c r="G35" s="78">
        <f>SUM(SUMIFS(Despesas_Receitas!E:E,Despesas_Receitas!H:H,A$33,Despesas_Receitas!I:I,A35,Despesas_Receitas!C:C,"&gt;=01/06/2019",Despesas_Receitas!C:C,"&lt;=30/06/2019"))</f>
        <v>0</v>
      </c>
      <c r="H35" s="78">
        <f>SUM(SUMIFS(Despesas_Receitas!E:E,Despesas_Receitas!H:H,A$33,Despesas_Receitas!I:I,A35,Despesas_Receitas!C:C,"&gt;=01/07/2019",Despesas_Receitas!C:C,"&lt;=31/07/2019"))</f>
        <v>0</v>
      </c>
      <c r="I35" s="78">
        <f>SUM(SUMIFS(Despesas_Receitas!E:E,Despesas_Receitas!H:H,A$33,Despesas_Receitas!I:I,A35,Despesas_Receitas!C:C,"&gt;=01/08/2019",Despesas_Receitas!C:C,"&lt;=31/08/2019"))</f>
        <v>0</v>
      </c>
      <c r="J35" s="78">
        <f>SUM(SUMIFS(Despesas_Receitas!E:E,Despesas_Receitas!H:H,A$33,Despesas_Receitas!I:I,A35,Despesas_Receitas!C:C,"&gt;=01/09/2019",Despesas_Receitas!C:C,"&lt;=30/09/2019"))</f>
        <v>0</v>
      </c>
      <c r="K35" s="78">
        <f>SUM(SUMIFS(Despesas_Receitas!E:E,Despesas_Receitas!H:H,A$33,Despesas_Receitas!I:I,A35,Despesas_Receitas!C:C,"&gt;=01/10/2019",Despesas_Receitas!C:C,"&lt;=31/10/2019"))</f>
        <v>0</v>
      </c>
      <c r="L35" s="78">
        <f>SUM(SUMIFS(Despesas_Receitas!E:E,Despesas_Receitas!H:H,A$33,Despesas_Receitas!I:I,A35,Despesas_Receitas!C:C,"&gt;=01/11/2019",Despesas_Receitas!C:C,"&lt;=30/11/2019"))</f>
        <v>0</v>
      </c>
      <c r="M35" s="78">
        <f>SUM(SUMIFS(Despesas_Receitas!E:E,Despesas_Receitas!H:H,A$33,Despesas_Receitas!I:I,A35,Despesas_Receitas!C:C,"&gt;=01/12/2019",Despesas_Receitas!C:C,"&lt;=31/12/2019"))</f>
        <v>0</v>
      </c>
      <c r="N35" s="84">
        <f t="shared" si="5"/>
        <v>0</v>
      </c>
    </row>
    <row r="36" spans="1:14" ht="19">
      <c r="A36" s="78" t="str">
        <f>Despesas_Receitas!O33</f>
        <v>EQUIPAMENTOS SOM</v>
      </c>
      <c r="B36" s="78">
        <f>SUM(SUMIFS(Despesas_Receitas!E:E,Despesas_Receitas!H:H,A$33,Despesas_Receitas!I:I,A36,Despesas_Receitas!C:C,"&gt;=01/01/2019",Despesas_Receitas!C:C,"&lt;=31/01/2019"))</f>
        <v>0</v>
      </c>
      <c r="C36" s="78">
        <f>SUM(SUMIFS(Despesas_Receitas!E:E,Despesas_Receitas!H:H,A$33,Despesas_Receitas!I:I,A36,Despesas_Receitas!C:C,"&gt;=01/02/2019",Despesas_Receitas!C:C,"&lt;=28/02/2019"))</f>
        <v>0</v>
      </c>
      <c r="D36" s="78">
        <f>SUM(SUMIFS(Despesas_Receitas!E:E,Despesas_Receitas!H:H,A$33,Despesas_Receitas!I:I,A36,Despesas_Receitas!C:C,"&gt;=01/03/2019",Despesas_Receitas!C:C,"&lt;=31/03/2019"))</f>
        <v>0</v>
      </c>
      <c r="E36" s="78">
        <f>SUM(SUMIFS(Despesas_Receitas!E:E,Despesas_Receitas!H:H,A$33,Despesas_Receitas!I:I,A36,Despesas_Receitas!C:C,"&gt;=01/04/2019",Despesas_Receitas!C:C,"&lt;=30/04/2019"))</f>
        <v>0</v>
      </c>
      <c r="F36" s="78">
        <f>SUM(SUMIFS(Despesas_Receitas!E:E,Despesas_Receitas!H:H,A$33,Despesas_Receitas!I:I,A36,Despesas_Receitas!C:C,"&gt;=01/05/2019",Despesas_Receitas!C:C,"&lt;=31/05/2019"))</f>
        <v>0</v>
      </c>
      <c r="G36" s="78">
        <f>SUM(SUMIFS(Despesas_Receitas!E:E,Despesas_Receitas!H:H,A$33,Despesas_Receitas!I:I,A36,Despesas_Receitas!C:C,"&gt;=01/06/2019",Despesas_Receitas!C:C,"&lt;=30/06/2019"))</f>
        <v>0</v>
      </c>
      <c r="H36" s="78">
        <f>SUM(SUMIFS(Despesas_Receitas!E:E,Despesas_Receitas!H:H,A$33,Despesas_Receitas!I:I,A36,Despesas_Receitas!C:C,"&gt;=01/07/2019",Despesas_Receitas!C:C,"&lt;=31/07/2019"))</f>
        <v>0</v>
      </c>
      <c r="I36" s="78">
        <f>SUM(SUMIFS(Despesas_Receitas!E:E,Despesas_Receitas!H:H,A$33,Despesas_Receitas!I:I,A36,Despesas_Receitas!C:C,"&gt;=01/08/2019",Despesas_Receitas!C:C,"&lt;=31/08/2019"))</f>
        <v>0</v>
      </c>
      <c r="J36" s="78">
        <f>SUM(SUMIFS(Despesas_Receitas!E:E,Despesas_Receitas!H:H,A$33,Despesas_Receitas!I:I,A36,Despesas_Receitas!C:C,"&gt;=01/09/2019",Despesas_Receitas!C:C,"&lt;=30/09/2019"))</f>
        <v>0</v>
      </c>
      <c r="K36" s="78">
        <f>SUM(SUMIFS(Despesas_Receitas!E:E,Despesas_Receitas!H:H,A$33,Despesas_Receitas!I:I,A36,Despesas_Receitas!C:C,"&gt;=01/10/2019",Despesas_Receitas!C:C,"&lt;=31/10/2019"))</f>
        <v>0</v>
      </c>
      <c r="L36" s="78">
        <f>SUM(SUMIFS(Despesas_Receitas!E:E,Despesas_Receitas!H:H,A$33,Despesas_Receitas!I:I,A36,Despesas_Receitas!C:C,"&gt;=01/11/2019",Despesas_Receitas!C:C,"&lt;=30/11/2019"))</f>
        <v>0</v>
      </c>
      <c r="M36" s="78">
        <f>SUM(SUMIFS(Despesas_Receitas!E:E,Despesas_Receitas!H:H,A$33,Despesas_Receitas!I:I,A36,Despesas_Receitas!C:C,"&gt;=01/12/2019",Despesas_Receitas!C:C,"&lt;=31/12/2019"))</f>
        <v>0</v>
      </c>
      <c r="N36" s="84">
        <f t="shared" si="5"/>
        <v>0</v>
      </c>
    </row>
    <row r="37" spans="1:14" ht="19">
      <c r="A37" s="78" t="str">
        <f>Despesas_Receitas!O34</f>
        <v>REGA</v>
      </c>
      <c r="B37" s="78">
        <f>SUM(SUMIFS(Despesas_Receitas!E:E,Despesas_Receitas!H:H,A$33,Despesas_Receitas!I:I,A37,Despesas_Receitas!C:C,"&gt;=01/01/2019",Despesas_Receitas!C:C,"&lt;=31/01/2019"))</f>
        <v>0</v>
      </c>
      <c r="C37" s="78">
        <f>SUM(SUMIFS(Despesas_Receitas!E:E,Despesas_Receitas!H:H,A$33,Despesas_Receitas!I:I,A37,Despesas_Receitas!C:C,"&gt;=01/02/2019",Despesas_Receitas!C:C,"&lt;=28/02/2019"))</f>
        <v>0</v>
      </c>
      <c r="D37" s="78">
        <f>SUM(SUMIFS(Despesas_Receitas!E:E,Despesas_Receitas!H:H,A$33,Despesas_Receitas!I:I,A37,Despesas_Receitas!C:C,"&gt;=01/03/2019",Despesas_Receitas!C:C,"&lt;=31/03/2019"))</f>
        <v>0</v>
      </c>
      <c r="E37" s="78">
        <f>SUM(SUMIFS(Despesas_Receitas!E:E,Despesas_Receitas!H:H,A$33,Despesas_Receitas!I:I,A37,Despesas_Receitas!C:C,"&gt;=01/04/2019",Despesas_Receitas!C:C,"&lt;=30/04/2019"))</f>
        <v>0</v>
      </c>
      <c r="F37" s="78">
        <f>SUM(SUMIFS(Despesas_Receitas!E:E,Despesas_Receitas!H:H,A$33,Despesas_Receitas!I:I,A37,Despesas_Receitas!C:C,"&gt;=01/05/2019",Despesas_Receitas!C:C,"&lt;=31/05/2019"))</f>
        <v>0</v>
      </c>
      <c r="G37" s="78">
        <f>SUM(SUMIFS(Despesas_Receitas!E:E,Despesas_Receitas!H:H,A$33,Despesas_Receitas!I:I,A37,Despesas_Receitas!C:C,"&gt;=01/06/2019",Despesas_Receitas!C:C,"&lt;=30/06/2019"))</f>
        <v>0</v>
      </c>
      <c r="H37" s="78">
        <f>SUM(SUMIFS(Despesas_Receitas!E:E,Despesas_Receitas!H:H,A$33,Despesas_Receitas!I:I,A37,Despesas_Receitas!C:C,"&gt;=01/07/2019",Despesas_Receitas!C:C,"&lt;=31/07/2019"))</f>
        <v>0</v>
      </c>
      <c r="I37" s="78">
        <f>SUM(SUMIFS(Despesas_Receitas!E:E,Despesas_Receitas!H:H,A$33,Despesas_Receitas!I:I,A37,Despesas_Receitas!C:C,"&gt;=01/08/2019",Despesas_Receitas!C:C,"&lt;=31/08/2019"))</f>
        <v>0</v>
      </c>
      <c r="J37" s="78">
        <f>SUM(SUMIFS(Despesas_Receitas!E:E,Despesas_Receitas!H:H,A$33,Despesas_Receitas!I:I,A37,Despesas_Receitas!C:C,"&gt;=01/09/2019",Despesas_Receitas!C:C,"&lt;=30/09/2019"))</f>
        <v>0</v>
      </c>
      <c r="K37" s="78">
        <f>SUM(SUMIFS(Despesas_Receitas!E:E,Despesas_Receitas!H:H,A$33,Despesas_Receitas!I:I,A37,Despesas_Receitas!C:C,"&gt;=01/10/2019",Despesas_Receitas!C:C,"&lt;=31/10/2019"))</f>
        <v>0</v>
      </c>
      <c r="L37" s="78">
        <f>SUM(SUMIFS(Despesas_Receitas!E:E,Despesas_Receitas!H:H,A$33,Despesas_Receitas!I:I,A37,Despesas_Receitas!C:C,"&gt;=01/11/2019",Despesas_Receitas!C:C,"&lt;=30/11/2019"))</f>
        <v>0</v>
      </c>
      <c r="M37" s="78">
        <f>SUM(SUMIFS(Despesas_Receitas!E:E,Despesas_Receitas!H:H,A$33,Despesas_Receitas!I:I,A37,Despesas_Receitas!C:C,"&gt;=01/12/2019",Despesas_Receitas!C:C,"&lt;=31/12/2019"))</f>
        <v>0</v>
      </c>
      <c r="N37" s="84">
        <f t="shared" si="5"/>
        <v>0</v>
      </c>
    </row>
    <row r="38" spans="1:14" ht="19">
      <c r="A38" s="78" t="str">
        <f>Despesas_Receitas!O35</f>
        <v>DATA-SHOW</v>
      </c>
      <c r="B38" s="78">
        <f>SUM(SUMIFS(Despesas_Receitas!E:E,Despesas_Receitas!H:H,A$33,Despesas_Receitas!I:I,A38,Despesas_Receitas!C:C,"&gt;=01/01/2019",Despesas_Receitas!C:C,"&lt;=31/01/2019"))</f>
        <v>0</v>
      </c>
      <c r="C38" s="78">
        <f>SUM(SUMIFS(Despesas_Receitas!E:E,Despesas_Receitas!H:H,A$33,Despesas_Receitas!I:I,A38,Despesas_Receitas!C:C,"&gt;=01/02/2019",Despesas_Receitas!C:C,"&lt;=28/02/2019"))</f>
        <v>0</v>
      </c>
      <c r="D38" s="78">
        <f>SUM(SUMIFS(Despesas_Receitas!E:E,Despesas_Receitas!H:H,A$33,Despesas_Receitas!I:I,A38,Despesas_Receitas!C:C,"&gt;=01/03/2019",Despesas_Receitas!C:C,"&lt;=31/03/2019"))</f>
        <v>0</v>
      </c>
      <c r="E38" s="78">
        <f>SUM(SUMIFS(Despesas_Receitas!E:E,Despesas_Receitas!H:H,A$33,Despesas_Receitas!I:I,A38,Despesas_Receitas!C:C,"&gt;=01/04/2019",Despesas_Receitas!C:C,"&lt;=30/04/2019"))</f>
        <v>0</v>
      </c>
      <c r="F38" s="78">
        <f>SUM(SUMIFS(Despesas_Receitas!E:E,Despesas_Receitas!H:H,A$33,Despesas_Receitas!I:I,A38,Despesas_Receitas!C:C,"&gt;=01/05/2019",Despesas_Receitas!C:C,"&lt;=31/05/2019"))</f>
        <v>0</v>
      </c>
      <c r="G38" s="78">
        <f>SUM(SUMIFS(Despesas_Receitas!E:E,Despesas_Receitas!H:H,A$33,Despesas_Receitas!I:I,A38,Despesas_Receitas!C:C,"&gt;=01/06/2019",Despesas_Receitas!C:C,"&lt;=30/06/2019"))</f>
        <v>0</v>
      </c>
      <c r="H38" s="78">
        <f>SUM(SUMIFS(Despesas_Receitas!E:E,Despesas_Receitas!H:H,A$33,Despesas_Receitas!I:I,A38,Despesas_Receitas!C:C,"&gt;=01/07/2019",Despesas_Receitas!C:C,"&lt;=31/07/2019"))</f>
        <v>0</v>
      </c>
      <c r="I38" s="78">
        <f>SUM(SUMIFS(Despesas_Receitas!E:E,Despesas_Receitas!H:H,A$33,Despesas_Receitas!I:I,A38,Despesas_Receitas!C:C,"&gt;=01/08/2019",Despesas_Receitas!C:C,"&lt;=31/08/2019"))</f>
        <v>0</v>
      </c>
      <c r="J38" s="78">
        <f>SUM(SUMIFS(Despesas_Receitas!E:E,Despesas_Receitas!H:H,A$33,Despesas_Receitas!I:I,A38,Despesas_Receitas!C:C,"&gt;=01/09/2019",Despesas_Receitas!C:C,"&lt;=30/09/2019"))</f>
        <v>0</v>
      </c>
      <c r="K38" s="78">
        <f>SUM(SUMIFS(Despesas_Receitas!E:E,Despesas_Receitas!H:H,A$33,Despesas_Receitas!I:I,A38,Despesas_Receitas!C:C,"&gt;=01/10/2019",Despesas_Receitas!C:C,"&lt;=31/10/2019"))</f>
        <v>0</v>
      </c>
      <c r="L38" s="78">
        <f>SUM(SUMIFS(Despesas_Receitas!E:E,Despesas_Receitas!H:H,A$33,Despesas_Receitas!I:I,A38,Despesas_Receitas!C:C,"&gt;=01/11/2019",Despesas_Receitas!C:C,"&lt;=30/11/2019"))</f>
        <v>0</v>
      </c>
      <c r="M38" s="78">
        <f>SUM(SUMIFS(Despesas_Receitas!E:E,Despesas_Receitas!H:H,A$33,Despesas_Receitas!I:I,A38,Despesas_Receitas!C:C,"&gt;=01/12/2019",Despesas_Receitas!C:C,"&lt;=31/12/2019"))</f>
        <v>0</v>
      </c>
      <c r="N38" s="84">
        <f t="shared" si="5"/>
        <v>0</v>
      </c>
    </row>
    <row r="39" spans="1:14" ht="19">
      <c r="A39" s="78" t="str">
        <f>Despesas_Receitas!O36</f>
        <v>EQUIPAMENTO JARDIM</v>
      </c>
      <c r="B39" s="78">
        <f>SUM(SUMIFS(Despesas_Receitas!E:E,Despesas_Receitas!H:H,A$33,Despesas_Receitas!I:I,A39,Despesas_Receitas!C:C,"&gt;=01/01/2019",Despesas_Receitas!C:C,"&lt;=31/01/2019"))</f>
        <v>0</v>
      </c>
      <c r="C39" s="78">
        <f>SUM(SUMIFS(Despesas_Receitas!E:E,Despesas_Receitas!H:H,A$33,Despesas_Receitas!I:I,A39,Despesas_Receitas!C:C,"&gt;=01/02/2019",Despesas_Receitas!C:C,"&lt;=28/02/2019"))</f>
        <v>0</v>
      </c>
      <c r="D39" s="78">
        <f>SUM(SUMIFS(Despesas_Receitas!E:E,Despesas_Receitas!H:H,A$33,Despesas_Receitas!I:I,A39,Despesas_Receitas!C:C,"&gt;=01/03/2019",Despesas_Receitas!C:C,"&lt;=31/03/2019"))</f>
        <v>-388.99</v>
      </c>
      <c r="E39" s="78">
        <f>SUM(SUMIFS(Despesas_Receitas!E:E,Despesas_Receitas!H:H,A$33,Despesas_Receitas!I:I,A39,Despesas_Receitas!C:C,"&gt;=01/04/2019",Despesas_Receitas!C:C,"&lt;=30/04/2019"))</f>
        <v>0</v>
      </c>
      <c r="F39" s="78">
        <f>SUM(SUMIFS(Despesas_Receitas!E:E,Despesas_Receitas!H:H,A$33,Despesas_Receitas!I:I,A39,Despesas_Receitas!C:C,"&gt;=01/05/2019",Despesas_Receitas!C:C,"&lt;=31/05/2019"))</f>
        <v>0</v>
      </c>
      <c r="G39" s="78">
        <f>SUM(SUMIFS(Despesas_Receitas!E:E,Despesas_Receitas!H:H,A$33,Despesas_Receitas!I:I,A39,Despesas_Receitas!C:C,"&gt;=01/06/2019",Despesas_Receitas!C:C,"&lt;=30/06/2019"))</f>
        <v>0</v>
      </c>
      <c r="H39" s="78">
        <f>SUM(SUMIFS(Despesas_Receitas!E:E,Despesas_Receitas!H:H,A$33,Despesas_Receitas!I:I,A39,Despesas_Receitas!C:C,"&gt;=01/07/2019",Despesas_Receitas!C:C,"&lt;=31/07/2019"))</f>
        <v>0</v>
      </c>
      <c r="I39" s="78">
        <f>SUM(SUMIFS(Despesas_Receitas!E:E,Despesas_Receitas!H:H,A$33,Despesas_Receitas!I:I,A39,Despesas_Receitas!C:C,"&gt;=01/08/2019",Despesas_Receitas!C:C,"&lt;=31/08/2019"))</f>
        <v>0</v>
      </c>
      <c r="J39" s="78">
        <f>SUM(SUMIFS(Despesas_Receitas!E:E,Despesas_Receitas!H:H,A$33,Despesas_Receitas!I:I,A39,Despesas_Receitas!C:C,"&gt;=01/09/2019",Despesas_Receitas!C:C,"&lt;=30/09/2019"))</f>
        <v>0</v>
      </c>
      <c r="K39" s="78">
        <f>SUM(SUMIFS(Despesas_Receitas!E:E,Despesas_Receitas!H:H,A$33,Despesas_Receitas!I:I,A39,Despesas_Receitas!C:C,"&gt;=01/10/2019",Despesas_Receitas!C:C,"&lt;=31/10/2019"))</f>
        <v>0</v>
      </c>
      <c r="L39" s="78">
        <f>SUM(SUMIFS(Despesas_Receitas!E:E,Despesas_Receitas!H:H,A$33,Despesas_Receitas!I:I,A39,Despesas_Receitas!C:C,"&gt;=01/11/2019",Despesas_Receitas!C:C,"&lt;=30/11/2019"))</f>
        <v>0</v>
      </c>
      <c r="M39" s="78">
        <f>SUM(SUMIFS(Despesas_Receitas!E:E,Despesas_Receitas!H:H,A$33,Despesas_Receitas!I:I,A39,Despesas_Receitas!C:C,"&gt;=01/12/2019",Despesas_Receitas!C:C,"&lt;=31/12/2019"))</f>
        <v>0</v>
      </c>
      <c r="N39" s="84">
        <f t="shared" si="5"/>
        <v>-388.99</v>
      </c>
    </row>
    <row r="40" spans="1:14" ht="19">
      <c r="A40" s="78" t="str">
        <f>Despesas_Receitas!O37</f>
        <v>OUTROS</v>
      </c>
      <c r="B40" s="78">
        <f>SUM(SUMIFS(Despesas_Receitas!E:E,Despesas_Receitas!H:H,A$33,Despesas_Receitas!I:I,A40,Despesas_Receitas!C:C,"&gt;=01/01/2019",Despesas_Receitas!C:C,"&lt;=31/01/2019"))</f>
        <v>0</v>
      </c>
      <c r="C40" s="78">
        <f>SUM(SUMIFS(Despesas_Receitas!E:E,Despesas_Receitas!H:H,A$33,Despesas_Receitas!I:I,A40,Despesas_Receitas!C:C,"&gt;=01/02/2019",Despesas_Receitas!C:C,"&lt;=28/02/2019"))</f>
        <v>0</v>
      </c>
      <c r="D40" s="78">
        <f>SUM(SUMIFS(Despesas_Receitas!E:E,Despesas_Receitas!H:H,A$33,Despesas_Receitas!I:I,A40,Despesas_Receitas!C:C,"&gt;=01/03/2019",Despesas_Receitas!C:C,"&lt;=31/03/2019"))</f>
        <v>0</v>
      </c>
      <c r="E40" s="78">
        <f>SUM(SUMIFS(Despesas_Receitas!E:E,Despesas_Receitas!H:H,A$33,Despesas_Receitas!I:I,A40,Despesas_Receitas!C:C,"&gt;=01/04/2019",Despesas_Receitas!C:C,"&lt;=30/04/2019"))</f>
        <v>0</v>
      </c>
      <c r="F40" s="78">
        <f>SUM(SUMIFS(Despesas_Receitas!E:E,Despesas_Receitas!H:H,A$33,Despesas_Receitas!I:I,A40,Despesas_Receitas!C:C,"&gt;=01/05/2019",Despesas_Receitas!C:C,"&lt;=31/05/2019"))</f>
        <v>0</v>
      </c>
      <c r="G40" s="78">
        <f>SUM(SUMIFS(Despesas_Receitas!E:E,Despesas_Receitas!H:H,A$33,Despesas_Receitas!I:I,A40,Despesas_Receitas!C:C,"&gt;=01/06/2019",Despesas_Receitas!C:C,"&lt;=30/06/2019"))</f>
        <v>0</v>
      </c>
      <c r="H40" s="78">
        <f>SUM(SUMIFS(Despesas_Receitas!E:E,Despesas_Receitas!H:H,A$33,Despesas_Receitas!I:I,A40,Despesas_Receitas!C:C,"&gt;=01/07/2019",Despesas_Receitas!C:C,"&lt;=31/07/2019"))</f>
        <v>0</v>
      </c>
      <c r="I40" s="78">
        <f>SUM(SUMIFS(Despesas_Receitas!E:E,Despesas_Receitas!H:H,A$33,Despesas_Receitas!I:I,A40,Despesas_Receitas!C:C,"&gt;=01/08/2019",Despesas_Receitas!C:C,"&lt;=31/08/2019"))</f>
        <v>0</v>
      </c>
      <c r="J40" s="78">
        <f>SUM(SUMIFS(Despesas_Receitas!E:E,Despesas_Receitas!H:H,A$33,Despesas_Receitas!I:I,A40,Despesas_Receitas!C:C,"&gt;=01/09/2019",Despesas_Receitas!C:C,"&lt;=30/09/2019"))</f>
        <v>0</v>
      </c>
      <c r="K40" s="78">
        <f>SUM(SUMIFS(Despesas_Receitas!E:E,Despesas_Receitas!H:H,A$33,Despesas_Receitas!I:I,A40,Despesas_Receitas!C:C,"&gt;=01/10/2019",Despesas_Receitas!C:C,"&lt;=31/10/2019"))</f>
        <v>0</v>
      </c>
      <c r="L40" s="78">
        <f>SUM(SUMIFS(Despesas_Receitas!E:E,Despesas_Receitas!H:H,A$33,Despesas_Receitas!I:I,A40,Despesas_Receitas!C:C,"&gt;=01/11/2019",Despesas_Receitas!C:C,"&lt;=30/11/2019"))</f>
        <v>0</v>
      </c>
      <c r="M40" s="78">
        <f>SUM(SUMIFS(Despesas_Receitas!E:E,Despesas_Receitas!H:H,A$33,Despesas_Receitas!I:I,A40,Despesas_Receitas!C:C,"&gt;=01/12/2019",Despesas_Receitas!C:C,"&lt;=31/12/2019"))</f>
        <v>0</v>
      </c>
      <c r="N40" s="84">
        <f t="shared" si="5"/>
        <v>0</v>
      </c>
    </row>
    <row r="41" spans="1:14" ht="19">
      <c r="A41" s="79" t="str">
        <f>Despesas_Receitas!N38</f>
        <v>NOITE DAS CAMÉLIAS</v>
      </c>
      <c r="B41" s="83">
        <f>SUM(B42:B52)</f>
        <v>0</v>
      </c>
      <c r="C41" s="83">
        <f t="shared" ref="C41:M41" si="6">SUM(C42:C52)</f>
        <v>-191.7</v>
      </c>
      <c r="D41" s="83">
        <f t="shared" si="6"/>
        <v>-1360.07</v>
      </c>
      <c r="E41" s="83">
        <f t="shared" si="6"/>
        <v>-500</v>
      </c>
      <c r="F41" s="83">
        <f t="shared" si="6"/>
        <v>0</v>
      </c>
      <c r="G41" s="83">
        <f t="shared" si="6"/>
        <v>0</v>
      </c>
      <c r="H41" s="83">
        <f t="shared" si="6"/>
        <v>0</v>
      </c>
      <c r="I41" s="83">
        <f t="shared" si="6"/>
        <v>0</v>
      </c>
      <c r="J41" s="83">
        <f t="shared" si="6"/>
        <v>0</v>
      </c>
      <c r="K41" s="83">
        <f t="shared" si="6"/>
        <v>0</v>
      </c>
      <c r="L41" s="83">
        <f t="shared" si="6"/>
        <v>0</v>
      </c>
      <c r="M41" s="83">
        <f t="shared" si="6"/>
        <v>0</v>
      </c>
      <c r="N41" s="81">
        <f t="shared" si="5"/>
        <v>-2051.77</v>
      </c>
    </row>
    <row r="42" spans="1:14" ht="19">
      <c r="A42" s="78" t="str">
        <f>Despesas_Receitas!O38</f>
        <v>ART. DECORATIVOS</v>
      </c>
      <c r="B42" s="78">
        <f>SUM(SUMIFS(Despesas_Receitas!E:E,Despesas_Receitas!H:H,"NOITE_DAS_CAMÉLIAS",Despesas_Receitas!I:I,A42,Despesas_Receitas!C:C,"&gt;=01/01/2019",Despesas_Receitas!C:C,"&lt;=31/01/2019"))</f>
        <v>0</v>
      </c>
      <c r="C42" s="78">
        <f>SUM(SUMIFS(Despesas_Receitas!E:E,Despesas_Receitas!H:H,"NOITE_DAS_CAMÉLIAS",Despesas_Receitas!I:I,A42,Despesas_Receitas!C:C,"&gt;=01/02/2019",Despesas_Receitas!C:C,"&lt;=28/02/2019"))</f>
        <v>-191.7</v>
      </c>
      <c r="D42" s="78">
        <f>SUM(SUMIFS(Despesas_Receitas!E:E,Despesas_Receitas!H:H,"NOITE_DAS_CAMÉLIAS",Despesas_Receitas!I:I,A42,Despesas_Receitas!C:C,"&gt;=01/03/2019",Despesas_Receitas!C:C,"&lt;=31/03/2019"))</f>
        <v>-152.54999999999998</v>
      </c>
      <c r="E42" s="78">
        <f>SUM(SUMIFS(Despesas_Receitas!E:E,Despesas_Receitas!H:H,"NOITE_DAS_CAMÉLIAS",Despesas_Receitas!I:I,A42,Despesas_Receitas!C:C,"&gt;=01/04/2019",Despesas_Receitas!C:C,"&lt;=30/04/2019"))</f>
        <v>-500</v>
      </c>
      <c r="F42" s="78">
        <f>SUM(SUMIFS(Despesas_Receitas!E:E,Despesas_Receitas!H:H,"NOITE_DAS_CAMÉLIAS",Despesas_Receitas!I:I,A42,Despesas_Receitas!C:C,"&gt;=01/05/2019",Despesas_Receitas!C:C,"&lt;=31/05/2019"))</f>
        <v>0</v>
      </c>
      <c r="G42" s="78">
        <f>SUM(SUMIFS(Despesas_Receitas!E:E,Despesas_Receitas!H:H,"NOITE_DAS_CAMÉLIAS",Despesas_Receitas!I:I,A42,Despesas_Receitas!C:C,"&gt;=01/06/2019",Despesas_Receitas!C:C,"&lt;=30/06/2019"))</f>
        <v>0</v>
      </c>
      <c r="H42" s="78">
        <f>SUM(SUMIFS(Despesas_Receitas!E:E,Despesas_Receitas!H:H,"NOITE_DAS_CAMÉLIAS",Despesas_Receitas!I:I,A42,Despesas_Receitas!C:C,"&gt;=01/07/2019",Despesas_Receitas!C:C,"&lt;=31/07/2019"))</f>
        <v>0</v>
      </c>
      <c r="I42" s="78">
        <f>SUM(SUMIFS(Despesas_Receitas!E:E,Despesas_Receitas!H:H,"NOITE_DAS_CAMÉLIAS",Despesas_Receitas!I:I,A42,Despesas_Receitas!C:C,"&gt;=01/08/2019",Despesas_Receitas!C:C,"&lt;=31/08/2019"))</f>
        <v>0</v>
      </c>
      <c r="J42" s="78">
        <f>SUM(SUMIFS(Despesas_Receitas!E:E,Despesas_Receitas!H:H,"NOITE_DAS_CAMÉLIAS",Despesas_Receitas!I:I,A42,Despesas_Receitas!C:C,"&gt;=01/09/2019",Despesas_Receitas!C:C,"&lt;=30/09/2019"))</f>
        <v>0</v>
      </c>
      <c r="K42" s="78">
        <f>SUM(SUMIFS(Despesas_Receitas!E:E,Despesas_Receitas!H:H,"NOITE_DAS_CAMÉLIAS",Despesas_Receitas!I:I,A42,Despesas_Receitas!C:C,"&gt;=01/10/2019",Despesas_Receitas!C:C,"&lt;=31/10/2019"))</f>
        <v>0</v>
      </c>
      <c r="L42" s="78">
        <f>SUM(SUMIFS(Despesas_Receitas!E:E,Despesas_Receitas!H:H,"NOITE_DAS_CAMÉLIAS",Despesas_Receitas!I:I,A42,Despesas_Receitas!C:C,"&gt;=01/11/2019",Despesas_Receitas!C:C,"&lt;=30/11/2019"))</f>
        <v>0</v>
      </c>
      <c r="M42" s="78">
        <f>SUM(SUMIFS(Despesas_Receitas!E:E,Despesas_Receitas!H:H,"NOITE_DAS_CAMÉLIAS",Despesas_Receitas!I:I,A42,Despesas_Receitas!C:C,"&gt;=01/12/2019",Despesas_Receitas!C:C,"&lt;=31/12/2019"))</f>
        <v>0</v>
      </c>
      <c r="N42" s="84">
        <f t="shared" si="1"/>
        <v>-844.25</v>
      </c>
    </row>
    <row r="43" spans="1:14" ht="19">
      <c r="A43" s="78" t="str">
        <f>Despesas_Receitas!O39</f>
        <v>EQUIPAMENTOS</v>
      </c>
      <c r="B43" s="78">
        <f>SUM(SUMIFS(Despesas_Receitas!E:E,Despesas_Receitas!H:H,"NOITE_DAS_CAMÉLIAS",Despesas_Receitas!I:I,A43,Despesas_Receitas!C:C,"&gt;=01/01/2019",Despesas_Receitas!C:C,"&lt;=31/01/2019"))</f>
        <v>0</v>
      </c>
      <c r="C43" s="78">
        <f>SUM(SUMIFS(Despesas_Receitas!E:E,Despesas_Receitas!H:H,"NOITE_DAS_CAMÉLIAS",Despesas_Receitas!I:I,A43,Despesas_Receitas!C:C,"&gt;=01/02/2019",Despesas_Receitas!C:C,"&lt;=28/02/2019"))</f>
        <v>0</v>
      </c>
      <c r="D43" s="78">
        <f>SUM(SUMIFS(Despesas_Receitas!E:E,Despesas_Receitas!H:H,"NOITE_DAS_CAMÉLIAS",Despesas_Receitas!I:I,A43,Despesas_Receitas!C:C,"&gt;=01/03/2019",Despesas_Receitas!C:C,"&lt;=31/03/2019"))</f>
        <v>0</v>
      </c>
      <c r="E43" s="78">
        <f>SUM(SUMIFS(Despesas_Receitas!E:E,Despesas_Receitas!H:H,"NOITE_DAS_CAMÉLIAS",Despesas_Receitas!I:I,A43,Despesas_Receitas!C:C,"&gt;=01/04/2019",Despesas_Receitas!C:C,"&lt;=30/04/2019"))</f>
        <v>0</v>
      </c>
      <c r="F43" s="78">
        <f>SUM(SUMIFS(Despesas_Receitas!E:E,Despesas_Receitas!H:H,"NOITE_DAS_CAMÉLIAS",Despesas_Receitas!I:I,A43,Despesas_Receitas!C:C,"&gt;=01/05/2019",Despesas_Receitas!C:C,"&lt;=31/05/2019"))</f>
        <v>0</v>
      </c>
      <c r="G43" s="78">
        <f>SUM(SUMIFS(Despesas_Receitas!E:E,Despesas_Receitas!H:H,"NOITE_DAS_CAMÉLIAS",Despesas_Receitas!I:I,A43,Despesas_Receitas!C:C,"&gt;=01/06/2019",Despesas_Receitas!C:C,"&lt;=30/06/2019"))</f>
        <v>0</v>
      </c>
      <c r="H43" s="78">
        <f>SUM(SUMIFS(Despesas_Receitas!E:E,Despesas_Receitas!H:H,"NOITE_DAS_CAMÉLIAS",Despesas_Receitas!I:I,A43,Despesas_Receitas!C:C,"&gt;=01/07/2019",Despesas_Receitas!C:C,"&lt;=31/07/2019"))</f>
        <v>0</v>
      </c>
      <c r="I43" s="78">
        <f>SUM(SUMIFS(Despesas_Receitas!E:E,Despesas_Receitas!H:H,"NOITE_DAS_CAMÉLIAS",Despesas_Receitas!I:I,A43,Despesas_Receitas!C:C,"&gt;=01/08/2019",Despesas_Receitas!C:C,"&lt;=31/08/2019"))</f>
        <v>0</v>
      </c>
      <c r="J43" s="78">
        <f>SUM(SUMIFS(Despesas_Receitas!E:E,Despesas_Receitas!H:H,"NOITE_DAS_CAMÉLIAS",Despesas_Receitas!I:I,A43,Despesas_Receitas!C:C,"&gt;=01/09/2019",Despesas_Receitas!C:C,"&lt;=30/09/2019"))</f>
        <v>0</v>
      </c>
      <c r="K43" s="78">
        <f>SUM(SUMIFS(Despesas_Receitas!E:E,Despesas_Receitas!H:H,"NOITE_DAS_CAMÉLIAS",Despesas_Receitas!I:I,A43,Despesas_Receitas!C:C,"&gt;=01/10/2019",Despesas_Receitas!C:C,"&lt;=31/10/2019"))</f>
        <v>0</v>
      </c>
      <c r="L43" s="78">
        <f>SUM(SUMIFS(Despesas_Receitas!E:E,Despesas_Receitas!H:H,"NOITE_DAS_CAMÉLIAS",Despesas_Receitas!I:I,A43,Despesas_Receitas!C:C,"&gt;=01/11/2019",Despesas_Receitas!C:C,"&lt;=30/11/2019"))</f>
        <v>0</v>
      </c>
      <c r="M43" s="78">
        <f>SUM(SUMIFS(Despesas_Receitas!E:E,Despesas_Receitas!H:H,"NOITE_DAS_CAMÉLIAS",Despesas_Receitas!I:I,A43,Despesas_Receitas!C:C,"&gt;=01/12/2019",Despesas_Receitas!C:C,"&lt;=31/12/2019"))</f>
        <v>0</v>
      </c>
      <c r="N43" s="84">
        <f t="shared" si="1"/>
        <v>0</v>
      </c>
    </row>
    <row r="44" spans="1:14" ht="19">
      <c r="A44" s="78" t="str">
        <f>Despesas_Receitas!O40</f>
        <v>OBRAS/MANUTENÇÃO</v>
      </c>
      <c r="B44" s="78">
        <f>SUM(SUMIFS(Despesas_Receitas!E:E,Despesas_Receitas!H:H,"NOITE_DAS_CAMÉLIAS",Despesas_Receitas!I:I,A44,Despesas_Receitas!C:C,"&gt;=01/01/2019",Despesas_Receitas!C:C,"&lt;=31/01/2019"))</f>
        <v>0</v>
      </c>
      <c r="C44" s="78">
        <f>SUM(SUMIFS(Despesas_Receitas!E:E,Despesas_Receitas!H:H,"NOITE_DAS_CAMÉLIAS",Despesas_Receitas!I:I,A44,Despesas_Receitas!C:C,"&gt;=01/02/2019",Despesas_Receitas!C:C,"&lt;=28/02/2019"))</f>
        <v>0</v>
      </c>
      <c r="D44" s="78">
        <f>SUM(SUMIFS(Despesas_Receitas!E:E,Despesas_Receitas!H:H,"NOITE_DAS_CAMÉLIAS",Despesas_Receitas!I:I,A44,Despesas_Receitas!C:C,"&gt;=01/03/2019",Despesas_Receitas!C:C,"&lt;=31/03/2019"))</f>
        <v>0</v>
      </c>
      <c r="E44" s="78">
        <f>SUM(SUMIFS(Despesas_Receitas!E:E,Despesas_Receitas!H:H,"NOITE_DAS_CAMÉLIAS",Despesas_Receitas!I:I,A44,Despesas_Receitas!C:C,"&gt;=01/04/2019",Despesas_Receitas!C:C,"&lt;=30/04/2019"))</f>
        <v>0</v>
      </c>
      <c r="F44" s="78">
        <f>SUM(SUMIFS(Despesas_Receitas!E:E,Despesas_Receitas!H:H,"NOITE_DAS_CAMÉLIAS",Despesas_Receitas!I:I,A44,Despesas_Receitas!C:C,"&gt;=01/05/2019",Despesas_Receitas!C:C,"&lt;=31/05/2019"))</f>
        <v>0</v>
      </c>
      <c r="G44" s="78">
        <f>SUM(SUMIFS(Despesas_Receitas!E:E,Despesas_Receitas!H:H,"NOITE_DAS_CAMÉLIAS",Despesas_Receitas!I:I,A44,Despesas_Receitas!C:C,"&gt;=01/06/2019",Despesas_Receitas!C:C,"&lt;=30/06/2019"))</f>
        <v>0</v>
      </c>
      <c r="H44" s="78">
        <f>SUM(SUMIFS(Despesas_Receitas!E:E,Despesas_Receitas!H:H,"NOITE_DAS_CAMÉLIAS",Despesas_Receitas!I:I,A44,Despesas_Receitas!C:C,"&gt;=01/07/2019",Despesas_Receitas!C:C,"&lt;=31/07/2019"))</f>
        <v>0</v>
      </c>
      <c r="I44" s="78">
        <f>SUM(SUMIFS(Despesas_Receitas!E:E,Despesas_Receitas!H:H,"NOITE_DAS_CAMÉLIAS",Despesas_Receitas!I:I,A44,Despesas_Receitas!C:C,"&gt;=01/08/2019",Despesas_Receitas!C:C,"&lt;=31/08/2019"))</f>
        <v>0</v>
      </c>
      <c r="J44" s="78">
        <f>SUM(SUMIFS(Despesas_Receitas!E:E,Despesas_Receitas!H:H,"NOITE_DAS_CAMÉLIAS",Despesas_Receitas!I:I,A44,Despesas_Receitas!C:C,"&gt;=01/09/2019",Despesas_Receitas!C:C,"&lt;=30/09/2019"))</f>
        <v>0</v>
      </c>
      <c r="K44" s="78">
        <f>SUM(SUMIFS(Despesas_Receitas!E:E,Despesas_Receitas!H:H,"NOITE_DAS_CAMÉLIAS",Despesas_Receitas!I:I,A44,Despesas_Receitas!C:C,"&gt;=01/10/2019",Despesas_Receitas!C:C,"&lt;=31/10/2019"))</f>
        <v>0</v>
      </c>
      <c r="L44" s="78">
        <f>SUM(SUMIFS(Despesas_Receitas!E:E,Despesas_Receitas!H:H,"NOITE_DAS_CAMÉLIAS",Despesas_Receitas!I:I,A44,Despesas_Receitas!C:C,"&gt;=01/11/2019",Despesas_Receitas!C:C,"&lt;=30/11/2019"))</f>
        <v>0</v>
      </c>
      <c r="M44" s="78">
        <f>SUM(SUMIFS(Despesas_Receitas!E:E,Despesas_Receitas!H:H,"NOITE_DAS_CAMÉLIAS",Despesas_Receitas!I:I,A44,Despesas_Receitas!C:C,"&gt;=01/12/2019",Despesas_Receitas!C:C,"&lt;=31/12/2019"))</f>
        <v>0</v>
      </c>
      <c r="N44" s="84">
        <f t="shared" si="1"/>
        <v>0</v>
      </c>
    </row>
    <row r="45" spans="1:14" ht="19">
      <c r="A45" s="78" t="str">
        <f>Despesas_Receitas!O41</f>
        <v>CENÁRIO</v>
      </c>
      <c r="B45" s="78">
        <f>SUM(SUMIFS(Despesas_Receitas!E:E,Despesas_Receitas!H:H,"NOITE_DAS_CAMÉLIAS",Despesas_Receitas!I:I,A45,Despesas_Receitas!C:C,"&gt;=01/01/2019",Despesas_Receitas!C:C,"&lt;=31/01/2019"))</f>
        <v>0</v>
      </c>
      <c r="C45" s="78">
        <f>SUM(SUMIFS(Despesas_Receitas!E:E,Despesas_Receitas!H:H,"NOITE_DAS_CAMÉLIAS",Despesas_Receitas!I:I,A45,Despesas_Receitas!C:C,"&gt;=01/02/2019",Despesas_Receitas!C:C,"&lt;=28/02/2019"))</f>
        <v>0</v>
      </c>
      <c r="D45" s="78">
        <f>SUM(SUMIFS(Despesas_Receitas!E:E,Despesas_Receitas!H:H,"NOITE_DAS_CAMÉLIAS",Despesas_Receitas!I:I,A45,Despesas_Receitas!C:C,"&gt;=01/03/2019",Despesas_Receitas!C:C,"&lt;=31/03/2019"))</f>
        <v>-670.52</v>
      </c>
      <c r="E45" s="78">
        <f>SUM(SUMIFS(Despesas_Receitas!E:E,Despesas_Receitas!H:H,"NOITE_DAS_CAMÉLIAS",Despesas_Receitas!I:I,A45,Despesas_Receitas!C:C,"&gt;=01/04/2019",Despesas_Receitas!C:C,"&lt;=30/04/2019"))</f>
        <v>0</v>
      </c>
      <c r="F45" s="78">
        <f>SUM(SUMIFS(Despesas_Receitas!E:E,Despesas_Receitas!H:H,"NOITE_DAS_CAMÉLIAS",Despesas_Receitas!I:I,A45,Despesas_Receitas!C:C,"&gt;=01/05/2019",Despesas_Receitas!C:C,"&lt;=31/05/2019"))</f>
        <v>0</v>
      </c>
      <c r="G45" s="78">
        <f>SUM(SUMIFS(Despesas_Receitas!E:E,Despesas_Receitas!H:H,"NOITE_DAS_CAMÉLIAS",Despesas_Receitas!I:I,A45,Despesas_Receitas!C:C,"&gt;=01/06/2019",Despesas_Receitas!C:C,"&lt;=30/06/2019"))</f>
        <v>0</v>
      </c>
      <c r="H45" s="78">
        <f>SUM(SUMIFS(Despesas_Receitas!E:E,Despesas_Receitas!H:H,"NOITE_DAS_CAMÉLIAS",Despesas_Receitas!I:I,A45,Despesas_Receitas!C:C,"&gt;=01/07/2019",Despesas_Receitas!C:C,"&lt;=31/07/2019"))</f>
        <v>0</v>
      </c>
      <c r="I45" s="78">
        <f>SUM(SUMIFS(Despesas_Receitas!E:E,Despesas_Receitas!H:H,"NOITE_DAS_CAMÉLIAS",Despesas_Receitas!I:I,A45,Despesas_Receitas!C:C,"&gt;=01/08/2019",Despesas_Receitas!C:C,"&lt;=31/08/2019"))</f>
        <v>0</v>
      </c>
      <c r="J45" s="78">
        <f>SUM(SUMIFS(Despesas_Receitas!E:E,Despesas_Receitas!H:H,"NOITE_DAS_CAMÉLIAS",Despesas_Receitas!I:I,A45,Despesas_Receitas!C:C,"&gt;=01/09/2019",Despesas_Receitas!C:C,"&lt;=30/09/2019"))</f>
        <v>0</v>
      </c>
      <c r="K45" s="78">
        <f>SUM(SUMIFS(Despesas_Receitas!E:E,Despesas_Receitas!H:H,"NOITE_DAS_CAMÉLIAS",Despesas_Receitas!I:I,A45,Despesas_Receitas!C:C,"&gt;=01/10/2019",Despesas_Receitas!C:C,"&lt;=31/10/2019"))</f>
        <v>0</v>
      </c>
      <c r="L45" s="78">
        <f>SUM(SUMIFS(Despesas_Receitas!E:E,Despesas_Receitas!H:H,"NOITE_DAS_CAMÉLIAS",Despesas_Receitas!I:I,A45,Despesas_Receitas!C:C,"&gt;=01/11/2019",Despesas_Receitas!C:C,"&lt;=30/11/2019"))</f>
        <v>0</v>
      </c>
      <c r="M45" s="78">
        <f>SUM(SUMIFS(Despesas_Receitas!E:E,Despesas_Receitas!H:H,"NOITE_DAS_CAMÉLIAS",Despesas_Receitas!I:I,A45,Despesas_Receitas!C:C,"&gt;=01/12/2019",Despesas_Receitas!C:C,"&lt;=31/12/2019"))</f>
        <v>0</v>
      </c>
      <c r="N45" s="84">
        <f t="shared" si="1"/>
        <v>-670.52</v>
      </c>
    </row>
    <row r="46" spans="1:14" ht="19">
      <c r="A46" s="78" t="str">
        <f>Despesas_Receitas!O43</f>
        <v>SEG. AC. TRABALHO</v>
      </c>
      <c r="B46" s="78">
        <f>SUM(SUMIFS(Despesas_Receitas!E:E,Despesas_Receitas!H:H,"NOITE_DAS_CAMÉLIAS",Despesas_Receitas!I:I,A46,Despesas_Receitas!C:C,"&gt;=01/01/2019",Despesas_Receitas!C:C,"&lt;=31/01/2019"))</f>
        <v>0</v>
      </c>
      <c r="C46" s="78">
        <f>SUM(SUMIFS(Despesas_Receitas!E:E,Despesas_Receitas!H:H,"NOITE_DAS_CAMÉLIAS",Despesas_Receitas!I:I,A46,Despesas_Receitas!C:C,"&gt;=01/02/2019",Despesas_Receitas!C:C,"&lt;=28/02/2019"))</f>
        <v>0</v>
      </c>
      <c r="D46" s="78">
        <f>SUM(SUMIFS(Despesas_Receitas!E:E,Despesas_Receitas!H:H,"NOITE_DAS_CAMÉLIAS",Despesas_Receitas!I:I,A46,Despesas_Receitas!C:C,"&gt;=01/03/2019",Despesas_Receitas!C:C,"&lt;=31/03/2019"))</f>
        <v>0</v>
      </c>
      <c r="E46" s="78">
        <f>SUM(SUMIFS(Despesas_Receitas!E:E,Despesas_Receitas!H:H,"NOITE_DAS_CAMÉLIAS",Despesas_Receitas!I:I,A46,Despesas_Receitas!C:C,"&gt;=01/04/2019",Despesas_Receitas!C:C,"&lt;=30/04/2019"))</f>
        <v>0</v>
      </c>
      <c r="F46" s="78">
        <f>SUM(SUMIFS(Despesas_Receitas!E:E,Despesas_Receitas!H:H,"NOITE_DAS_CAMÉLIAS",Despesas_Receitas!I:I,A46,Despesas_Receitas!C:C,"&gt;=01/05/2019",Despesas_Receitas!C:C,"&lt;=31/05/2019"))</f>
        <v>0</v>
      </c>
      <c r="G46" s="78">
        <f>SUM(SUMIFS(Despesas_Receitas!E:E,Despesas_Receitas!H:H,"NOITE_DAS_CAMÉLIAS",Despesas_Receitas!I:I,A46,Despesas_Receitas!C:C,"&gt;=01/06/2019",Despesas_Receitas!C:C,"&lt;=30/06/2019"))</f>
        <v>0</v>
      </c>
      <c r="H46" s="78">
        <f>SUM(SUMIFS(Despesas_Receitas!E:E,Despesas_Receitas!H:H,"NOITE_DAS_CAMÉLIAS",Despesas_Receitas!I:I,A46,Despesas_Receitas!C:C,"&gt;=01/07/2019",Despesas_Receitas!C:C,"&lt;=31/07/2019"))</f>
        <v>0</v>
      </c>
      <c r="I46" s="78">
        <f>SUM(SUMIFS(Despesas_Receitas!E:E,Despesas_Receitas!H:H,"NOITE_DAS_CAMÉLIAS",Despesas_Receitas!I:I,A46,Despesas_Receitas!C:C,"&gt;=01/08/2019",Despesas_Receitas!C:C,"&lt;=31/08/2019"))</f>
        <v>0</v>
      </c>
      <c r="J46" s="78">
        <f>SUM(SUMIFS(Despesas_Receitas!E:E,Despesas_Receitas!H:H,"NOITE_DAS_CAMÉLIAS",Despesas_Receitas!I:I,A46,Despesas_Receitas!C:C,"&gt;=01/09/2019",Despesas_Receitas!C:C,"&lt;=30/09/2019"))</f>
        <v>0</v>
      </c>
      <c r="K46" s="78">
        <f>SUM(SUMIFS(Despesas_Receitas!E:E,Despesas_Receitas!H:H,"NOITE_DAS_CAMÉLIAS",Despesas_Receitas!I:I,A46,Despesas_Receitas!C:C,"&gt;=01/10/2019",Despesas_Receitas!C:C,"&lt;=31/10/2019"))</f>
        <v>0</v>
      </c>
      <c r="L46" s="78">
        <f>SUM(SUMIFS(Despesas_Receitas!E:E,Despesas_Receitas!H:H,"NOITE_DAS_CAMÉLIAS",Despesas_Receitas!I:I,A46,Despesas_Receitas!C:C,"&gt;=01/11/2019",Despesas_Receitas!C:C,"&lt;=30/11/2019"))</f>
        <v>0</v>
      </c>
      <c r="M46" s="78">
        <f>SUM(SUMIFS(Despesas_Receitas!E:E,Despesas_Receitas!H:H,"NOITE_DAS_CAMÉLIAS",Despesas_Receitas!I:I,A46,Despesas_Receitas!C:C,"&gt;=01/12/2019",Despesas_Receitas!C:C,"&lt;=31/12/2019"))</f>
        <v>0</v>
      </c>
      <c r="N46" s="84">
        <f t="shared" si="1"/>
        <v>0</v>
      </c>
    </row>
    <row r="47" spans="1:14" ht="19">
      <c r="A47" s="78" t="str">
        <f>Despesas_Receitas!O44</f>
        <v>IGAC / SPA</v>
      </c>
      <c r="B47" s="78">
        <f>SUM(SUMIFS(Despesas_Receitas!E:E,Despesas_Receitas!H:H,"NOITE_DAS_CAMÉLIAS",Despesas_Receitas!I:I,A47,Despesas_Receitas!C:C,"&gt;=01/01/2019",Despesas_Receitas!C:C,"&lt;=31/01/2019"))</f>
        <v>0</v>
      </c>
      <c r="C47" s="78">
        <f>SUM(SUMIFS(Despesas_Receitas!E:E,Despesas_Receitas!H:H,"NOITE_DAS_CAMÉLIAS",Despesas_Receitas!I:I,A47,Despesas_Receitas!C:C,"&gt;=01/02/2019",Despesas_Receitas!C:C,"&lt;=28/02/2019"))</f>
        <v>0</v>
      </c>
      <c r="D47" s="78">
        <f>SUM(SUMIFS(Despesas_Receitas!E:E,Despesas_Receitas!H:H,"NOITE_DAS_CAMÉLIAS",Despesas_Receitas!I:I,A47,Despesas_Receitas!C:C,"&gt;=01/03/2019",Despesas_Receitas!C:C,"&lt;=31/03/2019"))</f>
        <v>-37</v>
      </c>
      <c r="E47" s="78">
        <f>SUM(SUMIFS(Despesas_Receitas!E:E,Despesas_Receitas!H:H,"NOITE_DAS_CAMÉLIAS",Despesas_Receitas!I:I,A47,Despesas_Receitas!C:C,"&gt;=01/04/2019",Despesas_Receitas!C:C,"&lt;=30/04/2019"))</f>
        <v>0</v>
      </c>
      <c r="F47" s="78">
        <f>SUM(SUMIFS(Despesas_Receitas!E:E,Despesas_Receitas!H:H,"NOITE_DAS_CAMÉLIAS",Despesas_Receitas!I:I,A47,Despesas_Receitas!C:C,"&gt;=01/05/2019",Despesas_Receitas!C:C,"&lt;=31/05/2019"))</f>
        <v>0</v>
      </c>
      <c r="G47" s="78">
        <f>SUM(SUMIFS(Despesas_Receitas!E:E,Despesas_Receitas!H:H,"NOITE_DAS_CAMÉLIAS",Despesas_Receitas!I:I,A47,Despesas_Receitas!C:C,"&gt;=01/06/2019",Despesas_Receitas!C:C,"&lt;=30/06/2019"))</f>
        <v>0</v>
      </c>
      <c r="H47" s="78">
        <f>SUM(SUMIFS(Despesas_Receitas!E:E,Despesas_Receitas!H:H,"NOITE_DAS_CAMÉLIAS",Despesas_Receitas!I:I,A47,Despesas_Receitas!C:C,"&gt;=01/07/2019",Despesas_Receitas!C:C,"&lt;=31/07/2019"))</f>
        <v>0</v>
      </c>
      <c r="I47" s="78">
        <f>SUM(SUMIFS(Despesas_Receitas!E:E,Despesas_Receitas!H:H,"NOITE_DAS_CAMÉLIAS",Despesas_Receitas!I:I,A47,Despesas_Receitas!C:C,"&gt;=01/08/2019",Despesas_Receitas!C:C,"&lt;=31/08/2019"))</f>
        <v>0</v>
      </c>
      <c r="J47" s="78">
        <f>SUM(SUMIFS(Despesas_Receitas!E:E,Despesas_Receitas!H:H,"NOITE_DAS_CAMÉLIAS",Despesas_Receitas!I:I,A47,Despesas_Receitas!C:C,"&gt;=01/09/2019",Despesas_Receitas!C:C,"&lt;=30/09/2019"))</f>
        <v>0</v>
      </c>
      <c r="K47" s="78">
        <f>SUM(SUMIFS(Despesas_Receitas!E:E,Despesas_Receitas!H:H,"NOITE_DAS_CAMÉLIAS",Despesas_Receitas!I:I,A47,Despesas_Receitas!C:C,"&gt;=01/10/2019",Despesas_Receitas!C:C,"&lt;=31/10/2019"))</f>
        <v>0</v>
      </c>
      <c r="L47" s="78">
        <f>SUM(SUMIFS(Despesas_Receitas!E:E,Despesas_Receitas!H:H,"NOITE_DAS_CAMÉLIAS",Despesas_Receitas!I:I,A47,Despesas_Receitas!C:C,"&gt;=01/11/2019",Despesas_Receitas!C:C,"&lt;=30/11/2019"))</f>
        <v>0</v>
      </c>
      <c r="M47" s="78">
        <f>SUM(SUMIFS(Despesas_Receitas!E:E,Despesas_Receitas!H:H,"NOITE_DAS_CAMÉLIAS",Despesas_Receitas!I:I,A47,Despesas_Receitas!C:C,"&gt;=01/12/2019",Despesas_Receitas!C:C,"&lt;=31/12/2019"))</f>
        <v>0</v>
      </c>
      <c r="N47" s="84">
        <f t="shared" si="1"/>
        <v>-37</v>
      </c>
    </row>
    <row r="48" spans="1:14" ht="19">
      <c r="A48" s="78" t="str">
        <f>Despesas_Receitas!O45</f>
        <v>DONATIVO DE PORTA</v>
      </c>
      <c r="B48" s="78">
        <f>SUM(SUMIFS(Despesas_Receitas!E:E,Despesas_Receitas!H:H,"NOITE_DAS_CAMÉLIAS",Despesas_Receitas!I:I,A48,Despesas_Receitas!C:C,"&gt;=01/01/2019",Despesas_Receitas!C:C,"&lt;=31/01/2019"))</f>
        <v>0</v>
      </c>
      <c r="C48" s="78">
        <f>SUM(SUMIFS(Despesas_Receitas!E:E,Despesas_Receitas!H:H,"NOITE_DAS_CAMÉLIAS",Despesas_Receitas!I:I,A48,Despesas_Receitas!C:C,"&gt;=01/02/2019",Despesas_Receitas!C:C,"&lt;=28/02/2019"))</f>
        <v>0</v>
      </c>
      <c r="D48" s="78">
        <f>SUM(SUMIFS(Despesas_Receitas!E:E,Despesas_Receitas!H:H,"NOITE_DAS_CAMÉLIAS",Despesas_Receitas!I:I,A48,Despesas_Receitas!C:C,"&gt;=01/03/2019",Despesas_Receitas!C:C,"&lt;=31/03/2019"))</f>
        <v>0</v>
      </c>
      <c r="E48" s="78">
        <f>SUM(SUMIFS(Despesas_Receitas!E:E,Despesas_Receitas!H:H,"NOITE_DAS_CAMÉLIAS",Despesas_Receitas!I:I,A48,Despesas_Receitas!C:C,"&gt;=01/04/2019",Despesas_Receitas!C:C,"&lt;=30/04/2019"))</f>
        <v>0</v>
      </c>
      <c r="F48" s="78">
        <f>SUM(SUMIFS(Despesas_Receitas!E:E,Despesas_Receitas!H:H,"NOITE_DAS_CAMÉLIAS",Despesas_Receitas!I:I,A48,Despesas_Receitas!C:C,"&gt;=01/05/2019",Despesas_Receitas!C:C,"&lt;=31/05/2019"))</f>
        <v>0</v>
      </c>
      <c r="G48" s="78">
        <f>SUM(SUMIFS(Despesas_Receitas!E:E,Despesas_Receitas!H:H,"NOITE_DAS_CAMÉLIAS",Despesas_Receitas!I:I,A48,Despesas_Receitas!C:C,"&gt;=01/06/2019",Despesas_Receitas!C:C,"&lt;=30/06/2019"))</f>
        <v>0</v>
      </c>
      <c r="H48" s="78">
        <f>SUM(SUMIFS(Despesas_Receitas!E:E,Despesas_Receitas!H:H,"NOITE_DAS_CAMÉLIAS",Despesas_Receitas!I:I,A48,Despesas_Receitas!C:C,"&gt;=01/07/2019",Despesas_Receitas!C:C,"&lt;=31/07/2019"))</f>
        <v>0</v>
      </c>
      <c r="I48" s="78">
        <f>SUM(SUMIFS(Despesas_Receitas!E:E,Despesas_Receitas!H:H,"NOITE_DAS_CAMÉLIAS",Despesas_Receitas!I:I,A48,Despesas_Receitas!C:C,"&gt;=01/08/2019",Despesas_Receitas!C:C,"&lt;=31/08/2019"))</f>
        <v>0</v>
      </c>
      <c r="J48" s="78">
        <f>SUM(SUMIFS(Despesas_Receitas!E:E,Despesas_Receitas!H:H,"NOITE_DAS_CAMÉLIAS",Despesas_Receitas!I:I,A48,Despesas_Receitas!C:C,"&gt;=01/09/2019",Despesas_Receitas!C:C,"&lt;=30/09/2019"))</f>
        <v>0</v>
      </c>
      <c r="K48" s="78">
        <f>SUM(SUMIFS(Despesas_Receitas!E:E,Despesas_Receitas!H:H,"NOITE_DAS_CAMÉLIAS",Despesas_Receitas!I:I,A48,Despesas_Receitas!C:C,"&gt;=01/10/2019",Despesas_Receitas!C:C,"&lt;=31/10/2019"))</f>
        <v>0</v>
      </c>
      <c r="L48" s="78">
        <f>SUM(SUMIFS(Despesas_Receitas!E:E,Despesas_Receitas!H:H,"NOITE_DAS_CAMÉLIAS",Despesas_Receitas!I:I,A48,Despesas_Receitas!C:C,"&gt;=01/11/2019",Despesas_Receitas!C:C,"&lt;=30/11/2019"))</f>
        <v>0</v>
      </c>
      <c r="M48" s="78">
        <f>SUM(SUMIFS(Despesas_Receitas!E:E,Despesas_Receitas!H:H,"NOITE_DAS_CAMÉLIAS",Despesas_Receitas!I:I,A48,Despesas_Receitas!C:C,"&gt;=01/12/2019",Despesas_Receitas!C:C,"&lt;=31/12/2019"))</f>
        <v>0</v>
      </c>
      <c r="N48" s="84">
        <f t="shared" si="1"/>
        <v>0</v>
      </c>
    </row>
    <row r="49" spans="1:14" ht="19">
      <c r="A49" s="78" t="str">
        <f>Despesas_Receitas!O46</f>
        <v>BENGALEIRO</v>
      </c>
      <c r="B49" s="78">
        <f>SUM(SUMIFS(Despesas_Receitas!E:E,Despesas_Receitas!H:H,"NOITE_DAS_CAMÉLIAS",Despesas_Receitas!I:I,A49,Despesas_Receitas!C:C,"&gt;=01/01/2019",Despesas_Receitas!C:C,"&lt;=31/01/2019"))</f>
        <v>0</v>
      </c>
      <c r="C49" s="78">
        <f>SUM(SUMIFS(Despesas_Receitas!E:E,Despesas_Receitas!H:H,"NOITE_DAS_CAMÉLIAS",Despesas_Receitas!I:I,A49,Despesas_Receitas!C:C,"&gt;=01/02/2019",Despesas_Receitas!C:C,"&lt;=28/02/2019"))</f>
        <v>0</v>
      </c>
      <c r="D49" s="78">
        <f>SUM(SUMIFS(Despesas_Receitas!E:E,Despesas_Receitas!H:H,"NOITE_DAS_CAMÉLIAS",Despesas_Receitas!I:I,A49,Despesas_Receitas!C:C,"&gt;=01/03/2019",Despesas_Receitas!C:C,"&lt;=31/03/2019"))</f>
        <v>0</v>
      </c>
      <c r="E49" s="78">
        <f>SUM(SUMIFS(Despesas_Receitas!E:E,Despesas_Receitas!H:H,"NOITE_DAS_CAMÉLIAS",Despesas_Receitas!I:I,A49,Despesas_Receitas!C:C,"&gt;=01/04/2019",Despesas_Receitas!C:C,"&lt;=30/04/2019"))</f>
        <v>0</v>
      </c>
      <c r="F49" s="78">
        <f>SUM(SUMIFS(Despesas_Receitas!E:E,Despesas_Receitas!H:H,"NOITE_DAS_CAMÉLIAS",Despesas_Receitas!I:I,A49,Despesas_Receitas!C:C,"&gt;=01/05/2019",Despesas_Receitas!C:C,"&lt;=31/05/2019"))</f>
        <v>0</v>
      </c>
      <c r="G49" s="78">
        <f>SUM(SUMIFS(Despesas_Receitas!E:E,Despesas_Receitas!H:H,"NOITE_DAS_CAMÉLIAS",Despesas_Receitas!I:I,A49,Despesas_Receitas!C:C,"&gt;=01/06/2019",Despesas_Receitas!C:C,"&lt;=30/06/2019"))</f>
        <v>0</v>
      </c>
      <c r="H49" s="78">
        <f>SUM(SUMIFS(Despesas_Receitas!E:E,Despesas_Receitas!H:H,"NOITE_DAS_CAMÉLIAS",Despesas_Receitas!I:I,A49,Despesas_Receitas!C:C,"&gt;=01/07/2019",Despesas_Receitas!C:C,"&lt;=31/07/2019"))</f>
        <v>0</v>
      </c>
      <c r="I49" s="78">
        <f>SUM(SUMIFS(Despesas_Receitas!E:E,Despesas_Receitas!H:H,"NOITE_DAS_CAMÉLIAS",Despesas_Receitas!I:I,A49,Despesas_Receitas!C:C,"&gt;=01/08/2019",Despesas_Receitas!C:C,"&lt;=31/08/2019"))</f>
        <v>0</v>
      </c>
      <c r="J49" s="78">
        <f>SUM(SUMIFS(Despesas_Receitas!E:E,Despesas_Receitas!H:H,"NOITE_DAS_CAMÉLIAS",Despesas_Receitas!I:I,A49,Despesas_Receitas!C:C,"&gt;=01/09/2019",Despesas_Receitas!C:C,"&lt;=30/09/2019"))</f>
        <v>0</v>
      </c>
      <c r="K49" s="78">
        <f>SUM(SUMIFS(Despesas_Receitas!E:E,Despesas_Receitas!H:H,"NOITE_DAS_CAMÉLIAS",Despesas_Receitas!I:I,A49,Despesas_Receitas!C:C,"&gt;=01/10/2019",Despesas_Receitas!C:C,"&lt;=31/10/2019"))</f>
        <v>0</v>
      </c>
      <c r="L49" s="78">
        <f>SUM(SUMIFS(Despesas_Receitas!E:E,Despesas_Receitas!H:H,"NOITE_DAS_CAMÉLIAS",Despesas_Receitas!I:I,A49,Despesas_Receitas!C:C,"&gt;=01/11/2019",Despesas_Receitas!C:C,"&lt;=30/11/2019"))</f>
        <v>0</v>
      </c>
      <c r="M49" s="78">
        <f>SUM(SUMIFS(Despesas_Receitas!E:E,Despesas_Receitas!H:H,"NOITE_DAS_CAMÉLIAS",Despesas_Receitas!I:I,A49,Despesas_Receitas!C:C,"&gt;=01/12/2019",Despesas_Receitas!C:C,"&lt;=31/12/2019"))</f>
        <v>0</v>
      </c>
      <c r="N49" s="84">
        <f t="shared" si="1"/>
        <v>0</v>
      </c>
    </row>
    <row r="50" spans="1:14" ht="19">
      <c r="A50" s="78" t="str">
        <f>Despesas_Receitas!O47</f>
        <v>APOIO</v>
      </c>
      <c r="B50" s="78">
        <f>SUM(SUMIFS(Despesas_Receitas!E:E,Despesas_Receitas!H:H,"NOITE_DAS_CAMÉLIAS",Despesas_Receitas!I:I,A50,Despesas_Receitas!C:C,"&gt;=01/01/2019",Despesas_Receitas!C:C,"&lt;=31/01/2019"))</f>
        <v>0</v>
      </c>
      <c r="C50" s="78">
        <f>SUM(SUMIFS(Despesas_Receitas!E:E,Despesas_Receitas!H:H,"NOITE_DAS_CAMÉLIAS",Despesas_Receitas!I:I,A50,Despesas_Receitas!C:C,"&gt;=01/02/2019",Despesas_Receitas!C:C,"&lt;=28/02/2019"))</f>
        <v>0</v>
      </c>
      <c r="D50" s="78">
        <f>SUM(SUMIFS(Despesas_Receitas!E:E,Despesas_Receitas!H:H,"NOITE_DAS_CAMÉLIAS",Despesas_Receitas!I:I,A50,Despesas_Receitas!C:C,"&gt;=01/03/2019",Despesas_Receitas!C:C,"&lt;=31/03/2019"))</f>
        <v>0</v>
      </c>
      <c r="E50" s="78">
        <f>SUM(SUMIFS(Despesas_Receitas!E:E,Despesas_Receitas!H:H,"NOITE_DAS_CAMÉLIAS",Despesas_Receitas!I:I,A50,Despesas_Receitas!C:C,"&gt;=01/04/2019",Despesas_Receitas!C:C,"&lt;=30/04/2019"))</f>
        <v>0</v>
      </c>
      <c r="F50" s="78">
        <f>SUM(SUMIFS(Despesas_Receitas!E:E,Despesas_Receitas!H:H,"NOITE_DAS_CAMÉLIAS",Despesas_Receitas!I:I,A50,Despesas_Receitas!C:C,"&gt;=01/05/2019",Despesas_Receitas!C:C,"&lt;=31/05/2019"))</f>
        <v>0</v>
      </c>
      <c r="G50" s="78">
        <f>SUM(SUMIFS(Despesas_Receitas!E:E,Despesas_Receitas!H:H,"NOITE_DAS_CAMÉLIAS",Despesas_Receitas!I:I,A50,Despesas_Receitas!C:C,"&gt;=01/06/2019",Despesas_Receitas!C:C,"&lt;=30/06/2019"))</f>
        <v>0</v>
      </c>
      <c r="H50" s="78">
        <f>SUM(SUMIFS(Despesas_Receitas!E:E,Despesas_Receitas!H:H,"NOITE_DAS_CAMÉLIAS",Despesas_Receitas!I:I,A50,Despesas_Receitas!C:C,"&gt;=01/07/2019",Despesas_Receitas!C:C,"&lt;=31/07/2019"))</f>
        <v>0</v>
      </c>
      <c r="I50" s="78">
        <f>SUM(SUMIFS(Despesas_Receitas!E:E,Despesas_Receitas!H:H,"NOITE_DAS_CAMÉLIAS",Despesas_Receitas!I:I,A50,Despesas_Receitas!C:C,"&gt;=01/08/2019",Despesas_Receitas!C:C,"&lt;=31/08/2019"))</f>
        <v>0</v>
      </c>
      <c r="J50" s="78">
        <f>SUM(SUMIFS(Despesas_Receitas!E:E,Despesas_Receitas!H:H,"NOITE_DAS_CAMÉLIAS",Despesas_Receitas!I:I,A50,Despesas_Receitas!C:C,"&gt;=01/09/2019",Despesas_Receitas!C:C,"&lt;=30/09/2019"))</f>
        <v>0</v>
      </c>
      <c r="K50" s="78">
        <f>SUM(SUMIFS(Despesas_Receitas!E:E,Despesas_Receitas!H:H,"NOITE_DAS_CAMÉLIAS",Despesas_Receitas!I:I,A50,Despesas_Receitas!C:C,"&gt;=01/10/2019",Despesas_Receitas!C:C,"&lt;=31/10/2019"))</f>
        <v>0</v>
      </c>
      <c r="L50" s="78">
        <f>SUM(SUMIFS(Despesas_Receitas!E:E,Despesas_Receitas!H:H,"NOITE_DAS_CAMÉLIAS",Despesas_Receitas!I:I,A50,Despesas_Receitas!C:C,"&gt;=01/11/2019",Despesas_Receitas!C:C,"&lt;=30/11/2019"))</f>
        <v>0</v>
      </c>
      <c r="M50" s="78">
        <f>SUM(SUMIFS(Despesas_Receitas!E:E,Despesas_Receitas!H:H,"NOITE_DAS_CAMÉLIAS",Despesas_Receitas!I:I,A50,Despesas_Receitas!C:C,"&gt;=01/12/2019",Despesas_Receitas!C:C,"&lt;=31/12/2019"))</f>
        <v>0</v>
      </c>
      <c r="N50" s="84">
        <f t="shared" si="1"/>
        <v>0</v>
      </c>
    </row>
    <row r="51" spans="1:14" ht="19">
      <c r="A51" s="78" t="str">
        <f>Despesas_Receitas!O48</f>
        <v>OUTROS</v>
      </c>
      <c r="B51" s="78">
        <f>SUM(SUMIFS(Despesas_Receitas!E:E,Despesas_Receitas!H:H,"NOITE_DAS_CAMÉLIAS",Despesas_Receitas!I:I,A51,Despesas_Receitas!C:C,"&gt;=01/01/2019",Despesas_Receitas!C:C,"&lt;=31/01/2019"))</f>
        <v>0</v>
      </c>
      <c r="C51" s="78">
        <f>SUM(SUMIFS(Despesas_Receitas!E:E,Despesas_Receitas!H:H,"NOITE_DAS_CAMÉLIAS",Despesas_Receitas!I:I,A51,Despesas_Receitas!C:C,"&gt;=01/02/2019",Despesas_Receitas!C:C,"&lt;=28/02/2019"))</f>
        <v>0</v>
      </c>
      <c r="D51" s="78">
        <f>SUM(SUMIFS(Despesas_Receitas!E:E,Despesas_Receitas!H:H,"NOITE_DAS_CAMÉLIAS",Despesas_Receitas!I:I,A51,Despesas_Receitas!C:C,"&gt;=01/03/2019",Despesas_Receitas!C:C,"&lt;=31/03/2019"))</f>
        <v>0</v>
      </c>
      <c r="E51" s="78">
        <f>SUM(SUMIFS(Despesas_Receitas!E:E,Despesas_Receitas!H:H,"NOITE_DAS_CAMÉLIAS",Despesas_Receitas!I:I,A51,Despesas_Receitas!C:C,"&gt;=01/04/2019",Despesas_Receitas!C:C,"&lt;=30/04/2019"))</f>
        <v>0</v>
      </c>
      <c r="F51" s="78">
        <f>SUM(SUMIFS(Despesas_Receitas!E:E,Despesas_Receitas!H:H,"NOITE_DAS_CAMÉLIAS",Despesas_Receitas!I:I,A51,Despesas_Receitas!C:C,"&gt;=01/05/2019",Despesas_Receitas!C:C,"&lt;=31/05/2019"))</f>
        <v>0</v>
      </c>
      <c r="G51" s="78">
        <f>SUM(SUMIFS(Despesas_Receitas!E:E,Despesas_Receitas!H:H,"NOITE_DAS_CAMÉLIAS",Despesas_Receitas!I:I,A51,Despesas_Receitas!C:C,"&gt;=01/06/2019",Despesas_Receitas!C:C,"&lt;=30/06/2019"))</f>
        <v>0</v>
      </c>
      <c r="H51" s="78">
        <f>SUM(SUMIFS(Despesas_Receitas!E:E,Despesas_Receitas!H:H,"NOITE_DAS_CAMÉLIAS",Despesas_Receitas!I:I,A51,Despesas_Receitas!C:C,"&gt;=01/07/2019",Despesas_Receitas!C:C,"&lt;=31/07/2019"))</f>
        <v>0</v>
      </c>
      <c r="I51" s="78">
        <f>SUM(SUMIFS(Despesas_Receitas!E:E,Despesas_Receitas!H:H,"NOITE_DAS_CAMÉLIAS",Despesas_Receitas!I:I,A51,Despesas_Receitas!C:C,"&gt;=01/08/2019",Despesas_Receitas!C:C,"&lt;=31/08/2019"))</f>
        <v>0</v>
      </c>
      <c r="J51" s="78">
        <f>SUM(SUMIFS(Despesas_Receitas!E:E,Despesas_Receitas!H:H,"NOITE_DAS_CAMÉLIAS",Despesas_Receitas!I:I,A51,Despesas_Receitas!C:C,"&gt;=01/09/2019",Despesas_Receitas!C:C,"&lt;=30/09/2019"))</f>
        <v>0</v>
      </c>
      <c r="K51" s="78">
        <f>SUM(SUMIFS(Despesas_Receitas!E:E,Despesas_Receitas!H:H,"NOITE_DAS_CAMÉLIAS",Despesas_Receitas!I:I,A51,Despesas_Receitas!C:C,"&gt;=01/10/2019",Despesas_Receitas!C:C,"&lt;=31/10/2019"))</f>
        <v>0</v>
      </c>
      <c r="L51" s="78">
        <f>SUM(SUMIFS(Despesas_Receitas!E:E,Despesas_Receitas!H:H,"NOITE_DAS_CAMÉLIAS",Despesas_Receitas!I:I,A51,Despesas_Receitas!C:C,"&gt;=01/11/2019",Despesas_Receitas!C:C,"&lt;=30/11/2019"))</f>
        <v>0</v>
      </c>
      <c r="M51" s="78">
        <f>SUM(SUMIFS(Despesas_Receitas!E:E,Despesas_Receitas!H:H,"NOITE_DAS_CAMÉLIAS",Despesas_Receitas!I:I,A51,Despesas_Receitas!C:C,"&gt;=01/12/2019",Despesas_Receitas!C:C,"&lt;=31/12/2019"))</f>
        <v>0</v>
      </c>
      <c r="N51" s="84">
        <f t="shared" si="1"/>
        <v>0</v>
      </c>
    </row>
    <row r="52" spans="1:14" ht="19">
      <c r="A52" s="78" t="str">
        <f>Despesas_Receitas!O49</f>
        <v>BANDA</v>
      </c>
      <c r="B52" s="78">
        <f>SUM(SUMIFS(Despesas_Receitas!E:E,Despesas_Receitas!H:H,"NOITE_DAS_CAMÉLIAS",Despesas_Receitas!I:I,A52,Despesas_Receitas!C:C,"&gt;=01/01/2019",Despesas_Receitas!C:C,"&lt;=31/01/2019"))</f>
        <v>0</v>
      </c>
      <c r="C52" s="78">
        <f>SUM(SUMIFS(Despesas_Receitas!E:E,Despesas_Receitas!H:H,"NOITE_DAS_CAMÉLIAS",Despesas_Receitas!I:I,A52,Despesas_Receitas!C:C,"&gt;=01/02/2019",Despesas_Receitas!C:C,"&lt;=28/02/2019"))</f>
        <v>0</v>
      </c>
      <c r="D52" s="78">
        <f>SUM(SUMIFS(Despesas_Receitas!E:E,Despesas_Receitas!H:H,"NOITE_DAS_CAMÉLIAS",Despesas_Receitas!I:I,A52,Despesas_Receitas!C:C,"&gt;=01/03/2019",Despesas_Receitas!C:C,"&lt;=31/03/2019"))</f>
        <v>-500</v>
      </c>
      <c r="E52" s="78">
        <f>SUM(SUMIFS(Despesas_Receitas!E:E,Despesas_Receitas!H:H,"NOITE_DAS_CAMÉLIAS",Despesas_Receitas!I:I,A52,Despesas_Receitas!C:C,"&gt;=01/04/2019",Despesas_Receitas!C:C,"&lt;=30/04/2019"))</f>
        <v>0</v>
      </c>
      <c r="F52" s="78">
        <f>SUM(SUMIFS(Despesas_Receitas!E:E,Despesas_Receitas!H:H,"NOITE_DAS_CAMÉLIAS",Despesas_Receitas!I:I,A52,Despesas_Receitas!C:C,"&gt;=01/05/2019",Despesas_Receitas!C:C,"&lt;=31/05/2019"))</f>
        <v>0</v>
      </c>
      <c r="G52" s="78">
        <f>SUM(SUMIFS(Despesas_Receitas!E:E,Despesas_Receitas!H:H,"NOITE_DAS_CAMÉLIAS",Despesas_Receitas!I:I,A52,Despesas_Receitas!C:C,"&gt;=01/06/2019",Despesas_Receitas!C:C,"&lt;=30/06/2019"))</f>
        <v>0</v>
      </c>
      <c r="H52" s="78">
        <f>SUM(SUMIFS(Despesas_Receitas!E:E,Despesas_Receitas!H:H,"NOITE_DAS_CAMÉLIAS",Despesas_Receitas!I:I,A52,Despesas_Receitas!C:C,"&gt;=01/07/2019",Despesas_Receitas!C:C,"&lt;=31/07/2019"))</f>
        <v>0</v>
      </c>
      <c r="I52" s="78">
        <f>SUM(SUMIFS(Despesas_Receitas!E:E,Despesas_Receitas!H:H,"NOITE_DAS_CAMÉLIAS",Despesas_Receitas!I:I,A52,Despesas_Receitas!C:C,"&gt;=01/08/2019",Despesas_Receitas!C:C,"&lt;=31/08/2019"))</f>
        <v>0</v>
      </c>
      <c r="J52" s="78">
        <f>SUM(SUMIFS(Despesas_Receitas!E:E,Despesas_Receitas!H:H,"NOITE_DAS_CAMÉLIAS",Despesas_Receitas!I:I,A52,Despesas_Receitas!C:C,"&gt;=01/09/2019",Despesas_Receitas!C:C,"&lt;=30/09/2019"))</f>
        <v>0</v>
      </c>
      <c r="K52" s="78">
        <f>SUM(SUMIFS(Despesas_Receitas!E:E,Despesas_Receitas!H:H,"NOITE_DAS_CAMÉLIAS",Despesas_Receitas!I:I,A52,Despesas_Receitas!C:C,"&gt;=01/10/2019",Despesas_Receitas!C:C,"&lt;=31/10/2019"))</f>
        <v>0</v>
      </c>
      <c r="L52" s="78">
        <f>SUM(SUMIFS(Despesas_Receitas!E:E,Despesas_Receitas!H:H,"NOITE_DAS_CAMÉLIAS",Despesas_Receitas!I:I,A52,Despesas_Receitas!C:C,"&gt;=01/11/2019",Despesas_Receitas!C:C,"&lt;=30/11/2019"))</f>
        <v>0</v>
      </c>
      <c r="M52" s="78">
        <f>SUM(SUMIFS(Despesas_Receitas!E:E,Despesas_Receitas!H:H,"NOITE_DAS_CAMÉLIAS",Despesas_Receitas!I:I,A52,Despesas_Receitas!C:C,"&gt;=01/12/2019",Despesas_Receitas!C:C,"&lt;=31/12/2019"))</f>
        <v>0</v>
      </c>
      <c r="N52" s="84">
        <f t="shared" si="1"/>
        <v>-500</v>
      </c>
    </row>
    <row r="53" spans="1:14" ht="19">
      <c r="A53" s="79" t="str">
        <f>Despesas_Receitas!N50</f>
        <v>RECEITA ATIVIDADES CONTRATADAS</v>
      </c>
      <c r="B53" s="83">
        <f>SUM(SUMIFS(Despesas_Receitas!E:E,Despesas_Receitas!H:H,"RECEITA_ATIVIDADES_CONTRATADAS",Despesas_Receitas!I:I,A53,Despesas_Receitas!C:C,"&gt;=01/01/2019",Despesas_Receitas!C:C,"&lt;=31/01/2019"))</f>
        <v>0</v>
      </c>
      <c r="C53" s="83">
        <f>SUM(SUMIFS(Despesas_Receitas!E:E,Despesas_Receitas!H:H,"RECEITA_ATIVIDADES_CONTRATADAS",Despesas_Receitas!I:I,A53,Despesas_Receitas!C:C,"&gt;=01/02/2019",Despesas_Receitas!C:C,"&lt;=28/02/2019"))</f>
        <v>0</v>
      </c>
      <c r="D53" s="83">
        <f>SUM(SUMIFS(Despesas_Receitas!E:E,Despesas_Receitas!H:H,"RECEITA_ATIVIDADES_CONTRATADAS",Despesas_Receitas!I:I,A53,Despesas_Receitas!C:C,"&gt;=01/03/2019",Despesas_Receitas!C:C,"&lt;=31/03/2019"))</f>
        <v>0</v>
      </c>
      <c r="E53" s="83">
        <f>SUM(SUMIFS(Despesas_Receitas!E:E,Despesas_Receitas!H:H,"RECEITA_ATIVIDADES_CONTRATADAS",Despesas_Receitas!I:I,A53,Despesas_Receitas!C:C,"&gt;=01/04/2019",Despesas_Receitas!C:C,"&lt;=30/04/2019"))</f>
        <v>0</v>
      </c>
      <c r="F53" s="83">
        <f>SUM(SUMIFS(Despesas_Receitas!E:E,Despesas_Receitas!H:H,"RECEITA_ATIVIDADES_CONTRATADAS",Despesas_Receitas!I:I,A53,Despesas_Receitas!C:C,"&gt;=01/05/2019",Despesas_Receitas!C:C,"&lt;=31/05/2019"))</f>
        <v>0</v>
      </c>
      <c r="G53" s="83">
        <f>SUM(SUMIFS(Despesas_Receitas!E:E,Despesas_Receitas!H:H,"RECEITA_ATIVIDADES_CONTRATADAS",Despesas_Receitas!I:I,A53,Despesas_Receitas!C:C,"&gt;=01/06/2019",Despesas_Receitas!C:C,"&lt;=30/06/2019"))</f>
        <v>0</v>
      </c>
      <c r="H53" s="83">
        <f>SUM(SUMIFS(Despesas_Receitas!E:E,Despesas_Receitas!H:H,"RECEITA_ATIVIDADES_CONTRATADAS",Despesas_Receitas!I:I,A53,Despesas_Receitas!C:C,"&gt;=01/07/2019",Despesas_Receitas!C:C,"&lt;=31/07/2019"))</f>
        <v>0</v>
      </c>
      <c r="I53" s="83">
        <f>SUM(SUMIFS(Despesas_Receitas!E:E,Despesas_Receitas!H:H,"RECEITA_ATIVIDADES_CONTRATADAS",Despesas_Receitas!I:I,A53,Despesas_Receitas!C:C,"&gt;=01/08/2019",Despesas_Receitas!C:C,"&lt;=31/08/2019"))</f>
        <v>0</v>
      </c>
      <c r="J53" s="83">
        <f>SUM(SUMIFS(Despesas_Receitas!E:E,Despesas_Receitas!H:H,"RECEITA_ATIVIDADES_CONTRATADAS",Despesas_Receitas!I:I,A53,Despesas_Receitas!C:C,"&gt;=01/09/2019",Despesas_Receitas!C:C,"&lt;=30/09/2019"))</f>
        <v>0</v>
      </c>
      <c r="K53" s="83">
        <f>SUM(SUMIFS(Despesas_Receitas!E:E,Despesas_Receitas!H:H,"RECEITA_ATIVIDADES_CONTRATADAS",Despesas_Receitas!I:I,A53,Despesas_Receitas!C:C,"&gt;=01/10/2019",Despesas_Receitas!C:C,"&lt;=31/10/2019"))</f>
        <v>0</v>
      </c>
      <c r="L53" s="83">
        <f>SUM(SUMIFS(Despesas_Receitas!E:E,Despesas_Receitas!H:H,"RECEITA_ATIVIDADES_CONTRATADAS",Despesas_Receitas!I:I,A53,Despesas_Receitas!C:C,"&gt;=01/11/2019",Despesas_Receitas!C:C,"&lt;=30/11/2019"))</f>
        <v>0</v>
      </c>
      <c r="M53" s="83">
        <f>SUM(SUMIFS(Despesas_Receitas!E:E,Despesas_Receitas!H:H,"RECEITA_ATIVIDADES_CONTRATADAS",Despesas_Receitas!I:I,A53,Despesas_Receitas!C:C,"&gt;=01/12/2019",Despesas_Receitas!C:C,"&lt;=31/12/2019"))</f>
        <v>0</v>
      </c>
      <c r="N53" s="81">
        <f t="shared" si="1"/>
        <v>0</v>
      </c>
    </row>
    <row r="54" spans="1:14" ht="19">
      <c r="A54" s="79" t="str">
        <f>Despesas_Receitas!N51</f>
        <v>RENDA RESTAURANTE</v>
      </c>
      <c r="B54" s="83">
        <f>SUM(SUMIFS(Despesas_Receitas!E:E,Despesas_Receitas!H:H,"RENDA_RESTAURANTE",Despesas_Receitas!I:I,A54,Despesas_Receitas!C:C,"&gt;=01/01/2019",Despesas_Receitas!C:C,"&lt;=31/01/2019"))</f>
        <v>0</v>
      </c>
      <c r="C54" s="83">
        <f>SUM(SUMIFS(Despesas_Receitas!E:E,Despesas_Receitas!H:H,"RENDA_RESTAURANTE",Despesas_Receitas!I:I,A54,Despesas_Receitas!C:C,"&gt;=01/02/2019",Despesas_Receitas!C:C,"&lt;=28/02/2019"))</f>
        <v>0</v>
      </c>
      <c r="D54" s="83">
        <f>SUM(SUMIFS(Despesas_Receitas!E:E,Despesas_Receitas!H:H,"RENDA_RESTAURANTE",Despesas_Receitas!I:I,A54,Despesas_Receitas!C:C,"&gt;=01/03/2019",Despesas_Receitas!C:C,"&lt;=31/03/2019"))</f>
        <v>0</v>
      </c>
      <c r="E54" s="83">
        <f>SUM(SUMIFS(Despesas_Receitas!E:E,Despesas_Receitas!H:H,"RENDA_RESTAURANTE",Despesas_Receitas!I:I,A54,Despesas_Receitas!C:C,"&gt;=01/04/2019",Despesas_Receitas!C:C,"&lt;=30/04/2019"))</f>
        <v>0</v>
      </c>
      <c r="F54" s="83">
        <f>SUM(SUMIFS(Despesas_Receitas!E:E,Despesas_Receitas!H:H,"RENDA_RESTAURANTE",Despesas_Receitas!I:I,A54,Despesas_Receitas!C:C,"&gt;=01/05/2019",Despesas_Receitas!C:C,"&lt;=31/05/2019"))</f>
        <v>0</v>
      </c>
      <c r="G54" s="83">
        <f>SUM(SUMIFS(Despesas_Receitas!E:E,Despesas_Receitas!H:H,"RENDA_RESTAURANTE",Despesas_Receitas!I:I,A54,Despesas_Receitas!C:C,"&gt;=01/06/2019",Despesas_Receitas!C:C,"&lt;=30/06/2019"))</f>
        <v>0</v>
      </c>
      <c r="H54" s="83">
        <f>SUM(SUMIFS(Despesas_Receitas!E:E,Despesas_Receitas!H:H,"RENDA_RESTAURANTE",Despesas_Receitas!I:I,A54,Despesas_Receitas!C:C,"&gt;=01/07/2019",Despesas_Receitas!C:C,"&lt;=31/07/2019"))</f>
        <v>0</v>
      </c>
      <c r="I54" s="83">
        <f>SUM(SUMIFS(Despesas_Receitas!E:E,Despesas_Receitas!H:H,"RENDA_RESTAURANTE",Despesas_Receitas!I:I,A54,Despesas_Receitas!C:C,"&gt;=01/08/2019",Despesas_Receitas!C:C,"&lt;=31/08/2019"))</f>
        <v>0</v>
      </c>
      <c r="J54" s="83">
        <f>SUM(SUMIFS(Despesas_Receitas!E:E,Despesas_Receitas!H:H,"RENDA_RESTAURANTE",Despesas_Receitas!I:I,A54,Despesas_Receitas!C:C,"&gt;=01/09/2019",Despesas_Receitas!C:C,"&lt;=30/09/2019"))</f>
        <v>0</v>
      </c>
      <c r="K54" s="83">
        <f>SUM(SUMIFS(Despesas_Receitas!E:E,Despesas_Receitas!H:H,"RENDA_RESTAURANTE",Despesas_Receitas!I:I,A54,Despesas_Receitas!C:C,"&gt;=01/10/2019",Despesas_Receitas!C:C,"&lt;=31/10/2019"))</f>
        <v>0</v>
      </c>
      <c r="L54" s="83">
        <f>SUM(SUMIFS(Despesas_Receitas!E:E,Despesas_Receitas!H:H,"RENDA_RESTAURANTE",Despesas_Receitas!I:I,A54,Despesas_Receitas!C:C,"&gt;=01/11/2019",Despesas_Receitas!C:C,"&lt;=30/11/2019"))</f>
        <v>0</v>
      </c>
      <c r="M54" s="83">
        <f>SUM(SUMIFS(Despesas_Receitas!E:E,Despesas_Receitas!H:H,"RENDA_RESTAURANTE",Despesas_Receitas!I:I,A54,Despesas_Receitas!C:C,"&gt;=01/12/2019",Despesas_Receitas!C:C,"&lt;=31/12/2019"))</f>
        <v>0</v>
      </c>
      <c r="N54" s="81">
        <f t="shared" si="1"/>
        <v>0</v>
      </c>
    </row>
    <row r="55" spans="1:14" ht="19">
      <c r="A55" s="79" t="str">
        <f>Despesas_Receitas!N52</f>
        <v>SÓCIOS</v>
      </c>
      <c r="B55" s="83">
        <f>SUM(B56:B58)</f>
        <v>0</v>
      </c>
      <c r="C55" s="83">
        <f t="shared" ref="C55:M55" si="7">SUM(C56:C58)</f>
        <v>0</v>
      </c>
      <c r="D55" s="83">
        <f t="shared" si="7"/>
        <v>0</v>
      </c>
      <c r="E55" s="83">
        <f t="shared" si="7"/>
        <v>0</v>
      </c>
      <c r="F55" s="83">
        <f t="shared" si="7"/>
        <v>0</v>
      </c>
      <c r="G55" s="83">
        <f t="shared" si="7"/>
        <v>0</v>
      </c>
      <c r="H55" s="83">
        <f t="shared" si="7"/>
        <v>0</v>
      </c>
      <c r="I55" s="83">
        <f t="shared" si="7"/>
        <v>0</v>
      </c>
      <c r="J55" s="83">
        <f t="shared" si="7"/>
        <v>0</v>
      </c>
      <c r="K55" s="83">
        <f t="shared" si="7"/>
        <v>0</v>
      </c>
      <c r="L55" s="83">
        <f t="shared" si="7"/>
        <v>0</v>
      </c>
      <c r="M55" s="83">
        <f t="shared" si="7"/>
        <v>0</v>
      </c>
      <c r="N55" s="81">
        <f t="shared" si="1"/>
        <v>0</v>
      </c>
    </row>
    <row r="56" spans="1:14" ht="19">
      <c r="A56" s="78" t="str">
        <f>Despesas_Receitas!O52</f>
        <v>HOMENAGENS</v>
      </c>
      <c r="B56" s="78">
        <f>SUM(SUMIFS(Despesas_Receitas!E:E,Despesas_Receitas!H:H,A$55,Despesas_Receitas!I:I,A56,Despesas_Receitas!C:C,"&gt;=01/01/2019",Despesas_Receitas!C:C,"&lt;=31/01/2019"))</f>
        <v>0</v>
      </c>
      <c r="C56" s="78">
        <f>SUM(SUMIFS(Despesas_Receitas!E:E,Despesas_Receitas!H:H,A$55,Despesas_Receitas!I:I,A56,Despesas_Receitas!C:C,"&gt;=01/02/2019",Despesas_Receitas!C:C,"&lt;=28/02/2019"))</f>
        <v>0</v>
      </c>
      <c r="D56" s="78">
        <f>SUM(SUMIFS(Despesas_Receitas!E:E,Despesas_Receitas!H:H,A$55,Despesas_Receitas!I:I,A56,Despesas_Receitas!C:C,"&gt;=01/03/2019",Despesas_Receitas!C:C,"&lt;=31/03/2019"))</f>
        <v>0</v>
      </c>
      <c r="E56" s="78">
        <f>SUM(SUMIFS(Despesas_Receitas!E:E,Despesas_Receitas!H:H,A$55,Despesas_Receitas!I:I,A56,Despesas_Receitas!C:C,"&gt;=01/04/2019",Despesas_Receitas!C:C,"&lt;=30/04/2019"))</f>
        <v>0</v>
      </c>
      <c r="F56" s="78">
        <f>SUM(SUMIFS(Despesas_Receitas!E:E,Despesas_Receitas!H:H,A$55,Despesas_Receitas!I:I,A56,Despesas_Receitas!C:C,"&gt;=01/05/2019",Despesas_Receitas!C:C,"&lt;=31/05/2019"))</f>
        <v>0</v>
      </c>
      <c r="G56" s="78">
        <f>SUM(SUMIFS(Despesas_Receitas!E:E,Despesas_Receitas!H:H,A$55,Despesas_Receitas!I:I,A56,Despesas_Receitas!C:C,"&gt;=01/06/2019",Despesas_Receitas!C:C,"&lt;=30/06/2019"))</f>
        <v>0</v>
      </c>
      <c r="H56" s="78">
        <f>SUM(SUMIFS(Despesas_Receitas!E:E,Despesas_Receitas!H:H,A$55,Despesas_Receitas!I:I,A56,Despesas_Receitas!C:C,"&gt;=01/07/2019",Despesas_Receitas!C:C,"&lt;=31/07/2019"))</f>
        <v>0</v>
      </c>
      <c r="I56" s="78">
        <f>SUM(SUMIFS(Despesas_Receitas!E:E,Despesas_Receitas!H:H,A$55,Despesas_Receitas!I:I,A56,Despesas_Receitas!C:C,"&gt;=01/08/2019",Despesas_Receitas!C:C,"&lt;=31/08/2019"))</f>
        <v>0</v>
      </c>
      <c r="J56" s="78">
        <f>SUM(SUMIFS(Despesas_Receitas!E:E,Despesas_Receitas!H:H,A$55,Despesas_Receitas!I:I,A56,Despesas_Receitas!C:C,"&gt;=01/09/2019",Despesas_Receitas!C:C,"&lt;=30/09/2019"))</f>
        <v>0</v>
      </c>
      <c r="K56" s="78">
        <f>SUM(SUMIFS(Despesas_Receitas!E:E,Despesas_Receitas!H:H,A$55,Despesas_Receitas!I:I,A56,Despesas_Receitas!C:C,"&gt;=01/10/2019",Despesas_Receitas!C:C,"&lt;=31/10/2019"))</f>
        <v>0</v>
      </c>
      <c r="L56" s="78">
        <f>SUM(SUMIFS(Despesas_Receitas!E:E,Despesas_Receitas!H:H,A$55,Despesas_Receitas!I:I,A56,Despesas_Receitas!C:C,"&gt;=01/11/2019",Despesas_Receitas!C:C,"&lt;=30/11/2019"))</f>
        <v>0</v>
      </c>
      <c r="M56" s="78">
        <f>SUM(SUMIFS(Despesas_Receitas!E:E,Despesas_Receitas!H:H,A$55,Despesas_Receitas!I:I,A56,Despesas_Receitas!C:C,"&gt;=01/12/2019",Despesas_Receitas!C:C,"&lt;=31/12/2019"))</f>
        <v>0</v>
      </c>
      <c r="N56" s="84">
        <f t="shared" si="1"/>
        <v>0</v>
      </c>
    </row>
    <row r="57" spans="1:14" ht="19">
      <c r="A57" s="78" t="str">
        <f>Despesas_Receitas!O53</f>
        <v>QUOTAS</v>
      </c>
      <c r="B57" s="78">
        <f>SUM(SUMIFS(Despesas_Receitas!E:E,Despesas_Receitas!H:H,A$55,Despesas_Receitas!I:I,A57,Despesas_Receitas!C:C,"&gt;=01/01/2019",Despesas_Receitas!C:C,"&lt;=31/01/2019"))</f>
        <v>0</v>
      </c>
      <c r="C57" s="78">
        <f>SUM(SUMIFS(Despesas_Receitas!E:E,Despesas_Receitas!H:H,A$55,Despesas_Receitas!I:I,A57,Despesas_Receitas!C:C,"&gt;=01/02/2019",Despesas_Receitas!C:C,"&lt;=28/02/2019"))</f>
        <v>0</v>
      </c>
      <c r="D57" s="78">
        <f>SUM(SUMIFS(Despesas_Receitas!E:E,Despesas_Receitas!H:H,A$55,Despesas_Receitas!I:I,A57,Despesas_Receitas!C:C,"&gt;=01/03/2019",Despesas_Receitas!C:C,"&lt;=31/03/2019"))</f>
        <v>0</v>
      </c>
      <c r="E57" s="78">
        <f>SUM(SUMIFS(Despesas_Receitas!E:E,Despesas_Receitas!H:H,A$55,Despesas_Receitas!I:I,A57,Despesas_Receitas!C:C,"&gt;=01/04/2019",Despesas_Receitas!C:C,"&lt;=30/04/2019"))</f>
        <v>0</v>
      </c>
      <c r="F57" s="78">
        <f>SUM(SUMIFS(Despesas_Receitas!E:E,Despesas_Receitas!H:H,A$55,Despesas_Receitas!I:I,A57,Despesas_Receitas!C:C,"&gt;=01/05/2019",Despesas_Receitas!C:C,"&lt;=31/05/2019"))</f>
        <v>0</v>
      </c>
      <c r="G57" s="78">
        <f>SUM(SUMIFS(Despesas_Receitas!E:E,Despesas_Receitas!H:H,A$55,Despesas_Receitas!I:I,A57,Despesas_Receitas!C:C,"&gt;=01/06/2019",Despesas_Receitas!C:C,"&lt;=30/06/2019"))</f>
        <v>0</v>
      </c>
      <c r="H57" s="78">
        <f>SUM(SUMIFS(Despesas_Receitas!E:E,Despesas_Receitas!H:H,A$55,Despesas_Receitas!I:I,A57,Despesas_Receitas!C:C,"&gt;=01/07/2019",Despesas_Receitas!C:C,"&lt;=31/07/2019"))</f>
        <v>0</v>
      </c>
      <c r="I57" s="78">
        <f>SUM(SUMIFS(Despesas_Receitas!E:E,Despesas_Receitas!H:H,A$55,Despesas_Receitas!I:I,A57,Despesas_Receitas!C:C,"&gt;=01/08/2019",Despesas_Receitas!C:C,"&lt;=31/08/2019"))</f>
        <v>0</v>
      </c>
      <c r="J57" s="78">
        <f>SUM(SUMIFS(Despesas_Receitas!E:E,Despesas_Receitas!H:H,A$55,Despesas_Receitas!I:I,A57,Despesas_Receitas!C:C,"&gt;=01/09/2019",Despesas_Receitas!C:C,"&lt;=30/09/2019"))</f>
        <v>0</v>
      </c>
      <c r="K57" s="78">
        <f>SUM(SUMIFS(Despesas_Receitas!E:E,Despesas_Receitas!H:H,A$55,Despesas_Receitas!I:I,A57,Despesas_Receitas!C:C,"&gt;=01/10/2019",Despesas_Receitas!C:C,"&lt;=31/10/2019"))</f>
        <v>0</v>
      </c>
      <c r="L57" s="78">
        <f>SUM(SUMIFS(Despesas_Receitas!E:E,Despesas_Receitas!H:H,A$55,Despesas_Receitas!I:I,A57,Despesas_Receitas!C:C,"&gt;=01/11/2019",Despesas_Receitas!C:C,"&lt;=30/11/2019"))</f>
        <v>0</v>
      </c>
      <c r="M57" s="78">
        <f>SUM(SUMIFS(Despesas_Receitas!E:E,Despesas_Receitas!H:H,A$55,Despesas_Receitas!I:I,A57,Despesas_Receitas!C:C,"&gt;=01/12/2019",Despesas_Receitas!C:C,"&lt;=31/12/2019"))</f>
        <v>0</v>
      </c>
      <c r="N57" s="84">
        <f t="shared" si="1"/>
        <v>0</v>
      </c>
    </row>
    <row r="58" spans="1:14" ht="19">
      <c r="A58" s="78" t="str">
        <f>Despesas_Receitas!O54</f>
        <v>DONATIVO</v>
      </c>
      <c r="B58" s="78">
        <f>SUM(SUMIFS(Despesas_Receitas!E:E,Despesas_Receitas!H:H,A$55,Despesas_Receitas!I:I,A58,Despesas_Receitas!C:C,"&gt;=01/01/2019",Despesas_Receitas!C:C,"&lt;=31/01/2019"))</f>
        <v>0</v>
      </c>
      <c r="C58" s="78">
        <f>SUM(SUMIFS(Despesas_Receitas!E:E,Despesas_Receitas!H:H,A$55,Despesas_Receitas!I:I,A58,Despesas_Receitas!C:C,"&gt;=01/02/2019",Despesas_Receitas!C:C,"&lt;=28/02/2019"))</f>
        <v>0</v>
      </c>
      <c r="D58" s="78">
        <f>SUM(SUMIFS(Despesas_Receitas!E:E,Despesas_Receitas!H:H,A$55,Despesas_Receitas!I:I,A58,Despesas_Receitas!C:C,"&gt;=01/03/2019",Despesas_Receitas!C:C,"&lt;=31/03/2019"))</f>
        <v>0</v>
      </c>
      <c r="E58" s="78">
        <f>SUM(SUMIFS(Despesas_Receitas!E:E,Despesas_Receitas!H:H,A$55,Despesas_Receitas!I:I,A58,Despesas_Receitas!C:C,"&gt;=01/04/2019",Despesas_Receitas!C:C,"&lt;=30/04/2019"))</f>
        <v>0</v>
      </c>
      <c r="F58" s="78">
        <f>SUM(SUMIFS(Despesas_Receitas!E:E,Despesas_Receitas!H:H,A$55,Despesas_Receitas!I:I,A58,Despesas_Receitas!C:C,"&gt;=01/05/2019",Despesas_Receitas!C:C,"&lt;=31/05/2019"))</f>
        <v>0</v>
      </c>
      <c r="G58" s="78">
        <f>SUM(SUMIFS(Despesas_Receitas!E:E,Despesas_Receitas!H:H,A$55,Despesas_Receitas!I:I,A58,Despesas_Receitas!C:C,"&gt;=01/06/2019",Despesas_Receitas!C:C,"&lt;=30/06/2019"))</f>
        <v>0</v>
      </c>
      <c r="H58" s="78">
        <f>SUM(SUMIFS(Despesas_Receitas!E:E,Despesas_Receitas!H:H,A$55,Despesas_Receitas!I:I,A58,Despesas_Receitas!C:C,"&gt;=01/07/2019",Despesas_Receitas!C:C,"&lt;=31/07/2019"))</f>
        <v>0</v>
      </c>
      <c r="I58" s="78">
        <f>SUM(SUMIFS(Despesas_Receitas!E:E,Despesas_Receitas!H:H,A$55,Despesas_Receitas!I:I,A58,Despesas_Receitas!C:C,"&gt;=01/08/2019",Despesas_Receitas!C:C,"&lt;=31/08/2019"))</f>
        <v>0</v>
      </c>
      <c r="J58" s="78">
        <f>SUM(SUMIFS(Despesas_Receitas!E:E,Despesas_Receitas!H:H,A$55,Despesas_Receitas!I:I,A58,Despesas_Receitas!C:C,"&gt;=01/09/2019",Despesas_Receitas!C:C,"&lt;=30/09/2019"))</f>
        <v>0</v>
      </c>
      <c r="K58" s="78">
        <f>SUM(SUMIFS(Despesas_Receitas!E:E,Despesas_Receitas!H:H,A$55,Despesas_Receitas!I:I,A58,Despesas_Receitas!C:C,"&gt;=01/10/2019",Despesas_Receitas!C:C,"&lt;=31/10/2019"))</f>
        <v>0</v>
      </c>
      <c r="L58" s="78">
        <f>SUM(SUMIFS(Despesas_Receitas!E:E,Despesas_Receitas!H:H,A$55,Despesas_Receitas!I:I,A58,Despesas_Receitas!C:C,"&gt;=01/11/2019",Despesas_Receitas!C:C,"&lt;=30/11/2019"))</f>
        <v>0</v>
      </c>
      <c r="M58" s="78">
        <f>SUM(SUMIFS(Despesas_Receitas!E:E,Despesas_Receitas!H:H,A$55,Despesas_Receitas!I:I,A58,Despesas_Receitas!C:C,"&gt;=01/12/2019",Despesas_Receitas!C:C,"&lt;=31/12/2019"))</f>
        <v>0</v>
      </c>
      <c r="N58" s="84">
        <f t="shared" si="1"/>
        <v>0</v>
      </c>
    </row>
    <row r="59" spans="1:14" ht="19">
      <c r="A59" s="79" t="str">
        <f>Despesas_Receitas!N55</f>
        <v>TEATRO UNIÃO</v>
      </c>
      <c r="B59" s="83">
        <f>SUM(B60:B64)</f>
        <v>-64.17</v>
      </c>
      <c r="C59" s="83">
        <f t="shared" ref="C59:M59" si="8">SUM(C60:C64)</f>
        <v>-284.79999999999995</v>
      </c>
      <c r="D59" s="83">
        <f t="shared" si="8"/>
        <v>-91.199999999999989</v>
      </c>
      <c r="E59" s="83">
        <f t="shared" si="8"/>
        <v>-470.69</v>
      </c>
      <c r="F59" s="83">
        <f t="shared" si="8"/>
        <v>-88</v>
      </c>
      <c r="G59" s="83">
        <f t="shared" si="8"/>
        <v>0</v>
      </c>
      <c r="H59" s="83">
        <f t="shared" si="8"/>
        <v>0</v>
      </c>
      <c r="I59" s="83">
        <f t="shared" si="8"/>
        <v>0</v>
      </c>
      <c r="J59" s="83">
        <f t="shared" si="8"/>
        <v>0</v>
      </c>
      <c r="K59" s="83">
        <f t="shared" si="8"/>
        <v>0</v>
      </c>
      <c r="L59" s="83">
        <f t="shared" si="8"/>
        <v>0</v>
      </c>
      <c r="M59" s="83">
        <f t="shared" si="8"/>
        <v>0</v>
      </c>
      <c r="N59" s="81">
        <f t="shared" si="1"/>
        <v>-998.8599999999999</v>
      </c>
    </row>
    <row r="60" spans="1:14" ht="19">
      <c r="A60" s="78" t="str">
        <f>Despesas_Receitas!O55</f>
        <v>CENÁRIO</v>
      </c>
      <c r="B60" s="78">
        <f>SUM(SUMIFS(Despesas_Receitas!E:E,Despesas_Receitas!H:H,"TEATRO_UNIÃO",Despesas_Receitas!I:I,A60,Despesas_Receitas!C:C,"&gt;=01/01/2019",Despesas_Receitas!C:C,"&lt;=31/01/2019"))</f>
        <v>0</v>
      </c>
      <c r="C60" s="78">
        <f>SUM(SUMIFS(Despesas_Receitas!E:E,Despesas_Receitas!H:H,"TEATRO_UNIÃO",Despesas_Receitas!I:I,A60,Despesas_Receitas!C:C,"&gt;=01/02/2019",Despesas_Receitas!C:C,"&lt;=28/02/2019"))</f>
        <v>0</v>
      </c>
      <c r="D60" s="78">
        <f>SUM(SUMIFS(Despesas_Receitas!E:E,Despesas_Receitas!H:H,"TEATRO_UNIÃO",Despesas_Receitas!I:I,A60,Despesas_Receitas!C:C,"&gt;=01/03/2019",Despesas_Receitas!C:C,"&lt;=31/03/2019"))</f>
        <v>0</v>
      </c>
      <c r="E60" s="78">
        <f>SUM(SUMIFS(Despesas_Receitas!E:E,Despesas_Receitas!H:H,"TEATRO_UNIÃO",Despesas_Receitas!I:I,A60,Despesas_Receitas!C:C,"&gt;=01/04/2019",Despesas_Receitas!C:C,"&lt;=30/04/2019"))</f>
        <v>-302.82</v>
      </c>
      <c r="F60" s="78">
        <f>SUM(SUMIFS(Despesas_Receitas!E:E,Despesas_Receitas!H:H,"TEATRO_UNIÃO",Despesas_Receitas!I:I,A60,Despesas_Receitas!C:C,"&gt;=01/05/2019",Despesas_Receitas!C:C,"&lt;=31/05/2019"))</f>
        <v>-74.900000000000006</v>
      </c>
      <c r="G60" s="78">
        <f>SUM(SUMIFS(Despesas_Receitas!E:E,Despesas_Receitas!H:H,"TEATRO_UNIÃO",Despesas_Receitas!I:I,A60,Despesas_Receitas!C:C,"&gt;=01/06/2019",Despesas_Receitas!C:C,"&lt;=30/06/2019"))</f>
        <v>0</v>
      </c>
      <c r="H60" s="78">
        <f>SUM(SUMIFS(Despesas_Receitas!E:E,Despesas_Receitas!H:H,"TEATRO_UNIÃO",Despesas_Receitas!I:I,A60,Despesas_Receitas!C:C,"&gt;=01/07/2019",Despesas_Receitas!C:C,"&lt;=31/07/2019"))</f>
        <v>0</v>
      </c>
      <c r="I60" s="78">
        <f>SUM(SUMIFS(Despesas_Receitas!E:E,Despesas_Receitas!H:H,"TEATRO_UNIÃO",Despesas_Receitas!I:I,A60,Despesas_Receitas!C:C,"&gt;=01/08/2019",Despesas_Receitas!C:C,"&lt;=31/08/2019"))</f>
        <v>0</v>
      </c>
      <c r="J60" s="78">
        <f>SUM(SUMIFS(Despesas_Receitas!E:E,Despesas_Receitas!H:H,"TEATRO_UNIÃO",Despesas_Receitas!I:I,A60,Despesas_Receitas!C:C,"&gt;=01/09/2019",Despesas_Receitas!C:C,"&lt;=30/09/2019"))</f>
        <v>0</v>
      </c>
      <c r="K60" s="78">
        <f>SUM(SUMIFS(Despesas_Receitas!E:E,Despesas_Receitas!H:H,"TEATRO_UNIÃO",Despesas_Receitas!I:I,A60,Despesas_Receitas!C:C,"&gt;=01/10/2019",Despesas_Receitas!C:C,"&lt;=31/10/2019"))</f>
        <v>0</v>
      </c>
      <c r="L60" s="78">
        <f>SUM(SUMIFS(Despesas_Receitas!E:E,Despesas_Receitas!H:H,"TEATRO_UNIÃO",Despesas_Receitas!I:I,A60,Despesas_Receitas!C:C,"&gt;=01/11/2019",Despesas_Receitas!C:C,"&lt;=30/11/2019"))</f>
        <v>0</v>
      </c>
      <c r="M60" s="78">
        <f>SUM(SUMIFS(Despesas_Receitas!E:E,Despesas_Receitas!H:H,"TEATRO_UNIÃO",Despesas_Receitas!I:I,A60,Despesas_Receitas!C:C,"&gt;=01/12/2019",Despesas_Receitas!C:C,"&lt;=31/12/2019"))</f>
        <v>0</v>
      </c>
      <c r="N60" s="84">
        <f t="shared" si="1"/>
        <v>-377.72</v>
      </c>
    </row>
    <row r="61" spans="1:14" ht="19">
      <c r="A61" s="78" t="str">
        <f>Despesas_Receitas!O56</f>
        <v>GUARDA ROUPA</v>
      </c>
      <c r="B61" s="78">
        <f>SUM(SUMIFS(Despesas_Receitas!E:E,Despesas_Receitas!H:H,"TEATRO_UNIÃO",Despesas_Receitas!I:I,A61,Despesas_Receitas!C:C,"&gt;=01/01/2019",Despesas_Receitas!C:C,"&lt;=31/01/2019"))</f>
        <v>-64.17</v>
      </c>
      <c r="C61" s="78">
        <f>SUM(SUMIFS(Despesas_Receitas!E:E,Despesas_Receitas!H:H,"TEATRO_UNIÃO",Despesas_Receitas!I:I,A61,Despesas_Receitas!C:C,"&gt;=01/02/2019",Despesas_Receitas!C:C,"&lt;=28/02/2019"))</f>
        <v>-284.79999999999995</v>
      </c>
      <c r="D61" s="78">
        <f>SUM(SUMIFS(Despesas_Receitas!E:E,Despesas_Receitas!H:H,"TEATRO_UNIÃO",Despesas_Receitas!I:I,A61,Despesas_Receitas!C:C,"&gt;=01/03/2019",Despesas_Receitas!C:C,"&lt;=31/03/2019"))</f>
        <v>-91.199999999999989</v>
      </c>
      <c r="E61" s="78">
        <f>SUM(SUMIFS(Despesas_Receitas!E:E,Despesas_Receitas!H:H,"TEATRO_UNIÃO",Despesas_Receitas!I:I,A61,Despesas_Receitas!C:C,"&gt;=01/04/2019",Despesas_Receitas!C:C,"&lt;=30/04/2019"))</f>
        <v>-167.87</v>
      </c>
      <c r="F61" s="78">
        <f>SUM(SUMIFS(Despesas_Receitas!E:E,Despesas_Receitas!H:H,"TEATRO_UNIÃO",Despesas_Receitas!I:I,A61,Despesas_Receitas!C:C,"&gt;=01/05/2019",Despesas_Receitas!C:C,"&lt;=31/05/2019"))</f>
        <v>-13.1</v>
      </c>
      <c r="G61" s="78">
        <f>SUM(SUMIFS(Despesas_Receitas!E:E,Despesas_Receitas!H:H,"TEATRO_UNIÃO",Despesas_Receitas!I:I,A61,Despesas_Receitas!C:C,"&gt;=01/06/2019",Despesas_Receitas!C:C,"&lt;=30/06/2019"))</f>
        <v>0</v>
      </c>
      <c r="H61" s="78">
        <f>SUM(SUMIFS(Despesas_Receitas!E:E,Despesas_Receitas!H:H,"TEATRO_UNIÃO",Despesas_Receitas!I:I,A61,Despesas_Receitas!C:C,"&gt;=01/07/2019",Despesas_Receitas!C:C,"&lt;=31/07/2019"))</f>
        <v>0</v>
      </c>
      <c r="I61" s="78">
        <f>SUM(SUMIFS(Despesas_Receitas!E:E,Despesas_Receitas!H:H,"TEATRO_UNIÃO",Despesas_Receitas!I:I,A61,Despesas_Receitas!C:C,"&gt;=01/08/2019",Despesas_Receitas!C:C,"&lt;=31/08/2019"))</f>
        <v>0</v>
      </c>
      <c r="J61" s="78">
        <f>SUM(SUMIFS(Despesas_Receitas!E:E,Despesas_Receitas!H:H,"TEATRO_UNIÃO",Despesas_Receitas!I:I,A61,Despesas_Receitas!C:C,"&gt;=01/09/2019",Despesas_Receitas!C:C,"&lt;=30/09/2019"))</f>
        <v>0</v>
      </c>
      <c r="K61" s="78">
        <f>SUM(SUMIFS(Despesas_Receitas!E:E,Despesas_Receitas!H:H,"TEATRO_UNIÃO",Despesas_Receitas!I:I,A61,Despesas_Receitas!C:C,"&gt;=01/10/2019",Despesas_Receitas!C:C,"&lt;=31/10/2019"))</f>
        <v>0</v>
      </c>
      <c r="L61" s="78">
        <f>SUM(SUMIFS(Despesas_Receitas!E:E,Despesas_Receitas!H:H,"TEATRO_UNIÃO",Despesas_Receitas!I:I,A61,Despesas_Receitas!C:C,"&gt;=01/11/2019",Despesas_Receitas!C:C,"&lt;=30/11/2019"))</f>
        <v>0</v>
      </c>
      <c r="M61" s="78">
        <f>SUM(SUMIFS(Despesas_Receitas!E:E,Despesas_Receitas!H:H,"TEATRO_UNIÃO",Despesas_Receitas!I:I,A61,Despesas_Receitas!C:C,"&gt;=01/12/2019",Despesas_Receitas!C:C,"&lt;=31/12/2019"))</f>
        <v>0</v>
      </c>
      <c r="N61" s="84">
        <f t="shared" si="1"/>
        <v>-621.14</v>
      </c>
    </row>
    <row r="62" spans="1:14" ht="19">
      <c r="A62" s="78" t="str">
        <f>Despesas_Receitas!O57</f>
        <v>PUBLICIDADE</v>
      </c>
      <c r="B62" s="78">
        <f>SUM(SUMIFS(Despesas_Receitas!E:E,Despesas_Receitas!H:H,"TEATRO_UNIÃO",Despesas_Receitas!I:I,A62,Despesas_Receitas!C:C,"&gt;=01/01/2019",Despesas_Receitas!C:C,"&lt;=31/01/2019"))</f>
        <v>0</v>
      </c>
      <c r="C62" s="78">
        <f>SUM(SUMIFS(Despesas_Receitas!E:E,Despesas_Receitas!H:H,"TEATRO_UNIÃO",Despesas_Receitas!I:I,A62,Despesas_Receitas!C:C,"&gt;=01/02/2019",Despesas_Receitas!C:C,"&lt;=28/02/2019"))</f>
        <v>0</v>
      </c>
      <c r="D62" s="78">
        <f>SUM(SUMIFS(Despesas_Receitas!E:E,Despesas_Receitas!H:H,"TEATRO_UNIÃO",Despesas_Receitas!I:I,A62,Despesas_Receitas!C:C,"&gt;=01/03/2019",Despesas_Receitas!C:C,"&lt;=31/03/2019"))</f>
        <v>0</v>
      </c>
      <c r="E62" s="78">
        <f>SUM(SUMIFS(Despesas_Receitas!E:E,Despesas_Receitas!H:H,"TEATRO_UNIÃO",Despesas_Receitas!I:I,A62,Despesas_Receitas!C:C,"&gt;=01/04/2019",Despesas_Receitas!C:C,"&lt;=30/04/2019"))</f>
        <v>0</v>
      </c>
      <c r="F62" s="78">
        <f>SUM(SUMIFS(Despesas_Receitas!E:E,Despesas_Receitas!H:H,"TEATRO_UNIÃO",Despesas_Receitas!I:I,A62,Despesas_Receitas!C:C,"&gt;=01/05/2019",Despesas_Receitas!C:C,"&lt;=31/05/2019"))</f>
        <v>0</v>
      </c>
      <c r="G62" s="78">
        <f>SUM(SUMIFS(Despesas_Receitas!E:E,Despesas_Receitas!H:H,"TEATRO_UNIÃO",Despesas_Receitas!I:I,A62,Despesas_Receitas!C:C,"&gt;=01/06/2019",Despesas_Receitas!C:C,"&lt;=30/06/2019"))</f>
        <v>0</v>
      </c>
      <c r="H62" s="78">
        <f>SUM(SUMIFS(Despesas_Receitas!E:E,Despesas_Receitas!H:H,"TEATRO_UNIÃO",Despesas_Receitas!I:I,A62,Despesas_Receitas!C:C,"&gt;=01/07/2019",Despesas_Receitas!C:C,"&lt;=31/07/2019"))</f>
        <v>0</v>
      </c>
      <c r="I62" s="78">
        <f>SUM(SUMIFS(Despesas_Receitas!E:E,Despesas_Receitas!H:H,"TEATRO_UNIÃO",Despesas_Receitas!I:I,A62,Despesas_Receitas!C:C,"&gt;=01/08/2019",Despesas_Receitas!C:C,"&lt;=31/08/2019"))</f>
        <v>0</v>
      </c>
      <c r="J62" s="78">
        <f>SUM(SUMIFS(Despesas_Receitas!E:E,Despesas_Receitas!H:H,"TEATRO_UNIÃO",Despesas_Receitas!I:I,A62,Despesas_Receitas!C:C,"&gt;=01/09/2019",Despesas_Receitas!C:C,"&lt;=30/09/2019"))</f>
        <v>0</v>
      </c>
      <c r="K62" s="78">
        <f>SUM(SUMIFS(Despesas_Receitas!E:E,Despesas_Receitas!H:H,"TEATRO_UNIÃO",Despesas_Receitas!I:I,A62,Despesas_Receitas!C:C,"&gt;=01/10/2019",Despesas_Receitas!C:C,"&lt;=31/10/2019"))</f>
        <v>0</v>
      </c>
      <c r="L62" s="78">
        <f>SUM(SUMIFS(Despesas_Receitas!E:E,Despesas_Receitas!H:H,"TEATRO_UNIÃO",Despesas_Receitas!I:I,A62,Despesas_Receitas!C:C,"&gt;=01/11/2019",Despesas_Receitas!C:C,"&lt;=30/11/2019"))</f>
        <v>0</v>
      </c>
      <c r="M62" s="78">
        <f>SUM(SUMIFS(Despesas_Receitas!E:E,Despesas_Receitas!H:H,"TEATRO_UNIÃO",Despesas_Receitas!I:I,A62,Despesas_Receitas!C:C,"&gt;=01/12/2019",Despesas_Receitas!C:C,"&lt;=31/12/2019"))</f>
        <v>0</v>
      </c>
      <c r="N62" s="84">
        <f t="shared" si="1"/>
        <v>0</v>
      </c>
    </row>
    <row r="63" spans="1:14" ht="19">
      <c r="A63" s="78" t="str">
        <f>Despesas_Receitas!O58</f>
        <v>DONATIVO DE PORTA</v>
      </c>
      <c r="B63" s="78">
        <f>SUM(SUMIFS(Despesas_Receitas!E:E,Despesas_Receitas!H:H,"TEATRO_UNIÃO",Despesas_Receitas!I:I,A63,Despesas_Receitas!C:C,"&gt;=01/01/2019",Despesas_Receitas!C:C,"&lt;=31/01/2019"))</f>
        <v>0</v>
      </c>
      <c r="C63" s="78">
        <f>SUM(SUMIFS(Despesas_Receitas!E:E,Despesas_Receitas!H:H,"TEATRO_UNIÃO",Despesas_Receitas!I:I,A63,Despesas_Receitas!C:C,"&gt;=01/02/2019",Despesas_Receitas!C:C,"&lt;=28/02/2019"))</f>
        <v>0</v>
      </c>
      <c r="D63" s="78">
        <f>SUM(SUMIFS(Despesas_Receitas!E:E,Despesas_Receitas!H:H,"TEATRO_UNIÃO",Despesas_Receitas!I:I,A63,Despesas_Receitas!C:C,"&gt;=01/03/2019",Despesas_Receitas!C:C,"&lt;=31/03/2019"))</f>
        <v>0</v>
      </c>
      <c r="E63" s="78">
        <f>SUM(SUMIFS(Despesas_Receitas!E:E,Despesas_Receitas!H:H,"TEATRO_UNIÃO",Despesas_Receitas!I:I,A63,Despesas_Receitas!C:C,"&gt;=01/04/2019",Despesas_Receitas!C:C,"&lt;=30/04/2019"))</f>
        <v>0</v>
      </c>
      <c r="F63" s="78">
        <f>SUM(SUMIFS(Despesas_Receitas!E:E,Despesas_Receitas!H:H,"TEATRO_UNIÃO",Despesas_Receitas!I:I,A63,Despesas_Receitas!C:C,"&gt;=01/05/2019",Despesas_Receitas!C:C,"&lt;=31/05/2019"))</f>
        <v>0</v>
      </c>
      <c r="G63" s="78">
        <f>SUM(SUMIFS(Despesas_Receitas!E:E,Despesas_Receitas!H:H,"TEATRO_UNIÃO",Despesas_Receitas!I:I,A63,Despesas_Receitas!C:C,"&gt;=01/06/2019",Despesas_Receitas!C:C,"&lt;=30/06/2019"))</f>
        <v>0</v>
      </c>
      <c r="H63" s="78">
        <f>SUM(SUMIFS(Despesas_Receitas!E:E,Despesas_Receitas!H:H,"TEATRO_UNIÃO",Despesas_Receitas!I:I,A63,Despesas_Receitas!C:C,"&gt;=01/07/2019",Despesas_Receitas!C:C,"&lt;=31/07/2019"))</f>
        <v>0</v>
      </c>
      <c r="I63" s="78">
        <f>SUM(SUMIFS(Despesas_Receitas!E:E,Despesas_Receitas!H:H,"TEATRO_UNIÃO",Despesas_Receitas!I:I,A63,Despesas_Receitas!C:C,"&gt;=01/08/2019",Despesas_Receitas!C:C,"&lt;=31/08/2019"))</f>
        <v>0</v>
      </c>
      <c r="J63" s="78">
        <f>SUM(SUMIFS(Despesas_Receitas!E:E,Despesas_Receitas!H:H,"TEATRO_UNIÃO",Despesas_Receitas!I:I,A63,Despesas_Receitas!C:C,"&gt;=01/09/2019",Despesas_Receitas!C:C,"&lt;=30/09/2019"))</f>
        <v>0</v>
      </c>
      <c r="K63" s="78">
        <f>SUM(SUMIFS(Despesas_Receitas!E:E,Despesas_Receitas!H:H,"TEATRO_UNIÃO",Despesas_Receitas!I:I,A63,Despesas_Receitas!C:C,"&gt;=01/10/2019",Despesas_Receitas!C:C,"&lt;=31/10/2019"))</f>
        <v>0</v>
      </c>
      <c r="L63" s="78">
        <f>SUM(SUMIFS(Despesas_Receitas!E:E,Despesas_Receitas!H:H,"TEATRO_UNIÃO",Despesas_Receitas!I:I,A63,Despesas_Receitas!C:C,"&gt;=01/11/2019",Despesas_Receitas!C:C,"&lt;=30/11/2019"))</f>
        <v>0</v>
      </c>
      <c r="M63" s="78">
        <f>SUM(SUMIFS(Despesas_Receitas!E:E,Despesas_Receitas!H:H,"TEATRO_UNIÃO",Despesas_Receitas!I:I,A63,Despesas_Receitas!C:C,"&gt;=01/12/2019",Despesas_Receitas!C:C,"&lt;=31/12/2019"))</f>
        <v>0</v>
      </c>
      <c r="N63" s="84">
        <f t="shared" si="1"/>
        <v>0</v>
      </c>
    </row>
    <row r="64" spans="1:14" ht="19">
      <c r="A64" s="78" t="str">
        <f>Despesas_Receitas!O59</f>
        <v>APOIO</v>
      </c>
      <c r="B64" s="78">
        <f>SUM(SUMIFS(Despesas_Receitas!E:E,Despesas_Receitas!H:H,"TEATRO_UNIÃO",Despesas_Receitas!I:I,A64,Despesas_Receitas!C:C,"&gt;=01/01/2019",Despesas_Receitas!C:C,"&lt;=31/01/2019"))</f>
        <v>0</v>
      </c>
      <c r="C64" s="78">
        <f>SUM(SUMIFS(Despesas_Receitas!E:E,Despesas_Receitas!H:H,"TEATRO_UNIÃO",Despesas_Receitas!I:I,A64,Despesas_Receitas!C:C,"&gt;=01/02/2019",Despesas_Receitas!C:C,"&lt;=28/02/2019"))</f>
        <v>0</v>
      </c>
      <c r="D64" s="78">
        <f>SUM(SUMIFS(Despesas_Receitas!E:E,Despesas_Receitas!H:H,"TEATRO_UNIÃO",Despesas_Receitas!I:I,A64,Despesas_Receitas!C:C,"&gt;=01/03/2019",Despesas_Receitas!C:C,"&lt;=31/03/2019"))</f>
        <v>0</v>
      </c>
      <c r="E64" s="78">
        <f>SUM(SUMIFS(Despesas_Receitas!E:E,Despesas_Receitas!H:H,"TEATRO_UNIÃO",Despesas_Receitas!I:I,A64,Despesas_Receitas!C:C,"&gt;=01/04/2019",Despesas_Receitas!C:C,"&lt;=30/04/2019"))</f>
        <v>0</v>
      </c>
      <c r="F64" s="78">
        <f>SUM(SUMIFS(Despesas_Receitas!E:E,Despesas_Receitas!H:H,"TEATRO_UNIÃO",Despesas_Receitas!I:I,A64,Despesas_Receitas!C:C,"&gt;=01/05/2019",Despesas_Receitas!C:C,"&lt;=31/05/2019"))</f>
        <v>0</v>
      </c>
      <c r="G64" s="78">
        <f>SUM(SUMIFS(Despesas_Receitas!E:E,Despesas_Receitas!H:H,"TEATRO_UNIÃO",Despesas_Receitas!I:I,A64,Despesas_Receitas!C:C,"&gt;=01/06/2019",Despesas_Receitas!C:C,"&lt;=30/06/2019"))</f>
        <v>0</v>
      </c>
      <c r="H64" s="78">
        <f>SUM(SUMIFS(Despesas_Receitas!E:E,Despesas_Receitas!H:H,"TEATRO_UNIÃO",Despesas_Receitas!I:I,A64,Despesas_Receitas!C:C,"&gt;=01/07/2019",Despesas_Receitas!C:C,"&lt;=31/07/2019"))</f>
        <v>0</v>
      </c>
      <c r="I64" s="78">
        <f>SUM(SUMIFS(Despesas_Receitas!E:E,Despesas_Receitas!H:H,"TEATRO_UNIÃO",Despesas_Receitas!I:I,A64,Despesas_Receitas!C:C,"&gt;=01/08/2019",Despesas_Receitas!C:C,"&lt;=31/08/2019"))</f>
        <v>0</v>
      </c>
      <c r="J64" s="78">
        <f>SUM(SUMIFS(Despesas_Receitas!E:E,Despesas_Receitas!H:H,"TEATRO_UNIÃO",Despesas_Receitas!I:I,A64,Despesas_Receitas!C:C,"&gt;=01/09/2019",Despesas_Receitas!C:C,"&lt;=30/09/2019"))</f>
        <v>0</v>
      </c>
      <c r="K64" s="78">
        <f>SUM(SUMIFS(Despesas_Receitas!E:E,Despesas_Receitas!H:H,"TEATRO_UNIÃO",Despesas_Receitas!I:I,A64,Despesas_Receitas!C:C,"&gt;=01/10/2019",Despesas_Receitas!C:C,"&lt;=31/10/2019"))</f>
        <v>0</v>
      </c>
      <c r="L64" s="78">
        <f>SUM(SUMIFS(Despesas_Receitas!E:E,Despesas_Receitas!H:H,"TEATRO_UNIÃO",Despesas_Receitas!I:I,A64,Despesas_Receitas!C:C,"&gt;=01/11/2019",Despesas_Receitas!C:C,"&lt;=30/11/2019"))</f>
        <v>0</v>
      </c>
      <c r="M64" s="78">
        <f>SUM(SUMIFS(Despesas_Receitas!E:E,Despesas_Receitas!H:H,"TEATRO_UNIÃO",Despesas_Receitas!I:I,A64,Despesas_Receitas!C:C,"&gt;=01/12/2019",Despesas_Receitas!C:C,"&lt;=31/12/2019"))</f>
        <v>0</v>
      </c>
      <c r="N64" s="84">
        <f t="shared" si="1"/>
        <v>0</v>
      </c>
    </row>
    <row r="65" spans="1:14" ht="19">
      <c r="A65" s="79" t="str">
        <f>Despesas_Receitas!N60</f>
        <v>ATIVIDADES DIVERSAS</v>
      </c>
      <c r="B65" s="83">
        <f>SUM(B66:B68)</f>
        <v>-34.049999999999997</v>
      </c>
      <c r="C65" s="83">
        <f t="shared" ref="C65:M65" si="9">SUM(C66:C68)</f>
        <v>-25</v>
      </c>
      <c r="D65" s="83">
        <f t="shared" si="9"/>
        <v>0</v>
      </c>
      <c r="E65" s="83">
        <f t="shared" si="9"/>
        <v>-111.93</v>
      </c>
      <c r="F65" s="83">
        <f t="shared" si="9"/>
        <v>0</v>
      </c>
      <c r="G65" s="83">
        <f t="shared" si="9"/>
        <v>0</v>
      </c>
      <c r="H65" s="83">
        <f t="shared" si="9"/>
        <v>0</v>
      </c>
      <c r="I65" s="83">
        <f t="shared" si="9"/>
        <v>0</v>
      </c>
      <c r="J65" s="83">
        <f t="shared" si="9"/>
        <v>0</v>
      </c>
      <c r="K65" s="83">
        <f t="shared" si="9"/>
        <v>0</v>
      </c>
      <c r="L65" s="83">
        <f t="shared" si="9"/>
        <v>0</v>
      </c>
      <c r="M65" s="83">
        <f t="shared" si="9"/>
        <v>0</v>
      </c>
      <c r="N65" s="81">
        <f t="shared" si="1"/>
        <v>-170.98000000000002</v>
      </c>
    </row>
    <row r="66" spans="1:14" ht="19">
      <c r="A66" s="78" t="str">
        <f>Despesas_Receitas!O60</f>
        <v>COMPRAS</v>
      </c>
      <c r="B66" s="78">
        <f>SUM(SUMIFS(Despesas_Receitas!E:E,Despesas_Receitas!H:H,"ATIVIDADES_DIVERSAS",Despesas_Receitas!I:I,A66,Despesas_Receitas!C:C,"&gt;=01/01/2019",Despesas_Receitas!C:C,"&lt;=31/01/2019"))</f>
        <v>-34.049999999999997</v>
      </c>
      <c r="C66" s="78">
        <f>SUM(SUMIFS(Despesas_Receitas!E:E,Despesas_Receitas!H:H,"ATIVIDADES_DIVERSAS",Despesas_Receitas!I:I,A66,Despesas_Receitas!C:C,"&gt;=01/02/2019",Despesas_Receitas!C:C,"&lt;=28/02/2019"))</f>
        <v>-25</v>
      </c>
      <c r="D66" s="78">
        <f>SUM(SUMIFS(Despesas_Receitas!E:E,Despesas_Receitas!H:H,"ATIVIDADES_DIVERSAS",Despesas_Receitas!I:I,A66,Despesas_Receitas!C:C,"&gt;=01/03/2019",Despesas_Receitas!C:C,"&lt;=31/03/2019"))</f>
        <v>0</v>
      </c>
      <c r="E66" s="78">
        <f>SUM(SUMIFS(Despesas_Receitas!E:E,Despesas_Receitas!H:H,"ATIVIDADES_DIVERSAS",Despesas_Receitas!I:I,A66,Despesas_Receitas!C:C,"&gt;=01/04/2019",Despesas_Receitas!C:C,"&lt;=30/04/2019"))</f>
        <v>-111.93</v>
      </c>
      <c r="F66" s="78">
        <f>SUM(SUMIFS(Despesas_Receitas!E:E,Despesas_Receitas!H:H,"ATIVIDADES_DIVERSAS",Despesas_Receitas!I:I,A66,Despesas_Receitas!C:C,"&gt;=01/05/2019",Despesas_Receitas!C:C,"&lt;=31/05/2019"))</f>
        <v>0</v>
      </c>
      <c r="G66" s="78">
        <f>SUM(SUMIFS(Despesas_Receitas!E:E,Despesas_Receitas!H:H,"ATIVIDADES_DIVERSAS",Despesas_Receitas!I:I,A66,Despesas_Receitas!C:C,"&gt;=01/06/2019",Despesas_Receitas!C:C,"&lt;=30/06/2019"))</f>
        <v>0</v>
      </c>
      <c r="H66" s="78">
        <f>SUM(SUMIFS(Despesas_Receitas!E:E,Despesas_Receitas!H:H,"ATIVIDADES_DIVERSAS",Despesas_Receitas!I:I,A66,Despesas_Receitas!C:C,"&gt;=01/07/2019",Despesas_Receitas!C:C,"&lt;=31/07/2019"))</f>
        <v>0</v>
      </c>
      <c r="I66" s="78">
        <f>SUM(SUMIFS(Despesas_Receitas!E:E,Despesas_Receitas!H:H,"ATIVIDADES_DIVERSAS",Despesas_Receitas!I:I,A66,Despesas_Receitas!C:C,"&gt;=01/08/2019",Despesas_Receitas!C:C,"&lt;=31/08/2019"))</f>
        <v>0</v>
      </c>
      <c r="J66" s="78">
        <f>SUM(SUMIFS(Despesas_Receitas!E:E,Despesas_Receitas!H:H,"ATIVIDADES_DIVERSAS",Despesas_Receitas!I:I,A66,Despesas_Receitas!C:C,"&gt;=01/09/2019",Despesas_Receitas!C:C,"&lt;=30/09/2019"))</f>
        <v>0</v>
      </c>
      <c r="K66" s="78">
        <f>SUM(SUMIFS(Despesas_Receitas!E:E,Despesas_Receitas!H:H,"ATIVIDADES_DIVERSAS",Despesas_Receitas!I:I,A66,Despesas_Receitas!C:C,"&gt;=01/10/2019",Despesas_Receitas!C:C,"&lt;=31/10/2019"))</f>
        <v>0</v>
      </c>
      <c r="L66" s="78">
        <f>SUM(SUMIFS(Despesas_Receitas!E:E,Despesas_Receitas!H:H,"ATIVIDADES_DIVERSAS",Despesas_Receitas!I:I,A66,Despesas_Receitas!C:C,"&gt;=01/11/2019",Despesas_Receitas!C:C,"&lt;=30/11/2019"))</f>
        <v>0</v>
      </c>
      <c r="M66" s="78">
        <f>SUM(SUMIFS(Despesas_Receitas!E:E,Despesas_Receitas!H:H,"ATIVIDADES_DIVERSAS",Despesas_Receitas!I:I,A66,Despesas_Receitas!C:C,"&gt;=01/12/2019",Despesas_Receitas!C:C,"&lt;=31/12/2019"))</f>
        <v>0</v>
      </c>
      <c r="N66" s="84">
        <f t="shared" si="1"/>
        <v>-170.98000000000002</v>
      </c>
    </row>
    <row r="67" spans="1:14" ht="19">
      <c r="A67" s="78" t="str">
        <f>Despesas_Receitas!O61</f>
        <v>RECEITA</v>
      </c>
      <c r="B67" s="78">
        <f>SUM(SUMIFS(Despesas_Receitas!E:E,Despesas_Receitas!H:H,"ATIVIDADES_DIVERSAS",Despesas_Receitas!I:I,A67,Despesas_Receitas!C:C,"&gt;=01/01/2019",Despesas_Receitas!C:C,"&lt;=31/01/2019"))</f>
        <v>0</v>
      </c>
      <c r="C67" s="78">
        <f>SUM(SUMIFS(Despesas_Receitas!E:E,Despesas_Receitas!H:H,"ATIVIDADES_DIVERSAS",Despesas_Receitas!I:I,A67,Despesas_Receitas!C:C,"&gt;=01/02/2019",Despesas_Receitas!C:C,"&lt;=28/02/2019"))</f>
        <v>0</v>
      </c>
      <c r="D67" s="78">
        <f>SUM(SUMIFS(Despesas_Receitas!E:E,Despesas_Receitas!H:H,"ATIVIDADES_DIVERSAS",Despesas_Receitas!I:I,A67,Despesas_Receitas!C:C,"&gt;=01/03/2019",Despesas_Receitas!C:C,"&lt;=31/03/2019"))</f>
        <v>0</v>
      </c>
      <c r="E67" s="78">
        <f>SUM(SUMIFS(Despesas_Receitas!E:E,Despesas_Receitas!H:H,"ATIVIDADES_DIVERSAS",Despesas_Receitas!I:I,A67,Despesas_Receitas!C:C,"&gt;=01/04/2019",Despesas_Receitas!C:C,"&lt;=30/04/2019"))</f>
        <v>0</v>
      </c>
      <c r="F67" s="78">
        <f>SUM(SUMIFS(Despesas_Receitas!E:E,Despesas_Receitas!H:H,"ATIVIDADES_DIVERSAS",Despesas_Receitas!I:I,A67,Despesas_Receitas!C:C,"&gt;=01/05/2019",Despesas_Receitas!C:C,"&lt;=31/05/2019"))</f>
        <v>0</v>
      </c>
      <c r="G67" s="78">
        <f>SUM(SUMIFS(Despesas_Receitas!E:E,Despesas_Receitas!H:H,"ATIVIDADES_DIVERSAS",Despesas_Receitas!I:I,A67,Despesas_Receitas!C:C,"&gt;=01/06/2019",Despesas_Receitas!C:C,"&lt;=30/06/2019"))</f>
        <v>0</v>
      </c>
      <c r="H67" s="78">
        <f>SUM(SUMIFS(Despesas_Receitas!E:E,Despesas_Receitas!H:H,"ATIVIDADES_DIVERSAS",Despesas_Receitas!I:I,A67,Despesas_Receitas!C:C,"&gt;=01/07/2019",Despesas_Receitas!C:C,"&lt;=31/07/2019"))</f>
        <v>0</v>
      </c>
      <c r="I67" s="78">
        <f>SUM(SUMIFS(Despesas_Receitas!E:E,Despesas_Receitas!H:H,"ATIVIDADES_DIVERSAS",Despesas_Receitas!I:I,A67,Despesas_Receitas!C:C,"&gt;=01/08/2019",Despesas_Receitas!C:C,"&lt;=31/08/2019"))</f>
        <v>0</v>
      </c>
      <c r="J67" s="78">
        <f>SUM(SUMIFS(Despesas_Receitas!E:E,Despesas_Receitas!H:H,"ATIVIDADES_DIVERSAS",Despesas_Receitas!I:I,A67,Despesas_Receitas!C:C,"&gt;=01/09/2019",Despesas_Receitas!C:C,"&lt;=30/09/2019"))</f>
        <v>0</v>
      </c>
      <c r="K67" s="78">
        <f>SUM(SUMIFS(Despesas_Receitas!E:E,Despesas_Receitas!H:H,"ATIVIDADES_DIVERSAS",Despesas_Receitas!I:I,A67,Despesas_Receitas!C:C,"&gt;=01/10/2019",Despesas_Receitas!C:C,"&lt;=31/10/2019"))</f>
        <v>0</v>
      </c>
      <c r="L67" s="78">
        <f>SUM(SUMIFS(Despesas_Receitas!E:E,Despesas_Receitas!H:H,"ATIVIDADES_DIVERSAS",Despesas_Receitas!I:I,A67,Despesas_Receitas!C:C,"&gt;=01/11/2019",Despesas_Receitas!C:C,"&lt;=30/11/2019"))</f>
        <v>0</v>
      </c>
      <c r="M67" s="78">
        <f>SUM(SUMIFS(Despesas_Receitas!E:E,Despesas_Receitas!H:H,"ATIVIDADES_DIVERSAS",Despesas_Receitas!I:I,A67,Despesas_Receitas!C:C,"&gt;=01/12/2019",Despesas_Receitas!C:C,"&lt;=31/12/2019"))</f>
        <v>0</v>
      </c>
      <c r="N67" s="84">
        <f t="shared" si="1"/>
        <v>0</v>
      </c>
    </row>
    <row r="68" spans="1:14" ht="19">
      <c r="A68" s="78" t="str">
        <f>Despesas_Receitas!O62</f>
        <v>APOIO</v>
      </c>
      <c r="B68" s="78">
        <f>SUM(SUMIFS(Despesas_Receitas!E:E,Despesas_Receitas!H:H,"ATIVIDADES_DIVERSAS",Despesas_Receitas!I:I,A68,Despesas_Receitas!C:C,"&gt;=01/01/2019",Despesas_Receitas!C:C,"&lt;=31/01/2019"))</f>
        <v>0</v>
      </c>
      <c r="C68" s="78">
        <f>SUM(SUMIFS(Despesas_Receitas!E:E,Despesas_Receitas!H:H,"ATIVIDADES_DIVERSAS",Despesas_Receitas!I:I,A68,Despesas_Receitas!C:C,"&gt;=01/02/2019",Despesas_Receitas!C:C,"&lt;=28/02/2019"))</f>
        <v>0</v>
      </c>
      <c r="D68" s="78">
        <f>SUM(SUMIFS(Despesas_Receitas!E:E,Despesas_Receitas!H:H,"ATIVIDADES_DIVERSAS",Despesas_Receitas!I:I,A68,Despesas_Receitas!C:C,"&gt;=01/03/2019",Despesas_Receitas!C:C,"&lt;=31/03/2019"))</f>
        <v>0</v>
      </c>
      <c r="E68" s="78">
        <f>SUM(SUMIFS(Despesas_Receitas!E:E,Despesas_Receitas!H:H,"ATIVIDADES_DIVERSAS",Despesas_Receitas!I:I,A68,Despesas_Receitas!C:C,"&gt;=01/04/2019",Despesas_Receitas!C:C,"&lt;=30/04/2019"))</f>
        <v>0</v>
      </c>
      <c r="F68" s="78">
        <f>SUM(SUMIFS(Despesas_Receitas!E:E,Despesas_Receitas!H:H,"ATIVIDADES_DIVERSAS",Despesas_Receitas!I:I,A68,Despesas_Receitas!C:C,"&gt;=01/05/2019",Despesas_Receitas!C:C,"&lt;=31/05/2019"))</f>
        <v>0</v>
      </c>
      <c r="G68" s="78">
        <f>SUM(SUMIFS(Despesas_Receitas!E:E,Despesas_Receitas!H:H,"ATIVIDADES_DIVERSAS",Despesas_Receitas!I:I,A68,Despesas_Receitas!C:C,"&gt;=01/06/2019",Despesas_Receitas!C:C,"&lt;=30/06/2019"))</f>
        <v>0</v>
      </c>
      <c r="H68" s="78">
        <f>SUM(SUMIFS(Despesas_Receitas!E:E,Despesas_Receitas!H:H,"ATIVIDADES_DIVERSAS",Despesas_Receitas!I:I,A68,Despesas_Receitas!C:C,"&gt;=01/07/2019",Despesas_Receitas!C:C,"&lt;=31/07/2019"))</f>
        <v>0</v>
      </c>
      <c r="I68" s="78">
        <f>SUM(SUMIFS(Despesas_Receitas!E:E,Despesas_Receitas!H:H,"ATIVIDADES_DIVERSAS",Despesas_Receitas!I:I,A68,Despesas_Receitas!C:C,"&gt;=01/08/2019",Despesas_Receitas!C:C,"&lt;=31/08/2019"))</f>
        <v>0</v>
      </c>
      <c r="J68" s="78">
        <f>SUM(SUMIFS(Despesas_Receitas!E:E,Despesas_Receitas!H:H,"ATIVIDADES_DIVERSAS",Despesas_Receitas!I:I,A68,Despesas_Receitas!C:C,"&gt;=01/09/2019",Despesas_Receitas!C:C,"&lt;=30/09/2019"))</f>
        <v>0</v>
      </c>
      <c r="K68" s="78">
        <f>SUM(SUMIFS(Despesas_Receitas!E:E,Despesas_Receitas!H:H,"ATIVIDADES_DIVERSAS",Despesas_Receitas!I:I,A68,Despesas_Receitas!C:C,"&gt;=01/10/2019",Despesas_Receitas!C:C,"&lt;=31/10/2019"))</f>
        <v>0</v>
      </c>
      <c r="L68" s="78">
        <f>SUM(SUMIFS(Despesas_Receitas!E:E,Despesas_Receitas!H:H,"ATIVIDADES_DIVERSAS",Despesas_Receitas!I:I,A68,Despesas_Receitas!C:C,"&gt;=01/11/2019",Despesas_Receitas!C:C,"&lt;=30/11/2019"))</f>
        <v>0</v>
      </c>
      <c r="M68" s="78">
        <f>SUM(SUMIFS(Despesas_Receitas!E:E,Despesas_Receitas!H:H,"ATIVIDADES_DIVERSAS",Despesas_Receitas!I:I,A68,Despesas_Receitas!C:C,"&gt;=01/12/2019",Despesas_Receitas!C:C,"&lt;=31/12/2019"))</f>
        <v>0</v>
      </c>
      <c r="N68" s="84">
        <f t="shared" si="1"/>
        <v>0</v>
      </c>
    </row>
    <row r="69" spans="1:14" ht="19">
      <c r="A69" s="79" t="str">
        <f>Despesas_Receitas!N63</f>
        <v>ANIVERSÁRIO SUS</v>
      </c>
      <c r="B69" s="83">
        <f>SUM(B70:B72)</f>
        <v>0</v>
      </c>
      <c r="C69" s="83">
        <f t="shared" ref="C69:M69" si="10">SUM(C70:C72)</f>
        <v>0</v>
      </c>
      <c r="D69" s="83">
        <f t="shared" si="10"/>
        <v>0</v>
      </c>
      <c r="E69" s="83">
        <f t="shared" si="10"/>
        <v>0</v>
      </c>
      <c r="F69" s="83">
        <f t="shared" si="10"/>
        <v>-206.41</v>
      </c>
      <c r="G69" s="83">
        <f t="shared" si="10"/>
        <v>0</v>
      </c>
      <c r="H69" s="83">
        <f t="shared" si="10"/>
        <v>0</v>
      </c>
      <c r="I69" s="83">
        <f t="shared" si="10"/>
        <v>0</v>
      </c>
      <c r="J69" s="83">
        <f t="shared" si="10"/>
        <v>0</v>
      </c>
      <c r="K69" s="83">
        <f t="shared" si="10"/>
        <v>0</v>
      </c>
      <c r="L69" s="83">
        <f t="shared" si="10"/>
        <v>0</v>
      </c>
      <c r="M69" s="83">
        <f t="shared" si="10"/>
        <v>0</v>
      </c>
      <c r="N69" s="81">
        <f t="shared" ref="N69:N72" si="11">SUM(B69:M69)</f>
        <v>-206.41</v>
      </c>
    </row>
    <row r="70" spans="1:14" ht="19">
      <c r="A70" s="78" t="str">
        <f>Despesas_Receitas!O63</f>
        <v>COMPRAS</v>
      </c>
      <c r="B70" s="78">
        <f>SUM(SUMIFS(Despesas_Receitas!E:E,Despesas_Receitas!H:H,"ANIVERSÁRIO_SUS",Despesas_Receitas!I:I,A70,Despesas_Receitas!C:C,"&gt;=01/01/2019",Despesas_Receitas!C:C,"&lt;=31/01/2019"))</f>
        <v>0</v>
      </c>
      <c r="C70" s="78">
        <f>SUM(SUMIFS(Despesas_Receitas!E:E,Despesas_Receitas!H:H,"ANIVERSÁRIO_SUS",Despesas_Receitas!I:I,A70,Despesas_Receitas!C:C,"&gt;=01/02/2019",Despesas_Receitas!C:C,"&lt;=28/02/2019"))</f>
        <v>0</v>
      </c>
      <c r="D70" s="78">
        <f>SUM(SUMIFS(Despesas_Receitas!E:E,Despesas_Receitas!H:H,"ANIVERSÁRIO_SUS",Despesas_Receitas!I:I,A70,Despesas_Receitas!C:C,"&gt;=01/03/2019",Despesas_Receitas!C:C,"&lt;=31/03/2019"))</f>
        <v>0</v>
      </c>
      <c r="E70" s="78">
        <f>SUM(SUMIFS(Despesas_Receitas!E:E,Despesas_Receitas!H:H,"ANIVERSÁRIO_SUS",Despesas_Receitas!I:I,A70,Despesas_Receitas!C:C,"&gt;=01/04/2019",Despesas_Receitas!C:C,"&lt;=30/04/2019"))</f>
        <v>0</v>
      </c>
      <c r="F70" s="78">
        <f>SUM(SUMIFS(Despesas_Receitas!E:E,Despesas_Receitas!H:H,"ANIVERSÁRIO_SUS",Despesas_Receitas!I:I,A70,Despesas_Receitas!C:C,"&gt;=01/05/2019",Despesas_Receitas!C:C,"&lt;=31/05/2019"))</f>
        <v>-206.41</v>
      </c>
      <c r="G70" s="78">
        <f>SUM(SUMIFS(Despesas_Receitas!E:E,Despesas_Receitas!H:H,"ANIVERSÁRIO_SUS",Despesas_Receitas!I:I,A70,Despesas_Receitas!C:C,"&gt;=01/06/2019",Despesas_Receitas!C:C,"&lt;=30/06/2019"))</f>
        <v>0</v>
      </c>
      <c r="H70" s="78">
        <f>SUM(SUMIFS(Despesas_Receitas!E:E,Despesas_Receitas!H:H,"ANIVERSÁRIO_SUS",Despesas_Receitas!I:I,A70,Despesas_Receitas!C:C,"&gt;=01/07/2019",Despesas_Receitas!C:C,"&lt;=31/07/2019"))</f>
        <v>0</v>
      </c>
      <c r="I70" s="78">
        <f>SUM(SUMIFS(Despesas_Receitas!E:E,Despesas_Receitas!H:H,"ANIVERSÁRIO_SUS",Despesas_Receitas!I:I,A70,Despesas_Receitas!C:C,"&gt;=01/08/2019",Despesas_Receitas!C:C,"&lt;=31/08/2019"))</f>
        <v>0</v>
      </c>
      <c r="J70" s="78">
        <f>SUM(SUMIFS(Despesas_Receitas!E:E,Despesas_Receitas!H:H,"ANIVERSÁRIO_SUS",Despesas_Receitas!I:I,A70,Despesas_Receitas!C:C,"&gt;=01/09/2019",Despesas_Receitas!C:C,"&lt;=30/09/2019"))</f>
        <v>0</v>
      </c>
      <c r="K70" s="78">
        <f>SUM(SUMIFS(Despesas_Receitas!E:E,Despesas_Receitas!H:H,"ANIVERSÁRIO_SUS",Despesas_Receitas!I:I,A70,Despesas_Receitas!C:C,"&gt;=01/10/2019",Despesas_Receitas!C:C,"&lt;=31/10/2019"))</f>
        <v>0</v>
      </c>
      <c r="L70" s="78">
        <f>SUM(SUMIFS(Despesas_Receitas!E:E,Despesas_Receitas!H:H,"ANIVERSÁRIO_SUS",Despesas_Receitas!I:I,A70,Despesas_Receitas!C:C,"&gt;=01/11/2019",Despesas_Receitas!C:C,"&lt;=30/11/2019"))</f>
        <v>0</v>
      </c>
      <c r="M70" s="78">
        <f>SUM(SUMIFS(Despesas_Receitas!E:E,Despesas_Receitas!H:H,"ANIVERSÁRIO_SUS",Despesas_Receitas!I:I,A70,Despesas_Receitas!C:C,"&gt;=01/12/2019",Despesas_Receitas!C:C,"&lt;=31/12/2019"))</f>
        <v>0</v>
      </c>
      <c r="N70" s="84">
        <f t="shared" si="11"/>
        <v>-206.41</v>
      </c>
    </row>
    <row r="71" spans="1:14" ht="19">
      <c r="A71" s="78" t="str">
        <f>Despesas_Receitas!O64</f>
        <v>RECEITA</v>
      </c>
      <c r="B71" s="78">
        <f>SUM(SUMIFS(Despesas_Receitas!E:E,Despesas_Receitas!H:H,"ANIVERSÁRIO_SUS",Despesas_Receitas!I:I,A71,Despesas_Receitas!C:C,"&gt;=01/01/2019",Despesas_Receitas!C:C,"&lt;=31/01/2019"))</f>
        <v>0</v>
      </c>
      <c r="C71" s="78">
        <f>SUM(SUMIFS(Despesas_Receitas!E:E,Despesas_Receitas!H:H,"ANIVERSÁRIO_SUS",Despesas_Receitas!I:I,A71,Despesas_Receitas!C:C,"&gt;=01/02/2019",Despesas_Receitas!C:C,"&lt;=28/02/2019"))</f>
        <v>0</v>
      </c>
      <c r="D71" s="78">
        <f>SUM(SUMIFS(Despesas_Receitas!E:E,Despesas_Receitas!H:H,"ANIVERSÁRIO_SUS",Despesas_Receitas!I:I,A71,Despesas_Receitas!C:C,"&gt;=01/03/2019",Despesas_Receitas!C:C,"&lt;=31/03/2019"))</f>
        <v>0</v>
      </c>
      <c r="E71" s="78">
        <f>SUM(SUMIFS(Despesas_Receitas!E:E,Despesas_Receitas!H:H,"ANIVERSÁRIO_SUS",Despesas_Receitas!I:I,A71,Despesas_Receitas!C:C,"&gt;=01/04/2019",Despesas_Receitas!C:C,"&lt;=30/04/2019"))</f>
        <v>0</v>
      </c>
      <c r="F71" s="78">
        <f>SUM(SUMIFS(Despesas_Receitas!E:E,Despesas_Receitas!H:H,"ANIVERSÁRIO_SUS",Despesas_Receitas!I:I,A71,Despesas_Receitas!C:C,"&gt;=01/05/2019",Despesas_Receitas!C:C,"&lt;=31/05/2019"))</f>
        <v>0</v>
      </c>
      <c r="G71" s="78">
        <f>SUM(SUMIFS(Despesas_Receitas!E:E,Despesas_Receitas!H:H,"ANIVERSÁRIO_SUS",Despesas_Receitas!I:I,A71,Despesas_Receitas!C:C,"&gt;=01/06/2019",Despesas_Receitas!C:C,"&lt;=30/06/2019"))</f>
        <v>0</v>
      </c>
      <c r="H71" s="78">
        <f>SUM(SUMIFS(Despesas_Receitas!E:E,Despesas_Receitas!H:H,"ANIVERSÁRIO_SUS",Despesas_Receitas!I:I,A71,Despesas_Receitas!C:C,"&gt;=01/07/2019",Despesas_Receitas!C:C,"&lt;=31/07/2019"))</f>
        <v>0</v>
      </c>
      <c r="I71" s="78">
        <f>SUM(SUMIFS(Despesas_Receitas!E:E,Despesas_Receitas!H:H,"ANIVERSÁRIO_SUS",Despesas_Receitas!I:I,A71,Despesas_Receitas!C:C,"&gt;=01/08/2019",Despesas_Receitas!C:C,"&lt;=31/08/2019"))</f>
        <v>0</v>
      </c>
      <c r="J71" s="78">
        <f>SUM(SUMIFS(Despesas_Receitas!E:E,Despesas_Receitas!H:H,"ANIVERSÁRIO_SUS",Despesas_Receitas!I:I,A71,Despesas_Receitas!C:C,"&gt;=01/09/2019",Despesas_Receitas!C:C,"&lt;=30/09/2019"))</f>
        <v>0</v>
      </c>
      <c r="K71" s="78">
        <f>SUM(SUMIFS(Despesas_Receitas!E:E,Despesas_Receitas!H:H,"ANIVERSÁRIO_SUS",Despesas_Receitas!I:I,A71,Despesas_Receitas!C:C,"&gt;=01/10/2019",Despesas_Receitas!C:C,"&lt;=31/10/2019"))</f>
        <v>0</v>
      </c>
      <c r="L71" s="78">
        <f>SUM(SUMIFS(Despesas_Receitas!E:E,Despesas_Receitas!H:H,"ANIVERSÁRIO_SUS",Despesas_Receitas!I:I,A71,Despesas_Receitas!C:C,"&gt;=01/11/2019",Despesas_Receitas!C:C,"&lt;=30/11/2019"))</f>
        <v>0</v>
      </c>
      <c r="M71" s="78">
        <f>SUM(SUMIFS(Despesas_Receitas!E:E,Despesas_Receitas!H:H,"ANIVERSÁRIO_SUS",Despesas_Receitas!I:I,A71,Despesas_Receitas!C:C,"&gt;=01/12/2019",Despesas_Receitas!C:C,"&lt;=31/12/2019"))</f>
        <v>0</v>
      </c>
      <c r="N71" s="84">
        <f t="shared" si="11"/>
        <v>0</v>
      </c>
    </row>
    <row r="72" spans="1:14" ht="19">
      <c r="A72" s="78" t="str">
        <f>Despesas_Receitas!O65</f>
        <v>APOIO</v>
      </c>
      <c r="B72" s="78">
        <f>SUM(SUMIFS(Despesas_Receitas!E:E,Despesas_Receitas!H:H,"ANIVERSÁRIO_SUS",Despesas_Receitas!I:I,A72,Despesas_Receitas!C:C,"&gt;=01/01/2019",Despesas_Receitas!C:C,"&lt;=31/01/2019"))</f>
        <v>0</v>
      </c>
      <c r="C72" s="78">
        <f>SUM(SUMIFS(Despesas_Receitas!E:E,Despesas_Receitas!H:H,"ANIVERSÁRIO_SUS",Despesas_Receitas!I:I,A72,Despesas_Receitas!C:C,"&gt;=01/02/2019",Despesas_Receitas!C:C,"&lt;=28/02/2019"))</f>
        <v>0</v>
      </c>
      <c r="D72" s="78">
        <f>SUM(SUMIFS(Despesas_Receitas!E:E,Despesas_Receitas!H:H,"ANIVERSÁRIO_SUS",Despesas_Receitas!I:I,A72,Despesas_Receitas!C:C,"&gt;=01/03/2019",Despesas_Receitas!C:C,"&lt;=31/03/2019"))</f>
        <v>0</v>
      </c>
      <c r="E72" s="78">
        <f>SUM(SUMIFS(Despesas_Receitas!E:E,Despesas_Receitas!H:H,"ANIVERSÁRIO_SUS",Despesas_Receitas!I:I,A72,Despesas_Receitas!C:C,"&gt;=01/04/2019",Despesas_Receitas!C:C,"&lt;=30/04/2019"))</f>
        <v>0</v>
      </c>
      <c r="F72" s="78">
        <f>SUM(SUMIFS(Despesas_Receitas!E:E,Despesas_Receitas!H:H,"ANIVERSÁRIO_SUS",Despesas_Receitas!I:I,A72,Despesas_Receitas!C:C,"&gt;=01/05/2019",Despesas_Receitas!C:C,"&lt;=31/05/2019"))</f>
        <v>0</v>
      </c>
      <c r="G72" s="78">
        <f>SUM(SUMIFS(Despesas_Receitas!E:E,Despesas_Receitas!H:H,"ANIVERSÁRIO_SUS",Despesas_Receitas!I:I,A72,Despesas_Receitas!C:C,"&gt;=01/06/2019",Despesas_Receitas!C:C,"&lt;=30/06/2019"))</f>
        <v>0</v>
      </c>
      <c r="H72" s="78">
        <f>SUM(SUMIFS(Despesas_Receitas!E:E,Despesas_Receitas!H:H,"ANIVERSÁRIO_SUS",Despesas_Receitas!I:I,A72,Despesas_Receitas!C:C,"&gt;=01/07/2019",Despesas_Receitas!C:C,"&lt;=31/07/2019"))</f>
        <v>0</v>
      </c>
      <c r="I72" s="78">
        <f>SUM(SUMIFS(Despesas_Receitas!E:E,Despesas_Receitas!H:H,"ANIVERSÁRIO_SUS",Despesas_Receitas!I:I,A72,Despesas_Receitas!C:C,"&gt;=01/08/2019",Despesas_Receitas!C:C,"&lt;=31/08/2019"))</f>
        <v>0</v>
      </c>
      <c r="J72" s="78">
        <f>SUM(SUMIFS(Despesas_Receitas!E:E,Despesas_Receitas!H:H,"ANIVERSÁRIO_SUS",Despesas_Receitas!I:I,A72,Despesas_Receitas!C:C,"&gt;=01/09/2019",Despesas_Receitas!C:C,"&lt;=30/09/2019"))</f>
        <v>0</v>
      </c>
      <c r="K72" s="78">
        <f>SUM(SUMIFS(Despesas_Receitas!E:E,Despesas_Receitas!H:H,"ANIVERSÁRIO_SUS",Despesas_Receitas!I:I,A72,Despesas_Receitas!C:C,"&gt;=01/10/2019",Despesas_Receitas!C:C,"&lt;=31/10/2019"))</f>
        <v>0</v>
      </c>
      <c r="L72" s="78">
        <f>SUM(SUMIFS(Despesas_Receitas!E:E,Despesas_Receitas!H:H,"ANIVERSÁRIO_SUS",Despesas_Receitas!I:I,A72,Despesas_Receitas!C:C,"&gt;=01/11/2019",Despesas_Receitas!C:C,"&lt;=30/11/2019"))</f>
        <v>0</v>
      </c>
      <c r="M72" s="78">
        <f>SUM(SUMIFS(Despesas_Receitas!E:E,Despesas_Receitas!H:H,"ANIVERSÁRIO_SUS",Despesas_Receitas!I:I,A72,Despesas_Receitas!C:C,"&gt;=01/12/2019",Despesas_Receitas!C:C,"&lt;=31/12/2019"))</f>
        <v>0</v>
      </c>
      <c r="N72" s="84">
        <f t="shared" si="11"/>
        <v>0</v>
      </c>
    </row>
    <row r="73" spans="1:14" ht="25" customHeight="1">
      <c r="A73" s="85" t="s">
        <v>239</v>
      </c>
      <c r="B73" s="86">
        <f>B4+B24+B28+B33+B41+B53+B54+B55+B59+B65+B69</f>
        <v>-800.92999999999984</v>
      </c>
      <c r="C73" s="86">
        <f t="shared" ref="C73:N73" si="12">C4+C24+C28+C33+C41+C53+C54+C55+C59+C65+C69</f>
        <v>-1264.44</v>
      </c>
      <c r="D73" s="86">
        <f t="shared" si="12"/>
        <v>-4369.2699999999995</v>
      </c>
      <c r="E73" s="86">
        <f t="shared" si="12"/>
        <v>-3546.3399999999997</v>
      </c>
      <c r="F73" s="86">
        <f t="shared" si="12"/>
        <v>-1096.94</v>
      </c>
      <c r="G73" s="86">
        <f t="shared" si="12"/>
        <v>-178.83</v>
      </c>
      <c r="H73" s="86">
        <f t="shared" si="12"/>
        <v>0</v>
      </c>
      <c r="I73" s="86">
        <f t="shared" si="12"/>
        <v>0</v>
      </c>
      <c r="J73" s="86">
        <f t="shared" si="12"/>
        <v>0</v>
      </c>
      <c r="K73" s="86">
        <f t="shared" si="12"/>
        <v>0</v>
      </c>
      <c r="L73" s="86">
        <f t="shared" si="12"/>
        <v>0</v>
      </c>
      <c r="M73" s="86">
        <f t="shared" si="12"/>
        <v>0</v>
      </c>
      <c r="N73" s="86">
        <f t="shared" si="12"/>
        <v>-11256.75</v>
      </c>
    </row>
  </sheetData>
  <mergeCells count="2">
    <mergeCell ref="A1:N1"/>
    <mergeCell ref="A2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B32A-A565-6D49-93E9-85192A8963FB}">
  <sheetPr filterMode="1">
    <pageSetUpPr fitToPage="1"/>
  </sheetPr>
  <dimension ref="B1:P223"/>
  <sheetViews>
    <sheetView tabSelected="1" topLeftCell="J1" zoomScale="86" workbookViewId="0">
      <selection activeCell="O84" sqref="N3:O84"/>
    </sheetView>
  </sheetViews>
  <sheetFormatPr baseColWidth="10" defaultRowHeight="16"/>
  <cols>
    <col min="1" max="1" width="10.6640625" bestFit="1" customWidth="1"/>
    <col min="2" max="2" width="20.5" customWidth="1"/>
    <col min="3" max="3" width="23.5" style="13" customWidth="1"/>
    <col min="4" max="4" width="21.83203125" style="13" customWidth="1"/>
    <col min="5" max="5" width="20" style="14" customWidth="1"/>
    <col min="6" max="6" width="16.6640625" style="14" customWidth="1"/>
    <col min="7" max="7" width="34.6640625" style="15" customWidth="1"/>
    <col min="8" max="8" width="28.6640625" style="15" bestFit="1" customWidth="1"/>
    <col min="9" max="9" width="36.6640625" style="15" bestFit="1" customWidth="1"/>
    <col min="10" max="10" width="65.33203125" style="15" bestFit="1" customWidth="1"/>
    <col min="11" max="11" width="33.83203125" style="15" bestFit="1" customWidth="1"/>
    <col min="12" max="12" width="11" style="15" bestFit="1" customWidth="1"/>
    <col min="14" max="14" width="32" bestFit="1" customWidth="1"/>
    <col min="15" max="15" width="39" bestFit="1" customWidth="1"/>
    <col min="16" max="16" width="57.6640625" bestFit="1" customWidth="1"/>
  </cols>
  <sheetData>
    <row r="1" spans="2:16">
      <c r="C1"/>
      <c r="D1"/>
      <c r="E1"/>
      <c r="F1"/>
      <c r="G1"/>
      <c r="H1"/>
      <c r="I1"/>
      <c r="J1"/>
      <c r="K1"/>
      <c r="L1"/>
    </row>
    <row r="2" spans="2:16" ht="17" thickBot="1">
      <c r="C2"/>
      <c r="D2"/>
      <c r="E2"/>
      <c r="F2"/>
      <c r="G2"/>
      <c r="H2"/>
      <c r="I2"/>
      <c r="J2"/>
      <c r="K2"/>
      <c r="L2"/>
    </row>
    <row r="3" spans="2:16" ht="17" thickBot="1">
      <c r="B3" s="10" t="s">
        <v>68</v>
      </c>
      <c r="C3" s="10" t="s">
        <v>93</v>
      </c>
      <c r="D3" s="10" t="s">
        <v>94</v>
      </c>
      <c r="E3" s="11" t="s">
        <v>69</v>
      </c>
      <c r="F3" s="11" t="s">
        <v>70</v>
      </c>
      <c r="G3" s="11" t="s">
        <v>71</v>
      </c>
      <c r="H3" s="12" t="s">
        <v>72</v>
      </c>
      <c r="I3" s="12" t="s">
        <v>16</v>
      </c>
      <c r="J3" s="12" t="s">
        <v>73</v>
      </c>
      <c r="K3" s="12" t="s">
        <v>74</v>
      </c>
      <c r="L3" s="1" t="s">
        <v>75</v>
      </c>
      <c r="N3" s="24" t="s">
        <v>41</v>
      </c>
      <c r="O3" s="41" t="s">
        <v>16</v>
      </c>
      <c r="P3" s="25" t="s">
        <v>59</v>
      </c>
    </row>
    <row r="4" spans="2:16" ht="16" customHeight="1">
      <c r="B4" t="s">
        <v>67</v>
      </c>
      <c r="C4" s="13">
        <v>43465</v>
      </c>
      <c r="D4" s="13" t="s">
        <v>67</v>
      </c>
      <c r="E4" s="14" t="s">
        <v>67</v>
      </c>
      <c r="F4" s="14">
        <f>F5-E5</f>
        <v>17130.990000000002</v>
      </c>
      <c r="G4" s="15" t="s">
        <v>67</v>
      </c>
      <c r="H4" s="15" t="s">
        <v>67</v>
      </c>
      <c r="I4" s="15" t="s">
        <v>67</v>
      </c>
      <c r="J4" s="15" t="s">
        <v>76</v>
      </c>
      <c r="K4" s="15" t="s">
        <v>67</v>
      </c>
      <c r="N4" s="6" t="s">
        <v>36</v>
      </c>
      <c r="O4" s="17" t="s">
        <v>83</v>
      </c>
      <c r="P4" s="29" t="s">
        <v>60</v>
      </c>
    </row>
    <row r="5" spans="2:16" hidden="1">
      <c r="B5" t="str">
        <f>IF(E5&lt;0,"GASTO","RECEITA")</f>
        <v>GASTO</v>
      </c>
      <c r="C5" s="50">
        <v>43467</v>
      </c>
      <c r="D5" s="50">
        <v>43467</v>
      </c>
      <c r="E5" s="51">
        <v>-49.54</v>
      </c>
      <c r="F5" s="51">
        <v>17081.45</v>
      </c>
      <c r="G5" s="52" t="s">
        <v>95</v>
      </c>
      <c r="H5" s="15" t="s">
        <v>82</v>
      </c>
      <c r="I5" s="15" t="s">
        <v>24</v>
      </c>
      <c r="J5" s="15" t="s">
        <v>230</v>
      </c>
      <c r="K5" s="52" t="s">
        <v>164</v>
      </c>
      <c r="N5" s="6" t="s">
        <v>36</v>
      </c>
      <c r="O5" s="17" t="s">
        <v>61</v>
      </c>
      <c r="P5" s="29"/>
    </row>
    <row r="6" spans="2:16" hidden="1">
      <c r="B6" t="str">
        <f t="shared" ref="B6:B69" si="0">IF(E6&lt;0,"GASTO","RECEITA")</f>
        <v>GASTO</v>
      </c>
      <c r="C6" s="50">
        <v>43467</v>
      </c>
      <c r="D6" s="50">
        <v>43467</v>
      </c>
      <c r="E6" s="51">
        <v>-60.95</v>
      </c>
      <c r="F6" s="51">
        <v>17020.5</v>
      </c>
      <c r="G6" s="52" t="s">
        <v>96</v>
      </c>
      <c r="H6" s="15" t="s">
        <v>82</v>
      </c>
      <c r="I6" s="15" t="s">
        <v>29</v>
      </c>
      <c r="J6" s="15" t="s">
        <v>29</v>
      </c>
      <c r="K6" s="52" t="s">
        <v>165</v>
      </c>
      <c r="N6" s="6" t="s">
        <v>36</v>
      </c>
      <c r="O6" s="17" t="s">
        <v>23</v>
      </c>
      <c r="P6" s="29"/>
    </row>
    <row r="7" spans="2:16" hidden="1">
      <c r="B7" t="str">
        <f t="shared" si="0"/>
        <v>GASTO</v>
      </c>
      <c r="C7" s="50">
        <v>43476</v>
      </c>
      <c r="D7" s="50">
        <v>43476</v>
      </c>
      <c r="E7" s="51">
        <v>-35.950000000000003</v>
      </c>
      <c r="F7" s="51">
        <v>16984.55</v>
      </c>
      <c r="G7" s="52" t="s">
        <v>97</v>
      </c>
      <c r="H7" s="15" t="s">
        <v>82</v>
      </c>
      <c r="I7" s="15" t="s">
        <v>20</v>
      </c>
      <c r="J7" s="15" t="s">
        <v>231</v>
      </c>
      <c r="K7" s="52" t="s">
        <v>201</v>
      </c>
      <c r="N7" s="6" t="s">
        <v>36</v>
      </c>
      <c r="O7" s="17" t="s">
        <v>84</v>
      </c>
      <c r="P7" s="29"/>
    </row>
    <row r="8" spans="2:16" ht="16" hidden="1" customHeight="1">
      <c r="B8" t="str">
        <f t="shared" si="0"/>
        <v>GASTO</v>
      </c>
      <c r="C8" s="50">
        <v>43476</v>
      </c>
      <c r="D8" s="50">
        <v>43476</v>
      </c>
      <c r="E8" s="51">
        <v>-246.48</v>
      </c>
      <c r="F8" s="51">
        <v>16738.07</v>
      </c>
      <c r="G8" s="52" t="s">
        <v>97</v>
      </c>
      <c r="H8" s="15" t="s">
        <v>82</v>
      </c>
      <c r="I8" s="15" t="s">
        <v>19</v>
      </c>
      <c r="J8" s="15" t="s">
        <v>232</v>
      </c>
      <c r="K8" s="52" t="s">
        <v>201</v>
      </c>
      <c r="N8" s="5" t="s">
        <v>47</v>
      </c>
      <c r="O8" s="16" t="s">
        <v>42</v>
      </c>
      <c r="P8" s="26" t="s">
        <v>62</v>
      </c>
    </row>
    <row r="9" spans="2:16" hidden="1">
      <c r="B9" t="str">
        <f t="shared" si="0"/>
        <v>GASTO</v>
      </c>
      <c r="C9" s="50">
        <v>43476</v>
      </c>
      <c r="D9" s="50">
        <v>43476</v>
      </c>
      <c r="E9" s="51">
        <v>-29.52</v>
      </c>
      <c r="F9" s="51">
        <v>16708.55</v>
      </c>
      <c r="G9" s="52" t="s">
        <v>98</v>
      </c>
      <c r="H9" s="15" t="s">
        <v>82</v>
      </c>
      <c r="I9" s="15" t="s">
        <v>205</v>
      </c>
      <c r="J9" s="15" t="s">
        <v>229</v>
      </c>
      <c r="K9" s="52" t="s">
        <v>166</v>
      </c>
      <c r="L9" s="15" t="s">
        <v>202</v>
      </c>
      <c r="N9" s="5" t="s">
        <v>47</v>
      </c>
      <c r="O9" s="16" t="s">
        <v>43</v>
      </c>
      <c r="P9" s="26"/>
    </row>
    <row r="10" spans="2:16" hidden="1">
      <c r="B10" t="str">
        <f t="shared" si="0"/>
        <v>GASTO</v>
      </c>
      <c r="C10" s="50">
        <v>43478</v>
      </c>
      <c r="D10" s="50">
        <v>43478</v>
      </c>
      <c r="E10" s="51">
        <v>-37.49</v>
      </c>
      <c r="F10" s="51">
        <v>16671.060000000001</v>
      </c>
      <c r="G10" s="52" t="s">
        <v>99</v>
      </c>
      <c r="H10" s="15" t="s">
        <v>82</v>
      </c>
      <c r="I10" s="15" t="s">
        <v>49</v>
      </c>
      <c r="J10" s="15" t="s">
        <v>240</v>
      </c>
      <c r="K10" s="52" t="s">
        <v>167</v>
      </c>
      <c r="L10" s="15" t="s">
        <v>202</v>
      </c>
      <c r="N10" s="5" t="s">
        <v>47</v>
      </c>
      <c r="O10" s="16" t="s">
        <v>44</v>
      </c>
      <c r="P10" s="26"/>
    </row>
    <row r="11" spans="2:16" hidden="1">
      <c r="B11" t="str">
        <f t="shared" si="0"/>
        <v>GASTO</v>
      </c>
      <c r="C11" s="50">
        <v>43486</v>
      </c>
      <c r="D11" s="50">
        <v>43486</v>
      </c>
      <c r="E11" s="51">
        <v>-73.650000000000006</v>
      </c>
      <c r="F11" s="51">
        <v>16597.41</v>
      </c>
      <c r="G11" s="52" t="s">
        <v>100</v>
      </c>
      <c r="H11" s="15" t="s">
        <v>82</v>
      </c>
      <c r="I11" s="15" t="s">
        <v>58</v>
      </c>
      <c r="J11" s="15" t="s">
        <v>235</v>
      </c>
      <c r="K11" s="52" t="s">
        <v>168</v>
      </c>
      <c r="L11" s="15" t="s">
        <v>202</v>
      </c>
      <c r="N11" s="5" t="s">
        <v>47</v>
      </c>
      <c r="O11" s="16" t="s">
        <v>35</v>
      </c>
      <c r="P11" s="26"/>
    </row>
    <row r="12" spans="2:16" ht="16" hidden="1" customHeight="1">
      <c r="B12" t="str">
        <f t="shared" si="0"/>
        <v>GASTO</v>
      </c>
      <c r="C12" s="50">
        <v>43486</v>
      </c>
      <c r="D12" s="50">
        <v>43486</v>
      </c>
      <c r="E12" s="51">
        <v>-18.47</v>
      </c>
      <c r="F12" s="51">
        <v>16578.939999999999</v>
      </c>
      <c r="G12" s="52" t="s">
        <v>101</v>
      </c>
      <c r="H12" s="15" t="s">
        <v>80</v>
      </c>
      <c r="I12" s="15" t="s">
        <v>40</v>
      </c>
      <c r="J12" s="15" t="s">
        <v>40</v>
      </c>
      <c r="K12" s="52" t="s">
        <v>169</v>
      </c>
      <c r="L12" s="15" t="s">
        <v>202</v>
      </c>
      <c r="N12" s="21" t="s">
        <v>51</v>
      </c>
      <c r="O12" s="35" t="s">
        <v>17</v>
      </c>
      <c r="P12" s="27" t="s">
        <v>62</v>
      </c>
    </row>
    <row r="13" spans="2:16" hidden="1">
      <c r="B13" t="str">
        <f t="shared" si="0"/>
        <v>GASTO</v>
      </c>
      <c r="C13" s="50">
        <v>43486</v>
      </c>
      <c r="D13" s="50">
        <v>43486</v>
      </c>
      <c r="E13" s="51">
        <v>-34.049999999999997</v>
      </c>
      <c r="F13" s="51">
        <v>16544.89</v>
      </c>
      <c r="G13" s="52" t="s">
        <v>102</v>
      </c>
      <c r="H13" s="15" t="s">
        <v>91</v>
      </c>
      <c r="I13" s="15" t="s">
        <v>83</v>
      </c>
      <c r="J13" s="15" t="s">
        <v>204</v>
      </c>
      <c r="K13" s="52" t="s">
        <v>170</v>
      </c>
      <c r="L13" s="15" t="s">
        <v>202</v>
      </c>
      <c r="N13" s="21" t="s">
        <v>51</v>
      </c>
      <c r="O13" s="35" t="s">
        <v>19</v>
      </c>
      <c r="P13" s="27"/>
    </row>
    <row r="14" spans="2:16" hidden="1">
      <c r="B14" t="str">
        <f t="shared" si="0"/>
        <v>GASTO</v>
      </c>
      <c r="C14" s="50">
        <v>43487</v>
      </c>
      <c r="D14" s="50">
        <v>43485</v>
      </c>
      <c r="E14" s="51">
        <v>-78.900000000000006</v>
      </c>
      <c r="F14" s="51">
        <v>16465.990000000002</v>
      </c>
      <c r="G14" s="52" t="s">
        <v>103</v>
      </c>
      <c r="H14" s="15" t="s">
        <v>82</v>
      </c>
      <c r="I14" s="15" t="s">
        <v>35</v>
      </c>
      <c r="J14" s="15" t="s">
        <v>226</v>
      </c>
      <c r="K14" s="52" t="s">
        <v>171</v>
      </c>
      <c r="L14" s="15" t="s">
        <v>202</v>
      </c>
      <c r="N14" s="21" t="s">
        <v>51</v>
      </c>
      <c r="O14" s="35" t="s">
        <v>20</v>
      </c>
      <c r="P14" s="27"/>
    </row>
    <row r="15" spans="2:16" hidden="1">
      <c r="B15" t="str">
        <f t="shared" si="0"/>
        <v>GASTO</v>
      </c>
      <c r="C15" s="50">
        <v>43489</v>
      </c>
      <c r="D15" s="50">
        <v>43489</v>
      </c>
      <c r="E15" s="51">
        <v>-45.7</v>
      </c>
      <c r="F15" s="51">
        <v>16420.29</v>
      </c>
      <c r="G15" s="52" t="s">
        <v>104</v>
      </c>
      <c r="H15" s="15" t="s">
        <v>80</v>
      </c>
      <c r="I15" s="15" t="s">
        <v>40</v>
      </c>
      <c r="J15" s="15" t="s">
        <v>40</v>
      </c>
      <c r="K15" s="52" t="s">
        <v>172</v>
      </c>
      <c r="L15" s="15" t="s">
        <v>202</v>
      </c>
      <c r="N15" s="21" t="s">
        <v>51</v>
      </c>
      <c r="O15" s="35" t="s">
        <v>22</v>
      </c>
      <c r="P15" s="27"/>
    </row>
    <row r="16" spans="2:16" hidden="1">
      <c r="B16" t="str">
        <f t="shared" si="0"/>
        <v>GASTO</v>
      </c>
      <c r="C16" s="50">
        <v>43493</v>
      </c>
      <c r="D16" s="50">
        <v>43493</v>
      </c>
      <c r="E16" s="51">
        <v>-18.23</v>
      </c>
      <c r="F16" s="51">
        <v>16402.060000000001</v>
      </c>
      <c r="G16" s="52" t="s">
        <v>105</v>
      </c>
      <c r="H16" s="15" t="s">
        <v>82</v>
      </c>
      <c r="I16" s="15" t="s">
        <v>17</v>
      </c>
      <c r="J16" s="15" t="s">
        <v>17</v>
      </c>
      <c r="K16" s="52" t="s">
        <v>161</v>
      </c>
      <c r="L16" s="15" t="s">
        <v>202</v>
      </c>
      <c r="N16" s="21" t="s">
        <v>51</v>
      </c>
      <c r="O16" s="35" t="s">
        <v>24</v>
      </c>
      <c r="P16" s="27"/>
    </row>
    <row r="17" spans="2:16" hidden="1">
      <c r="B17" t="str">
        <f t="shared" si="0"/>
        <v>GASTO</v>
      </c>
      <c r="C17" s="50">
        <v>43494</v>
      </c>
      <c r="D17" s="50">
        <v>43494</v>
      </c>
      <c r="E17" s="51">
        <v>-72</v>
      </c>
      <c r="F17" s="51">
        <v>16330.06</v>
      </c>
      <c r="G17" s="52" t="s">
        <v>106</v>
      </c>
      <c r="H17" s="15" t="s">
        <v>82</v>
      </c>
      <c r="I17" s="15" t="s">
        <v>57</v>
      </c>
      <c r="J17" s="15" t="s">
        <v>57</v>
      </c>
      <c r="K17" s="52" t="s">
        <v>203</v>
      </c>
      <c r="N17" s="21" t="s">
        <v>51</v>
      </c>
      <c r="O17" s="35" t="s">
        <v>26</v>
      </c>
      <c r="P17" s="27"/>
    </row>
    <row r="18" spans="2:16" hidden="1">
      <c r="B18" t="str">
        <f t="shared" si="0"/>
        <v>GASTO</v>
      </c>
      <c r="C18" s="50">
        <v>43497</v>
      </c>
      <c r="D18" s="50">
        <v>43497</v>
      </c>
      <c r="E18" s="51">
        <v>-49.54</v>
      </c>
      <c r="F18" s="51">
        <v>16280.52</v>
      </c>
      <c r="G18" s="52" t="s">
        <v>95</v>
      </c>
      <c r="H18" s="15" t="s">
        <v>82</v>
      </c>
      <c r="I18" s="15" t="s">
        <v>24</v>
      </c>
      <c r="J18" s="15" t="s">
        <v>230</v>
      </c>
      <c r="K18" s="52" t="s">
        <v>164</v>
      </c>
      <c r="L18" s="15" t="s">
        <v>202</v>
      </c>
      <c r="N18" s="21" t="s">
        <v>51</v>
      </c>
      <c r="O18" s="35" t="s">
        <v>52</v>
      </c>
      <c r="P18" s="27"/>
    </row>
    <row r="19" spans="2:16" hidden="1">
      <c r="B19" t="str">
        <f t="shared" si="0"/>
        <v>GASTO</v>
      </c>
      <c r="C19" s="50">
        <v>43498</v>
      </c>
      <c r="D19" s="50">
        <v>43498</v>
      </c>
      <c r="E19" s="51">
        <v>-8</v>
      </c>
      <c r="F19" s="51">
        <v>16272.52</v>
      </c>
      <c r="G19" s="52" t="s">
        <v>107</v>
      </c>
      <c r="H19" s="15" t="s">
        <v>80</v>
      </c>
      <c r="I19" s="15" t="s">
        <v>40</v>
      </c>
      <c r="J19" s="15" t="s">
        <v>40</v>
      </c>
      <c r="K19" s="52" t="s">
        <v>173</v>
      </c>
      <c r="L19" s="15" t="s">
        <v>202</v>
      </c>
      <c r="N19" s="21" t="s">
        <v>51</v>
      </c>
      <c r="O19" s="35" t="s">
        <v>49</v>
      </c>
      <c r="P19" s="27"/>
    </row>
    <row r="20" spans="2:16" ht="16" hidden="1" customHeight="1">
      <c r="B20" t="str">
        <f t="shared" si="0"/>
        <v>GASTO</v>
      </c>
      <c r="C20" s="50">
        <v>43498</v>
      </c>
      <c r="D20" s="50">
        <v>43498</v>
      </c>
      <c r="E20" s="51">
        <v>-12.5</v>
      </c>
      <c r="F20" s="51">
        <v>16260.02</v>
      </c>
      <c r="G20" s="52" t="s">
        <v>108</v>
      </c>
      <c r="H20" s="15" t="s">
        <v>80</v>
      </c>
      <c r="I20" s="15" t="s">
        <v>40</v>
      </c>
      <c r="J20" s="15" t="s">
        <v>40</v>
      </c>
      <c r="K20" s="52" t="s">
        <v>174</v>
      </c>
      <c r="L20" s="15" t="s">
        <v>202</v>
      </c>
      <c r="N20" s="21" t="s">
        <v>51</v>
      </c>
      <c r="O20" s="35" t="s">
        <v>28</v>
      </c>
      <c r="P20" s="27"/>
    </row>
    <row r="21" spans="2:16" hidden="1">
      <c r="B21" t="str">
        <f t="shared" si="0"/>
        <v>GASTO</v>
      </c>
      <c r="C21" s="50">
        <v>43498</v>
      </c>
      <c r="D21" s="50">
        <v>43498</v>
      </c>
      <c r="E21" s="51">
        <v>-59.1</v>
      </c>
      <c r="F21" s="51">
        <v>16200.92</v>
      </c>
      <c r="G21" s="52" t="s">
        <v>102</v>
      </c>
      <c r="H21" s="15" t="s">
        <v>80</v>
      </c>
      <c r="I21" s="15" t="s">
        <v>40</v>
      </c>
      <c r="J21" s="15" t="s">
        <v>40</v>
      </c>
      <c r="K21" s="52" t="s">
        <v>170</v>
      </c>
      <c r="L21" s="15" t="s">
        <v>202</v>
      </c>
      <c r="N21" s="21" t="s">
        <v>51</v>
      </c>
      <c r="O21" s="35" t="s">
        <v>29</v>
      </c>
      <c r="P21" s="27"/>
    </row>
    <row r="22" spans="2:16" hidden="1">
      <c r="B22" t="str">
        <f t="shared" si="0"/>
        <v>GASTO</v>
      </c>
      <c r="C22" s="50">
        <v>43498</v>
      </c>
      <c r="D22" s="50">
        <v>43498</v>
      </c>
      <c r="E22" s="51">
        <v>-24.94</v>
      </c>
      <c r="F22" s="51">
        <v>16175.98</v>
      </c>
      <c r="G22" s="52" t="s">
        <v>109</v>
      </c>
      <c r="H22" s="15" t="s">
        <v>82</v>
      </c>
      <c r="I22" s="15" t="s">
        <v>52</v>
      </c>
      <c r="J22" s="15" t="s">
        <v>241</v>
      </c>
      <c r="K22" s="52" t="s">
        <v>162</v>
      </c>
      <c r="L22" s="15" t="s">
        <v>202</v>
      </c>
      <c r="N22" s="21" t="s">
        <v>51</v>
      </c>
      <c r="O22" s="35" t="s">
        <v>30</v>
      </c>
      <c r="P22" s="27"/>
    </row>
    <row r="23" spans="2:16" hidden="1">
      <c r="B23" t="str">
        <f t="shared" si="0"/>
        <v>GASTO</v>
      </c>
      <c r="C23" s="50">
        <v>43500</v>
      </c>
      <c r="D23" s="50">
        <v>43500</v>
      </c>
      <c r="E23" s="51">
        <v>-191.7</v>
      </c>
      <c r="F23" s="51">
        <v>15984.28</v>
      </c>
      <c r="G23" s="52" t="s">
        <v>110</v>
      </c>
      <c r="H23" s="15" t="s">
        <v>77</v>
      </c>
      <c r="I23" s="15" t="s">
        <v>49</v>
      </c>
      <c r="J23" s="15" t="s">
        <v>242</v>
      </c>
      <c r="K23" s="52" t="s">
        <v>206</v>
      </c>
      <c r="L23" s="15" t="s">
        <v>202</v>
      </c>
      <c r="N23" s="21" t="s">
        <v>51</v>
      </c>
      <c r="O23" s="35" t="s">
        <v>31</v>
      </c>
      <c r="P23" s="27"/>
    </row>
    <row r="24" spans="2:16" hidden="1">
      <c r="B24" t="str">
        <f t="shared" si="0"/>
        <v>GASTO</v>
      </c>
      <c r="C24" s="50">
        <v>43500</v>
      </c>
      <c r="D24" s="50">
        <v>43500</v>
      </c>
      <c r="E24" s="51">
        <v>-5.68</v>
      </c>
      <c r="F24" s="51">
        <v>15978.6</v>
      </c>
      <c r="G24" s="52" t="s">
        <v>111</v>
      </c>
      <c r="H24" s="15" t="s">
        <v>82</v>
      </c>
      <c r="I24" s="15" t="s">
        <v>58</v>
      </c>
      <c r="J24" s="15" t="s">
        <v>235</v>
      </c>
      <c r="K24" s="52" t="s">
        <v>175</v>
      </c>
      <c r="L24" s="15" t="s">
        <v>202</v>
      </c>
      <c r="N24" s="21" t="s">
        <v>51</v>
      </c>
      <c r="O24" s="35" t="s">
        <v>32</v>
      </c>
      <c r="P24" s="27"/>
    </row>
    <row r="25" spans="2:16" hidden="1">
      <c r="B25" t="str">
        <f t="shared" si="0"/>
        <v>GASTO</v>
      </c>
      <c r="C25" s="50">
        <v>43501</v>
      </c>
      <c r="D25" s="50">
        <v>43501</v>
      </c>
      <c r="E25" s="51">
        <v>-66.930000000000007</v>
      </c>
      <c r="F25" s="51">
        <v>15911.67</v>
      </c>
      <c r="G25" s="52" t="s">
        <v>96</v>
      </c>
      <c r="H25" s="15" t="s">
        <v>82</v>
      </c>
      <c r="I25" s="15" t="s">
        <v>29</v>
      </c>
      <c r="J25" s="15" t="s">
        <v>29</v>
      </c>
      <c r="K25" s="52" t="s">
        <v>165</v>
      </c>
      <c r="L25" s="15" t="s">
        <v>202</v>
      </c>
      <c r="N25" s="21" t="s">
        <v>51</v>
      </c>
      <c r="O25" s="35" t="s">
        <v>33</v>
      </c>
      <c r="P25" s="27"/>
    </row>
    <row r="26" spans="2:16" hidden="1">
      <c r="B26" t="str">
        <f t="shared" si="0"/>
        <v>GASTO</v>
      </c>
      <c r="C26" s="50">
        <v>43501</v>
      </c>
      <c r="D26" s="50">
        <v>43498</v>
      </c>
      <c r="E26" s="51">
        <v>-89</v>
      </c>
      <c r="F26" s="51">
        <v>15822.67</v>
      </c>
      <c r="G26" s="52" t="s">
        <v>112</v>
      </c>
      <c r="H26" s="15" t="s">
        <v>80</v>
      </c>
      <c r="I26" s="15" t="s">
        <v>40</v>
      </c>
      <c r="J26" s="15" t="s">
        <v>40</v>
      </c>
      <c r="K26" s="52" t="s">
        <v>176</v>
      </c>
      <c r="L26" s="15" t="s">
        <v>202</v>
      </c>
      <c r="N26" s="21" t="s">
        <v>51</v>
      </c>
      <c r="O26" s="35" t="s">
        <v>57</v>
      </c>
      <c r="P26" s="27"/>
    </row>
    <row r="27" spans="2:16" hidden="1">
      <c r="B27" t="str">
        <f t="shared" si="0"/>
        <v>GASTO</v>
      </c>
      <c r="C27" s="50">
        <v>43501</v>
      </c>
      <c r="D27" s="50">
        <v>43498</v>
      </c>
      <c r="E27" s="51">
        <v>-25</v>
      </c>
      <c r="F27" s="51">
        <v>15797.67</v>
      </c>
      <c r="G27" s="52" t="s">
        <v>112</v>
      </c>
      <c r="H27" s="15" t="s">
        <v>91</v>
      </c>
      <c r="I27" s="15" t="s">
        <v>83</v>
      </c>
      <c r="J27" s="15" t="s">
        <v>242</v>
      </c>
      <c r="K27" s="52" t="s">
        <v>176</v>
      </c>
      <c r="L27" s="15" t="s">
        <v>202</v>
      </c>
      <c r="N27" s="21" t="s">
        <v>51</v>
      </c>
      <c r="O27" s="35" t="s">
        <v>58</v>
      </c>
      <c r="P27" s="27"/>
    </row>
    <row r="28" spans="2:16" hidden="1">
      <c r="B28" t="str">
        <f t="shared" si="0"/>
        <v>GASTO</v>
      </c>
      <c r="C28" s="50">
        <v>43503</v>
      </c>
      <c r="D28" s="50">
        <v>43503</v>
      </c>
      <c r="E28" s="51">
        <v>-61.8</v>
      </c>
      <c r="F28" s="51">
        <v>15735.87</v>
      </c>
      <c r="G28" s="52" t="s">
        <v>102</v>
      </c>
      <c r="H28" s="15" t="s">
        <v>80</v>
      </c>
      <c r="I28" s="15" t="s">
        <v>40</v>
      </c>
      <c r="J28" s="15" t="s">
        <v>40</v>
      </c>
      <c r="K28" s="52" t="s">
        <v>170</v>
      </c>
      <c r="L28" s="15" t="s">
        <v>202</v>
      </c>
      <c r="N28" s="21" t="s">
        <v>51</v>
      </c>
      <c r="O28" s="35" t="s">
        <v>89</v>
      </c>
      <c r="P28" s="27"/>
    </row>
    <row r="29" spans="2:16" hidden="1">
      <c r="B29" t="str">
        <f t="shared" si="0"/>
        <v>GASTO</v>
      </c>
      <c r="C29" s="50">
        <v>43504</v>
      </c>
      <c r="D29" s="50">
        <v>43504</v>
      </c>
      <c r="E29" s="51">
        <v>-29.52</v>
      </c>
      <c r="F29" s="51">
        <v>15706.35</v>
      </c>
      <c r="G29" s="52" t="s">
        <v>98</v>
      </c>
      <c r="H29" s="15" t="s">
        <v>82</v>
      </c>
      <c r="I29" s="15" t="s">
        <v>205</v>
      </c>
      <c r="J29" s="15" t="s">
        <v>229</v>
      </c>
      <c r="K29" s="52" t="s">
        <v>166</v>
      </c>
      <c r="N29" s="21" t="s">
        <v>51</v>
      </c>
      <c r="O29" s="35" t="s">
        <v>205</v>
      </c>
      <c r="P29" s="27"/>
    </row>
    <row r="30" spans="2:16" ht="16" hidden="1" customHeight="1">
      <c r="B30" t="str">
        <f t="shared" si="0"/>
        <v>GASTO</v>
      </c>
      <c r="C30" s="50">
        <v>43505</v>
      </c>
      <c r="D30" s="50">
        <v>43505</v>
      </c>
      <c r="E30" s="51">
        <v>-30.7</v>
      </c>
      <c r="F30" s="51">
        <v>15675.65</v>
      </c>
      <c r="G30" s="52" t="s">
        <v>113</v>
      </c>
      <c r="H30" s="15" t="s">
        <v>80</v>
      </c>
      <c r="I30" s="15" t="s">
        <v>40</v>
      </c>
      <c r="J30" s="15" t="s">
        <v>243</v>
      </c>
      <c r="K30" s="52" t="s">
        <v>177</v>
      </c>
      <c r="L30" s="15" t="s">
        <v>202</v>
      </c>
      <c r="N30" s="21" t="s">
        <v>51</v>
      </c>
      <c r="O30" s="35" t="s">
        <v>35</v>
      </c>
      <c r="P30" s="27"/>
    </row>
    <row r="31" spans="2:16" ht="34" hidden="1">
      <c r="B31" t="str">
        <f t="shared" si="0"/>
        <v>GASTO</v>
      </c>
      <c r="C31" s="50">
        <v>43508</v>
      </c>
      <c r="D31" s="50">
        <v>43508</v>
      </c>
      <c r="E31" s="51">
        <v>-14.1</v>
      </c>
      <c r="F31" s="51">
        <v>15661.55</v>
      </c>
      <c r="G31" s="52" t="s">
        <v>114</v>
      </c>
      <c r="H31" s="15" t="s">
        <v>81</v>
      </c>
      <c r="I31" s="15" t="s">
        <v>44</v>
      </c>
      <c r="J31" s="15" t="s">
        <v>236</v>
      </c>
      <c r="K31" s="52" t="s">
        <v>167</v>
      </c>
      <c r="L31" s="15" t="s">
        <v>202</v>
      </c>
      <c r="N31" s="22" t="s">
        <v>23</v>
      </c>
      <c r="O31" s="36" t="s">
        <v>53</v>
      </c>
      <c r="P31" s="30" t="s">
        <v>62</v>
      </c>
    </row>
    <row r="32" spans="2:16" hidden="1">
      <c r="B32" t="str">
        <f t="shared" si="0"/>
        <v>GASTO</v>
      </c>
      <c r="C32" s="50">
        <v>43508</v>
      </c>
      <c r="D32" s="50">
        <v>43508</v>
      </c>
      <c r="E32" s="51">
        <v>-143.96</v>
      </c>
      <c r="F32" s="51">
        <v>15517.59</v>
      </c>
      <c r="G32" s="52" t="s">
        <v>99</v>
      </c>
      <c r="H32" s="15" t="s">
        <v>82</v>
      </c>
      <c r="I32" s="15" t="s">
        <v>35</v>
      </c>
      <c r="J32" s="15" t="s">
        <v>244</v>
      </c>
      <c r="K32" s="52" t="s">
        <v>167</v>
      </c>
      <c r="L32" s="15" t="s">
        <v>202</v>
      </c>
      <c r="N32" s="22" t="s">
        <v>23</v>
      </c>
      <c r="O32" s="36" t="s">
        <v>55</v>
      </c>
      <c r="P32" s="30"/>
    </row>
    <row r="33" spans="2:16" hidden="1">
      <c r="B33" t="str">
        <f t="shared" si="0"/>
        <v>GASTO</v>
      </c>
      <c r="C33" s="50">
        <v>43514</v>
      </c>
      <c r="D33" s="50">
        <v>43514</v>
      </c>
      <c r="E33" s="51">
        <v>-146.06</v>
      </c>
      <c r="F33" s="51">
        <v>15371.53</v>
      </c>
      <c r="G33" s="52" t="s">
        <v>115</v>
      </c>
      <c r="H33" s="15" t="s">
        <v>82</v>
      </c>
      <c r="I33" s="15" t="s">
        <v>26</v>
      </c>
      <c r="J33" s="15" t="s">
        <v>245</v>
      </c>
      <c r="K33" s="52" t="s">
        <v>207</v>
      </c>
      <c r="L33" s="15" t="s">
        <v>202</v>
      </c>
      <c r="N33" s="22" t="s">
        <v>23</v>
      </c>
      <c r="O33" s="36" t="s">
        <v>54</v>
      </c>
      <c r="P33" s="30"/>
    </row>
    <row r="34" spans="2:16" hidden="1">
      <c r="B34" t="str">
        <f t="shared" si="0"/>
        <v>GASTO</v>
      </c>
      <c r="C34" s="50">
        <v>43517</v>
      </c>
      <c r="D34" s="50">
        <v>43517</v>
      </c>
      <c r="E34" s="51">
        <v>-23.7</v>
      </c>
      <c r="F34" s="51">
        <v>15347.83</v>
      </c>
      <c r="G34" s="52" t="s">
        <v>116</v>
      </c>
      <c r="H34" s="15" t="s">
        <v>80</v>
      </c>
      <c r="I34" s="15" t="s">
        <v>40</v>
      </c>
      <c r="J34" s="15" t="s">
        <v>40</v>
      </c>
      <c r="K34" s="52" t="s">
        <v>178</v>
      </c>
      <c r="L34" s="15" t="s">
        <v>202</v>
      </c>
      <c r="N34" s="22" t="s">
        <v>23</v>
      </c>
      <c r="O34" s="36" t="s">
        <v>56</v>
      </c>
      <c r="P34" s="30"/>
    </row>
    <row r="35" spans="2:16" hidden="1">
      <c r="B35" t="str">
        <f t="shared" si="0"/>
        <v>GASTO</v>
      </c>
      <c r="C35" s="50">
        <v>43517</v>
      </c>
      <c r="D35" s="50">
        <v>43517</v>
      </c>
      <c r="E35" s="51">
        <v>-26.04</v>
      </c>
      <c r="F35" s="51">
        <v>15321.79</v>
      </c>
      <c r="G35" s="52" t="s">
        <v>101</v>
      </c>
      <c r="H35" s="15" t="s">
        <v>82</v>
      </c>
      <c r="I35" s="15" t="s">
        <v>30</v>
      </c>
      <c r="J35" s="15" t="s">
        <v>246</v>
      </c>
      <c r="K35" s="52" t="s">
        <v>169</v>
      </c>
      <c r="L35" s="15" t="s">
        <v>202</v>
      </c>
      <c r="N35" s="22" t="s">
        <v>23</v>
      </c>
      <c r="O35" s="36" t="s">
        <v>85</v>
      </c>
      <c r="P35" s="30"/>
    </row>
    <row r="36" spans="2:16" hidden="1">
      <c r="B36" t="str">
        <f t="shared" si="0"/>
        <v>GASTO</v>
      </c>
      <c r="C36" s="50">
        <v>43517</v>
      </c>
      <c r="D36" s="50">
        <v>43517</v>
      </c>
      <c r="E36" s="51">
        <v>-22.8</v>
      </c>
      <c r="F36" s="51">
        <v>15298.99</v>
      </c>
      <c r="G36" s="52" t="s">
        <v>117</v>
      </c>
      <c r="H36" s="15" t="s">
        <v>82</v>
      </c>
      <c r="I36" s="15" t="s">
        <v>58</v>
      </c>
      <c r="J36" s="15" t="s">
        <v>235</v>
      </c>
      <c r="K36" s="52" t="s">
        <v>179</v>
      </c>
      <c r="L36" s="15" t="s">
        <v>202</v>
      </c>
      <c r="N36" s="22" t="s">
        <v>23</v>
      </c>
      <c r="O36" s="36" t="s">
        <v>86</v>
      </c>
      <c r="P36" s="30"/>
    </row>
    <row r="37" spans="2:16" hidden="1">
      <c r="B37" t="str">
        <f t="shared" si="0"/>
        <v>GASTO</v>
      </c>
      <c r="C37" s="50">
        <v>43521</v>
      </c>
      <c r="D37" s="50">
        <v>43521</v>
      </c>
      <c r="E37" s="51">
        <v>-33.04</v>
      </c>
      <c r="F37" s="51">
        <v>15265.95</v>
      </c>
      <c r="G37" s="52" t="s">
        <v>118</v>
      </c>
      <c r="H37" s="15" t="s">
        <v>82</v>
      </c>
      <c r="I37" s="15" t="s">
        <v>35</v>
      </c>
      <c r="J37" s="15" t="s">
        <v>241</v>
      </c>
      <c r="K37" s="52" t="s">
        <v>163</v>
      </c>
      <c r="L37" s="15" t="s">
        <v>202</v>
      </c>
      <c r="N37" s="22" t="s">
        <v>23</v>
      </c>
      <c r="O37" s="36" t="s">
        <v>35</v>
      </c>
      <c r="P37" s="30"/>
    </row>
    <row r="38" spans="2:16" ht="16" hidden="1" customHeight="1">
      <c r="B38" t="str">
        <f t="shared" si="0"/>
        <v>GASTO</v>
      </c>
      <c r="C38" s="50">
        <v>43523</v>
      </c>
      <c r="D38" s="50">
        <v>43521</v>
      </c>
      <c r="E38" s="51">
        <v>-140.69</v>
      </c>
      <c r="F38" s="51">
        <v>15125.26</v>
      </c>
      <c r="G38" s="52" t="s">
        <v>103</v>
      </c>
      <c r="H38" s="15" t="s">
        <v>82</v>
      </c>
      <c r="I38" s="15" t="s">
        <v>52</v>
      </c>
      <c r="J38" s="15" t="s">
        <v>247</v>
      </c>
      <c r="K38" s="52" t="s">
        <v>171</v>
      </c>
      <c r="L38" s="15" t="s">
        <v>202</v>
      </c>
      <c r="N38" s="7" t="s">
        <v>45</v>
      </c>
      <c r="O38" s="18" t="s">
        <v>49</v>
      </c>
      <c r="P38" s="28" t="s">
        <v>63</v>
      </c>
    </row>
    <row r="39" spans="2:16" hidden="1">
      <c r="B39" t="str">
        <f t="shared" si="0"/>
        <v>GASTO</v>
      </c>
      <c r="C39" s="50">
        <v>43524</v>
      </c>
      <c r="D39" s="50">
        <v>43524</v>
      </c>
      <c r="E39" s="51">
        <v>-18.489999999999998</v>
      </c>
      <c r="F39" s="51">
        <v>15106.77</v>
      </c>
      <c r="G39" s="52" t="s">
        <v>105</v>
      </c>
      <c r="H39" s="15" t="s">
        <v>82</v>
      </c>
      <c r="I39" s="15" t="s">
        <v>17</v>
      </c>
      <c r="J39" s="15" t="s">
        <v>17</v>
      </c>
      <c r="K39" s="52" t="s">
        <v>161</v>
      </c>
      <c r="N39" s="7" t="s">
        <v>45</v>
      </c>
      <c r="O39" s="18" t="s">
        <v>23</v>
      </c>
      <c r="P39" s="28"/>
    </row>
    <row r="40" spans="2:16" hidden="1">
      <c r="B40" t="str">
        <f t="shared" si="0"/>
        <v>GASTO</v>
      </c>
      <c r="C40" s="50">
        <v>43524</v>
      </c>
      <c r="D40" s="50">
        <v>43524</v>
      </c>
      <c r="E40" s="51">
        <v>-8.9700000000000006</v>
      </c>
      <c r="F40" s="51">
        <v>15097.8</v>
      </c>
      <c r="G40" s="52" t="s">
        <v>119</v>
      </c>
      <c r="H40" s="15" t="s">
        <v>82</v>
      </c>
      <c r="I40" s="15" t="s">
        <v>35</v>
      </c>
      <c r="J40" s="15" t="s">
        <v>248</v>
      </c>
      <c r="K40" s="52" t="s">
        <v>163</v>
      </c>
      <c r="L40" s="15" t="s">
        <v>202</v>
      </c>
      <c r="N40" s="7" t="s">
        <v>45</v>
      </c>
      <c r="O40" s="18" t="s">
        <v>50</v>
      </c>
      <c r="P40" s="28"/>
    </row>
    <row r="41" spans="2:16" hidden="1">
      <c r="B41" t="str">
        <f t="shared" si="0"/>
        <v>GASTO</v>
      </c>
      <c r="C41" s="50">
        <v>43524</v>
      </c>
      <c r="D41" s="50">
        <v>43524</v>
      </c>
      <c r="E41" s="51">
        <v>-32.18</v>
      </c>
      <c r="F41" s="51">
        <v>15065.62</v>
      </c>
      <c r="G41" s="52" t="s">
        <v>118</v>
      </c>
      <c r="H41" s="15" t="s">
        <v>82</v>
      </c>
      <c r="I41" s="15" t="s">
        <v>52</v>
      </c>
      <c r="J41" s="15" t="s">
        <v>249</v>
      </c>
      <c r="K41" s="52" t="s">
        <v>163</v>
      </c>
      <c r="L41" s="15" t="s">
        <v>202</v>
      </c>
      <c r="N41" s="7" t="s">
        <v>45</v>
      </c>
      <c r="O41" s="18" t="s">
        <v>37</v>
      </c>
      <c r="P41" s="28"/>
    </row>
    <row r="42" spans="2:16">
      <c r="B42" t="str">
        <f t="shared" si="0"/>
        <v>GASTO</v>
      </c>
      <c r="C42" s="50">
        <v>43525</v>
      </c>
      <c r="D42" s="50">
        <v>43525</v>
      </c>
      <c r="E42" s="51">
        <v>-49.54</v>
      </c>
      <c r="F42" s="51">
        <v>15016.08</v>
      </c>
      <c r="G42" s="52" t="s">
        <v>95</v>
      </c>
      <c r="H42" s="15" t="s">
        <v>82</v>
      </c>
      <c r="I42" s="15" t="s">
        <v>24</v>
      </c>
      <c r="J42" s="15" t="s">
        <v>230</v>
      </c>
      <c r="K42" s="52" t="s">
        <v>164</v>
      </c>
      <c r="L42" s="15" t="s">
        <v>202</v>
      </c>
      <c r="N42" s="6" t="s">
        <v>36</v>
      </c>
      <c r="O42" s="17" t="s">
        <v>61</v>
      </c>
      <c r="P42" s="28"/>
    </row>
    <row r="43" spans="2:16">
      <c r="B43" t="str">
        <f t="shared" si="0"/>
        <v>GASTO</v>
      </c>
      <c r="C43" s="50">
        <v>43529</v>
      </c>
      <c r="D43" s="50">
        <v>43529</v>
      </c>
      <c r="E43" s="51">
        <v>-97.98</v>
      </c>
      <c r="F43" s="51">
        <v>14918.1</v>
      </c>
      <c r="G43" s="52" t="s">
        <v>120</v>
      </c>
      <c r="H43" s="15" t="s">
        <v>82</v>
      </c>
      <c r="I43" s="15" t="s">
        <v>28</v>
      </c>
      <c r="J43" s="15" t="s">
        <v>250</v>
      </c>
      <c r="K43" s="52" t="s">
        <v>180</v>
      </c>
      <c r="L43" s="15" t="s">
        <v>202</v>
      </c>
      <c r="N43" s="7" t="s">
        <v>45</v>
      </c>
      <c r="O43" s="37" t="s">
        <v>38</v>
      </c>
      <c r="P43" s="28"/>
    </row>
    <row r="44" spans="2:16">
      <c r="B44" t="str">
        <f t="shared" si="0"/>
        <v>GASTO</v>
      </c>
      <c r="C44" s="50">
        <v>43530</v>
      </c>
      <c r="D44" s="50">
        <v>43530</v>
      </c>
      <c r="E44" s="51">
        <v>-79.260000000000005</v>
      </c>
      <c r="F44" s="51">
        <v>14838.84</v>
      </c>
      <c r="G44" s="52" t="s">
        <v>96</v>
      </c>
      <c r="H44" s="15" t="s">
        <v>82</v>
      </c>
      <c r="I44" s="15" t="s">
        <v>29</v>
      </c>
      <c r="J44" s="15" t="s">
        <v>29</v>
      </c>
      <c r="K44" s="52" t="s">
        <v>165</v>
      </c>
      <c r="L44" s="15" t="s">
        <v>202</v>
      </c>
      <c r="N44" s="7" t="s">
        <v>45</v>
      </c>
      <c r="O44" s="37" t="s">
        <v>39</v>
      </c>
      <c r="P44" s="28"/>
    </row>
    <row r="45" spans="2:16">
      <c r="B45" t="str">
        <f t="shared" si="0"/>
        <v>GASTO</v>
      </c>
      <c r="C45" s="50">
        <v>43530</v>
      </c>
      <c r="D45" s="50">
        <v>43530</v>
      </c>
      <c r="E45" s="51">
        <v>-72</v>
      </c>
      <c r="F45" s="51">
        <v>14766.84</v>
      </c>
      <c r="G45" s="52" t="s">
        <v>106</v>
      </c>
      <c r="H45" s="15" t="s">
        <v>82</v>
      </c>
      <c r="I45" s="15" t="s">
        <v>57</v>
      </c>
      <c r="J45" s="15" t="s">
        <v>57</v>
      </c>
      <c r="K45" s="52" t="s">
        <v>203</v>
      </c>
      <c r="L45" s="15" t="s">
        <v>202</v>
      </c>
      <c r="N45" s="7" t="s">
        <v>45</v>
      </c>
      <c r="O45" s="18" t="s">
        <v>87</v>
      </c>
      <c r="P45" s="28"/>
    </row>
    <row r="46" spans="2:16">
      <c r="B46" t="str">
        <f t="shared" si="0"/>
        <v>GASTO</v>
      </c>
      <c r="C46" s="50">
        <v>43530</v>
      </c>
      <c r="D46" s="50">
        <v>43530</v>
      </c>
      <c r="E46" s="51">
        <v>-125.36</v>
      </c>
      <c r="F46" s="51">
        <v>14641.48</v>
      </c>
      <c r="G46" s="52" t="s">
        <v>100</v>
      </c>
      <c r="H46" s="15" t="s">
        <v>82</v>
      </c>
      <c r="I46" s="15" t="s">
        <v>58</v>
      </c>
      <c r="J46" s="15" t="s">
        <v>235</v>
      </c>
      <c r="K46" s="52" t="s">
        <v>168</v>
      </c>
      <c r="L46" s="15" t="s">
        <v>202</v>
      </c>
      <c r="N46" s="7" t="s">
        <v>45</v>
      </c>
      <c r="O46" s="18" t="s">
        <v>88</v>
      </c>
      <c r="P46" s="28"/>
    </row>
    <row r="47" spans="2:16">
      <c r="B47" t="str">
        <f t="shared" si="0"/>
        <v>GASTO</v>
      </c>
      <c r="C47" s="50">
        <v>43531</v>
      </c>
      <c r="D47" s="50">
        <v>43531</v>
      </c>
      <c r="E47" s="51">
        <v>-47</v>
      </c>
      <c r="F47" s="51">
        <v>14594.48</v>
      </c>
      <c r="G47" s="52" t="s">
        <v>121</v>
      </c>
      <c r="H47" s="15" t="s">
        <v>82</v>
      </c>
      <c r="I47" s="15" t="s">
        <v>35</v>
      </c>
      <c r="J47" s="15" t="s">
        <v>251</v>
      </c>
      <c r="K47" s="52" t="s">
        <v>181</v>
      </c>
      <c r="L47" s="15" t="s">
        <v>202</v>
      </c>
      <c r="N47" s="7" t="s">
        <v>45</v>
      </c>
      <c r="O47" s="18" t="s">
        <v>89</v>
      </c>
      <c r="P47" s="28"/>
    </row>
    <row r="48" spans="2:16">
      <c r="B48" t="str">
        <f t="shared" si="0"/>
        <v>GASTO</v>
      </c>
      <c r="C48" s="50">
        <v>43532</v>
      </c>
      <c r="D48" s="50">
        <v>43532</v>
      </c>
      <c r="E48" s="51">
        <v>-124.85</v>
      </c>
      <c r="F48" s="51">
        <v>14469.63</v>
      </c>
      <c r="G48" s="52" t="s">
        <v>117</v>
      </c>
      <c r="H48" s="15" t="s">
        <v>77</v>
      </c>
      <c r="I48" s="15" t="s">
        <v>49</v>
      </c>
      <c r="J48" s="15" t="s">
        <v>242</v>
      </c>
      <c r="K48" s="52" t="s">
        <v>179</v>
      </c>
      <c r="L48" s="15" t="s">
        <v>202</v>
      </c>
      <c r="N48" s="7" t="s">
        <v>45</v>
      </c>
      <c r="O48" s="18" t="s">
        <v>35</v>
      </c>
      <c r="P48" s="28"/>
    </row>
    <row r="49" spans="2:16">
      <c r="B49" t="str">
        <f t="shared" si="0"/>
        <v>GASTO</v>
      </c>
      <c r="C49" s="50">
        <v>43533</v>
      </c>
      <c r="D49" s="50">
        <v>43531</v>
      </c>
      <c r="E49" s="51">
        <v>-48.35</v>
      </c>
      <c r="F49" s="51">
        <v>14421.28</v>
      </c>
      <c r="G49" s="52" t="s">
        <v>112</v>
      </c>
      <c r="H49" s="15" t="s">
        <v>80</v>
      </c>
      <c r="I49" s="15" t="s">
        <v>40</v>
      </c>
      <c r="J49" s="15" t="s">
        <v>252</v>
      </c>
      <c r="K49" s="52" t="s">
        <v>176</v>
      </c>
      <c r="L49" s="15" t="s">
        <v>202</v>
      </c>
      <c r="N49" s="7" t="s">
        <v>45</v>
      </c>
      <c r="O49" s="18" t="s">
        <v>225</v>
      </c>
      <c r="P49" s="40" t="s">
        <v>66</v>
      </c>
    </row>
    <row r="50" spans="2:16">
      <c r="B50" t="str">
        <f t="shared" si="0"/>
        <v>GASTO</v>
      </c>
      <c r="C50" s="50">
        <v>43534</v>
      </c>
      <c r="D50" s="50">
        <v>43534</v>
      </c>
      <c r="E50" s="51">
        <v>-388.99</v>
      </c>
      <c r="F50" s="51">
        <v>14032.29</v>
      </c>
      <c r="G50" s="52" t="s">
        <v>119</v>
      </c>
      <c r="H50" s="15" t="s">
        <v>23</v>
      </c>
      <c r="I50" s="15" t="s">
        <v>86</v>
      </c>
      <c r="J50" s="15" t="s">
        <v>253</v>
      </c>
      <c r="K50" s="52" t="s">
        <v>163</v>
      </c>
      <c r="L50" s="15" t="s">
        <v>202</v>
      </c>
      <c r="N50" s="33" t="s">
        <v>65</v>
      </c>
      <c r="O50" s="20" t="s">
        <v>65</v>
      </c>
      <c r="P50" s="34" t="s">
        <v>67</v>
      </c>
    </row>
    <row r="51" spans="2:16">
      <c r="B51" t="str">
        <f t="shared" si="0"/>
        <v>GASTO</v>
      </c>
      <c r="C51" s="50">
        <v>43535</v>
      </c>
      <c r="D51" s="50">
        <v>43535</v>
      </c>
      <c r="E51" s="51">
        <v>-29.52</v>
      </c>
      <c r="F51" s="51">
        <v>14002.77</v>
      </c>
      <c r="G51" s="52" t="s">
        <v>98</v>
      </c>
      <c r="H51" s="15" t="s">
        <v>82</v>
      </c>
      <c r="I51" s="15" t="s">
        <v>205</v>
      </c>
      <c r="J51" s="15" t="s">
        <v>229</v>
      </c>
      <c r="K51" s="52" t="s">
        <v>166</v>
      </c>
      <c r="L51" s="15" t="s">
        <v>202</v>
      </c>
      <c r="N51" s="23" t="s">
        <v>64</v>
      </c>
      <c r="O51" s="19" t="s">
        <v>64</v>
      </c>
      <c r="P51" s="32" t="s">
        <v>60</v>
      </c>
    </row>
    <row r="52" spans="2:16">
      <c r="B52" t="str">
        <f t="shared" si="0"/>
        <v>GASTO</v>
      </c>
      <c r="C52" s="50">
        <v>43535</v>
      </c>
      <c r="D52" s="50">
        <v>43535</v>
      </c>
      <c r="E52" s="51">
        <v>-74.930000000000007</v>
      </c>
      <c r="F52" s="51">
        <v>13927.84</v>
      </c>
      <c r="G52" s="52" t="s">
        <v>122</v>
      </c>
      <c r="H52" s="15" t="s">
        <v>77</v>
      </c>
      <c r="I52" s="15" t="s">
        <v>37</v>
      </c>
      <c r="J52" s="15" t="s">
        <v>254</v>
      </c>
      <c r="K52" s="52" t="s">
        <v>182</v>
      </c>
      <c r="L52" s="15" t="s">
        <v>202</v>
      </c>
      <c r="N52" s="9" t="s">
        <v>48</v>
      </c>
      <c r="O52" s="38" t="s">
        <v>25</v>
      </c>
      <c r="P52" s="32"/>
    </row>
    <row r="53" spans="2:16">
      <c r="B53" t="str">
        <f t="shared" si="0"/>
        <v>GASTO</v>
      </c>
      <c r="C53" s="50">
        <v>43536</v>
      </c>
      <c r="D53" s="50">
        <v>43533</v>
      </c>
      <c r="E53" s="51">
        <v>-42</v>
      </c>
      <c r="F53" s="51">
        <v>13885.84</v>
      </c>
      <c r="G53" s="52" t="s">
        <v>112</v>
      </c>
      <c r="H53" s="15" t="s">
        <v>80</v>
      </c>
      <c r="I53" s="15" t="s">
        <v>40</v>
      </c>
      <c r="J53" s="15" t="s">
        <v>40</v>
      </c>
      <c r="K53" s="52" t="s">
        <v>176</v>
      </c>
      <c r="L53" s="15" t="s">
        <v>202</v>
      </c>
      <c r="N53" s="9" t="s">
        <v>48</v>
      </c>
      <c r="O53" s="38" t="s">
        <v>27</v>
      </c>
      <c r="P53" s="32"/>
    </row>
    <row r="54" spans="2:16">
      <c r="B54" t="str">
        <f t="shared" si="0"/>
        <v>GASTO</v>
      </c>
      <c r="C54" s="50">
        <v>43536</v>
      </c>
      <c r="D54" s="50">
        <v>43536</v>
      </c>
      <c r="E54" s="51">
        <v>-255.59</v>
      </c>
      <c r="F54" s="51">
        <v>13630.25</v>
      </c>
      <c r="G54" s="52" t="s">
        <v>123</v>
      </c>
      <c r="H54" s="15" t="s">
        <v>77</v>
      </c>
      <c r="I54" s="15" t="s">
        <v>37</v>
      </c>
      <c r="J54" s="15" t="s">
        <v>222</v>
      </c>
      <c r="K54" s="52" t="s">
        <v>183</v>
      </c>
      <c r="L54" s="15" t="s">
        <v>202</v>
      </c>
      <c r="N54" s="9" t="s">
        <v>48</v>
      </c>
      <c r="O54" s="38" t="s">
        <v>21</v>
      </c>
      <c r="P54" s="31" t="s">
        <v>60</v>
      </c>
    </row>
    <row r="55" spans="2:16">
      <c r="B55" t="str">
        <f t="shared" si="0"/>
        <v>GASTO</v>
      </c>
      <c r="C55" s="50">
        <v>43537</v>
      </c>
      <c r="D55" s="50">
        <v>43537</v>
      </c>
      <c r="E55" s="51">
        <v>-31.15</v>
      </c>
      <c r="F55" s="51">
        <v>13599.1</v>
      </c>
      <c r="G55" s="52" t="s">
        <v>124</v>
      </c>
      <c r="H55" s="15" t="s">
        <v>81</v>
      </c>
      <c r="I55" s="15" t="s">
        <v>44</v>
      </c>
      <c r="J55" s="15" t="s">
        <v>45</v>
      </c>
      <c r="K55" s="52" t="s">
        <v>184</v>
      </c>
      <c r="L55" s="15" t="s">
        <v>202</v>
      </c>
      <c r="N55" s="8" t="s">
        <v>46</v>
      </c>
      <c r="O55" s="39" t="s">
        <v>37</v>
      </c>
      <c r="P55" s="31"/>
    </row>
    <row r="56" spans="2:16">
      <c r="B56" t="str">
        <f t="shared" si="0"/>
        <v>GASTO</v>
      </c>
      <c r="C56" s="50">
        <v>43539</v>
      </c>
      <c r="D56" s="50">
        <v>43539</v>
      </c>
      <c r="E56" s="51">
        <v>-35.67</v>
      </c>
      <c r="F56" s="51">
        <v>13563.43</v>
      </c>
      <c r="G56" s="52" t="s">
        <v>97</v>
      </c>
      <c r="H56" s="15" t="s">
        <v>82</v>
      </c>
      <c r="I56" s="15" t="s">
        <v>20</v>
      </c>
      <c r="J56" s="15" t="s">
        <v>231</v>
      </c>
      <c r="K56" s="52" t="s">
        <v>201</v>
      </c>
      <c r="L56" s="15" t="s">
        <v>202</v>
      </c>
      <c r="N56" s="8" t="s">
        <v>46</v>
      </c>
      <c r="O56" s="39" t="s">
        <v>40</v>
      </c>
      <c r="P56" s="31"/>
    </row>
    <row r="57" spans="2:16">
      <c r="B57" t="str">
        <f t="shared" si="0"/>
        <v>GASTO</v>
      </c>
      <c r="C57" s="50">
        <v>43539</v>
      </c>
      <c r="D57" s="50">
        <v>43539</v>
      </c>
      <c r="E57" s="51">
        <v>-351.51</v>
      </c>
      <c r="F57" s="51">
        <v>13211.92</v>
      </c>
      <c r="G57" s="52" t="s">
        <v>97</v>
      </c>
      <c r="H57" s="15" t="s">
        <v>82</v>
      </c>
      <c r="I57" s="15" t="s">
        <v>19</v>
      </c>
      <c r="J57" s="15" t="s">
        <v>232</v>
      </c>
      <c r="K57" s="52" t="s">
        <v>201</v>
      </c>
      <c r="L57" s="15" t="s">
        <v>202</v>
      </c>
      <c r="N57" s="8" t="s">
        <v>46</v>
      </c>
      <c r="O57" s="39" t="s">
        <v>34</v>
      </c>
      <c r="P57" s="31"/>
    </row>
    <row r="58" spans="2:16">
      <c r="B58" t="str">
        <f t="shared" si="0"/>
        <v>RECEITA</v>
      </c>
      <c r="C58" s="50">
        <v>43540</v>
      </c>
      <c r="D58" s="50">
        <v>43538</v>
      </c>
      <c r="E58" s="51">
        <v>28</v>
      </c>
      <c r="F58" s="51">
        <v>13239.92</v>
      </c>
      <c r="G58" s="52" t="s">
        <v>125</v>
      </c>
      <c r="H58" s="15" t="s">
        <v>80</v>
      </c>
      <c r="I58" s="15" t="s">
        <v>40</v>
      </c>
      <c r="J58" s="15" t="s">
        <v>255</v>
      </c>
      <c r="K58" s="52" t="s">
        <v>176</v>
      </c>
      <c r="L58" s="15" t="s">
        <v>202</v>
      </c>
      <c r="N58" s="8" t="s">
        <v>46</v>
      </c>
      <c r="O58" s="39" t="s">
        <v>87</v>
      </c>
      <c r="P58" s="31"/>
    </row>
    <row r="59" spans="2:16">
      <c r="B59" t="str">
        <f t="shared" si="0"/>
        <v>GASTO</v>
      </c>
      <c r="C59" s="50">
        <v>43540</v>
      </c>
      <c r="D59" s="50">
        <v>43540</v>
      </c>
      <c r="E59" s="51">
        <v>-169.56</v>
      </c>
      <c r="F59" s="51">
        <v>13070.36</v>
      </c>
      <c r="G59" s="52" t="s">
        <v>118</v>
      </c>
      <c r="H59" s="15" t="s">
        <v>82</v>
      </c>
      <c r="I59" s="15" t="s">
        <v>30</v>
      </c>
      <c r="J59" s="15" t="s">
        <v>256</v>
      </c>
      <c r="K59" s="52" t="s">
        <v>163</v>
      </c>
      <c r="L59" s="15" t="s">
        <v>202</v>
      </c>
      <c r="N59" s="8" t="s">
        <v>46</v>
      </c>
      <c r="O59" s="39" t="s">
        <v>89</v>
      </c>
      <c r="P59" s="45" t="s">
        <v>60</v>
      </c>
    </row>
    <row r="60" spans="2:16">
      <c r="B60" t="str">
        <f t="shared" si="0"/>
        <v>GASTO</v>
      </c>
      <c r="C60" s="50">
        <v>43540</v>
      </c>
      <c r="D60" s="50">
        <v>43540</v>
      </c>
      <c r="E60" s="51">
        <v>-101.52</v>
      </c>
      <c r="F60" s="51">
        <v>12968.84</v>
      </c>
      <c r="G60" s="52" t="s">
        <v>118</v>
      </c>
      <c r="H60" s="15" t="s">
        <v>82</v>
      </c>
      <c r="I60" s="15" t="s">
        <v>52</v>
      </c>
      <c r="J60" s="15" t="s">
        <v>254</v>
      </c>
      <c r="K60" s="52" t="s">
        <v>163</v>
      </c>
      <c r="L60" s="15" t="s">
        <v>202</v>
      </c>
      <c r="N60" s="42" t="s">
        <v>90</v>
      </c>
      <c r="O60" s="43" t="s">
        <v>83</v>
      </c>
      <c r="P60" s="45"/>
    </row>
    <row r="61" spans="2:16">
      <c r="B61" t="str">
        <f t="shared" si="0"/>
        <v>GASTO</v>
      </c>
      <c r="C61" s="50">
        <v>43541</v>
      </c>
      <c r="D61" s="50">
        <v>43541</v>
      </c>
      <c r="E61" s="51">
        <v>-40.26</v>
      </c>
      <c r="F61" s="51">
        <v>12928.58</v>
      </c>
      <c r="G61" s="52" t="s">
        <v>119</v>
      </c>
      <c r="H61" s="15" t="s">
        <v>82</v>
      </c>
      <c r="I61" s="15" t="s">
        <v>35</v>
      </c>
      <c r="J61" s="15" t="s">
        <v>249</v>
      </c>
      <c r="K61" s="52" t="s">
        <v>163</v>
      </c>
      <c r="L61" s="15" t="s">
        <v>202</v>
      </c>
      <c r="N61" s="42" t="s">
        <v>90</v>
      </c>
      <c r="O61" s="43" t="s">
        <v>61</v>
      </c>
      <c r="P61" s="45"/>
    </row>
    <row r="62" spans="2:16">
      <c r="B62" t="str">
        <f t="shared" si="0"/>
        <v>GASTO</v>
      </c>
      <c r="C62" s="50">
        <v>43541</v>
      </c>
      <c r="D62" s="50">
        <v>43541</v>
      </c>
      <c r="E62" s="51">
        <v>-78</v>
      </c>
      <c r="F62" s="51">
        <v>12850.58</v>
      </c>
      <c r="G62" s="52" t="s">
        <v>126</v>
      </c>
      <c r="H62" s="15" t="s">
        <v>82</v>
      </c>
      <c r="I62" s="15" t="s">
        <v>22</v>
      </c>
      <c r="J62" s="15" t="s">
        <v>234</v>
      </c>
      <c r="K62" s="52" t="s">
        <v>210</v>
      </c>
      <c r="L62" s="15" t="s">
        <v>202</v>
      </c>
      <c r="N62" s="42" t="s">
        <v>90</v>
      </c>
      <c r="O62" s="43" t="s">
        <v>89</v>
      </c>
      <c r="P62" s="46" t="s">
        <v>63</v>
      </c>
    </row>
    <row r="63" spans="2:16">
      <c r="B63" t="str">
        <f t="shared" si="0"/>
        <v>GASTO</v>
      </c>
      <c r="C63" s="50">
        <v>43542</v>
      </c>
      <c r="D63" s="50">
        <v>43542</v>
      </c>
      <c r="E63" s="51">
        <v>-37</v>
      </c>
      <c r="F63" s="51">
        <v>12813.58</v>
      </c>
      <c r="G63" s="52" t="s">
        <v>127</v>
      </c>
      <c r="H63" s="15" t="s">
        <v>77</v>
      </c>
      <c r="I63" s="15" t="s">
        <v>39</v>
      </c>
      <c r="J63" s="15" t="s">
        <v>209</v>
      </c>
      <c r="K63" s="52" t="s">
        <v>209</v>
      </c>
      <c r="L63" s="15" t="s">
        <v>202</v>
      </c>
      <c r="N63" s="49" t="s">
        <v>18</v>
      </c>
      <c r="O63" s="44" t="s">
        <v>83</v>
      </c>
      <c r="P63" s="46"/>
    </row>
    <row r="64" spans="2:16" ht="17" thickBot="1">
      <c r="B64" t="str">
        <f t="shared" si="0"/>
        <v>GASTO</v>
      </c>
      <c r="C64" s="50">
        <v>43542</v>
      </c>
      <c r="D64" s="50">
        <v>43542</v>
      </c>
      <c r="E64" s="51">
        <v>-500</v>
      </c>
      <c r="F64" s="51">
        <v>12313.58</v>
      </c>
      <c r="G64" s="52" t="s">
        <v>128</v>
      </c>
      <c r="H64" s="15" t="s">
        <v>77</v>
      </c>
      <c r="I64" s="15" t="s">
        <v>225</v>
      </c>
      <c r="J64" s="15" t="s">
        <v>211</v>
      </c>
      <c r="K64" s="52" t="s">
        <v>208</v>
      </c>
      <c r="L64" s="15" t="s">
        <v>202</v>
      </c>
      <c r="N64" s="49" t="s">
        <v>18</v>
      </c>
      <c r="O64" s="44" t="s">
        <v>61</v>
      </c>
      <c r="P64" s="47"/>
    </row>
    <row r="65" spans="2:15" ht="17" thickBot="1">
      <c r="B65" t="str">
        <f t="shared" si="0"/>
        <v>GASTO</v>
      </c>
      <c r="C65" s="50">
        <v>43543</v>
      </c>
      <c r="D65" s="50">
        <v>43543</v>
      </c>
      <c r="E65" s="51">
        <v>-66.69</v>
      </c>
      <c r="F65" s="51">
        <v>12246.89</v>
      </c>
      <c r="G65" s="52" t="s">
        <v>117</v>
      </c>
      <c r="H65" s="15" t="s">
        <v>36</v>
      </c>
      <c r="I65" s="15" t="s">
        <v>83</v>
      </c>
      <c r="J65" s="15" t="s">
        <v>257</v>
      </c>
      <c r="K65" s="52" t="s">
        <v>179</v>
      </c>
      <c r="L65" s="15" t="s">
        <v>202</v>
      </c>
      <c r="N65" s="49" t="s">
        <v>18</v>
      </c>
      <c r="O65" s="48" t="s">
        <v>89</v>
      </c>
    </row>
    <row r="66" spans="2:15">
      <c r="B66" t="str">
        <f t="shared" si="0"/>
        <v>GASTO</v>
      </c>
      <c r="C66" s="50">
        <v>43543</v>
      </c>
      <c r="D66" s="50">
        <v>43543</v>
      </c>
      <c r="E66" s="51">
        <v>-27.07</v>
      </c>
      <c r="F66" s="51">
        <v>12219.82</v>
      </c>
      <c r="G66" s="52" t="s">
        <v>111</v>
      </c>
      <c r="H66" s="15" t="s">
        <v>81</v>
      </c>
      <c r="I66" s="15" t="s">
        <v>44</v>
      </c>
      <c r="J66" s="15" t="s">
        <v>236</v>
      </c>
      <c r="K66" s="52" t="s">
        <v>175</v>
      </c>
      <c r="L66" s="15" t="s">
        <v>202</v>
      </c>
      <c r="N66" s="104" t="s">
        <v>328</v>
      </c>
      <c r="O66" s="104" t="s">
        <v>17</v>
      </c>
    </row>
    <row r="67" spans="2:15">
      <c r="B67" t="str">
        <f t="shared" si="0"/>
        <v>GASTO</v>
      </c>
      <c r="C67" s="50">
        <v>43543</v>
      </c>
      <c r="D67" s="50">
        <v>43543</v>
      </c>
      <c r="E67" s="51">
        <v>-67.97</v>
      </c>
      <c r="F67" s="51">
        <v>12151.85</v>
      </c>
      <c r="G67" s="52" t="s">
        <v>129</v>
      </c>
      <c r="H67" s="15" t="s">
        <v>81</v>
      </c>
      <c r="I67" s="15" t="s">
        <v>42</v>
      </c>
      <c r="J67" s="15" t="s">
        <v>258</v>
      </c>
      <c r="K67" s="52" t="s">
        <v>185</v>
      </c>
      <c r="L67" s="15" t="s">
        <v>202</v>
      </c>
      <c r="N67" s="104" t="s">
        <v>328</v>
      </c>
      <c r="O67" s="104" t="s">
        <v>19</v>
      </c>
    </row>
    <row r="68" spans="2:15">
      <c r="B68" t="str">
        <f t="shared" si="0"/>
        <v>GASTO</v>
      </c>
      <c r="C68" s="50">
        <v>43544</v>
      </c>
      <c r="D68" s="50">
        <v>43544</v>
      </c>
      <c r="E68" s="51">
        <v>-32.94</v>
      </c>
      <c r="F68" s="51">
        <v>12118.91</v>
      </c>
      <c r="G68" s="52" t="s">
        <v>109</v>
      </c>
      <c r="H68" s="15" t="s">
        <v>81</v>
      </c>
      <c r="I68" s="15" t="s">
        <v>44</v>
      </c>
      <c r="J68" s="15" t="s">
        <v>236</v>
      </c>
      <c r="K68" s="52" t="s">
        <v>162</v>
      </c>
      <c r="L68" s="15" t="s">
        <v>202</v>
      </c>
      <c r="N68" s="104" t="s">
        <v>328</v>
      </c>
      <c r="O68" s="104" t="s">
        <v>20</v>
      </c>
    </row>
    <row r="69" spans="2:15">
      <c r="B69" t="str">
        <f t="shared" si="0"/>
        <v>GASTO</v>
      </c>
      <c r="C69" s="50">
        <v>43545</v>
      </c>
      <c r="D69" s="50">
        <v>43545</v>
      </c>
      <c r="E69" s="51">
        <v>-100</v>
      </c>
      <c r="F69" s="51">
        <v>12018.91</v>
      </c>
      <c r="G69" s="52" t="s">
        <v>130</v>
      </c>
      <c r="H69" s="15" t="s">
        <v>36</v>
      </c>
      <c r="I69" s="15" t="s">
        <v>83</v>
      </c>
      <c r="J69" s="15" t="s">
        <v>213</v>
      </c>
      <c r="K69" s="52" t="s">
        <v>212</v>
      </c>
      <c r="L69" s="15" t="s">
        <v>202</v>
      </c>
      <c r="N69" s="104" t="s">
        <v>328</v>
      </c>
      <c r="O69" s="104" t="s">
        <v>22</v>
      </c>
    </row>
    <row r="70" spans="2:15">
      <c r="B70" t="str">
        <f t="shared" ref="B70:B133" si="1">IF(E70&lt;0,"GASTO","RECEITA")</f>
        <v>GASTO</v>
      </c>
      <c r="C70" s="50">
        <v>43546</v>
      </c>
      <c r="D70" s="50">
        <v>43546</v>
      </c>
      <c r="E70" s="51">
        <v>-172.41</v>
      </c>
      <c r="F70" s="51">
        <v>11846.5</v>
      </c>
      <c r="G70" s="52" t="s">
        <v>131</v>
      </c>
      <c r="H70" s="15" t="s">
        <v>36</v>
      </c>
      <c r="I70" s="15" t="s">
        <v>83</v>
      </c>
      <c r="J70" s="15" t="s">
        <v>259</v>
      </c>
      <c r="K70" s="52" t="s">
        <v>212</v>
      </c>
      <c r="L70" s="15" t="s">
        <v>202</v>
      </c>
      <c r="N70" s="104" t="s">
        <v>328</v>
      </c>
      <c r="O70" s="104" t="s">
        <v>24</v>
      </c>
    </row>
    <row r="71" spans="2:15">
      <c r="B71" t="str">
        <f t="shared" si="1"/>
        <v>GASTO</v>
      </c>
      <c r="C71" s="50">
        <v>43546</v>
      </c>
      <c r="D71" s="50">
        <v>43546</v>
      </c>
      <c r="E71" s="51">
        <v>-340</v>
      </c>
      <c r="F71" s="51">
        <v>11506.5</v>
      </c>
      <c r="G71" s="52" t="s">
        <v>132</v>
      </c>
      <c r="H71" s="15" t="s">
        <v>77</v>
      </c>
      <c r="I71" s="15" t="s">
        <v>37</v>
      </c>
      <c r="J71" s="15" t="s">
        <v>260</v>
      </c>
      <c r="K71" s="52" t="s">
        <v>214</v>
      </c>
      <c r="L71" s="15" t="s">
        <v>202</v>
      </c>
      <c r="N71" s="104" t="s">
        <v>328</v>
      </c>
      <c r="O71" s="104" t="s">
        <v>332</v>
      </c>
    </row>
    <row r="72" spans="2:15">
      <c r="B72" t="str">
        <f t="shared" si="1"/>
        <v>GASTO</v>
      </c>
      <c r="C72" s="50">
        <v>43546</v>
      </c>
      <c r="D72" s="50">
        <v>43546</v>
      </c>
      <c r="E72" s="51">
        <v>-20.8</v>
      </c>
      <c r="F72" s="51">
        <v>11485.7</v>
      </c>
      <c r="G72" s="52" t="s">
        <v>133</v>
      </c>
      <c r="H72" s="15" t="s">
        <v>81</v>
      </c>
      <c r="I72" s="15" t="s">
        <v>44</v>
      </c>
      <c r="J72" s="15" t="s">
        <v>236</v>
      </c>
      <c r="K72" s="52" t="s">
        <v>186</v>
      </c>
      <c r="L72" s="15" t="s">
        <v>202</v>
      </c>
      <c r="N72" s="104" t="s">
        <v>328</v>
      </c>
      <c r="O72" s="104" t="s">
        <v>333</v>
      </c>
    </row>
    <row r="73" spans="2:15">
      <c r="B73" t="str">
        <f t="shared" si="1"/>
        <v>GASTO</v>
      </c>
      <c r="C73" s="50">
        <v>43546</v>
      </c>
      <c r="D73" s="50">
        <v>43546</v>
      </c>
      <c r="E73" s="51">
        <v>-11.97</v>
      </c>
      <c r="F73" s="51">
        <v>11473.73</v>
      </c>
      <c r="G73" s="52" t="s">
        <v>134</v>
      </c>
      <c r="H73" s="15" t="s">
        <v>81</v>
      </c>
      <c r="I73" s="15" t="s">
        <v>44</v>
      </c>
      <c r="J73" s="15" t="s">
        <v>236</v>
      </c>
      <c r="K73" s="52" t="s">
        <v>187</v>
      </c>
      <c r="L73" s="15" t="s">
        <v>202</v>
      </c>
      <c r="N73" s="104" t="s">
        <v>328</v>
      </c>
      <c r="O73" s="104" t="s">
        <v>334</v>
      </c>
    </row>
    <row r="74" spans="2:15">
      <c r="B74" t="str">
        <f t="shared" si="1"/>
        <v>GASTO</v>
      </c>
      <c r="C74" s="50">
        <v>43546</v>
      </c>
      <c r="D74" s="50">
        <v>43546</v>
      </c>
      <c r="E74" s="51">
        <v>-176</v>
      </c>
      <c r="F74" s="51">
        <v>11297.73</v>
      </c>
      <c r="G74" s="52" t="s">
        <v>120</v>
      </c>
      <c r="H74" s="15" t="s">
        <v>36</v>
      </c>
      <c r="I74" s="15" t="s">
        <v>23</v>
      </c>
      <c r="J74" s="15" t="s">
        <v>261</v>
      </c>
      <c r="K74" s="52" t="s">
        <v>188</v>
      </c>
      <c r="L74" s="15" t="s">
        <v>202</v>
      </c>
      <c r="N74" s="104" t="s">
        <v>328</v>
      </c>
      <c r="O74" s="104" t="s">
        <v>329</v>
      </c>
    </row>
    <row r="75" spans="2:15">
      <c r="B75" t="str">
        <f t="shared" si="1"/>
        <v>GASTO</v>
      </c>
      <c r="C75" s="50">
        <v>43546</v>
      </c>
      <c r="D75" s="50">
        <v>43546</v>
      </c>
      <c r="E75" s="51">
        <v>-131</v>
      </c>
      <c r="F75" s="51">
        <v>11166.73</v>
      </c>
      <c r="G75" s="52" t="s">
        <v>100</v>
      </c>
      <c r="H75" s="15" t="s">
        <v>36</v>
      </c>
      <c r="I75" s="15" t="s">
        <v>83</v>
      </c>
      <c r="J75" s="15" t="s">
        <v>262</v>
      </c>
      <c r="K75" s="52" t="s">
        <v>168</v>
      </c>
      <c r="L75" s="15" t="s">
        <v>202</v>
      </c>
      <c r="N75" s="104" t="s">
        <v>328</v>
      </c>
      <c r="O75" s="104" t="s">
        <v>335</v>
      </c>
    </row>
    <row r="76" spans="2:15">
      <c r="B76" t="str">
        <f t="shared" si="1"/>
        <v>GASTO</v>
      </c>
      <c r="C76" s="50">
        <v>43547</v>
      </c>
      <c r="D76" s="50">
        <v>43547</v>
      </c>
      <c r="E76" s="51">
        <v>-19.38</v>
      </c>
      <c r="F76" s="51">
        <v>11147.35</v>
      </c>
      <c r="G76" s="52" t="s">
        <v>135</v>
      </c>
      <c r="H76" s="15" t="s">
        <v>81</v>
      </c>
      <c r="I76" s="15" t="s">
        <v>44</v>
      </c>
      <c r="J76" s="15" t="s">
        <v>236</v>
      </c>
      <c r="K76" s="52" t="s">
        <v>189</v>
      </c>
      <c r="L76" s="15" t="s">
        <v>202</v>
      </c>
      <c r="N76" s="104" t="s">
        <v>328</v>
      </c>
      <c r="O76" s="104" t="s">
        <v>336</v>
      </c>
    </row>
    <row r="77" spans="2:15">
      <c r="B77" t="str">
        <f t="shared" si="1"/>
        <v>GASTO</v>
      </c>
      <c r="C77" s="50">
        <v>43547</v>
      </c>
      <c r="D77" s="50">
        <v>43547</v>
      </c>
      <c r="E77" s="51">
        <v>-27.7</v>
      </c>
      <c r="F77" s="51">
        <v>11119.65</v>
      </c>
      <c r="G77" s="52" t="s">
        <v>102</v>
      </c>
      <c r="H77" s="15" t="s">
        <v>77</v>
      </c>
      <c r="I77" s="15" t="s">
        <v>49</v>
      </c>
      <c r="J77" s="15" t="s">
        <v>242</v>
      </c>
      <c r="K77" s="52" t="s">
        <v>170</v>
      </c>
      <c r="L77" s="15" t="s">
        <v>202</v>
      </c>
      <c r="N77" s="104" t="s">
        <v>328</v>
      </c>
      <c r="O77" s="104" t="s">
        <v>31</v>
      </c>
    </row>
    <row r="78" spans="2:15">
      <c r="B78" t="str">
        <f t="shared" si="1"/>
        <v>GASTO</v>
      </c>
      <c r="C78" s="50">
        <v>43547</v>
      </c>
      <c r="D78" s="50">
        <v>43547</v>
      </c>
      <c r="E78" s="51">
        <v>-7</v>
      </c>
      <c r="F78" s="51">
        <v>11112.65</v>
      </c>
      <c r="G78" s="52" t="s">
        <v>134</v>
      </c>
      <c r="H78" s="15" t="s">
        <v>36</v>
      </c>
      <c r="I78" s="15" t="s">
        <v>83</v>
      </c>
      <c r="J78" s="15" t="s">
        <v>263</v>
      </c>
      <c r="K78" s="52" t="s">
        <v>190</v>
      </c>
      <c r="L78" s="15" t="s">
        <v>202</v>
      </c>
      <c r="N78" s="104" t="s">
        <v>328</v>
      </c>
      <c r="O78" s="104" t="s">
        <v>32</v>
      </c>
    </row>
    <row r="79" spans="2:15">
      <c r="B79" t="str">
        <f t="shared" si="1"/>
        <v>GASTO</v>
      </c>
      <c r="C79" s="50">
        <v>43549</v>
      </c>
      <c r="D79" s="50">
        <v>43549</v>
      </c>
      <c r="E79" s="51">
        <v>-75.8</v>
      </c>
      <c r="F79" s="51">
        <v>11036.85</v>
      </c>
      <c r="G79" s="52" t="s">
        <v>136</v>
      </c>
      <c r="H79" s="15" t="s">
        <v>82</v>
      </c>
      <c r="I79" s="15" t="s">
        <v>30</v>
      </c>
      <c r="J79" s="15" t="s">
        <v>264</v>
      </c>
      <c r="K79" s="52" t="s">
        <v>191</v>
      </c>
      <c r="L79" s="15" t="s">
        <v>202</v>
      </c>
      <c r="N79" s="104" t="s">
        <v>328</v>
      </c>
      <c r="O79" s="104" t="s">
        <v>33</v>
      </c>
    </row>
    <row r="80" spans="2:15">
      <c r="B80" t="str">
        <f t="shared" si="1"/>
        <v>GASTO</v>
      </c>
      <c r="C80" s="50">
        <v>43549</v>
      </c>
      <c r="D80" s="50">
        <v>43549</v>
      </c>
      <c r="E80" s="51">
        <v>-28.85</v>
      </c>
      <c r="F80" s="51">
        <v>11008</v>
      </c>
      <c r="G80" s="52" t="s">
        <v>137</v>
      </c>
      <c r="H80" s="15" t="s">
        <v>80</v>
      </c>
      <c r="I80" s="15" t="s">
        <v>40</v>
      </c>
      <c r="J80" s="15" t="s">
        <v>40</v>
      </c>
      <c r="K80" s="52" t="s">
        <v>192</v>
      </c>
      <c r="L80" s="15" t="s">
        <v>202</v>
      </c>
      <c r="N80" s="104" t="s">
        <v>328</v>
      </c>
      <c r="O80" s="104" t="s">
        <v>34</v>
      </c>
    </row>
    <row r="81" spans="2:15">
      <c r="B81" t="str">
        <f t="shared" si="1"/>
        <v>GASTO</v>
      </c>
      <c r="C81" s="50">
        <v>43551</v>
      </c>
      <c r="D81" s="50">
        <v>43551</v>
      </c>
      <c r="E81" s="51">
        <v>-270.48</v>
      </c>
      <c r="F81" s="51">
        <v>10737.52</v>
      </c>
      <c r="G81" s="52" t="s">
        <v>99</v>
      </c>
      <c r="H81" s="15" t="s">
        <v>82</v>
      </c>
      <c r="I81" s="15" t="s">
        <v>49</v>
      </c>
      <c r="J81" s="15" t="s">
        <v>242</v>
      </c>
      <c r="K81" s="52" t="s">
        <v>167</v>
      </c>
      <c r="L81" s="15" t="s">
        <v>202</v>
      </c>
      <c r="N81" s="104" t="s">
        <v>328</v>
      </c>
      <c r="O81" s="104" t="s">
        <v>35</v>
      </c>
    </row>
    <row r="82" spans="2:15">
      <c r="B82" t="str">
        <f t="shared" si="1"/>
        <v>RECEITA</v>
      </c>
      <c r="C82" s="50">
        <v>43551</v>
      </c>
      <c r="D82" s="50">
        <v>43551</v>
      </c>
      <c r="E82" s="51">
        <v>14.99</v>
      </c>
      <c r="F82" s="51">
        <v>10752.51</v>
      </c>
      <c r="G82" s="52" t="s">
        <v>138</v>
      </c>
      <c r="H82" s="15" t="s">
        <v>82</v>
      </c>
      <c r="I82" s="15" t="s">
        <v>49</v>
      </c>
      <c r="J82" s="15" t="s">
        <v>265</v>
      </c>
      <c r="K82" s="52" t="s">
        <v>167</v>
      </c>
      <c r="L82" s="15" t="s">
        <v>202</v>
      </c>
      <c r="N82" s="104" t="s">
        <v>328</v>
      </c>
      <c r="O82" s="104" t="s">
        <v>337</v>
      </c>
    </row>
    <row r="83" spans="2:15">
      <c r="B83" t="str">
        <f t="shared" si="1"/>
        <v>GASTO</v>
      </c>
      <c r="C83" s="50">
        <v>43551</v>
      </c>
      <c r="D83" s="50">
        <v>43551</v>
      </c>
      <c r="E83" s="51">
        <v>-26.17</v>
      </c>
      <c r="F83" s="51">
        <v>10726.34</v>
      </c>
      <c r="G83" s="52" t="s">
        <v>139</v>
      </c>
      <c r="H83" s="15" t="s">
        <v>81</v>
      </c>
      <c r="I83" s="15" t="s">
        <v>44</v>
      </c>
      <c r="J83" s="15" t="s">
        <v>236</v>
      </c>
      <c r="K83" s="52" t="s">
        <v>175</v>
      </c>
      <c r="L83" s="15" t="s">
        <v>202</v>
      </c>
      <c r="N83" s="104" t="s">
        <v>328</v>
      </c>
      <c r="O83" s="105" t="s">
        <v>330</v>
      </c>
    </row>
    <row r="84" spans="2:15">
      <c r="B84" t="str">
        <f t="shared" si="1"/>
        <v>GASTO</v>
      </c>
      <c r="C84" s="50">
        <v>43552</v>
      </c>
      <c r="D84" s="50">
        <v>43552</v>
      </c>
      <c r="E84" s="51">
        <v>-16.82</v>
      </c>
      <c r="F84" s="51">
        <v>10709.52</v>
      </c>
      <c r="G84" s="52" t="s">
        <v>105</v>
      </c>
      <c r="H84" s="15" t="s">
        <v>82</v>
      </c>
      <c r="I84" s="15" t="s">
        <v>17</v>
      </c>
      <c r="J84" s="15" t="s">
        <v>17</v>
      </c>
      <c r="K84" s="52" t="s">
        <v>161</v>
      </c>
      <c r="L84" s="15" t="s">
        <v>202</v>
      </c>
      <c r="N84" s="104" t="s">
        <v>328</v>
      </c>
      <c r="O84" s="106" t="s">
        <v>331</v>
      </c>
    </row>
    <row r="85" spans="2:15">
      <c r="B85" t="str">
        <f t="shared" si="1"/>
        <v>GASTO</v>
      </c>
      <c r="C85" s="50">
        <v>43554</v>
      </c>
      <c r="D85" s="50">
        <v>43554</v>
      </c>
      <c r="E85" s="51">
        <v>-13.17</v>
      </c>
      <c r="F85" s="51">
        <v>10696.35</v>
      </c>
      <c r="G85" s="52" t="s">
        <v>140</v>
      </c>
      <c r="H85" s="15" t="s">
        <v>82</v>
      </c>
      <c r="I85" s="15" t="s">
        <v>52</v>
      </c>
      <c r="J85" s="15" t="s">
        <v>266</v>
      </c>
      <c r="K85" s="52" t="s">
        <v>163</v>
      </c>
      <c r="L85" s="15" t="s">
        <v>202</v>
      </c>
    </row>
    <row r="86" spans="2:15">
      <c r="B86" t="str">
        <f t="shared" si="1"/>
        <v>GASTO</v>
      </c>
      <c r="C86" s="50">
        <v>43556</v>
      </c>
      <c r="D86" s="50">
        <v>43556</v>
      </c>
      <c r="E86" s="51">
        <v>-49.54</v>
      </c>
      <c r="F86" s="51">
        <v>10646.81</v>
      </c>
      <c r="G86" s="52" t="s">
        <v>95</v>
      </c>
      <c r="H86" s="15" t="s">
        <v>82</v>
      </c>
      <c r="I86" s="15" t="s">
        <v>24</v>
      </c>
      <c r="J86" s="15" t="s">
        <v>230</v>
      </c>
      <c r="K86" s="52" t="s">
        <v>164</v>
      </c>
      <c r="L86" s="15" t="s">
        <v>202</v>
      </c>
    </row>
    <row r="87" spans="2:15">
      <c r="B87" t="str">
        <f t="shared" si="1"/>
        <v>GASTO</v>
      </c>
      <c r="C87" s="50">
        <v>43556</v>
      </c>
      <c r="D87" s="50">
        <v>43556</v>
      </c>
      <c r="E87" s="51">
        <v>-169.99</v>
      </c>
      <c r="F87" s="51">
        <v>10476.82</v>
      </c>
      <c r="G87" s="52" t="s">
        <v>141</v>
      </c>
      <c r="H87" s="15" t="s">
        <v>36</v>
      </c>
      <c r="I87" s="15" t="s">
        <v>84</v>
      </c>
      <c r="J87" s="15" t="s">
        <v>218</v>
      </c>
      <c r="K87" s="52" t="s">
        <v>217</v>
      </c>
      <c r="L87" s="15" t="s">
        <v>202</v>
      </c>
    </row>
    <row r="88" spans="2:15">
      <c r="B88" t="str">
        <f t="shared" si="1"/>
        <v>GASTO</v>
      </c>
      <c r="C88" s="50">
        <v>43556</v>
      </c>
      <c r="D88" s="50">
        <v>43556</v>
      </c>
      <c r="E88" s="51">
        <v>-111.93</v>
      </c>
      <c r="F88" s="51">
        <v>10364.89</v>
      </c>
      <c r="G88" s="52" t="s">
        <v>142</v>
      </c>
      <c r="H88" s="15" t="s">
        <v>91</v>
      </c>
      <c r="I88" s="15" t="s">
        <v>83</v>
      </c>
      <c r="J88" s="15" t="s">
        <v>216</v>
      </c>
      <c r="K88" s="52" t="s">
        <v>215</v>
      </c>
      <c r="L88" s="15" t="s">
        <v>202</v>
      </c>
    </row>
    <row r="89" spans="2:15">
      <c r="B89" t="str">
        <f t="shared" si="1"/>
        <v>GASTO</v>
      </c>
      <c r="C89" s="50">
        <v>43556</v>
      </c>
      <c r="D89" s="50">
        <v>43556</v>
      </c>
      <c r="E89" s="51">
        <v>-500</v>
      </c>
      <c r="F89" s="51">
        <v>9864.89</v>
      </c>
      <c r="G89" s="52" t="s">
        <v>143</v>
      </c>
      <c r="H89" s="15" t="s">
        <v>77</v>
      </c>
      <c r="I89" s="15" t="s">
        <v>49</v>
      </c>
      <c r="J89" s="15" t="s">
        <v>220</v>
      </c>
      <c r="K89" s="52" t="s">
        <v>219</v>
      </c>
      <c r="L89" s="15" t="s">
        <v>202</v>
      </c>
    </row>
    <row r="90" spans="2:15">
      <c r="B90" t="str">
        <f t="shared" si="1"/>
        <v>GASTO</v>
      </c>
      <c r="C90" s="50">
        <v>43557</v>
      </c>
      <c r="D90" s="50">
        <v>43554</v>
      </c>
      <c r="E90" s="51">
        <v>-29</v>
      </c>
      <c r="F90" s="51">
        <v>9835.89</v>
      </c>
      <c r="G90" s="52" t="s">
        <v>144</v>
      </c>
      <c r="H90" s="15" t="s">
        <v>81</v>
      </c>
      <c r="I90" s="15" t="s">
        <v>35</v>
      </c>
      <c r="J90" s="15" t="s">
        <v>267</v>
      </c>
      <c r="K90" s="52" t="s">
        <v>193</v>
      </c>
      <c r="L90" s="15" t="s">
        <v>202</v>
      </c>
    </row>
    <row r="91" spans="2:15">
      <c r="B91" t="str">
        <f t="shared" si="1"/>
        <v>GASTO</v>
      </c>
      <c r="C91" s="50">
        <v>43558</v>
      </c>
      <c r="D91" s="50">
        <v>43558</v>
      </c>
      <c r="E91" s="51">
        <v>-7.16</v>
      </c>
      <c r="F91" s="51">
        <v>9828.73</v>
      </c>
      <c r="G91" s="52" t="s">
        <v>140</v>
      </c>
      <c r="H91" s="15" t="s">
        <v>82</v>
      </c>
      <c r="I91" s="15" t="s">
        <v>30</v>
      </c>
      <c r="J91" s="15" t="s">
        <v>268</v>
      </c>
      <c r="K91" s="52" t="s">
        <v>163</v>
      </c>
      <c r="L91" s="15" t="s">
        <v>202</v>
      </c>
    </row>
    <row r="92" spans="2:15">
      <c r="B92" t="str">
        <f t="shared" si="1"/>
        <v>GASTO</v>
      </c>
      <c r="C92" s="50">
        <v>43558</v>
      </c>
      <c r="D92" s="50">
        <v>43558</v>
      </c>
      <c r="E92" s="51">
        <v>-28.2</v>
      </c>
      <c r="F92" s="51">
        <v>9800.5300000000007</v>
      </c>
      <c r="G92" s="52" t="s">
        <v>145</v>
      </c>
      <c r="H92" s="15" t="s">
        <v>81</v>
      </c>
      <c r="I92" s="15" t="s">
        <v>44</v>
      </c>
      <c r="J92" s="15" t="s">
        <v>236</v>
      </c>
      <c r="K92" s="52" t="s">
        <v>194</v>
      </c>
      <c r="L92" s="15" t="s">
        <v>202</v>
      </c>
    </row>
    <row r="93" spans="2:15">
      <c r="B93" t="str">
        <f t="shared" si="1"/>
        <v>GASTO</v>
      </c>
      <c r="C93" s="50">
        <v>43559</v>
      </c>
      <c r="D93" s="50">
        <v>43559</v>
      </c>
      <c r="E93" s="51">
        <v>-14.95</v>
      </c>
      <c r="F93" s="51">
        <v>9785.58</v>
      </c>
      <c r="G93" s="52" t="s">
        <v>146</v>
      </c>
      <c r="H93" s="15" t="s">
        <v>80</v>
      </c>
      <c r="I93" s="15" t="s">
        <v>40</v>
      </c>
      <c r="J93" s="15" t="s">
        <v>269</v>
      </c>
      <c r="K93" s="52" t="s">
        <v>195</v>
      </c>
      <c r="L93" s="15" t="s">
        <v>202</v>
      </c>
    </row>
    <row r="94" spans="2:15">
      <c r="B94" t="str">
        <f t="shared" si="1"/>
        <v>GASTO</v>
      </c>
      <c r="C94" s="50">
        <v>43559</v>
      </c>
      <c r="D94" s="50">
        <v>43559</v>
      </c>
      <c r="E94" s="51">
        <v>-32.9</v>
      </c>
      <c r="F94" s="51">
        <v>9752.68</v>
      </c>
      <c r="G94" s="52" t="s">
        <v>136</v>
      </c>
      <c r="H94" s="15" t="s">
        <v>80</v>
      </c>
      <c r="I94" s="15" t="s">
        <v>40</v>
      </c>
      <c r="J94" s="15" t="s">
        <v>40</v>
      </c>
      <c r="K94" s="52" t="s">
        <v>191</v>
      </c>
      <c r="L94" s="15" t="s">
        <v>202</v>
      </c>
    </row>
    <row r="95" spans="2:15">
      <c r="B95" t="str">
        <f t="shared" si="1"/>
        <v>GASTO</v>
      </c>
      <c r="C95" s="50">
        <v>43559</v>
      </c>
      <c r="D95" s="50">
        <v>43559</v>
      </c>
      <c r="E95" s="51">
        <v>-4.2699999999999996</v>
      </c>
      <c r="F95" s="51">
        <v>9748.41</v>
      </c>
      <c r="G95" s="52" t="s">
        <v>111</v>
      </c>
      <c r="H95" s="15" t="s">
        <v>82</v>
      </c>
      <c r="I95" s="15" t="s">
        <v>58</v>
      </c>
      <c r="J95" s="15" t="s">
        <v>235</v>
      </c>
      <c r="K95" s="52" t="s">
        <v>175</v>
      </c>
      <c r="L95" s="15" t="s">
        <v>202</v>
      </c>
    </row>
    <row r="96" spans="2:15">
      <c r="B96" t="str">
        <f t="shared" si="1"/>
        <v>GASTO</v>
      </c>
      <c r="C96" s="50">
        <v>43559</v>
      </c>
      <c r="D96" s="50">
        <v>43559</v>
      </c>
      <c r="E96" s="51">
        <v>-28.12</v>
      </c>
      <c r="F96" s="51">
        <v>9720.2900000000009</v>
      </c>
      <c r="G96" s="52" t="s">
        <v>121</v>
      </c>
      <c r="H96" s="15" t="s">
        <v>82</v>
      </c>
      <c r="I96" s="15" t="s">
        <v>49</v>
      </c>
      <c r="J96" s="15" t="s">
        <v>242</v>
      </c>
      <c r="K96" s="52" t="s">
        <v>181</v>
      </c>
      <c r="L96" s="15" t="s">
        <v>202</v>
      </c>
    </row>
    <row r="97" spans="2:12">
      <c r="B97" t="str">
        <f t="shared" si="1"/>
        <v>GASTO</v>
      </c>
      <c r="C97" s="50">
        <v>43560</v>
      </c>
      <c r="D97" s="50">
        <v>43560</v>
      </c>
      <c r="E97" s="51">
        <v>-60.95</v>
      </c>
      <c r="F97" s="51">
        <v>9659.34</v>
      </c>
      <c r="G97" s="52" t="s">
        <v>96</v>
      </c>
      <c r="H97" s="15" t="s">
        <v>82</v>
      </c>
      <c r="I97" s="15" t="s">
        <v>29</v>
      </c>
      <c r="J97" s="15" t="s">
        <v>29</v>
      </c>
      <c r="K97" s="52" t="s">
        <v>165</v>
      </c>
      <c r="L97" s="15" t="s">
        <v>202</v>
      </c>
    </row>
    <row r="98" spans="2:12">
      <c r="B98" t="str">
        <f t="shared" si="1"/>
        <v>GASTO</v>
      </c>
      <c r="C98" s="50">
        <v>43561</v>
      </c>
      <c r="D98" s="50">
        <v>43561</v>
      </c>
      <c r="E98" s="51">
        <v>-72.44</v>
      </c>
      <c r="F98" s="51">
        <v>9586.9</v>
      </c>
      <c r="G98" s="52" t="s">
        <v>146</v>
      </c>
      <c r="H98" s="15" t="s">
        <v>80</v>
      </c>
      <c r="I98" s="15" t="s">
        <v>37</v>
      </c>
      <c r="J98" s="15" t="s">
        <v>222</v>
      </c>
      <c r="K98" s="52" t="s">
        <v>195</v>
      </c>
      <c r="L98" s="15" t="s">
        <v>202</v>
      </c>
    </row>
    <row r="99" spans="2:12">
      <c r="B99" t="str">
        <f t="shared" si="1"/>
        <v>GASTO</v>
      </c>
      <c r="C99" s="50">
        <v>43563</v>
      </c>
      <c r="D99" s="50">
        <v>43563</v>
      </c>
      <c r="E99" s="51">
        <v>-29.52</v>
      </c>
      <c r="F99" s="51">
        <v>9557.3799999999992</v>
      </c>
      <c r="G99" s="52" t="s">
        <v>98</v>
      </c>
      <c r="H99" s="15" t="s">
        <v>82</v>
      </c>
      <c r="I99" s="15" t="s">
        <v>205</v>
      </c>
      <c r="J99" s="15" t="s">
        <v>229</v>
      </c>
      <c r="K99" s="52" t="s">
        <v>166</v>
      </c>
    </row>
    <row r="100" spans="2:12">
      <c r="B100" t="str">
        <f t="shared" si="1"/>
        <v>GASTO</v>
      </c>
      <c r="C100" s="50">
        <v>43564</v>
      </c>
      <c r="D100" s="50">
        <v>43564</v>
      </c>
      <c r="E100" s="51">
        <v>-158.22</v>
      </c>
      <c r="F100" s="51">
        <v>9399.16</v>
      </c>
      <c r="G100" s="52" t="s">
        <v>123</v>
      </c>
      <c r="H100" s="15" t="s">
        <v>80</v>
      </c>
      <c r="I100" s="15" t="s">
        <v>37</v>
      </c>
      <c r="J100" s="15" t="s">
        <v>222</v>
      </c>
      <c r="K100" s="52" t="s">
        <v>183</v>
      </c>
      <c r="L100" s="15" t="s">
        <v>202</v>
      </c>
    </row>
    <row r="101" spans="2:12">
      <c r="B101" t="str">
        <f t="shared" si="1"/>
        <v>GASTO</v>
      </c>
      <c r="C101" s="50">
        <v>43569</v>
      </c>
      <c r="D101" s="50">
        <v>43569</v>
      </c>
      <c r="E101" s="51">
        <v>-116.72</v>
      </c>
      <c r="F101" s="51">
        <v>9282.44</v>
      </c>
      <c r="G101" s="52" t="s">
        <v>99</v>
      </c>
      <c r="H101" s="15" t="s">
        <v>82</v>
      </c>
      <c r="I101" s="15" t="s">
        <v>49</v>
      </c>
      <c r="J101" s="15" t="s">
        <v>242</v>
      </c>
      <c r="K101" s="52" t="s">
        <v>167</v>
      </c>
      <c r="L101" s="15" t="s">
        <v>202</v>
      </c>
    </row>
    <row r="102" spans="2:12">
      <c r="B102" t="str">
        <f t="shared" si="1"/>
        <v>GASTO</v>
      </c>
      <c r="C102" s="50">
        <v>43570</v>
      </c>
      <c r="D102" s="50">
        <v>43570</v>
      </c>
      <c r="E102" s="51">
        <v>-8.9700000000000006</v>
      </c>
      <c r="F102" s="51">
        <v>9273.4699999999993</v>
      </c>
      <c r="G102" s="52" t="s">
        <v>140</v>
      </c>
      <c r="H102" s="15" t="s">
        <v>82</v>
      </c>
      <c r="I102" s="15" t="s">
        <v>35</v>
      </c>
      <c r="J102" s="15" t="s">
        <v>248</v>
      </c>
      <c r="K102" s="52" t="s">
        <v>163</v>
      </c>
      <c r="L102" s="15" t="s">
        <v>202</v>
      </c>
    </row>
    <row r="103" spans="2:12">
      <c r="B103" t="str">
        <f t="shared" si="1"/>
        <v>GASTO</v>
      </c>
      <c r="C103" s="50">
        <v>43570</v>
      </c>
      <c r="D103" s="50">
        <v>43570</v>
      </c>
      <c r="E103" s="51">
        <v>-46.88</v>
      </c>
      <c r="F103" s="51">
        <v>9226.59</v>
      </c>
      <c r="G103" s="52" t="s">
        <v>140</v>
      </c>
      <c r="H103" s="15" t="s">
        <v>82</v>
      </c>
      <c r="I103" s="15" t="s">
        <v>30</v>
      </c>
      <c r="J103" s="15" t="s">
        <v>270</v>
      </c>
      <c r="K103" s="52" t="s">
        <v>163</v>
      </c>
      <c r="L103" s="15" t="s">
        <v>202</v>
      </c>
    </row>
    <row r="104" spans="2:12">
      <c r="B104" t="str">
        <f t="shared" si="1"/>
        <v>GASTO</v>
      </c>
      <c r="C104" s="50">
        <v>43578</v>
      </c>
      <c r="D104" s="50">
        <v>43578</v>
      </c>
      <c r="E104" s="51">
        <v>-72.16</v>
      </c>
      <c r="F104" s="51">
        <v>9154.43</v>
      </c>
      <c r="G104" s="52" t="s">
        <v>147</v>
      </c>
      <c r="H104" s="15" t="s">
        <v>80</v>
      </c>
      <c r="I104" s="15" t="s">
        <v>37</v>
      </c>
      <c r="J104" s="15" t="s">
        <v>222</v>
      </c>
      <c r="K104" s="52" t="s">
        <v>221</v>
      </c>
      <c r="L104" s="15" t="s">
        <v>202</v>
      </c>
    </row>
    <row r="105" spans="2:12">
      <c r="B105" t="str">
        <f t="shared" si="1"/>
        <v>GASTO</v>
      </c>
      <c r="C105" s="50">
        <v>43578</v>
      </c>
      <c r="D105" s="50">
        <v>43578</v>
      </c>
      <c r="E105" s="51">
        <v>-1066.7</v>
      </c>
      <c r="F105" s="51">
        <v>8087.73</v>
      </c>
      <c r="G105" s="52" t="s">
        <v>148</v>
      </c>
      <c r="H105" s="15" t="s">
        <v>82</v>
      </c>
      <c r="I105" s="15" t="s">
        <v>33</v>
      </c>
      <c r="J105" s="15" t="s">
        <v>227</v>
      </c>
      <c r="K105" s="52" t="s">
        <v>148</v>
      </c>
    </row>
    <row r="106" spans="2:12">
      <c r="B106" t="str">
        <f t="shared" si="1"/>
        <v>GASTO</v>
      </c>
      <c r="C106" s="50">
        <v>43579</v>
      </c>
      <c r="D106" s="50">
        <v>43579</v>
      </c>
      <c r="E106" s="51">
        <v>-680</v>
      </c>
      <c r="F106" s="51">
        <v>7407.73</v>
      </c>
      <c r="G106" s="52" t="s">
        <v>149</v>
      </c>
      <c r="K106" s="52"/>
    </row>
    <row r="107" spans="2:12">
      <c r="B107" t="str">
        <f t="shared" si="1"/>
        <v>GASTO</v>
      </c>
      <c r="C107" s="50">
        <v>43579</v>
      </c>
      <c r="D107" s="50">
        <v>43579</v>
      </c>
      <c r="E107" s="51">
        <v>-840</v>
      </c>
      <c r="F107" s="51">
        <v>6567.73</v>
      </c>
      <c r="G107" s="52" t="s">
        <v>150</v>
      </c>
      <c r="H107" s="15" t="s">
        <v>82</v>
      </c>
      <c r="I107" s="15" t="s">
        <v>52</v>
      </c>
      <c r="J107" s="15" t="s">
        <v>223</v>
      </c>
      <c r="K107" s="52" t="s">
        <v>224</v>
      </c>
      <c r="L107" s="15" t="s">
        <v>202</v>
      </c>
    </row>
    <row r="108" spans="2:12">
      <c r="B108" t="str">
        <f t="shared" si="1"/>
        <v>GASTO</v>
      </c>
      <c r="C108" s="50">
        <v>43579</v>
      </c>
      <c r="D108" s="50">
        <v>43579</v>
      </c>
      <c r="E108" s="51">
        <v>-54</v>
      </c>
      <c r="F108" s="51">
        <v>6513.73</v>
      </c>
      <c r="G108" s="52" t="s">
        <v>151</v>
      </c>
      <c r="H108" s="15" t="s">
        <v>82</v>
      </c>
      <c r="I108" s="15" t="s">
        <v>57</v>
      </c>
      <c r="J108" s="15" t="s">
        <v>57</v>
      </c>
      <c r="K108" s="52" t="s">
        <v>203</v>
      </c>
      <c r="L108" s="15" t="s">
        <v>202</v>
      </c>
    </row>
    <row r="109" spans="2:12">
      <c r="B109" t="str">
        <f t="shared" si="1"/>
        <v>GASTO</v>
      </c>
      <c r="C109" s="50">
        <v>43581</v>
      </c>
      <c r="D109" s="50">
        <v>43581</v>
      </c>
      <c r="E109" s="51">
        <v>-80.040000000000006</v>
      </c>
      <c r="F109" s="51">
        <v>6433.69</v>
      </c>
      <c r="G109" s="52" t="s">
        <v>123</v>
      </c>
      <c r="H109" s="15" t="s">
        <v>80</v>
      </c>
      <c r="I109" s="15" t="s">
        <v>40</v>
      </c>
      <c r="J109" s="15" t="s">
        <v>40</v>
      </c>
      <c r="K109" s="52" t="s">
        <v>183</v>
      </c>
      <c r="L109" s="15" t="s">
        <v>202</v>
      </c>
    </row>
    <row r="110" spans="2:12">
      <c r="B110" t="str">
        <f t="shared" si="1"/>
        <v>GASTO</v>
      </c>
      <c r="C110" s="50">
        <v>43582</v>
      </c>
      <c r="D110" s="50">
        <v>43582</v>
      </c>
      <c r="E110" s="51">
        <v>-85.25</v>
      </c>
      <c r="F110" s="51">
        <v>6348.44</v>
      </c>
      <c r="G110" s="52" t="s">
        <v>99</v>
      </c>
      <c r="H110" s="15" t="s">
        <v>82</v>
      </c>
      <c r="I110" s="15" t="s">
        <v>30</v>
      </c>
      <c r="J110" s="15" t="s">
        <v>271</v>
      </c>
      <c r="K110" s="52" t="s">
        <v>167</v>
      </c>
      <c r="L110" s="15" t="s">
        <v>202</v>
      </c>
    </row>
    <row r="111" spans="2:12">
      <c r="B111" t="str">
        <f t="shared" si="1"/>
        <v>GASTO</v>
      </c>
      <c r="C111" s="50">
        <v>43584</v>
      </c>
      <c r="D111" s="50">
        <v>43584</v>
      </c>
      <c r="E111" s="51">
        <v>-8.44</v>
      </c>
      <c r="F111" s="51">
        <v>6340</v>
      </c>
      <c r="G111" s="52" t="s">
        <v>105</v>
      </c>
      <c r="H111" s="15" t="s">
        <v>82</v>
      </c>
      <c r="I111" s="15" t="s">
        <v>17</v>
      </c>
      <c r="J111" s="15" t="s">
        <v>17</v>
      </c>
      <c r="K111" s="52" t="s">
        <v>161</v>
      </c>
      <c r="L111" s="15" t="s">
        <v>202</v>
      </c>
    </row>
    <row r="112" spans="2:12">
      <c r="B112" t="str">
        <f t="shared" si="1"/>
        <v>GASTO</v>
      </c>
      <c r="C112" s="50">
        <v>43584</v>
      </c>
      <c r="D112" s="50">
        <v>43584</v>
      </c>
      <c r="E112" s="51">
        <v>-39.979999999999997</v>
      </c>
      <c r="F112" s="51">
        <v>6300.02</v>
      </c>
      <c r="G112" s="52" t="s">
        <v>152</v>
      </c>
      <c r="H112" s="15" t="s">
        <v>80</v>
      </c>
      <c r="I112" s="15" t="s">
        <v>40</v>
      </c>
      <c r="J112" s="15" t="s">
        <v>40</v>
      </c>
      <c r="K112" s="52" t="s">
        <v>196</v>
      </c>
      <c r="L112" s="15" t="s">
        <v>202</v>
      </c>
    </row>
    <row r="113" spans="2:12" hidden="1">
      <c r="B113" t="str">
        <f t="shared" si="1"/>
        <v>GASTO</v>
      </c>
      <c r="C113" s="50">
        <v>43586</v>
      </c>
      <c r="D113" s="50">
        <v>43586</v>
      </c>
      <c r="E113" s="51">
        <v>-129.05000000000001</v>
      </c>
      <c r="F113" s="51">
        <v>6170.97</v>
      </c>
      <c r="G113" s="52" t="s">
        <v>140</v>
      </c>
      <c r="H113" s="15" t="s">
        <v>82</v>
      </c>
      <c r="I113" s="15" t="s">
        <v>52</v>
      </c>
      <c r="J113" s="15" t="s">
        <v>272</v>
      </c>
      <c r="K113" s="52" t="s">
        <v>163</v>
      </c>
      <c r="L113" s="15" t="s">
        <v>202</v>
      </c>
    </row>
    <row r="114" spans="2:12" hidden="1">
      <c r="B114" t="str">
        <f t="shared" si="1"/>
        <v>GASTO</v>
      </c>
      <c r="C114" s="50">
        <v>43587</v>
      </c>
      <c r="D114" s="50">
        <v>43587</v>
      </c>
      <c r="E114" s="51">
        <v>-49.54</v>
      </c>
      <c r="F114" s="51">
        <v>6121.43</v>
      </c>
      <c r="G114" s="52" t="s">
        <v>95</v>
      </c>
      <c r="H114" s="15" t="s">
        <v>82</v>
      </c>
      <c r="I114" s="15" t="s">
        <v>24</v>
      </c>
      <c r="J114" s="15" t="s">
        <v>230</v>
      </c>
      <c r="K114" s="52" t="s">
        <v>164</v>
      </c>
      <c r="L114" s="15" t="s">
        <v>202</v>
      </c>
    </row>
    <row r="115" spans="2:12" hidden="1">
      <c r="B115" t="str">
        <f t="shared" si="1"/>
        <v>GASTO</v>
      </c>
      <c r="C115" s="50">
        <v>43589</v>
      </c>
      <c r="D115" s="50">
        <v>43589</v>
      </c>
      <c r="E115" s="51">
        <v>-18.96</v>
      </c>
      <c r="F115" s="51">
        <v>6102.47</v>
      </c>
      <c r="G115" s="52" t="s">
        <v>140</v>
      </c>
      <c r="H115" s="15" t="s">
        <v>82</v>
      </c>
      <c r="I115" s="15" t="s">
        <v>49</v>
      </c>
      <c r="J115" s="15" t="s">
        <v>273</v>
      </c>
      <c r="K115" s="52" t="s">
        <v>163</v>
      </c>
      <c r="L115" s="15" t="s">
        <v>202</v>
      </c>
    </row>
    <row r="116" spans="2:12" hidden="1">
      <c r="B116" t="str">
        <f t="shared" si="1"/>
        <v>GASTO</v>
      </c>
      <c r="C116" s="50">
        <v>43589</v>
      </c>
      <c r="D116" s="50">
        <v>43589</v>
      </c>
      <c r="E116" s="51">
        <v>-9.9700000000000006</v>
      </c>
      <c r="F116" s="51">
        <v>6092.5</v>
      </c>
      <c r="G116" s="52" t="s">
        <v>140</v>
      </c>
      <c r="H116" s="15" t="s">
        <v>82</v>
      </c>
      <c r="I116" s="15" t="s">
        <v>35</v>
      </c>
      <c r="J116" s="15" t="s">
        <v>248</v>
      </c>
      <c r="K116" s="52" t="s">
        <v>163</v>
      </c>
      <c r="L116" s="15" t="s">
        <v>202</v>
      </c>
    </row>
    <row r="117" spans="2:12" hidden="1">
      <c r="B117" t="str">
        <f t="shared" si="1"/>
        <v>GASTO</v>
      </c>
      <c r="C117" s="50">
        <v>43591</v>
      </c>
      <c r="D117" s="50">
        <v>43591</v>
      </c>
      <c r="E117" s="51">
        <v>-58</v>
      </c>
      <c r="F117" s="51">
        <v>6034.5</v>
      </c>
      <c r="G117" s="52" t="s">
        <v>96</v>
      </c>
      <c r="H117" s="15" t="s">
        <v>82</v>
      </c>
      <c r="I117" s="15" t="s">
        <v>29</v>
      </c>
      <c r="J117" s="15" t="s">
        <v>29</v>
      </c>
      <c r="K117" s="52" t="s">
        <v>197</v>
      </c>
      <c r="L117" s="15" t="s">
        <v>202</v>
      </c>
    </row>
    <row r="118" spans="2:12" hidden="1">
      <c r="B118" t="str">
        <f t="shared" si="1"/>
        <v>GASTO</v>
      </c>
      <c r="C118" s="50">
        <v>43592</v>
      </c>
      <c r="D118" s="50">
        <v>43592</v>
      </c>
      <c r="E118" s="51">
        <v>-13.1</v>
      </c>
      <c r="F118" s="51">
        <v>6021.4</v>
      </c>
      <c r="G118" s="52" t="s">
        <v>153</v>
      </c>
      <c r="H118" s="15" t="s">
        <v>80</v>
      </c>
      <c r="I118" s="15" t="s">
        <v>40</v>
      </c>
      <c r="J118" s="15" t="s">
        <v>252</v>
      </c>
      <c r="K118" s="52" t="s">
        <v>198</v>
      </c>
      <c r="L118" s="15" t="s">
        <v>202</v>
      </c>
    </row>
    <row r="119" spans="2:12" hidden="1">
      <c r="B119" t="str">
        <f t="shared" si="1"/>
        <v>GASTO</v>
      </c>
      <c r="C119" s="50">
        <v>43593</v>
      </c>
      <c r="D119" s="50">
        <v>43593</v>
      </c>
      <c r="E119" s="51">
        <v>-66.53</v>
      </c>
      <c r="F119" s="51">
        <v>5954.87</v>
      </c>
      <c r="G119" s="52" t="s">
        <v>154</v>
      </c>
      <c r="H119" s="15" t="s">
        <v>82</v>
      </c>
      <c r="I119" s="15" t="s">
        <v>28</v>
      </c>
      <c r="J119" s="15" t="s">
        <v>274</v>
      </c>
      <c r="K119" s="52" t="s">
        <v>199</v>
      </c>
      <c r="L119" s="15" t="s">
        <v>202</v>
      </c>
    </row>
    <row r="120" spans="2:12" hidden="1">
      <c r="B120" t="str">
        <f t="shared" si="1"/>
        <v>GASTO</v>
      </c>
      <c r="C120" s="50">
        <v>43593</v>
      </c>
      <c r="D120" s="50">
        <v>43593</v>
      </c>
      <c r="E120" s="51">
        <v>-64.63</v>
      </c>
      <c r="F120" s="51">
        <v>5890.24</v>
      </c>
      <c r="G120" s="52" t="s">
        <v>134</v>
      </c>
      <c r="H120" s="15" t="s">
        <v>92</v>
      </c>
      <c r="I120" s="15" t="s">
        <v>83</v>
      </c>
      <c r="J120" s="15" t="s">
        <v>275</v>
      </c>
      <c r="K120" s="52" t="s">
        <v>190</v>
      </c>
      <c r="L120" s="15" t="s">
        <v>202</v>
      </c>
    </row>
    <row r="121" spans="2:12" hidden="1">
      <c r="B121" t="str">
        <f t="shared" si="1"/>
        <v>GASTO</v>
      </c>
      <c r="C121" s="50">
        <v>43594</v>
      </c>
      <c r="D121" s="50">
        <v>43594</v>
      </c>
      <c r="E121" s="51">
        <v>-74.900000000000006</v>
      </c>
      <c r="F121" s="51">
        <v>5815.34</v>
      </c>
      <c r="G121" s="52" t="s">
        <v>101</v>
      </c>
      <c r="H121" s="15" t="s">
        <v>80</v>
      </c>
      <c r="I121" s="15" t="s">
        <v>37</v>
      </c>
      <c r="J121" s="15" t="s">
        <v>242</v>
      </c>
      <c r="K121" s="52" t="s">
        <v>169</v>
      </c>
      <c r="L121" s="15" t="s">
        <v>202</v>
      </c>
    </row>
    <row r="122" spans="2:12" hidden="1">
      <c r="B122" t="str">
        <f t="shared" si="1"/>
        <v>GASTO</v>
      </c>
      <c r="C122" s="50">
        <v>43594</v>
      </c>
      <c r="D122" s="50">
        <v>43594</v>
      </c>
      <c r="E122" s="51">
        <v>-91.75</v>
      </c>
      <c r="F122" s="51">
        <v>5723.59</v>
      </c>
      <c r="G122" s="52" t="s">
        <v>100</v>
      </c>
      <c r="H122" s="15" t="s">
        <v>92</v>
      </c>
      <c r="I122" s="15" t="s">
        <v>83</v>
      </c>
      <c r="J122" s="15" t="s">
        <v>276</v>
      </c>
      <c r="K122" s="52" t="s">
        <v>168</v>
      </c>
      <c r="L122" s="15" t="s">
        <v>202</v>
      </c>
    </row>
    <row r="123" spans="2:12" hidden="1">
      <c r="B123" t="str">
        <f t="shared" si="1"/>
        <v>GASTO</v>
      </c>
      <c r="C123" s="50">
        <v>43596</v>
      </c>
      <c r="D123" s="50">
        <v>43596</v>
      </c>
      <c r="E123" s="51">
        <v>-50.03</v>
      </c>
      <c r="F123" s="51">
        <v>5673.56</v>
      </c>
      <c r="G123" s="52" t="s">
        <v>134</v>
      </c>
      <c r="H123" s="15" t="s">
        <v>92</v>
      </c>
      <c r="I123" s="15" t="s">
        <v>83</v>
      </c>
      <c r="J123" s="15" t="s">
        <v>276</v>
      </c>
      <c r="K123" s="52" t="s">
        <v>190</v>
      </c>
      <c r="L123" s="15" t="s">
        <v>202</v>
      </c>
    </row>
    <row r="124" spans="2:12" hidden="1">
      <c r="B124" t="str">
        <f t="shared" si="1"/>
        <v>GASTO</v>
      </c>
      <c r="C124" s="50">
        <v>43598</v>
      </c>
      <c r="D124" s="50">
        <v>43598</v>
      </c>
      <c r="E124" s="51">
        <v>-42.17</v>
      </c>
      <c r="F124" s="51">
        <v>5631.39</v>
      </c>
      <c r="G124" s="52" t="s">
        <v>97</v>
      </c>
      <c r="H124" s="15" t="s">
        <v>82</v>
      </c>
      <c r="I124" s="15" t="s">
        <v>20</v>
      </c>
      <c r="J124" s="15" t="s">
        <v>231</v>
      </c>
      <c r="K124" s="52" t="s">
        <v>201</v>
      </c>
      <c r="L124" s="15" t="s">
        <v>202</v>
      </c>
    </row>
    <row r="125" spans="2:12" hidden="1">
      <c r="B125" t="str">
        <f t="shared" si="1"/>
        <v>GASTO</v>
      </c>
      <c r="C125" s="50">
        <v>43598</v>
      </c>
      <c r="D125" s="50">
        <v>43598</v>
      </c>
      <c r="E125" s="51">
        <v>-366.15</v>
      </c>
      <c r="F125" s="51">
        <v>5265.24</v>
      </c>
      <c r="G125" s="52" t="s">
        <v>97</v>
      </c>
      <c r="H125" s="15" t="s">
        <v>82</v>
      </c>
      <c r="I125" s="15" t="s">
        <v>19</v>
      </c>
      <c r="J125" s="15" t="s">
        <v>232</v>
      </c>
      <c r="K125" s="52" t="s">
        <v>201</v>
      </c>
      <c r="L125" s="15" t="s">
        <v>202</v>
      </c>
    </row>
    <row r="126" spans="2:12" hidden="1">
      <c r="B126" t="str">
        <f t="shared" si="1"/>
        <v>GASTO</v>
      </c>
      <c r="C126" s="50">
        <v>43598</v>
      </c>
      <c r="D126" s="50">
        <v>43598</v>
      </c>
      <c r="E126" s="51">
        <v>-29.52</v>
      </c>
      <c r="F126" s="51">
        <v>5235.72</v>
      </c>
      <c r="G126" s="52" t="s">
        <v>98</v>
      </c>
      <c r="H126" s="15" t="s">
        <v>82</v>
      </c>
      <c r="I126" s="15" t="s">
        <v>205</v>
      </c>
      <c r="J126" s="15" t="s">
        <v>229</v>
      </c>
      <c r="K126" s="52" t="s">
        <v>166</v>
      </c>
    </row>
    <row r="127" spans="2:12" hidden="1">
      <c r="B127" t="str">
        <f t="shared" si="1"/>
        <v>GASTO</v>
      </c>
      <c r="C127" s="50">
        <v>43598</v>
      </c>
      <c r="D127" s="50">
        <v>43598</v>
      </c>
      <c r="E127" s="51">
        <v>-528.42999999999995</v>
      </c>
      <c r="F127" s="51">
        <v>4707.29</v>
      </c>
      <c r="G127" s="52" t="s">
        <v>155</v>
      </c>
      <c r="K127" s="52" t="s">
        <v>207</v>
      </c>
    </row>
    <row r="128" spans="2:12" hidden="1">
      <c r="B128" t="str">
        <f t="shared" si="1"/>
        <v>GASTO</v>
      </c>
      <c r="C128" s="50">
        <v>43598</v>
      </c>
      <c r="D128" s="50">
        <v>43598</v>
      </c>
      <c r="E128" s="51">
        <v>-57.7</v>
      </c>
      <c r="F128" s="51">
        <v>4649.59</v>
      </c>
      <c r="G128" s="52" t="s">
        <v>156</v>
      </c>
      <c r="K128" s="52"/>
    </row>
    <row r="129" spans="2:12" hidden="1">
      <c r="B129" t="str">
        <f t="shared" si="1"/>
        <v>GASTO</v>
      </c>
      <c r="C129" s="50">
        <v>43602</v>
      </c>
      <c r="D129" s="50">
        <v>43602</v>
      </c>
      <c r="E129" s="51">
        <v>-35.729999999999997</v>
      </c>
      <c r="F129" s="51">
        <v>4613.8599999999997</v>
      </c>
      <c r="G129" s="52" t="s">
        <v>117</v>
      </c>
      <c r="K129" s="52" t="s">
        <v>179</v>
      </c>
    </row>
    <row r="130" spans="2:12" hidden="1">
      <c r="B130" t="str">
        <f t="shared" si="1"/>
        <v>GASTO</v>
      </c>
      <c r="C130" s="50">
        <v>43606</v>
      </c>
      <c r="D130" s="50">
        <v>43606</v>
      </c>
      <c r="E130" s="51">
        <v>-50.18</v>
      </c>
      <c r="F130" s="51">
        <v>4563.68</v>
      </c>
      <c r="G130" s="52" t="s">
        <v>117</v>
      </c>
      <c r="K130" s="52" t="s">
        <v>179</v>
      </c>
    </row>
    <row r="131" spans="2:12" hidden="1">
      <c r="B131" t="str">
        <f t="shared" si="1"/>
        <v>GASTO</v>
      </c>
      <c r="C131" s="50">
        <v>43611</v>
      </c>
      <c r="D131" s="50">
        <v>43611</v>
      </c>
      <c r="E131" s="51">
        <v>-15</v>
      </c>
      <c r="F131" s="51">
        <v>4548.68</v>
      </c>
      <c r="G131" s="52" t="s">
        <v>157</v>
      </c>
      <c r="H131" s="15" t="s">
        <v>82</v>
      </c>
      <c r="I131" s="15" t="s">
        <v>31</v>
      </c>
      <c r="J131" s="15" t="s">
        <v>233</v>
      </c>
      <c r="K131" s="52" t="s">
        <v>228</v>
      </c>
    </row>
    <row r="132" spans="2:12" hidden="1">
      <c r="B132" t="str">
        <f t="shared" si="1"/>
        <v>GASTO</v>
      </c>
      <c r="C132" s="50">
        <v>43611</v>
      </c>
      <c r="D132" s="50">
        <v>43611</v>
      </c>
      <c r="E132" s="51">
        <v>-0.6</v>
      </c>
      <c r="F132" s="51">
        <v>4548.08</v>
      </c>
      <c r="G132" s="52" t="s">
        <v>158</v>
      </c>
      <c r="H132" s="15" t="s">
        <v>82</v>
      </c>
      <c r="I132" s="15" t="s">
        <v>31</v>
      </c>
      <c r="J132" s="15" t="s">
        <v>233</v>
      </c>
      <c r="K132" s="52" t="s">
        <v>228</v>
      </c>
    </row>
    <row r="133" spans="2:12" hidden="1">
      <c r="B133" t="str">
        <f t="shared" si="1"/>
        <v>GASTO</v>
      </c>
      <c r="C133" s="50">
        <v>43613</v>
      </c>
      <c r="D133" s="50">
        <v>43613</v>
      </c>
      <c r="E133" s="51">
        <v>-17.04</v>
      </c>
      <c r="F133" s="51">
        <v>4531.04</v>
      </c>
      <c r="G133" s="52" t="s">
        <v>105</v>
      </c>
      <c r="H133" s="15" t="s">
        <v>82</v>
      </c>
      <c r="I133" s="15" t="s">
        <v>17</v>
      </c>
      <c r="J133" s="15" t="s">
        <v>17</v>
      </c>
      <c r="K133" s="52" t="s">
        <v>161</v>
      </c>
      <c r="L133" s="15" t="s">
        <v>202</v>
      </c>
    </row>
    <row r="134" spans="2:12" hidden="1">
      <c r="B134" t="str">
        <f t="shared" ref="B134:B197" si="2">IF(E134&lt;0,"GASTO","RECEITA")</f>
        <v>GASTO</v>
      </c>
      <c r="C134" s="50">
        <v>43618</v>
      </c>
      <c r="D134" s="50">
        <v>43618</v>
      </c>
      <c r="E134" s="51">
        <v>-26.07</v>
      </c>
      <c r="F134" s="51">
        <v>4504.97</v>
      </c>
      <c r="G134" s="52" t="s">
        <v>159</v>
      </c>
      <c r="H134" s="15" t="s">
        <v>82</v>
      </c>
      <c r="I134" s="15" t="s">
        <v>58</v>
      </c>
      <c r="J134" s="15" t="s">
        <v>235</v>
      </c>
      <c r="K134" s="52" t="s">
        <v>162</v>
      </c>
      <c r="L134" s="15" t="s">
        <v>202</v>
      </c>
    </row>
    <row r="135" spans="2:12" hidden="1">
      <c r="B135" t="str">
        <f t="shared" si="2"/>
        <v>GASTO</v>
      </c>
      <c r="C135" s="50">
        <v>43618</v>
      </c>
      <c r="D135" s="50">
        <v>43618</v>
      </c>
      <c r="E135" s="51">
        <v>-31.04</v>
      </c>
      <c r="F135" s="51">
        <v>4473.93</v>
      </c>
      <c r="G135" s="52" t="s">
        <v>118</v>
      </c>
      <c r="H135" s="15" t="s">
        <v>82</v>
      </c>
      <c r="I135" s="15" t="s">
        <v>52</v>
      </c>
      <c r="J135" s="15" t="s">
        <v>277</v>
      </c>
      <c r="K135" s="52" t="s">
        <v>163</v>
      </c>
      <c r="L135" s="15" t="s">
        <v>202</v>
      </c>
    </row>
    <row r="136" spans="2:12" hidden="1">
      <c r="B136" t="str">
        <f t="shared" si="2"/>
        <v>GASTO</v>
      </c>
      <c r="C136" s="50">
        <v>43619</v>
      </c>
      <c r="D136" s="50">
        <v>43619</v>
      </c>
      <c r="E136" s="51">
        <v>-49.54</v>
      </c>
      <c r="F136" s="51">
        <v>4424.3900000000003</v>
      </c>
      <c r="G136" s="52" t="s">
        <v>95</v>
      </c>
      <c r="H136" s="15" t="s">
        <v>82</v>
      </c>
      <c r="I136" s="15" t="s">
        <v>24</v>
      </c>
      <c r="J136" s="15" t="s">
        <v>230</v>
      </c>
      <c r="K136" s="52" t="s">
        <v>164</v>
      </c>
    </row>
    <row r="137" spans="2:12" hidden="1">
      <c r="B137" t="str">
        <f t="shared" si="2"/>
        <v>GASTO</v>
      </c>
      <c r="C137" s="50">
        <v>43619</v>
      </c>
      <c r="D137" s="50">
        <v>43619</v>
      </c>
      <c r="E137" s="51">
        <v>-38.130000000000003</v>
      </c>
      <c r="F137" s="51">
        <v>4386.26</v>
      </c>
      <c r="G137" s="52" t="s">
        <v>96</v>
      </c>
      <c r="H137" s="15" t="s">
        <v>82</v>
      </c>
      <c r="I137" s="15" t="s">
        <v>29</v>
      </c>
      <c r="J137" s="15" t="s">
        <v>29</v>
      </c>
      <c r="K137" s="52" t="s">
        <v>165</v>
      </c>
    </row>
    <row r="138" spans="2:12" hidden="1">
      <c r="B138" t="str">
        <f t="shared" si="2"/>
        <v>GASTO</v>
      </c>
      <c r="C138" s="50">
        <v>43619</v>
      </c>
      <c r="D138" s="50">
        <v>43619</v>
      </c>
      <c r="E138" s="51">
        <v>-4.53</v>
      </c>
      <c r="F138" s="51">
        <v>4381.7299999999996</v>
      </c>
      <c r="G138" s="52" t="s">
        <v>160</v>
      </c>
      <c r="H138" s="15" t="s">
        <v>82</v>
      </c>
      <c r="I138" s="15" t="s">
        <v>52</v>
      </c>
      <c r="J138" s="15" t="s">
        <v>278</v>
      </c>
      <c r="K138" s="52" t="s">
        <v>200</v>
      </c>
      <c r="L138" s="15" t="s">
        <v>202</v>
      </c>
    </row>
    <row r="139" spans="2:12" hidden="1">
      <c r="B139" t="str">
        <f t="shared" si="2"/>
        <v>GASTO</v>
      </c>
      <c r="C139" s="50">
        <v>43621</v>
      </c>
      <c r="D139" s="50">
        <v>43619</v>
      </c>
      <c r="E139" s="51">
        <v>-49.75</v>
      </c>
      <c r="F139" s="51">
        <v>4331.9799999999996</v>
      </c>
      <c r="G139" s="52" t="s">
        <v>103</v>
      </c>
      <c r="K139" s="52" t="s">
        <v>171</v>
      </c>
    </row>
    <row r="140" spans="2:12" hidden="1">
      <c r="B140" t="str">
        <f t="shared" si="2"/>
        <v>GASTO</v>
      </c>
      <c r="C140" s="50">
        <v>43626</v>
      </c>
      <c r="D140" s="50">
        <v>43626</v>
      </c>
      <c r="E140" s="51">
        <v>-29.52</v>
      </c>
      <c r="F140" s="51">
        <v>4302.46</v>
      </c>
      <c r="G140" s="52" t="s">
        <v>98</v>
      </c>
      <c r="H140" s="15" t="s">
        <v>82</v>
      </c>
      <c r="I140" s="15" t="s">
        <v>205</v>
      </c>
      <c r="J140" s="15" t="s">
        <v>229</v>
      </c>
      <c r="K140" s="52" t="s">
        <v>166</v>
      </c>
    </row>
    <row r="141" spans="2:12" hidden="1">
      <c r="B141" t="str">
        <f t="shared" si="2"/>
        <v>GASTO</v>
      </c>
      <c r="C141" s="90">
        <v>43632</v>
      </c>
      <c r="D141" s="90">
        <v>43632</v>
      </c>
      <c r="E141" s="91">
        <v>-21.04</v>
      </c>
      <c r="F141" s="91">
        <v>4281.4199999999901</v>
      </c>
      <c r="G141" s="92" t="s">
        <v>281</v>
      </c>
    </row>
    <row r="142" spans="2:12" hidden="1">
      <c r="B142" t="str">
        <f t="shared" si="2"/>
        <v>GASTO</v>
      </c>
      <c r="C142" s="90">
        <v>43639</v>
      </c>
      <c r="D142" s="90">
        <v>43639</v>
      </c>
      <c r="E142" s="91">
        <v>-12</v>
      </c>
      <c r="F142" s="91">
        <v>4269.4199999999901</v>
      </c>
      <c r="G142" s="92" t="s">
        <v>282</v>
      </c>
    </row>
    <row r="143" spans="2:12" hidden="1">
      <c r="B143" t="str">
        <f t="shared" si="2"/>
        <v>GASTO</v>
      </c>
      <c r="C143" s="90">
        <v>43644</v>
      </c>
      <c r="D143" s="90">
        <v>43644</v>
      </c>
      <c r="E143" s="91">
        <v>-139</v>
      </c>
      <c r="F143" s="91">
        <v>4130.4199999999901</v>
      </c>
      <c r="G143" s="92" t="s">
        <v>283</v>
      </c>
    </row>
    <row r="144" spans="2:12" hidden="1">
      <c r="B144" t="str">
        <f t="shared" si="2"/>
        <v>GASTO</v>
      </c>
      <c r="C144" s="90">
        <v>43644</v>
      </c>
      <c r="D144" s="90">
        <v>43644</v>
      </c>
      <c r="E144" s="91">
        <v>-60.04</v>
      </c>
      <c r="F144" s="91">
        <v>4070.3799999999901</v>
      </c>
      <c r="G144" s="92" t="s">
        <v>284</v>
      </c>
    </row>
    <row r="145" spans="2:7" hidden="1">
      <c r="B145" t="str">
        <f t="shared" si="2"/>
        <v>GASTO</v>
      </c>
      <c r="C145" s="90">
        <v>43644</v>
      </c>
      <c r="D145" s="90">
        <v>43644</v>
      </c>
      <c r="E145" s="91">
        <v>-16.940000000000001</v>
      </c>
      <c r="F145" s="91">
        <v>4053.4399999999901</v>
      </c>
      <c r="G145" s="92" t="s">
        <v>285</v>
      </c>
    </row>
    <row r="146" spans="2:7" hidden="1">
      <c r="B146" t="str">
        <f t="shared" si="2"/>
        <v>GASTO</v>
      </c>
      <c r="C146" s="90">
        <v>43647</v>
      </c>
      <c r="D146" s="90">
        <v>43647</v>
      </c>
      <c r="E146" s="91">
        <v>-17.04</v>
      </c>
      <c r="F146" s="91">
        <v>4036.3999999999901</v>
      </c>
      <c r="G146" s="92" t="s">
        <v>286</v>
      </c>
    </row>
    <row r="147" spans="2:7" hidden="1">
      <c r="B147" t="str">
        <f t="shared" si="2"/>
        <v>GASTO</v>
      </c>
      <c r="C147" s="90">
        <v>43647</v>
      </c>
      <c r="D147" s="90">
        <v>43647</v>
      </c>
      <c r="E147" s="91">
        <v>-49.54</v>
      </c>
      <c r="F147" s="91">
        <v>3986.8599999999901</v>
      </c>
      <c r="G147" s="92" t="s">
        <v>95</v>
      </c>
    </row>
    <row r="148" spans="2:7" hidden="1">
      <c r="B148" t="str">
        <f t="shared" si="2"/>
        <v>GASTO</v>
      </c>
      <c r="C148" s="90">
        <v>43648</v>
      </c>
      <c r="D148" s="90">
        <v>43648</v>
      </c>
      <c r="E148" s="91">
        <v>-5</v>
      </c>
      <c r="F148" s="91">
        <v>3981.8599999999901</v>
      </c>
      <c r="G148" s="92" t="s">
        <v>287</v>
      </c>
    </row>
    <row r="149" spans="2:7" hidden="1">
      <c r="B149" t="str">
        <f t="shared" si="2"/>
        <v>GASTO</v>
      </c>
      <c r="C149" s="90">
        <v>43648</v>
      </c>
      <c r="D149" s="90">
        <v>43648</v>
      </c>
      <c r="E149" s="91">
        <v>-0.2</v>
      </c>
      <c r="F149" s="91">
        <v>3981.6599999999899</v>
      </c>
      <c r="G149" s="92" t="s">
        <v>288</v>
      </c>
    </row>
    <row r="150" spans="2:7" hidden="1">
      <c r="B150" t="str">
        <f t="shared" si="2"/>
        <v>GASTO</v>
      </c>
      <c r="C150" s="90">
        <v>43649</v>
      </c>
      <c r="D150" s="90">
        <v>43649</v>
      </c>
      <c r="E150" s="91">
        <v>-66.36</v>
      </c>
      <c r="F150" s="91">
        <v>3915.2999999999902</v>
      </c>
      <c r="G150" s="92" t="s">
        <v>96</v>
      </c>
    </row>
    <row r="151" spans="2:7" hidden="1">
      <c r="B151" t="str">
        <f t="shared" si="2"/>
        <v>GASTO</v>
      </c>
      <c r="C151" s="90">
        <v>43655</v>
      </c>
      <c r="D151" s="90">
        <v>43655</v>
      </c>
      <c r="E151" s="91">
        <v>-29.52</v>
      </c>
      <c r="F151" s="91">
        <v>3885.7799999999902</v>
      </c>
      <c r="G151" s="92" t="s">
        <v>289</v>
      </c>
    </row>
    <row r="152" spans="2:7" hidden="1">
      <c r="B152" t="str">
        <f t="shared" si="2"/>
        <v>GASTO</v>
      </c>
      <c r="C152" s="90">
        <v>43661</v>
      </c>
      <c r="D152" s="90">
        <v>43661</v>
      </c>
      <c r="E152" s="91">
        <v>-32.94</v>
      </c>
      <c r="F152" s="91">
        <v>3852.8399999999901</v>
      </c>
      <c r="G152" s="92" t="s">
        <v>97</v>
      </c>
    </row>
    <row r="153" spans="2:7" hidden="1">
      <c r="B153" t="str">
        <f t="shared" si="2"/>
        <v>GASTO</v>
      </c>
      <c r="C153" s="90">
        <v>43661</v>
      </c>
      <c r="D153" s="90">
        <v>43661</v>
      </c>
      <c r="E153" s="91">
        <v>-252.74</v>
      </c>
      <c r="F153" s="91">
        <v>3600.0999999999899</v>
      </c>
      <c r="G153" s="92" t="s">
        <v>97</v>
      </c>
    </row>
    <row r="154" spans="2:7" hidden="1">
      <c r="B154" t="str">
        <f t="shared" si="2"/>
        <v>GASTO</v>
      </c>
      <c r="C154" s="90">
        <v>43661</v>
      </c>
      <c r="D154" s="90">
        <v>43661</v>
      </c>
      <c r="E154" s="91">
        <v>-104</v>
      </c>
      <c r="F154" s="91">
        <v>3496.0999999999899</v>
      </c>
      <c r="G154" s="92" t="s">
        <v>126</v>
      </c>
    </row>
    <row r="155" spans="2:7" hidden="1">
      <c r="B155" t="str">
        <f t="shared" si="2"/>
        <v>GASTO</v>
      </c>
      <c r="C155" s="90">
        <v>43662</v>
      </c>
      <c r="D155" s="90">
        <v>43662</v>
      </c>
      <c r="E155" s="91">
        <v>-123</v>
      </c>
      <c r="F155" s="91">
        <v>3373.0999999999899</v>
      </c>
      <c r="G155" s="92" t="s">
        <v>290</v>
      </c>
    </row>
    <row r="156" spans="2:7" hidden="1">
      <c r="B156" t="str">
        <f t="shared" si="2"/>
        <v>GASTO</v>
      </c>
      <c r="C156" s="90">
        <v>43662</v>
      </c>
      <c r="D156" s="90">
        <v>43662</v>
      </c>
      <c r="E156" s="91">
        <v>-24</v>
      </c>
      <c r="F156" s="91">
        <v>3349.0999999999899</v>
      </c>
      <c r="G156" s="92" t="s">
        <v>151</v>
      </c>
    </row>
    <row r="157" spans="2:7" hidden="1">
      <c r="B157" t="str">
        <f t="shared" si="2"/>
        <v>GASTO</v>
      </c>
      <c r="C157" s="90">
        <v>43662</v>
      </c>
      <c r="D157" s="90">
        <v>43662</v>
      </c>
      <c r="E157" s="91">
        <v>-72</v>
      </c>
      <c r="F157" s="91">
        <v>3277.0999999999899</v>
      </c>
      <c r="G157" s="92" t="s">
        <v>151</v>
      </c>
    </row>
    <row r="158" spans="2:7" hidden="1">
      <c r="B158" t="str">
        <f t="shared" si="2"/>
        <v>GASTO</v>
      </c>
      <c r="C158" s="90">
        <v>43668</v>
      </c>
      <c r="D158" s="90">
        <v>43668</v>
      </c>
      <c r="E158" s="91">
        <v>-200</v>
      </c>
      <c r="F158" s="91">
        <v>3077.0999999999899</v>
      </c>
      <c r="G158" s="92" t="s">
        <v>291</v>
      </c>
    </row>
    <row r="159" spans="2:7" hidden="1">
      <c r="B159" t="str">
        <f t="shared" si="2"/>
        <v>GASTO</v>
      </c>
      <c r="C159" s="90">
        <v>43668</v>
      </c>
      <c r="D159" s="90">
        <v>43668</v>
      </c>
      <c r="E159" s="91">
        <v>-200</v>
      </c>
      <c r="F159" s="91">
        <v>2877.0999999999899</v>
      </c>
      <c r="G159" s="92" t="s">
        <v>291</v>
      </c>
    </row>
    <row r="160" spans="2:7" hidden="1">
      <c r="B160" t="str">
        <f t="shared" si="2"/>
        <v>GASTO</v>
      </c>
      <c r="C160" s="90">
        <v>43669</v>
      </c>
      <c r="D160" s="90">
        <v>43669</v>
      </c>
      <c r="E160" s="91">
        <v>-200</v>
      </c>
      <c r="F160" s="91">
        <v>2677.0999999999899</v>
      </c>
      <c r="G160" s="92" t="s">
        <v>291</v>
      </c>
    </row>
    <row r="161" spans="2:7" hidden="1">
      <c r="B161" t="str">
        <f t="shared" si="2"/>
        <v>GASTO</v>
      </c>
      <c r="C161" s="90">
        <v>43669</v>
      </c>
      <c r="D161" s="90">
        <v>43669</v>
      </c>
      <c r="E161" s="91">
        <v>-200</v>
      </c>
      <c r="F161" s="91">
        <v>2477.0999999999899</v>
      </c>
      <c r="G161" s="92" t="s">
        <v>291</v>
      </c>
    </row>
    <row r="162" spans="2:7" hidden="1">
      <c r="B162" t="str">
        <f t="shared" si="2"/>
        <v>GASTO</v>
      </c>
      <c r="C162" s="90">
        <v>43669</v>
      </c>
      <c r="D162" s="90">
        <v>43669</v>
      </c>
      <c r="E162" s="91">
        <v>-138</v>
      </c>
      <c r="F162" s="91">
        <v>2339.0999999999899</v>
      </c>
      <c r="G162" s="92" t="s">
        <v>106</v>
      </c>
    </row>
    <row r="163" spans="2:7" hidden="1">
      <c r="B163" t="str">
        <f t="shared" si="2"/>
        <v>GASTO</v>
      </c>
      <c r="C163" s="90">
        <v>43671</v>
      </c>
      <c r="D163" s="90">
        <v>43671</v>
      </c>
      <c r="E163" s="91">
        <v>-16.2</v>
      </c>
      <c r="F163" s="91">
        <v>2322.8999999999901</v>
      </c>
      <c r="G163" s="92" t="s">
        <v>286</v>
      </c>
    </row>
    <row r="164" spans="2:7" hidden="1">
      <c r="B164" t="str">
        <f t="shared" si="2"/>
        <v>GASTO</v>
      </c>
      <c r="C164" s="90">
        <v>43678</v>
      </c>
      <c r="D164" s="90">
        <v>43678</v>
      </c>
      <c r="E164" s="91">
        <v>-49.54</v>
      </c>
      <c r="F164" s="91">
        <v>2273.3599999999901</v>
      </c>
      <c r="G164" s="92" t="s">
        <v>95</v>
      </c>
    </row>
    <row r="165" spans="2:7" hidden="1">
      <c r="B165" t="str">
        <f t="shared" si="2"/>
        <v>GASTO</v>
      </c>
      <c r="C165" s="90">
        <v>43679</v>
      </c>
      <c r="D165" s="90">
        <v>43679</v>
      </c>
      <c r="E165" s="91">
        <v>-69.92</v>
      </c>
      <c r="F165" s="91">
        <v>2203.4399999999901</v>
      </c>
      <c r="G165" s="92" t="s">
        <v>96</v>
      </c>
    </row>
    <row r="166" spans="2:7" hidden="1">
      <c r="B166" t="str">
        <f t="shared" si="2"/>
        <v>GASTO</v>
      </c>
      <c r="C166" s="90">
        <v>43679</v>
      </c>
      <c r="D166" s="90">
        <v>43679</v>
      </c>
      <c r="E166" s="91">
        <v>-5</v>
      </c>
      <c r="F166" s="91">
        <v>2198.4399999999901</v>
      </c>
      <c r="G166" s="92" t="s">
        <v>287</v>
      </c>
    </row>
    <row r="167" spans="2:7" hidden="1">
      <c r="B167" t="str">
        <f t="shared" si="2"/>
        <v>GASTO</v>
      </c>
      <c r="C167" s="90">
        <v>43679</v>
      </c>
      <c r="D167" s="90">
        <v>43679</v>
      </c>
      <c r="E167" s="91">
        <v>-0.2</v>
      </c>
      <c r="F167" s="91">
        <v>2198.2399999999898</v>
      </c>
      <c r="G167" s="92" t="s">
        <v>292</v>
      </c>
    </row>
    <row r="168" spans="2:7" hidden="1">
      <c r="B168" t="str">
        <f t="shared" si="2"/>
        <v>GASTO</v>
      </c>
      <c r="C168" s="90">
        <v>43684</v>
      </c>
      <c r="D168" s="90">
        <v>43684</v>
      </c>
      <c r="E168" s="91">
        <v>-29.52</v>
      </c>
      <c r="F168" s="91">
        <v>2168.7199999999898</v>
      </c>
      <c r="G168" s="92" t="s">
        <v>293</v>
      </c>
    </row>
    <row r="169" spans="2:7" hidden="1">
      <c r="B169" t="str">
        <f t="shared" si="2"/>
        <v>RECEITA</v>
      </c>
      <c r="C169" s="90">
        <v>43685</v>
      </c>
      <c r="D169" s="90">
        <v>43685</v>
      </c>
      <c r="E169" s="91">
        <v>526.16</v>
      </c>
      <c r="F169" s="91">
        <v>2694.8799999999901</v>
      </c>
      <c r="G169" s="92" t="s">
        <v>294</v>
      </c>
    </row>
    <row r="170" spans="2:7" hidden="1">
      <c r="B170" t="str">
        <f t="shared" si="2"/>
        <v>GASTO</v>
      </c>
      <c r="C170" s="90">
        <v>43705</v>
      </c>
      <c r="D170" s="90">
        <v>43705</v>
      </c>
      <c r="E170" s="91">
        <v>-17.04</v>
      </c>
      <c r="F170" s="91">
        <v>2677.8399999999901</v>
      </c>
      <c r="G170" s="92" t="s">
        <v>286</v>
      </c>
    </row>
    <row r="171" spans="2:7" hidden="1">
      <c r="B171" t="str">
        <f t="shared" si="2"/>
        <v>GASTO</v>
      </c>
      <c r="C171" s="90">
        <v>43705</v>
      </c>
      <c r="D171" s="90">
        <v>43705</v>
      </c>
      <c r="E171" s="91">
        <v>-11.96</v>
      </c>
      <c r="F171" s="91">
        <v>2665.8799999999901</v>
      </c>
      <c r="G171" s="92" t="s">
        <v>283</v>
      </c>
    </row>
    <row r="172" spans="2:7" hidden="1">
      <c r="B172" t="str">
        <f t="shared" si="2"/>
        <v>GASTO</v>
      </c>
      <c r="C172" s="90">
        <v>43710</v>
      </c>
      <c r="D172" s="90">
        <v>43710</v>
      </c>
      <c r="E172" s="91">
        <v>-49.54</v>
      </c>
      <c r="F172" s="91">
        <v>2616.3399999999901</v>
      </c>
      <c r="G172" s="92" t="s">
        <v>95</v>
      </c>
    </row>
    <row r="173" spans="2:7" hidden="1">
      <c r="B173" t="str">
        <f t="shared" si="2"/>
        <v>GASTO</v>
      </c>
      <c r="C173" s="90">
        <v>43710</v>
      </c>
      <c r="D173" s="90">
        <v>43710</v>
      </c>
      <c r="E173" s="91">
        <v>-75.53</v>
      </c>
      <c r="F173" s="91">
        <v>2540.8099999999899</v>
      </c>
      <c r="G173" s="92" t="s">
        <v>96</v>
      </c>
    </row>
    <row r="174" spans="2:7" hidden="1">
      <c r="B174" t="str">
        <f t="shared" si="2"/>
        <v>GASTO</v>
      </c>
      <c r="C174" s="90">
        <v>43711</v>
      </c>
      <c r="D174" s="90">
        <v>43711</v>
      </c>
      <c r="E174" s="91">
        <v>-5</v>
      </c>
      <c r="F174" s="91">
        <v>2535.8099999999899</v>
      </c>
      <c r="G174" s="92" t="s">
        <v>295</v>
      </c>
    </row>
    <row r="175" spans="2:7" hidden="1">
      <c r="B175" t="str">
        <f t="shared" si="2"/>
        <v>GASTO</v>
      </c>
      <c r="C175" s="90">
        <v>43711</v>
      </c>
      <c r="D175" s="90">
        <v>43711</v>
      </c>
      <c r="E175" s="91">
        <v>-0.2</v>
      </c>
      <c r="F175" s="91">
        <v>2535.6099999999901</v>
      </c>
      <c r="G175" s="92" t="s">
        <v>292</v>
      </c>
    </row>
    <row r="176" spans="2:7" hidden="1">
      <c r="B176" t="str">
        <f t="shared" si="2"/>
        <v>GASTO</v>
      </c>
      <c r="C176" s="90">
        <v>43716</v>
      </c>
      <c r="D176" s="90">
        <v>43716</v>
      </c>
      <c r="E176" s="91">
        <v>-97.66</v>
      </c>
      <c r="F176" s="91">
        <v>2437.9499999999898</v>
      </c>
      <c r="G176" s="92" t="s">
        <v>283</v>
      </c>
    </row>
    <row r="177" spans="2:7" hidden="1">
      <c r="B177" t="str">
        <f t="shared" si="2"/>
        <v>GASTO</v>
      </c>
      <c r="C177" s="90">
        <v>43717</v>
      </c>
      <c r="D177" s="90">
        <v>43717</v>
      </c>
      <c r="E177" s="91">
        <v>-29.52</v>
      </c>
      <c r="F177" s="91">
        <v>2408.4299999999898</v>
      </c>
      <c r="G177" s="92" t="s">
        <v>293</v>
      </c>
    </row>
    <row r="178" spans="2:7" hidden="1">
      <c r="B178" t="str">
        <f t="shared" si="2"/>
        <v>GASTO</v>
      </c>
      <c r="C178" s="90">
        <v>43718</v>
      </c>
      <c r="D178" s="90">
        <v>43718</v>
      </c>
      <c r="E178" s="91">
        <v>-21.79</v>
      </c>
      <c r="F178" s="91">
        <v>2386.6399999999899</v>
      </c>
      <c r="G178" s="92" t="s">
        <v>97</v>
      </c>
    </row>
    <row r="179" spans="2:7" hidden="1">
      <c r="B179" t="str">
        <f t="shared" si="2"/>
        <v>GASTO</v>
      </c>
      <c r="C179" s="90">
        <v>43720</v>
      </c>
      <c r="D179" s="90">
        <v>43720</v>
      </c>
      <c r="E179" s="91">
        <v>-210.11</v>
      </c>
      <c r="F179" s="91">
        <v>2176.5299999999902</v>
      </c>
      <c r="G179" s="92" t="s">
        <v>97</v>
      </c>
    </row>
    <row r="180" spans="2:7" hidden="1">
      <c r="B180" t="str">
        <f t="shared" si="2"/>
        <v>GASTO</v>
      </c>
      <c r="C180" s="90">
        <v>43720</v>
      </c>
      <c r="D180" s="90">
        <v>43720</v>
      </c>
      <c r="E180" s="91">
        <v>-70.33</v>
      </c>
      <c r="F180" s="91">
        <v>2106.1999999999898</v>
      </c>
      <c r="G180" s="92" t="s">
        <v>283</v>
      </c>
    </row>
    <row r="181" spans="2:7" hidden="1">
      <c r="B181" t="str">
        <f t="shared" si="2"/>
        <v>GASTO</v>
      </c>
      <c r="C181" s="90">
        <v>43720</v>
      </c>
      <c r="D181" s="90">
        <v>43720</v>
      </c>
      <c r="E181" s="91">
        <v>-33.71</v>
      </c>
      <c r="F181" s="91">
        <v>2072.4899999999898</v>
      </c>
      <c r="G181" s="92" t="s">
        <v>284</v>
      </c>
    </row>
    <row r="182" spans="2:7" hidden="1">
      <c r="B182" t="str">
        <f t="shared" si="2"/>
        <v>GASTO</v>
      </c>
      <c r="C182" s="90">
        <v>43728</v>
      </c>
      <c r="D182" s="90">
        <v>43728</v>
      </c>
      <c r="E182" s="91">
        <v>-30.3</v>
      </c>
      <c r="F182" s="91">
        <v>2042.1899999999901</v>
      </c>
      <c r="G182" s="92" t="s">
        <v>296</v>
      </c>
    </row>
    <row r="183" spans="2:7" hidden="1">
      <c r="B183" t="str">
        <f t="shared" si="2"/>
        <v>GASTO</v>
      </c>
      <c r="C183" s="90">
        <v>43734</v>
      </c>
      <c r="D183" s="90">
        <v>43734</v>
      </c>
      <c r="E183" s="91">
        <v>-43.71</v>
      </c>
      <c r="F183" s="91">
        <v>1998.47999999999</v>
      </c>
      <c r="G183" s="92" t="s">
        <v>297</v>
      </c>
    </row>
    <row r="184" spans="2:7" hidden="1">
      <c r="B184" t="str">
        <f t="shared" si="2"/>
        <v>GASTO</v>
      </c>
      <c r="C184" s="90">
        <v>43739</v>
      </c>
      <c r="D184" s="90">
        <v>43739</v>
      </c>
      <c r="E184" s="91">
        <v>-49.54</v>
      </c>
      <c r="F184" s="91">
        <v>1948.9399999999901</v>
      </c>
      <c r="G184" s="92" t="s">
        <v>95</v>
      </c>
    </row>
    <row r="185" spans="2:7" hidden="1">
      <c r="B185" t="str">
        <f t="shared" si="2"/>
        <v>GASTO</v>
      </c>
      <c r="C185" s="90">
        <v>43740</v>
      </c>
      <c r="D185" s="90">
        <v>43740</v>
      </c>
      <c r="E185" s="91">
        <v>-5</v>
      </c>
      <c r="F185" s="91">
        <v>1943.9399999999901</v>
      </c>
      <c r="G185" s="92" t="s">
        <v>287</v>
      </c>
    </row>
    <row r="186" spans="2:7" hidden="1">
      <c r="B186" t="str">
        <f t="shared" si="2"/>
        <v>GASTO</v>
      </c>
      <c r="C186" s="90">
        <v>43740</v>
      </c>
      <c r="D186" s="90">
        <v>43740</v>
      </c>
      <c r="E186" s="91">
        <v>-0.2</v>
      </c>
      <c r="F186" s="91">
        <v>1943.73999999999</v>
      </c>
      <c r="G186" s="92" t="s">
        <v>292</v>
      </c>
    </row>
    <row r="187" spans="2:7" hidden="1">
      <c r="B187" t="str">
        <f t="shared" si="2"/>
        <v>GASTO</v>
      </c>
      <c r="C187" s="90">
        <v>43741</v>
      </c>
      <c r="D187" s="90">
        <v>43741</v>
      </c>
      <c r="E187" s="91">
        <v>-27.33</v>
      </c>
      <c r="F187" s="91">
        <v>1916.4099999999901</v>
      </c>
      <c r="G187" s="92" t="s">
        <v>298</v>
      </c>
    </row>
    <row r="188" spans="2:7" hidden="1">
      <c r="B188" t="str">
        <f t="shared" si="2"/>
        <v>GASTO</v>
      </c>
      <c r="C188" s="90">
        <v>43742</v>
      </c>
      <c r="D188" s="90">
        <v>43742</v>
      </c>
      <c r="E188" s="91">
        <v>-73.59</v>
      </c>
      <c r="F188" s="91">
        <v>1842.8199999999899</v>
      </c>
      <c r="G188" s="92" t="s">
        <v>96</v>
      </c>
    </row>
    <row r="189" spans="2:7" hidden="1">
      <c r="B189" t="str">
        <f t="shared" si="2"/>
        <v>GASTO</v>
      </c>
      <c r="C189" s="90">
        <v>43745</v>
      </c>
      <c r="D189" s="90">
        <v>43745</v>
      </c>
      <c r="E189" s="91">
        <v>-29.52</v>
      </c>
      <c r="F189" s="91">
        <v>1813.29999999999</v>
      </c>
      <c r="G189" s="92" t="s">
        <v>293</v>
      </c>
    </row>
    <row r="190" spans="2:7" hidden="1">
      <c r="B190" t="str">
        <f t="shared" si="2"/>
        <v>GASTO</v>
      </c>
      <c r="C190" s="90">
        <v>43753</v>
      </c>
      <c r="D190" s="90">
        <v>43753</v>
      </c>
      <c r="E190" s="91">
        <v>-108</v>
      </c>
      <c r="F190" s="91">
        <v>1705.29999999999</v>
      </c>
      <c r="G190" s="92" t="s">
        <v>299</v>
      </c>
    </row>
    <row r="191" spans="2:7" hidden="1">
      <c r="B191" t="str">
        <f t="shared" si="2"/>
        <v>GASTO</v>
      </c>
      <c r="C191" s="90">
        <v>43759</v>
      </c>
      <c r="D191" s="90">
        <v>43759</v>
      </c>
      <c r="E191" s="91">
        <v>-30.59</v>
      </c>
      <c r="F191" s="91">
        <v>1674.70999999999</v>
      </c>
      <c r="G191" s="92" t="s">
        <v>300</v>
      </c>
    </row>
    <row r="192" spans="2:7" hidden="1">
      <c r="B192" t="str">
        <f t="shared" si="2"/>
        <v>GASTO</v>
      </c>
      <c r="C192" s="90">
        <v>43766</v>
      </c>
      <c r="D192" s="90">
        <v>43766</v>
      </c>
      <c r="E192" s="91">
        <v>-21.01</v>
      </c>
      <c r="F192" s="91">
        <v>1653.69999999999</v>
      </c>
      <c r="G192" s="92" t="s">
        <v>105</v>
      </c>
    </row>
    <row r="193" spans="2:7" hidden="1">
      <c r="B193" t="str">
        <f t="shared" si="2"/>
        <v>GASTO</v>
      </c>
      <c r="C193" s="90">
        <v>43770</v>
      </c>
      <c r="D193" s="90">
        <v>43770</v>
      </c>
      <c r="E193" s="91">
        <v>-49.54</v>
      </c>
      <c r="F193" s="91">
        <v>1604.1599999999901</v>
      </c>
      <c r="G193" s="92" t="s">
        <v>95</v>
      </c>
    </row>
    <row r="194" spans="2:7" hidden="1">
      <c r="B194" t="str">
        <f t="shared" si="2"/>
        <v>GASTO</v>
      </c>
      <c r="C194" s="90">
        <v>43774</v>
      </c>
      <c r="D194" s="90">
        <v>43774</v>
      </c>
      <c r="E194" s="91">
        <v>-5</v>
      </c>
      <c r="F194" s="91">
        <v>1599.1599999999901</v>
      </c>
      <c r="G194" s="92" t="s">
        <v>287</v>
      </c>
    </row>
    <row r="195" spans="2:7" hidden="1">
      <c r="B195" t="str">
        <f t="shared" si="2"/>
        <v>GASTO</v>
      </c>
      <c r="C195" s="90">
        <v>43774</v>
      </c>
      <c r="D195" s="90">
        <v>43774</v>
      </c>
      <c r="E195" s="91">
        <v>-0.2</v>
      </c>
      <c r="F195" s="91">
        <v>1598.95999999999</v>
      </c>
      <c r="G195" s="92" t="s">
        <v>292</v>
      </c>
    </row>
    <row r="196" spans="2:7" hidden="1">
      <c r="B196" t="str">
        <f t="shared" si="2"/>
        <v>GASTO</v>
      </c>
      <c r="C196" s="90">
        <v>43777</v>
      </c>
      <c r="D196" s="90">
        <v>43777</v>
      </c>
      <c r="E196" s="91">
        <v>-71.260000000000005</v>
      </c>
      <c r="F196" s="91">
        <v>1527.69999999999</v>
      </c>
      <c r="G196" s="92" t="s">
        <v>96</v>
      </c>
    </row>
    <row r="197" spans="2:7" hidden="1">
      <c r="B197" t="str">
        <f t="shared" si="2"/>
        <v>GASTO</v>
      </c>
      <c r="C197" s="90">
        <v>43777</v>
      </c>
      <c r="D197" s="90">
        <v>43777</v>
      </c>
      <c r="E197" s="91">
        <v>-29.52</v>
      </c>
      <c r="F197" s="91">
        <v>1498.1799999999901</v>
      </c>
      <c r="G197" s="92" t="s">
        <v>293</v>
      </c>
    </row>
    <row r="198" spans="2:7" hidden="1">
      <c r="B198" t="str">
        <f t="shared" ref="B198:B223" si="3">IF(E198&lt;0,"GASTO","RECEITA")</f>
        <v>GASTO</v>
      </c>
      <c r="C198" s="90">
        <v>43780</v>
      </c>
      <c r="D198" s="90">
        <v>43780</v>
      </c>
      <c r="E198" s="91">
        <v>-24.26</v>
      </c>
      <c r="F198" s="91">
        <v>1473.9199999999901</v>
      </c>
      <c r="G198" s="92" t="s">
        <v>97</v>
      </c>
    </row>
    <row r="199" spans="2:7" hidden="1">
      <c r="B199" t="str">
        <f t="shared" si="3"/>
        <v>GASTO</v>
      </c>
      <c r="C199" s="90">
        <v>43781</v>
      </c>
      <c r="D199" s="90">
        <v>43781</v>
      </c>
      <c r="E199" s="91">
        <v>-90</v>
      </c>
      <c r="F199" s="91">
        <v>1383.9199999999901</v>
      </c>
      <c r="G199" s="92" t="s">
        <v>299</v>
      </c>
    </row>
    <row r="200" spans="2:7" hidden="1">
      <c r="B200" t="str">
        <f t="shared" si="3"/>
        <v>GASTO</v>
      </c>
      <c r="C200" s="90">
        <v>43783</v>
      </c>
      <c r="D200" s="90">
        <v>43783</v>
      </c>
      <c r="E200" s="91">
        <v>-149.01</v>
      </c>
      <c r="F200" s="91">
        <v>1234.9099999999901</v>
      </c>
      <c r="G200" s="92" t="s">
        <v>301</v>
      </c>
    </row>
    <row r="201" spans="2:7" hidden="1">
      <c r="B201" t="str">
        <f t="shared" si="3"/>
        <v>GASTO</v>
      </c>
      <c r="C201" s="90">
        <v>43784</v>
      </c>
      <c r="D201" s="90">
        <v>43784</v>
      </c>
      <c r="E201" s="91">
        <v>-209.33</v>
      </c>
      <c r="F201" s="91">
        <v>1025.5799999999899</v>
      </c>
      <c r="G201" s="92" t="s">
        <v>97</v>
      </c>
    </row>
    <row r="202" spans="2:7" hidden="1">
      <c r="B202" t="str">
        <f t="shared" si="3"/>
        <v>GASTO</v>
      </c>
      <c r="C202" s="90">
        <v>43784</v>
      </c>
      <c r="D202" s="90">
        <v>43784</v>
      </c>
      <c r="E202" s="91">
        <v>-320.94</v>
      </c>
      <c r="F202" s="91">
        <v>704.63999999998896</v>
      </c>
      <c r="G202" s="92" t="s">
        <v>302</v>
      </c>
    </row>
    <row r="203" spans="2:7" hidden="1">
      <c r="B203" t="str">
        <f t="shared" si="3"/>
        <v>GASTO</v>
      </c>
      <c r="C203" s="90">
        <v>43791</v>
      </c>
      <c r="D203" s="90">
        <v>43791</v>
      </c>
      <c r="E203" s="91">
        <v>-10</v>
      </c>
      <c r="F203" s="91">
        <v>694.63999999998896</v>
      </c>
      <c r="G203" s="92" t="s">
        <v>291</v>
      </c>
    </row>
    <row r="204" spans="2:7" hidden="1">
      <c r="B204" t="str">
        <f t="shared" si="3"/>
        <v>GASTO</v>
      </c>
      <c r="C204" s="90">
        <v>43797</v>
      </c>
      <c r="D204" s="90">
        <v>43797</v>
      </c>
      <c r="E204" s="91">
        <v>-19.329999999999998</v>
      </c>
      <c r="F204" s="91">
        <v>675.30999999998903</v>
      </c>
      <c r="G204" s="92" t="s">
        <v>286</v>
      </c>
    </row>
    <row r="205" spans="2:7" hidden="1">
      <c r="B205" t="str">
        <f t="shared" si="3"/>
        <v>GASTO</v>
      </c>
      <c r="C205" s="90">
        <v>43801</v>
      </c>
      <c r="D205" s="90">
        <v>43801</v>
      </c>
      <c r="E205" s="91">
        <v>-49.54</v>
      </c>
      <c r="F205" s="91">
        <v>625.76999999998895</v>
      </c>
      <c r="G205" s="92" t="s">
        <v>95</v>
      </c>
    </row>
    <row r="206" spans="2:7" hidden="1">
      <c r="B206" t="str">
        <f t="shared" si="3"/>
        <v>GASTO</v>
      </c>
      <c r="C206" s="90">
        <v>43802</v>
      </c>
      <c r="D206" s="90">
        <v>43802</v>
      </c>
      <c r="E206" s="91">
        <v>-5</v>
      </c>
      <c r="F206" s="91">
        <v>620.76999999998895</v>
      </c>
      <c r="G206" s="92" t="s">
        <v>287</v>
      </c>
    </row>
    <row r="207" spans="2:7" hidden="1">
      <c r="B207" t="str">
        <f t="shared" si="3"/>
        <v>GASTO</v>
      </c>
      <c r="C207" s="90">
        <v>43802</v>
      </c>
      <c r="D207" s="90">
        <v>43802</v>
      </c>
      <c r="E207" s="91">
        <v>-0.2</v>
      </c>
      <c r="F207" s="91">
        <v>620.56999999998902</v>
      </c>
      <c r="G207" s="92" t="s">
        <v>292</v>
      </c>
    </row>
    <row r="208" spans="2:7" hidden="1">
      <c r="B208" t="str">
        <f t="shared" si="3"/>
        <v>GASTO</v>
      </c>
      <c r="C208" s="90">
        <v>43803</v>
      </c>
      <c r="D208" s="90">
        <v>43803</v>
      </c>
      <c r="E208" s="91">
        <v>-69.930000000000007</v>
      </c>
      <c r="F208" s="91">
        <v>550.63999999998896</v>
      </c>
      <c r="G208" s="92" t="s">
        <v>96</v>
      </c>
    </row>
    <row r="209" spans="2:7" hidden="1">
      <c r="B209" t="str">
        <f t="shared" si="3"/>
        <v>GASTO</v>
      </c>
      <c r="C209" s="90">
        <v>43808</v>
      </c>
      <c r="D209" s="90">
        <v>43808</v>
      </c>
      <c r="E209" s="91">
        <v>-29.52</v>
      </c>
      <c r="F209" s="91">
        <v>521.11999999998898</v>
      </c>
      <c r="G209" s="92" t="s">
        <v>293</v>
      </c>
    </row>
    <row r="210" spans="2:7" hidden="1">
      <c r="B210" t="str">
        <f t="shared" si="3"/>
        <v>GASTO</v>
      </c>
      <c r="C210" s="90">
        <v>43809</v>
      </c>
      <c r="D210" s="90">
        <v>43809</v>
      </c>
      <c r="E210" s="91">
        <v>-20</v>
      </c>
      <c r="F210" s="91">
        <v>501.11999999998898</v>
      </c>
      <c r="G210" s="92" t="s">
        <v>303</v>
      </c>
    </row>
    <row r="211" spans="2:7" hidden="1">
      <c r="B211" t="str">
        <f t="shared" si="3"/>
        <v>RECEITA</v>
      </c>
      <c r="C211" s="90">
        <v>43811</v>
      </c>
      <c r="D211" s="90">
        <v>43812</v>
      </c>
      <c r="E211" s="91">
        <v>700</v>
      </c>
      <c r="F211" s="91">
        <v>1201.1199999999899</v>
      </c>
      <c r="G211" s="92" t="s">
        <v>304</v>
      </c>
    </row>
    <row r="212" spans="2:7" hidden="1">
      <c r="B212" t="str">
        <f t="shared" si="3"/>
        <v>RECEITA</v>
      </c>
      <c r="C212" s="90">
        <v>43811</v>
      </c>
      <c r="D212" s="90">
        <v>43811</v>
      </c>
      <c r="E212" s="91">
        <v>37.950000000000003</v>
      </c>
      <c r="F212" s="91">
        <v>1239.0699999999899</v>
      </c>
      <c r="G212" s="92" t="s">
        <v>305</v>
      </c>
    </row>
    <row r="213" spans="2:7" hidden="1">
      <c r="B213" t="str">
        <f t="shared" si="3"/>
        <v>RECEITA</v>
      </c>
      <c r="C213" s="90">
        <v>43811</v>
      </c>
      <c r="D213" s="90">
        <v>43811</v>
      </c>
      <c r="E213" s="91">
        <v>120</v>
      </c>
      <c r="F213" s="91">
        <v>1359.0699999999899</v>
      </c>
      <c r="G213" s="92" t="s">
        <v>306</v>
      </c>
    </row>
    <row r="214" spans="2:7" hidden="1">
      <c r="B214" t="str">
        <f t="shared" si="3"/>
        <v>RECEITA</v>
      </c>
      <c r="C214" s="90">
        <v>43811</v>
      </c>
      <c r="D214" s="90">
        <v>43811</v>
      </c>
      <c r="E214" s="91">
        <v>290</v>
      </c>
      <c r="F214" s="91">
        <v>1649.0699999999899</v>
      </c>
      <c r="G214" s="92" t="s">
        <v>307</v>
      </c>
    </row>
    <row r="215" spans="2:7" hidden="1">
      <c r="B215" t="str">
        <f t="shared" si="3"/>
        <v>RECEITA</v>
      </c>
      <c r="C215" s="90">
        <v>43811</v>
      </c>
      <c r="D215" s="90">
        <v>43811</v>
      </c>
      <c r="E215" s="91">
        <v>703.3</v>
      </c>
      <c r="F215" s="91">
        <v>2352.3699999999899</v>
      </c>
      <c r="G215" s="92" t="s">
        <v>308</v>
      </c>
    </row>
    <row r="216" spans="2:7" hidden="1">
      <c r="B216" t="str">
        <f t="shared" si="3"/>
        <v>RECEITA</v>
      </c>
      <c r="C216" s="90">
        <v>43811</v>
      </c>
      <c r="D216" s="90">
        <v>43811</v>
      </c>
      <c r="E216" s="91">
        <v>450</v>
      </c>
      <c r="F216" s="91">
        <v>2802.3699999999899</v>
      </c>
      <c r="G216" s="92" t="s">
        <v>309</v>
      </c>
    </row>
    <row r="217" spans="2:7" hidden="1">
      <c r="B217" t="str">
        <f t="shared" si="3"/>
        <v>GASTO</v>
      </c>
      <c r="C217" s="90">
        <v>43814</v>
      </c>
      <c r="D217" s="90">
        <v>43814</v>
      </c>
      <c r="E217" s="91">
        <v>-23.99</v>
      </c>
      <c r="F217" s="91">
        <v>2778.3799999999901</v>
      </c>
      <c r="G217" s="92" t="s">
        <v>300</v>
      </c>
    </row>
    <row r="218" spans="2:7" hidden="1">
      <c r="B218" t="str">
        <f t="shared" si="3"/>
        <v>GASTO</v>
      </c>
      <c r="C218" s="90">
        <v>43815</v>
      </c>
      <c r="D218" s="90">
        <v>43815</v>
      </c>
      <c r="E218" s="91">
        <v>-22.99</v>
      </c>
      <c r="F218" s="91">
        <v>2755.3899999999899</v>
      </c>
      <c r="G218" s="92" t="s">
        <v>283</v>
      </c>
    </row>
    <row r="219" spans="2:7" hidden="1">
      <c r="B219" t="str">
        <f t="shared" si="3"/>
        <v>RECEITA</v>
      </c>
      <c r="C219" s="90">
        <v>43816</v>
      </c>
      <c r="D219" s="90">
        <v>43816</v>
      </c>
      <c r="E219" s="91">
        <v>2500</v>
      </c>
      <c r="F219" s="91">
        <v>5255.3899999999903</v>
      </c>
      <c r="G219" s="92" t="s">
        <v>310</v>
      </c>
    </row>
    <row r="220" spans="2:7" hidden="1">
      <c r="B220" t="str">
        <f t="shared" si="3"/>
        <v>GASTO</v>
      </c>
      <c r="C220" s="90">
        <v>43817</v>
      </c>
      <c r="D220" s="90">
        <v>43817</v>
      </c>
      <c r="E220" s="91">
        <v>-150</v>
      </c>
      <c r="F220" s="91">
        <v>5105.3899999999903</v>
      </c>
      <c r="G220" s="92" t="s">
        <v>311</v>
      </c>
    </row>
    <row r="221" spans="2:7" hidden="1">
      <c r="B221" t="str">
        <f t="shared" si="3"/>
        <v>RECEITA</v>
      </c>
      <c r="C221" s="90">
        <v>43825</v>
      </c>
      <c r="D221" s="90">
        <v>43825</v>
      </c>
      <c r="E221" s="91">
        <v>39.5</v>
      </c>
      <c r="F221" s="91">
        <v>5144.8899999999903</v>
      </c>
      <c r="G221" s="92" t="s">
        <v>309</v>
      </c>
    </row>
    <row r="222" spans="2:7" hidden="1">
      <c r="B222" t="str">
        <f t="shared" si="3"/>
        <v>RECEITA</v>
      </c>
      <c r="C222" s="90">
        <v>43825</v>
      </c>
      <c r="D222" s="90">
        <v>43825</v>
      </c>
      <c r="E222" s="91">
        <v>44.4</v>
      </c>
      <c r="F222" s="91">
        <v>5189.28999999999</v>
      </c>
      <c r="G222" s="92" t="s">
        <v>312</v>
      </c>
    </row>
    <row r="223" spans="2:7" hidden="1">
      <c r="B223" t="str">
        <f t="shared" si="3"/>
        <v>RECEITA</v>
      </c>
      <c r="C223" s="90">
        <v>43825</v>
      </c>
      <c r="D223" s="90">
        <v>43825</v>
      </c>
      <c r="E223" s="91">
        <v>10</v>
      </c>
      <c r="F223" s="91">
        <v>5199.28999999999</v>
      </c>
      <c r="G223" s="92" t="s">
        <v>313</v>
      </c>
    </row>
  </sheetData>
  <autoFilter ref="B3:L223" xr:uid="{F8748469-F9B4-B846-894F-00CD5CC8892B}">
    <filterColumn colId="1">
      <filters>
        <dateGroupItem year="2019" month="3" dateTimeGrouping="month"/>
        <dateGroupItem year="2019" month="4" dateTimeGrouping="month"/>
        <dateGroupItem year="2018" dateTimeGrouping="year"/>
      </filters>
    </filterColumn>
  </autoFilter>
  <dataConsolidate/>
  <conditionalFormatting sqref="E4:E1048576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B4:B1048576">
    <cfRule type="containsText" dxfId="5" priority="3" operator="containsText" text="receita">
      <formula>NOT(ISERROR(SEARCH("receita",B4)))</formula>
    </cfRule>
    <cfRule type="containsText" dxfId="4" priority="4" operator="containsText" text="Gasto">
      <formula>NOT(ISERROR(SEARCH("Gasto",B4)))</formula>
    </cfRule>
  </conditionalFormatting>
  <conditionalFormatting sqref="B5:B1048576">
    <cfRule type="containsText" dxfId="3" priority="1" operator="containsText" text="RECEITA">
      <formula>NOT(ISERROR(SEARCH("RECEITA",B5)))</formula>
    </cfRule>
    <cfRule type="containsText" dxfId="2" priority="2" operator="containsText" text="GASTO">
      <formula>NOT(ISERROR(SEARCH("GASTO",B5)))</formula>
    </cfRule>
  </conditionalFormatting>
  <dataValidations count="2">
    <dataValidation type="list" allowBlank="1" showInputMessage="1" showErrorMessage="1" sqref="H5:H1048576" xr:uid="{4AB12073-E31C-AB45-8035-916332E5F07B}">
      <formula1>CC</formula1>
    </dataValidation>
    <dataValidation type="list" allowBlank="1" showInputMessage="1" showErrorMessage="1" sqref="I5:I1048576" xr:uid="{5DFB8A85-EADD-1547-9BA2-407CC284B1EE}">
      <formula1>INDIRECT(H5)</formula1>
    </dataValidation>
  </dataValidations>
  <pageMargins left="0.7" right="0.7" top="0.75" bottom="0.75" header="0.3" footer="0.3"/>
  <pageSetup paperSize="9" scale="2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C094-2BFD-B549-A7CF-64C7EA4FF525}">
  <dimension ref="A1:K223"/>
  <sheetViews>
    <sheetView zoomScale="75" workbookViewId="0">
      <selection activeCell="G11" sqref="G11"/>
    </sheetView>
  </sheetViews>
  <sheetFormatPr baseColWidth="10" defaultRowHeight="16"/>
  <cols>
    <col min="1" max="1" width="23.5" style="13" customWidth="1"/>
    <col min="2" max="2" width="20" style="14" customWidth="1"/>
  </cols>
  <sheetData>
    <row r="1" spans="1:11">
      <c r="A1"/>
      <c r="B1"/>
    </row>
    <row r="2" spans="1:11">
      <c r="A2"/>
      <c r="B2"/>
      <c r="D2" s="103">
        <v>2017</v>
      </c>
      <c r="E2" s="103"/>
      <c r="F2" s="103">
        <v>2018</v>
      </c>
      <c r="G2" s="103"/>
      <c r="H2" s="103">
        <v>2019</v>
      </c>
      <c r="I2" s="103"/>
      <c r="J2" s="103">
        <v>2020</v>
      </c>
      <c r="K2" s="103"/>
    </row>
    <row r="3" spans="1:11">
      <c r="A3" s="10" t="s">
        <v>93</v>
      </c>
      <c r="B3" s="11" t="s">
        <v>69</v>
      </c>
      <c r="D3" s="95" t="s">
        <v>314</v>
      </c>
      <c r="E3" s="95" t="s">
        <v>327</v>
      </c>
      <c r="F3" s="95" t="s">
        <v>314</v>
      </c>
      <c r="G3" s="95" t="s">
        <v>327</v>
      </c>
      <c r="H3" s="95" t="s">
        <v>314</v>
      </c>
      <c r="I3" s="95" t="s">
        <v>327</v>
      </c>
      <c r="J3" s="95" t="s">
        <v>314</v>
      </c>
      <c r="K3" s="95" t="s">
        <v>327</v>
      </c>
    </row>
    <row r="4" spans="1:11">
      <c r="A4" s="13">
        <v>43465</v>
      </c>
      <c r="B4" s="14" t="s">
        <v>67</v>
      </c>
      <c r="E4" s="94"/>
      <c r="G4" s="94"/>
      <c r="H4" t="s">
        <v>315</v>
      </c>
      <c r="I4">
        <v>-800.93</v>
      </c>
      <c r="J4" t="s">
        <v>315</v>
      </c>
      <c r="K4">
        <v>-862.78</v>
      </c>
    </row>
    <row r="5" spans="1:11">
      <c r="A5" s="50">
        <v>43467</v>
      </c>
      <c r="B5" s="51">
        <v>-49.54</v>
      </c>
      <c r="E5" s="94"/>
      <c r="G5" s="94"/>
      <c r="H5" t="s">
        <v>316</v>
      </c>
      <c r="I5">
        <v>-1264.44</v>
      </c>
      <c r="J5" t="s">
        <v>316</v>
      </c>
      <c r="K5">
        <v>-64.199999999999932</v>
      </c>
    </row>
    <row r="6" spans="1:11">
      <c r="A6" s="50">
        <v>43467</v>
      </c>
      <c r="B6" s="51">
        <v>-60.95</v>
      </c>
      <c r="E6" s="94"/>
      <c r="H6" t="s">
        <v>317</v>
      </c>
      <c r="I6">
        <v>-4369.2700000000004</v>
      </c>
      <c r="J6" s="96"/>
      <c r="K6" s="96"/>
    </row>
    <row r="7" spans="1:11">
      <c r="A7" s="50">
        <v>43476</v>
      </c>
      <c r="B7" s="51">
        <v>-35.950000000000003</v>
      </c>
      <c r="E7" s="94"/>
      <c r="H7" t="s">
        <v>318</v>
      </c>
      <c r="I7">
        <v>-4396.33</v>
      </c>
      <c r="J7" s="96"/>
      <c r="K7" s="96"/>
    </row>
    <row r="8" spans="1:11">
      <c r="A8" s="50">
        <v>43476</v>
      </c>
      <c r="B8" s="51">
        <v>-246.48</v>
      </c>
      <c r="E8" s="94"/>
      <c r="H8" t="s">
        <v>319</v>
      </c>
      <c r="I8">
        <v>-1768.9799999999996</v>
      </c>
      <c r="J8" s="96"/>
      <c r="K8" s="96"/>
    </row>
    <row r="9" spans="1:11">
      <c r="A9" s="50">
        <v>43476</v>
      </c>
      <c r="B9" s="51">
        <v>-29.52</v>
      </c>
      <c r="E9" s="94"/>
      <c r="H9" t="s">
        <v>320</v>
      </c>
      <c r="I9">
        <v>-477.6</v>
      </c>
      <c r="J9" s="96"/>
      <c r="K9" s="96"/>
    </row>
    <row r="10" spans="1:11">
      <c r="A10" s="50">
        <v>43478</v>
      </c>
      <c r="B10" s="51">
        <v>-37.49</v>
      </c>
      <c r="E10" s="94"/>
      <c r="H10" t="s">
        <v>321</v>
      </c>
      <c r="I10">
        <v>-1730.5400000000002</v>
      </c>
      <c r="J10" s="96"/>
      <c r="K10" s="96"/>
    </row>
    <row r="11" spans="1:11">
      <c r="A11" s="50">
        <v>43486</v>
      </c>
      <c r="B11" s="51">
        <v>-73.650000000000006</v>
      </c>
      <c r="E11" s="94"/>
      <c r="H11" t="s">
        <v>322</v>
      </c>
      <c r="I11">
        <v>342.97999999999996</v>
      </c>
      <c r="J11" s="96"/>
      <c r="K11" s="96"/>
    </row>
    <row r="12" spans="1:11">
      <c r="A12" s="50">
        <v>43486</v>
      </c>
      <c r="B12" s="51">
        <v>-18.47</v>
      </c>
      <c r="E12" s="94"/>
      <c r="H12" t="s">
        <v>323</v>
      </c>
      <c r="I12">
        <v>-667.40000000000009</v>
      </c>
      <c r="J12" s="96"/>
      <c r="K12" s="96"/>
    </row>
    <row r="13" spans="1:11">
      <c r="A13" s="50">
        <v>43486</v>
      </c>
      <c r="B13" s="51">
        <v>-34.049999999999997</v>
      </c>
      <c r="E13" s="94"/>
      <c r="H13" t="s">
        <v>324</v>
      </c>
      <c r="I13">
        <v>-344.78</v>
      </c>
      <c r="J13" s="96"/>
      <c r="K13" s="96"/>
    </row>
    <row r="14" spans="1:11">
      <c r="A14" s="50">
        <v>43487</v>
      </c>
      <c r="B14" s="51">
        <v>-78.900000000000006</v>
      </c>
      <c r="E14" s="94"/>
      <c r="H14" t="s">
        <v>325</v>
      </c>
      <c r="I14">
        <v>-978.39</v>
      </c>
      <c r="J14" s="96"/>
      <c r="K14" s="96"/>
    </row>
    <row r="15" spans="1:11">
      <c r="A15" s="50">
        <v>43489</v>
      </c>
      <c r="B15" s="51">
        <v>-45.7</v>
      </c>
      <c r="E15" s="94"/>
      <c r="H15" t="s">
        <v>326</v>
      </c>
      <c r="I15">
        <v>4523.9799999999996</v>
      </c>
      <c r="J15" s="96"/>
      <c r="K15" s="96"/>
    </row>
    <row r="16" spans="1:11">
      <c r="A16" s="50">
        <v>43493</v>
      </c>
      <c r="B16" s="51">
        <v>-18.23</v>
      </c>
    </row>
    <row r="17" spans="1:2">
      <c r="A17" s="50">
        <v>43494</v>
      </c>
      <c r="B17" s="51">
        <v>-72</v>
      </c>
    </row>
    <row r="18" spans="1:2">
      <c r="A18" s="50">
        <v>43497</v>
      </c>
      <c r="B18" s="51">
        <v>-49.54</v>
      </c>
    </row>
    <row r="19" spans="1:2">
      <c r="A19" s="50">
        <v>43498</v>
      </c>
      <c r="B19" s="51">
        <v>-8</v>
      </c>
    </row>
    <row r="20" spans="1:2">
      <c r="A20" s="50">
        <v>43498</v>
      </c>
      <c r="B20" s="51">
        <v>-12.5</v>
      </c>
    </row>
    <row r="21" spans="1:2">
      <c r="A21" s="50">
        <v>43498</v>
      </c>
      <c r="B21" s="51">
        <v>-59.1</v>
      </c>
    </row>
    <row r="22" spans="1:2">
      <c r="A22" s="50">
        <v>43498</v>
      </c>
      <c r="B22" s="51">
        <v>-24.94</v>
      </c>
    </row>
    <row r="23" spans="1:2">
      <c r="A23" s="50">
        <v>43500</v>
      </c>
      <c r="B23" s="51">
        <v>-191.7</v>
      </c>
    </row>
    <row r="24" spans="1:2">
      <c r="A24" s="50">
        <v>43500</v>
      </c>
      <c r="B24" s="51">
        <v>-5.68</v>
      </c>
    </row>
    <row r="25" spans="1:2">
      <c r="A25" s="50">
        <v>43501</v>
      </c>
      <c r="B25" s="51">
        <v>-66.930000000000007</v>
      </c>
    </row>
    <row r="26" spans="1:2">
      <c r="A26" s="50">
        <v>43501</v>
      </c>
      <c r="B26" s="51">
        <v>-89</v>
      </c>
    </row>
    <row r="27" spans="1:2">
      <c r="A27" s="50">
        <v>43501</v>
      </c>
      <c r="B27" s="51">
        <v>-25</v>
      </c>
    </row>
    <row r="28" spans="1:2">
      <c r="A28" s="50">
        <v>43503</v>
      </c>
      <c r="B28" s="51">
        <v>-61.8</v>
      </c>
    </row>
    <row r="29" spans="1:2">
      <c r="A29" s="50">
        <v>43504</v>
      </c>
      <c r="B29" s="51">
        <v>-29.52</v>
      </c>
    </row>
    <row r="30" spans="1:2">
      <c r="A30" s="50">
        <v>43505</v>
      </c>
      <c r="B30" s="51">
        <v>-30.7</v>
      </c>
    </row>
    <row r="31" spans="1:2">
      <c r="A31" s="50">
        <v>43508</v>
      </c>
      <c r="B31" s="51">
        <v>-14.1</v>
      </c>
    </row>
    <row r="32" spans="1:2">
      <c r="A32" s="50">
        <v>43508</v>
      </c>
      <c r="B32" s="51">
        <v>-143.96</v>
      </c>
    </row>
    <row r="33" spans="1:2">
      <c r="A33" s="50">
        <v>43514</v>
      </c>
      <c r="B33" s="51">
        <v>-146.06</v>
      </c>
    </row>
    <row r="34" spans="1:2">
      <c r="A34" s="50">
        <v>43517</v>
      </c>
      <c r="B34" s="51">
        <v>-23.7</v>
      </c>
    </row>
    <row r="35" spans="1:2">
      <c r="A35" s="50">
        <v>43517</v>
      </c>
      <c r="B35" s="51">
        <v>-26.04</v>
      </c>
    </row>
    <row r="36" spans="1:2">
      <c r="A36" s="50">
        <v>43517</v>
      </c>
      <c r="B36" s="51">
        <v>-22.8</v>
      </c>
    </row>
    <row r="37" spans="1:2">
      <c r="A37" s="50">
        <v>43521</v>
      </c>
      <c r="B37" s="51">
        <v>-33.04</v>
      </c>
    </row>
    <row r="38" spans="1:2">
      <c r="A38" s="50">
        <v>43523</v>
      </c>
      <c r="B38" s="51">
        <v>-140.69</v>
      </c>
    </row>
    <row r="39" spans="1:2">
      <c r="A39" s="50">
        <v>43524</v>
      </c>
      <c r="B39" s="51">
        <v>-18.489999999999998</v>
      </c>
    </row>
    <row r="40" spans="1:2">
      <c r="A40" s="50">
        <v>43524</v>
      </c>
      <c r="B40" s="51">
        <v>-8.9700000000000006</v>
      </c>
    </row>
    <row r="41" spans="1:2">
      <c r="A41" s="50">
        <v>43524</v>
      </c>
      <c r="B41" s="51">
        <v>-32.18</v>
      </c>
    </row>
    <row r="42" spans="1:2">
      <c r="A42" s="50">
        <v>43525</v>
      </c>
      <c r="B42" s="51">
        <v>-49.54</v>
      </c>
    </row>
    <row r="43" spans="1:2">
      <c r="A43" s="50">
        <v>43529</v>
      </c>
      <c r="B43" s="51">
        <v>-97.98</v>
      </c>
    </row>
    <row r="44" spans="1:2">
      <c r="A44" s="50">
        <v>43530</v>
      </c>
      <c r="B44" s="51">
        <v>-79.260000000000005</v>
      </c>
    </row>
    <row r="45" spans="1:2">
      <c r="A45" s="50">
        <v>43530</v>
      </c>
      <c r="B45" s="51">
        <v>-72</v>
      </c>
    </row>
    <row r="46" spans="1:2">
      <c r="A46" s="50">
        <v>43530</v>
      </c>
      <c r="B46" s="51">
        <v>-125.36</v>
      </c>
    </row>
    <row r="47" spans="1:2">
      <c r="A47" s="50">
        <v>43531</v>
      </c>
      <c r="B47" s="51">
        <v>-47</v>
      </c>
    </row>
    <row r="48" spans="1:2">
      <c r="A48" s="50">
        <v>43532</v>
      </c>
      <c r="B48" s="51">
        <v>-124.85</v>
      </c>
    </row>
    <row r="49" spans="1:2">
      <c r="A49" s="50">
        <v>43533</v>
      </c>
      <c r="B49" s="51">
        <v>-48.35</v>
      </c>
    </row>
    <row r="50" spans="1:2">
      <c r="A50" s="50">
        <v>43534</v>
      </c>
      <c r="B50" s="51">
        <v>-388.99</v>
      </c>
    </row>
    <row r="51" spans="1:2">
      <c r="A51" s="50">
        <v>43535</v>
      </c>
      <c r="B51" s="51">
        <v>-29.52</v>
      </c>
    </row>
    <row r="52" spans="1:2">
      <c r="A52" s="50">
        <v>43535</v>
      </c>
      <c r="B52" s="51">
        <v>-74.930000000000007</v>
      </c>
    </row>
    <row r="53" spans="1:2">
      <c r="A53" s="50">
        <v>43536</v>
      </c>
      <c r="B53" s="51">
        <v>-42</v>
      </c>
    </row>
    <row r="54" spans="1:2">
      <c r="A54" s="50">
        <v>43536</v>
      </c>
      <c r="B54" s="51">
        <v>-255.59</v>
      </c>
    </row>
    <row r="55" spans="1:2">
      <c r="A55" s="50">
        <v>43537</v>
      </c>
      <c r="B55" s="51">
        <v>-31.15</v>
      </c>
    </row>
    <row r="56" spans="1:2">
      <c r="A56" s="50">
        <v>43539</v>
      </c>
      <c r="B56" s="51">
        <v>-35.67</v>
      </c>
    </row>
    <row r="57" spans="1:2">
      <c r="A57" s="50">
        <v>43539</v>
      </c>
      <c r="B57" s="51">
        <v>-351.51</v>
      </c>
    </row>
    <row r="58" spans="1:2">
      <c r="A58" s="50">
        <v>43540</v>
      </c>
      <c r="B58" s="51">
        <v>28</v>
      </c>
    </row>
    <row r="59" spans="1:2">
      <c r="A59" s="50">
        <v>43540</v>
      </c>
      <c r="B59" s="51">
        <v>-169.56</v>
      </c>
    </row>
    <row r="60" spans="1:2">
      <c r="A60" s="50">
        <v>43540</v>
      </c>
      <c r="B60" s="51">
        <v>-101.52</v>
      </c>
    </row>
    <row r="61" spans="1:2">
      <c r="A61" s="50">
        <v>43541</v>
      </c>
      <c r="B61" s="51">
        <v>-40.26</v>
      </c>
    </row>
    <row r="62" spans="1:2">
      <c r="A62" s="50">
        <v>43541</v>
      </c>
      <c r="B62" s="51">
        <v>-78</v>
      </c>
    </row>
    <row r="63" spans="1:2">
      <c r="A63" s="50">
        <v>43542</v>
      </c>
      <c r="B63" s="51">
        <v>-37</v>
      </c>
    </row>
    <row r="64" spans="1:2">
      <c r="A64" s="50">
        <v>43542</v>
      </c>
      <c r="B64" s="51">
        <v>-500</v>
      </c>
    </row>
    <row r="65" spans="1:2">
      <c r="A65" s="50">
        <v>43543</v>
      </c>
      <c r="B65" s="51">
        <v>-66.69</v>
      </c>
    </row>
    <row r="66" spans="1:2">
      <c r="A66" s="50">
        <v>43543</v>
      </c>
      <c r="B66" s="51">
        <v>-27.07</v>
      </c>
    </row>
    <row r="67" spans="1:2">
      <c r="A67" s="50">
        <v>43543</v>
      </c>
      <c r="B67" s="51">
        <v>-67.97</v>
      </c>
    </row>
    <row r="68" spans="1:2">
      <c r="A68" s="50">
        <v>43544</v>
      </c>
      <c r="B68" s="51">
        <v>-32.94</v>
      </c>
    </row>
    <row r="69" spans="1:2">
      <c r="A69" s="50">
        <v>43545</v>
      </c>
      <c r="B69" s="51">
        <v>-100</v>
      </c>
    </row>
    <row r="70" spans="1:2">
      <c r="A70" s="50">
        <v>43546</v>
      </c>
      <c r="B70" s="51">
        <v>-172.41</v>
      </c>
    </row>
    <row r="71" spans="1:2">
      <c r="A71" s="50">
        <v>43546</v>
      </c>
      <c r="B71" s="51">
        <v>-340</v>
      </c>
    </row>
    <row r="72" spans="1:2">
      <c r="A72" s="50">
        <v>43546</v>
      </c>
      <c r="B72" s="51">
        <v>-20.8</v>
      </c>
    </row>
    <row r="73" spans="1:2">
      <c r="A73" s="50">
        <v>43546</v>
      </c>
      <c r="B73" s="51">
        <v>-11.97</v>
      </c>
    </row>
    <row r="74" spans="1:2">
      <c r="A74" s="50">
        <v>43546</v>
      </c>
      <c r="B74" s="51">
        <v>-176</v>
      </c>
    </row>
    <row r="75" spans="1:2">
      <c r="A75" s="50">
        <v>43546</v>
      </c>
      <c r="B75" s="51">
        <v>-131</v>
      </c>
    </row>
    <row r="76" spans="1:2">
      <c r="A76" s="50">
        <v>43547</v>
      </c>
      <c r="B76" s="51">
        <v>-19.38</v>
      </c>
    </row>
    <row r="77" spans="1:2">
      <c r="A77" s="50">
        <v>43547</v>
      </c>
      <c r="B77" s="51">
        <v>-27.7</v>
      </c>
    </row>
    <row r="78" spans="1:2">
      <c r="A78" s="50">
        <v>43547</v>
      </c>
      <c r="B78" s="51">
        <v>-7</v>
      </c>
    </row>
    <row r="79" spans="1:2">
      <c r="A79" s="50">
        <v>43549</v>
      </c>
      <c r="B79" s="51">
        <v>-75.8</v>
      </c>
    </row>
    <row r="80" spans="1:2">
      <c r="A80" s="50">
        <v>43549</v>
      </c>
      <c r="B80" s="51">
        <v>-28.85</v>
      </c>
    </row>
    <row r="81" spans="1:2">
      <c r="A81" s="50">
        <v>43551</v>
      </c>
      <c r="B81" s="51">
        <v>-270.48</v>
      </c>
    </row>
    <row r="82" spans="1:2">
      <c r="A82" s="50">
        <v>43551</v>
      </c>
      <c r="B82" s="51">
        <v>14.99</v>
      </c>
    </row>
    <row r="83" spans="1:2">
      <c r="A83" s="50">
        <v>43551</v>
      </c>
      <c r="B83" s="51">
        <v>-26.17</v>
      </c>
    </row>
    <row r="84" spans="1:2">
      <c r="A84" s="50">
        <v>43552</v>
      </c>
      <c r="B84" s="51">
        <v>-16.82</v>
      </c>
    </row>
    <row r="85" spans="1:2">
      <c r="A85" s="50">
        <v>43554</v>
      </c>
      <c r="B85" s="51">
        <v>-13.17</v>
      </c>
    </row>
    <row r="86" spans="1:2">
      <c r="A86" s="50">
        <v>43556</v>
      </c>
      <c r="B86" s="51">
        <v>-49.54</v>
      </c>
    </row>
    <row r="87" spans="1:2">
      <c r="A87" s="50">
        <v>43556</v>
      </c>
      <c r="B87" s="51">
        <v>-169.99</v>
      </c>
    </row>
    <row r="88" spans="1:2">
      <c r="A88" s="50">
        <v>43556</v>
      </c>
      <c r="B88" s="51">
        <v>-111.93</v>
      </c>
    </row>
    <row r="89" spans="1:2">
      <c r="A89" s="50">
        <v>43556</v>
      </c>
      <c r="B89" s="51">
        <v>-500</v>
      </c>
    </row>
    <row r="90" spans="1:2">
      <c r="A90" s="50">
        <v>43557</v>
      </c>
      <c r="B90" s="51">
        <v>-29</v>
      </c>
    </row>
    <row r="91" spans="1:2">
      <c r="A91" s="50">
        <v>43558</v>
      </c>
      <c r="B91" s="51">
        <v>-7.16</v>
      </c>
    </row>
    <row r="92" spans="1:2">
      <c r="A92" s="50">
        <v>43558</v>
      </c>
      <c r="B92" s="51">
        <v>-28.2</v>
      </c>
    </row>
    <row r="93" spans="1:2">
      <c r="A93" s="50">
        <v>43559</v>
      </c>
      <c r="B93" s="51">
        <v>-14.95</v>
      </c>
    </row>
    <row r="94" spans="1:2">
      <c r="A94" s="50">
        <v>43559</v>
      </c>
      <c r="B94" s="51">
        <v>-32.9</v>
      </c>
    </row>
    <row r="95" spans="1:2">
      <c r="A95" s="50">
        <v>43559</v>
      </c>
      <c r="B95" s="51">
        <v>-4.2699999999999996</v>
      </c>
    </row>
    <row r="96" spans="1:2">
      <c r="A96" s="50">
        <v>43559</v>
      </c>
      <c r="B96" s="51">
        <v>-28.12</v>
      </c>
    </row>
    <row r="97" spans="1:2">
      <c r="A97" s="50">
        <v>43560</v>
      </c>
      <c r="B97" s="51">
        <v>-60.95</v>
      </c>
    </row>
    <row r="98" spans="1:2">
      <c r="A98" s="50">
        <v>43561</v>
      </c>
      <c r="B98" s="51">
        <v>-72.44</v>
      </c>
    </row>
    <row r="99" spans="1:2">
      <c r="A99" s="50">
        <v>43563</v>
      </c>
      <c r="B99" s="51">
        <v>-29.52</v>
      </c>
    </row>
    <row r="100" spans="1:2">
      <c r="A100" s="50">
        <v>43564</v>
      </c>
      <c r="B100" s="51">
        <v>-158.22</v>
      </c>
    </row>
    <row r="101" spans="1:2">
      <c r="A101" s="50">
        <v>43569</v>
      </c>
      <c r="B101" s="51">
        <v>-116.72</v>
      </c>
    </row>
    <row r="102" spans="1:2">
      <c r="A102" s="50">
        <v>43570</v>
      </c>
      <c r="B102" s="51">
        <v>-8.9700000000000006</v>
      </c>
    </row>
    <row r="103" spans="1:2">
      <c r="A103" s="50">
        <v>43570</v>
      </c>
      <c r="B103" s="51">
        <v>-46.88</v>
      </c>
    </row>
    <row r="104" spans="1:2">
      <c r="A104" s="50">
        <v>43578</v>
      </c>
      <c r="B104" s="51">
        <v>-72.16</v>
      </c>
    </row>
    <row r="105" spans="1:2">
      <c r="A105" s="50">
        <v>43578</v>
      </c>
      <c r="B105" s="51">
        <v>-1066.7</v>
      </c>
    </row>
    <row r="106" spans="1:2">
      <c r="A106" s="50">
        <v>43579</v>
      </c>
      <c r="B106" s="51">
        <v>-680</v>
      </c>
    </row>
    <row r="107" spans="1:2">
      <c r="A107" s="50">
        <v>43579</v>
      </c>
      <c r="B107" s="51">
        <v>-840</v>
      </c>
    </row>
    <row r="108" spans="1:2">
      <c r="A108" s="50">
        <v>43579</v>
      </c>
      <c r="B108" s="51">
        <v>-54</v>
      </c>
    </row>
    <row r="109" spans="1:2">
      <c r="A109" s="50">
        <v>43581</v>
      </c>
      <c r="B109" s="51">
        <v>-80.040000000000006</v>
      </c>
    </row>
    <row r="110" spans="1:2">
      <c r="A110" s="50">
        <v>43582</v>
      </c>
      <c r="B110" s="51">
        <v>-85.25</v>
      </c>
    </row>
    <row r="111" spans="1:2">
      <c r="A111" s="50">
        <v>43584</v>
      </c>
      <c r="B111" s="51">
        <v>-8.44</v>
      </c>
    </row>
    <row r="112" spans="1:2">
      <c r="A112" s="50">
        <v>43584</v>
      </c>
      <c r="B112" s="51">
        <v>-39.979999999999997</v>
      </c>
    </row>
    <row r="113" spans="1:2">
      <c r="A113" s="50">
        <v>43586</v>
      </c>
      <c r="B113" s="51">
        <v>-129.05000000000001</v>
      </c>
    </row>
    <row r="114" spans="1:2">
      <c r="A114" s="50">
        <v>43587</v>
      </c>
      <c r="B114" s="51">
        <v>-49.54</v>
      </c>
    </row>
    <row r="115" spans="1:2">
      <c r="A115" s="50">
        <v>43589</v>
      </c>
      <c r="B115" s="51">
        <v>-18.96</v>
      </c>
    </row>
    <row r="116" spans="1:2">
      <c r="A116" s="50">
        <v>43589</v>
      </c>
      <c r="B116" s="51">
        <v>-9.9700000000000006</v>
      </c>
    </row>
    <row r="117" spans="1:2">
      <c r="A117" s="50">
        <v>43591</v>
      </c>
      <c r="B117" s="51">
        <v>-58</v>
      </c>
    </row>
    <row r="118" spans="1:2">
      <c r="A118" s="50">
        <v>43592</v>
      </c>
      <c r="B118" s="51">
        <v>-13.1</v>
      </c>
    </row>
    <row r="119" spans="1:2">
      <c r="A119" s="50">
        <v>43593</v>
      </c>
      <c r="B119" s="51">
        <v>-66.53</v>
      </c>
    </row>
    <row r="120" spans="1:2">
      <c r="A120" s="50">
        <v>43593</v>
      </c>
      <c r="B120" s="51">
        <v>-64.63</v>
      </c>
    </row>
    <row r="121" spans="1:2">
      <c r="A121" s="50">
        <v>43594</v>
      </c>
      <c r="B121" s="51">
        <v>-74.900000000000006</v>
      </c>
    </row>
    <row r="122" spans="1:2">
      <c r="A122" s="50">
        <v>43594</v>
      </c>
      <c r="B122" s="51">
        <v>-91.75</v>
      </c>
    </row>
    <row r="123" spans="1:2">
      <c r="A123" s="50">
        <v>43596</v>
      </c>
      <c r="B123" s="51">
        <v>-50.03</v>
      </c>
    </row>
    <row r="124" spans="1:2">
      <c r="A124" s="50">
        <v>43598</v>
      </c>
      <c r="B124" s="51">
        <v>-42.17</v>
      </c>
    </row>
    <row r="125" spans="1:2">
      <c r="A125" s="50">
        <v>43598</v>
      </c>
      <c r="B125" s="51">
        <v>-366.15</v>
      </c>
    </row>
    <row r="126" spans="1:2">
      <c r="A126" s="50">
        <v>43598</v>
      </c>
      <c r="B126" s="51">
        <v>-29.52</v>
      </c>
    </row>
    <row r="127" spans="1:2">
      <c r="A127" s="50">
        <v>43598</v>
      </c>
      <c r="B127" s="51">
        <v>-528.42999999999995</v>
      </c>
    </row>
    <row r="128" spans="1:2">
      <c r="A128" s="50">
        <v>43598</v>
      </c>
      <c r="B128" s="51">
        <v>-57.7</v>
      </c>
    </row>
    <row r="129" spans="1:2">
      <c r="A129" s="50">
        <v>43602</v>
      </c>
      <c r="B129" s="51">
        <v>-35.729999999999997</v>
      </c>
    </row>
    <row r="130" spans="1:2">
      <c r="A130" s="50">
        <v>43606</v>
      </c>
      <c r="B130" s="51">
        <v>-50.18</v>
      </c>
    </row>
    <row r="131" spans="1:2">
      <c r="A131" s="50">
        <v>43611</v>
      </c>
      <c r="B131" s="51">
        <v>-15</v>
      </c>
    </row>
    <row r="132" spans="1:2">
      <c r="A132" s="50">
        <v>43611</v>
      </c>
      <c r="B132" s="51">
        <v>-0.6</v>
      </c>
    </row>
    <row r="133" spans="1:2">
      <c r="A133" s="50">
        <v>43613</v>
      </c>
      <c r="B133" s="51">
        <v>-17.04</v>
      </c>
    </row>
    <row r="134" spans="1:2">
      <c r="A134" s="50">
        <v>43618</v>
      </c>
      <c r="B134" s="51">
        <v>-26.07</v>
      </c>
    </row>
    <row r="135" spans="1:2">
      <c r="A135" s="50">
        <v>43618</v>
      </c>
      <c r="B135" s="51">
        <v>-31.04</v>
      </c>
    </row>
    <row r="136" spans="1:2">
      <c r="A136" s="50">
        <v>43619</v>
      </c>
      <c r="B136" s="51">
        <v>-49.54</v>
      </c>
    </row>
    <row r="137" spans="1:2">
      <c r="A137" s="50">
        <v>43619</v>
      </c>
      <c r="B137" s="51">
        <v>-38.130000000000003</v>
      </c>
    </row>
    <row r="138" spans="1:2">
      <c r="A138" s="50">
        <v>43619</v>
      </c>
      <c r="B138" s="51">
        <v>-4.53</v>
      </c>
    </row>
    <row r="139" spans="1:2">
      <c r="A139" s="50">
        <v>43621</v>
      </c>
      <c r="B139" s="51">
        <v>-49.75</v>
      </c>
    </row>
    <row r="140" spans="1:2">
      <c r="A140" s="50">
        <v>43626</v>
      </c>
      <c r="B140" s="51">
        <v>-29.52</v>
      </c>
    </row>
    <row r="141" spans="1:2">
      <c r="A141" s="90">
        <v>43632</v>
      </c>
      <c r="B141" s="91">
        <v>-21.04</v>
      </c>
    </row>
    <row r="142" spans="1:2">
      <c r="A142" s="90">
        <v>43639</v>
      </c>
      <c r="B142" s="91">
        <v>-12</v>
      </c>
    </row>
    <row r="143" spans="1:2">
      <c r="A143" s="90">
        <v>43644</v>
      </c>
      <c r="B143" s="91">
        <v>-139</v>
      </c>
    </row>
    <row r="144" spans="1:2">
      <c r="A144" s="90">
        <v>43644</v>
      </c>
      <c r="B144" s="91">
        <v>-60.04</v>
      </c>
    </row>
    <row r="145" spans="1:2">
      <c r="A145" s="90">
        <v>43644</v>
      </c>
      <c r="B145" s="91">
        <v>-16.940000000000001</v>
      </c>
    </row>
    <row r="146" spans="1:2">
      <c r="A146" s="90">
        <v>43647</v>
      </c>
      <c r="B146" s="91">
        <v>-17.04</v>
      </c>
    </row>
    <row r="147" spans="1:2">
      <c r="A147" s="90">
        <v>43647</v>
      </c>
      <c r="B147" s="91">
        <v>-49.54</v>
      </c>
    </row>
    <row r="148" spans="1:2">
      <c r="A148" s="90">
        <v>43648</v>
      </c>
      <c r="B148" s="91">
        <v>-5</v>
      </c>
    </row>
    <row r="149" spans="1:2">
      <c r="A149" s="90">
        <v>43648</v>
      </c>
      <c r="B149" s="91">
        <v>-0.2</v>
      </c>
    </row>
    <row r="150" spans="1:2">
      <c r="A150" s="90">
        <v>43649</v>
      </c>
      <c r="B150" s="91">
        <v>-66.36</v>
      </c>
    </row>
    <row r="151" spans="1:2">
      <c r="A151" s="90">
        <v>43655</v>
      </c>
      <c r="B151" s="91">
        <v>-29.52</v>
      </c>
    </row>
    <row r="152" spans="1:2">
      <c r="A152" s="90">
        <v>43661</v>
      </c>
      <c r="B152" s="91">
        <v>-32.94</v>
      </c>
    </row>
    <row r="153" spans="1:2">
      <c r="A153" s="90">
        <v>43661</v>
      </c>
      <c r="B153" s="91">
        <v>-252.74</v>
      </c>
    </row>
    <row r="154" spans="1:2">
      <c r="A154" s="90">
        <v>43661</v>
      </c>
      <c r="B154" s="91">
        <v>-104</v>
      </c>
    </row>
    <row r="155" spans="1:2">
      <c r="A155" s="90">
        <v>43662</v>
      </c>
      <c r="B155" s="91">
        <v>-123</v>
      </c>
    </row>
    <row r="156" spans="1:2">
      <c r="A156" s="90">
        <v>43662</v>
      </c>
      <c r="B156" s="91">
        <v>-24</v>
      </c>
    </row>
    <row r="157" spans="1:2">
      <c r="A157" s="90">
        <v>43662</v>
      </c>
      <c r="B157" s="91">
        <v>-72</v>
      </c>
    </row>
    <row r="158" spans="1:2">
      <c r="A158" s="90">
        <v>43668</v>
      </c>
      <c r="B158" s="91">
        <v>-200</v>
      </c>
    </row>
    <row r="159" spans="1:2">
      <c r="A159" s="90">
        <v>43668</v>
      </c>
      <c r="B159" s="91">
        <v>-200</v>
      </c>
    </row>
    <row r="160" spans="1:2">
      <c r="A160" s="90">
        <v>43669</v>
      </c>
      <c r="B160" s="91">
        <v>-200</v>
      </c>
    </row>
    <row r="161" spans="1:2">
      <c r="A161" s="90">
        <v>43669</v>
      </c>
      <c r="B161" s="91">
        <v>-200</v>
      </c>
    </row>
    <row r="162" spans="1:2">
      <c r="A162" s="90">
        <v>43669</v>
      </c>
      <c r="B162" s="91">
        <v>-138</v>
      </c>
    </row>
    <row r="163" spans="1:2">
      <c r="A163" s="90">
        <v>43671</v>
      </c>
      <c r="B163" s="91">
        <v>-16.2</v>
      </c>
    </row>
    <row r="164" spans="1:2">
      <c r="A164" s="90">
        <v>43678</v>
      </c>
      <c r="B164" s="91">
        <v>-49.54</v>
      </c>
    </row>
    <row r="165" spans="1:2">
      <c r="A165" s="90">
        <v>43679</v>
      </c>
      <c r="B165" s="91">
        <v>-69.92</v>
      </c>
    </row>
    <row r="166" spans="1:2">
      <c r="A166" s="90">
        <v>43679</v>
      </c>
      <c r="B166" s="91">
        <v>-5</v>
      </c>
    </row>
    <row r="167" spans="1:2">
      <c r="A167" s="90">
        <v>43679</v>
      </c>
      <c r="B167" s="91">
        <v>-0.2</v>
      </c>
    </row>
    <row r="168" spans="1:2">
      <c r="A168" s="90">
        <v>43684</v>
      </c>
      <c r="B168" s="91">
        <v>-29.52</v>
      </c>
    </row>
    <row r="169" spans="1:2">
      <c r="A169" s="90">
        <v>43685</v>
      </c>
      <c r="B169" s="91">
        <v>526.16</v>
      </c>
    </row>
    <row r="170" spans="1:2">
      <c r="A170" s="90">
        <v>43705</v>
      </c>
      <c r="B170" s="91">
        <v>-17.04</v>
      </c>
    </row>
    <row r="171" spans="1:2">
      <c r="A171" s="90">
        <v>43705</v>
      </c>
      <c r="B171" s="91">
        <v>-11.96</v>
      </c>
    </row>
    <row r="172" spans="1:2">
      <c r="A172" s="90">
        <v>43710</v>
      </c>
      <c r="B172" s="91">
        <v>-49.54</v>
      </c>
    </row>
    <row r="173" spans="1:2">
      <c r="A173" s="90">
        <v>43710</v>
      </c>
      <c r="B173" s="91">
        <v>-75.53</v>
      </c>
    </row>
    <row r="174" spans="1:2">
      <c r="A174" s="90">
        <v>43711</v>
      </c>
      <c r="B174" s="91">
        <v>-5</v>
      </c>
    </row>
    <row r="175" spans="1:2">
      <c r="A175" s="90">
        <v>43711</v>
      </c>
      <c r="B175" s="91">
        <v>-0.2</v>
      </c>
    </row>
    <row r="176" spans="1:2">
      <c r="A176" s="90">
        <v>43716</v>
      </c>
      <c r="B176" s="91">
        <v>-97.66</v>
      </c>
    </row>
    <row r="177" spans="1:2">
      <c r="A177" s="90">
        <v>43717</v>
      </c>
      <c r="B177" s="91">
        <v>-29.52</v>
      </c>
    </row>
    <row r="178" spans="1:2">
      <c r="A178" s="90">
        <v>43718</v>
      </c>
      <c r="B178" s="91">
        <v>-21.79</v>
      </c>
    </row>
    <row r="179" spans="1:2">
      <c r="A179" s="90">
        <v>43720</v>
      </c>
      <c r="B179" s="91">
        <v>-210.11</v>
      </c>
    </row>
    <row r="180" spans="1:2">
      <c r="A180" s="90">
        <v>43720</v>
      </c>
      <c r="B180" s="91">
        <v>-70.33</v>
      </c>
    </row>
    <row r="181" spans="1:2">
      <c r="A181" s="90">
        <v>43720</v>
      </c>
      <c r="B181" s="91">
        <v>-33.71</v>
      </c>
    </row>
    <row r="182" spans="1:2">
      <c r="A182" s="90">
        <v>43728</v>
      </c>
      <c r="B182" s="91">
        <v>-30.3</v>
      </c>
    </row>
    <row r="183" spans="1:2">
      <c r="A183" s="90">
        <v>43734</v>
      </c>
      <c r="B183" s="91">
        <v>-43.71</v>
      </c>
    </row>
    <row r="184" spans="1:2">
      <c r="A184" s="90">
        <v>43739</v>
      </c>
      <c r="B184" s="91">
        <v>-49.54</v>
      </c>
    </row>
    <row r="185" spans="1:2">
      <c r="A185" s="90">
        <v>43740</v>
      </c>
      <c r="B185" s="91">
        <v>-5</v>
      </c>
    </row>
    <row r="186" spans="1:2">
      <c r="A186" s="90">
        <v>43740</v>
      </c>
      <c r="B186" s="91">
        <v>-0.2</v>
      </c>
    </row>
    <row r="187" spans="1:2">
      <c r="A187" s="90">
        <v>43741</v>
      </c>
      <c r="B187" s="91">
        <v>-27.33</v>
      </c>
    </row>
    <row r="188" spans="1:2">
      <c r="A188" s="90">
        <v>43742</v>
      </c>
      <c r="B188" s="91">
        <v>-73.59</v>
      </c>
    </row>
    <row r="189" spans="1:2">
      <c r="A189" s="90">
        <v>43745</v>
      </c>
      <c r="B189" s="91">
        <v>-29.52</v>
      </c>
    </row>
    <row r="190" spans="1:2">
      <c r="A190" s="90">
        <v>43753</v>
      </c>
      <c r="B190" s="91">
        <v>-108</v>
      </c>
    </row>
    <row r="191" spans="1:2">
      <c r="A191" s="90">
        <v>43759</v>
      </c>
      <c r="B191" s="91">
        <v>-30.59</v>
      </c>
    </row>
    <row r="192" spans="1:2">
      <c r="A192" s="90">
        <v>43766</v>
      </c>
      <c r="B192" s="91">
        <v>-21.01</v>
      </c>
    </row>
    <row r="193" spans="1:2">
      <c r="A193" s="90">
        <v>43770</v>
      </c>
      <c r="B193" s="91">
        <v>-49.54</v>
      </c>
    </row>
    <row r="194" spans="1:2">
      <c r="A194" s="90">
        <v>43774</v>
      </c>
      <c r="B194" s="91">
        <v>-5</v>
      </c>
    </row>
    <row r="195" spans="1:2">
      <c r="A195" s="90">
        <v>43774</v>
      </c>
      <c r="B195" s="91">
        <v>-0.2</v>
      </c>
    </row>
    <row r="196" spans="1:2">
      <c r="A196" s="90">
        <v>43777</v>
      </c>
      <c r="B196" s="91">
        <v>-71.260000000000005</v>
      </c>
    </row>
    <row r="197" spans="1:2">
      <c r="A197" s="90">
        <v>43777</v>
      </c>
      <c r="B197" s="91">
        <v>-29.52</v>
      </c>
    </row>
    <row r="198" spans="1:2">
      <c r="A198" s="90">
        <v>43780</v>
      </c>
      <c r="B198" s="91">
        <v>-24.26</v>
      </c>
    </row>
    <row r="199" spans="1:2">
      <c r="A199" s="90">
        <v>43781</v>
      </c>
      <c r="B199" s="91">
        <v>-90</v>
      </c>
    </row>
    <row r="200" spans="1:2">
      <c r="A200" s="90">
        <v>43783</v>
      </c>
      <c r="B200" s="91">
        <v>-149.01</v>
      </c>
    </row>
    <row r="201" spans="1:2">
      <c r="A201" s="90">
        <v>43784</v>
      </c>
      <c r="B201" s="91">
        <v>-209.33</v>
      </c>
    </row>
    <row r="202" spans="1:2">
      <c r="A202" s="90">
        <v>43784</v>
      </c>
      <c r="B202" s="91">
        <v>-320.94</v>
      </c>
    </row>
    <row r="203" spans="1:2">
      <c r="A203" s="90">
        <v>43791</v>
      </c>
      <c r="B203" s="91">
        <v>-10</v>
      </c>
    </row>
    <row r="204" spans="1:2">
      <c r="A204" s="90">
        <v>43797</v>
      </c>
      <c r="B204" s="91">
        <v>-19.329999999999998</v>
      </c>
    </row>
    <row r="205" spans="1:2">
      <c r="A205" s="90">
        <v>43801</v>
      </c>
      <c r="B205" s="91">
        <v>-49.54</v>
      </c>
    </row>
    <row r="206" spans="1:2">
      <c r="A206" s="90">
        <v>43802</v>
      </c>
      <c r="B206" s="91">
        <v>-5</v>
      </c>
    </row>
    <row r="207" spans="1:2">
      <c r="A207" s="90">
        <v>43802</v>
      </c>
      <c r="B207" s="91">
        <v>-0.2</v>
      </c>
    </row>
    <row r="208" spans="1:2">
      <c r="A208" s="90">
        <v>43803</v>
      </c>
      <c r="B208" s="91">
        <v>-69.930000000000007</v>
      </c>
    </row>
    <row r="209" spans="1:2">
      <c r="A209" s="90">
        <v>43808</v>
      </c>
      <c r="B209" s="91">
        <v>-29.52</v>
      </c>
    </row>
    <row r="210" spans="1:2">
      <c r="A210" s="90">
        <v>43809</v>
      </c>
      <c r="B210" s="91">
        <v>-20</v>
      </c>
    </row>
    <row r="211" spans="1:2">
      <c r="A211" s="90">
        <v>43811</v>
      </c>
      <c r="B211" s="91">
        <v>700</v>
      </c>
    </row>
    <row r="212" spans="1:2">
      <c r="A212" s="90">
        <v>43811</v>
      </c>
      <c r="B212" s="91">
        <v>37.950000000000003</v>
      </c>
    </row>
    <row r="213" spans="1:2">
      <c r="A213" s="90">
        <v>43811</v>
      </c>
      <c r="B213" s="91">
        <v>120</v>
      </c>
    </row>
    <row r="214" spans="1:2">
      <c r="A214" s="90">
        <v>43811</v>
      </c>
      <c r="B214" s="91">
        <v>290</v>
      </c>
    </row>
    <row r="215" spans="1:2">
      <c r="A215" s="90">
        <v>43811</v>
      </c>
      <c r="B215" s="91">
        <v>703.3</v>
      </c>
    </row>
    <row r="216" spans="1:2">
      <c r="A216" s="90">
        <v>43811</v>
      </c>
      <c r="B216" s="91">
        <v>450</v>
      </c>
    </row>
    <row r="217" spans="1:2">
      <c r="A217" s="90">
        <v>43814</v>
      </c>
      <c r="B217" s="91">
        <v>-23.99</v>
      </c>
    </row>
    <row r="218" spans="1:2">
      <c r="A218" s="90">
        <v>43815</v>
      </c>
      <c r="B218" s="91">
        <v>-22.99</v>
      </c>
    </row>
    <row r="219" spans="1:2">
      <c r="A219" s="90">
        <v>43816</v>
      </c>
      <c r="B219" s="91">
        <v>2500</v>
      </c>
    </row>
    <row r="220" spans="1:2">
      <c r="A220" s="90">
        <v>43817</v>
      </c>
      <c r="B220" s="91">
        <v>-150</v>
      </c>
    </row>
    <row r="221" spans="1:2">
      <c r="A221" s="90">
        <v>43825</v>
      </c>
      <c r="B221" s="91">
        <v>39.5</v>
      </c>
    </row>
    <row r="222" spans="1:2">
      <c r="A222" s="90">
        <v>43825</v>
      </c>
      <c r="B222" s="91">
        <v>44.4</v>
      </c>
    </row>
    <row r="223" spans="1:2">
      <c r="A223" s="90">
        <v>43825</v>
      </c>
      <c r="B223" s="91">
        <v>10</v>
      </c>
    </row>
  </sheetData>
  <mergeCells count="4">
    <mergeCell ref="D2:E2"/>
    <mergeCell ref="F2:G2"/>
    <mergeCell ref="H2:I2"/>
    <mergeCell ref="J2:K2"/>
  </mergeCells>
  <conditionalFormatting sqref="B4:B104857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7880-6990-B44B-AE53-9A3F74ED37AC}">
  <dimension ref="A1:E13"/>
  <sheetViews>
    <sheetView zoomScale="75" workbookViewId="0">
      <selection activeCell="A4" sqref="A4"/>
    </sheetView>
  </sheetViews>
  <sheetFormatPr baseColWidth="10" defaultRowHeight="16"/>
  <cols>
    <col min="1" max="1" width="32" bestFit="1" customWidth="1"/>
    <col min="2" max="3" width="18.5" customWidth="1"/>
    <col min="4" max="4" width="19.5" customWidth="1"/>
  </cols>
  <sheetData>
    <row r="1" spans="1:5" ht="17" thickBot="1">
      <c r="A1" s="24" t="s">
        <v>41</v>
      </c>
      <c r="B1" s="71" t="s">
        <v>61</v>
      </c>
      <c r="C1" s="71" t="s">
        <v>238</v>
      </c>
      <c r="D1" s="72" t="s">
        <v>237</v>
      </c>
      <c r="E1" s="73" t="s">
        <v>238</v>
      </c>
    </row>
    <row r="2" spans="1:5">
      <c r="A2" s="6" t="s">
        <v>36</v>
      </c>
      <c r="B2" s="68">
        <f>SUM(SUMIFS(Despesas_Receitas!E:E,Despesas_Receitas!H:H,"BAR",Despesas_Receitas!B:B,"RECEITA"))</f>
        <v>0</v>
      </c>
      <c r="C2" s="2">
        <f>B2*100/B$13</f>
        <v>0</v>
      </c>
      <c r="D2" s="65">
        <f>SUM(SUMIFS(Despesas_Receitas!E:E,Despesas_Receitas!H:H,"BAR",Despesas_Receitas!B:B,"GASTO"))</f>
        <v>-823.09</v>
      </c>
      <c r="E2" s="74">
        <f>D2*100/D$13</f>
        <v>7.1761933367219628</v>
      </c>
    </row>
    <row r="3" spans="1:5">
      <c r="A3" s="5" t="s">
        <v>47</v>
      </c>
      <c r="B3" s="68">
        <f>SUM(SUMIFS(Despesas_Receitas!E:E,Despesas_Receitas!H:H,"ENCARGOS_C__COLABORADORES",Despesas_Receitas!B:B,"RECEITA"))</f>
        <v>0</v>
      </c>
      <c r="C3" s="2">
        <f t="shared" ref="C3:C12" si="0">B3*100/B$13</f>
        <v>0</v>
      </c>
      <c r="D3" s="65">
        <f>SUM(SUMIFS(Despesas_Receitas!E:E,Despesas_Receitas!H:H,"ENCARGOS_C__COLABORADORES",Despesas_Receitas!B:B,"GASTO"))</f>
        <v>-308.75</v>
      </c>
      <c r="E3" s="74">
        <f t="shared" ref="E3:E12" si="1">D3*100/D$13</f>
        <v>2.69186807361638</v>
      </c>
    </row>
    <row r="4" spans="1:5">
      <c r="A4" s="21" t="s">
        <v>51</v>
      </c>
      <c r="B4" s="69">
        <f>SUM(SUMIFS(Despesas_Receitas!E:E,Despesas_Receitas!H:H,"ENCARGOS_C__INSTALAÇÕES",Despesas_Receitas!B:B,"RECEITA"))</f>
        <v>14.99</v>
      </c>
      <c r="C4" s="2">
        <f t="shared" si="0"/>
        <v>34.868574086996972</v>
      </c>
      <c r="D4" s="66">
        <f>SUM(SUMIFS(Despesas_Receitas!E:E,Despesas_Receitas!H:H,"ENCARGOS_C__INSTALAÇÕES",Despesas_Receitas!B:B,"GASTO"))</f>
        <v>-6492.88</v>
      </c>
      <c r="E4" s="74">
        <f t="shared" si="1"/>
        <v>56.608830373513591</v>
      </c>
    </row>
    <row r="5" spans="1:5">
      <c r="A5" s="22" t="s">
        <v>23</v>
      </c>
      <c r="B5" s="68">
        <f>SUM(SUMIFS(Despesas_Receitas!E:E,Despesas_Receitas!H:H,"EQUIPAMENTOS",Despesas_Receitas!B:B,"RECEITA"))</f>
        <v>0</v>
      </c>
      <c r="C5" s="2">
        <f t="shared" si="0"/>
        <v>0</v>
      </c>
      <c r="D5" s="65">
        <f>SUM(SUMIFS(Despesas_Receitas!E:E,Despesas_Receitas!H:H,"EQUIPAMENTOS",Despesas_Receitas!B:B,"GASTO"))</f>
        <v>-388.99</v>
      </c>
      <c r="E5" s="74">
        <f t="shared" si="1"/>
        <v>3.3914486217199533</v>
      </c>
    </row>
    <row r="6" spans="1:5">
      <c r="A6" s="7" t="s">
        <v>45</v>
      </c>
      <c r="B6" s="68">
        <f>SUM(SUMIFS(Despesas_Receitas!E:E,Despesas_Receitas!H:H,"NOITE_DAS_CAMÉLIAS",Despesas_Receitas!B:B,"RECEITA"))</f>
        <v>0</v>
      </c>
      <c r="C6" s="2">
        <f t="shared" si="0"/>
        <v>0</v>
      </c>
      <c r="D6" s="65">
        <f>SUM(SUMIFS(Despesas_Receitas!E:E,Despesas_Receitas!H:H,"NOITE_DAS_CAMÉLIAS",Despesas_Receitas!B:B,"GASTO"))</f>
        <v>-2051.77</v>
      </c>
      <c r="E6" s="74">
        <f t="shared" si="1"/>
        <v>17.888564072563174</v>
      </c>
    </row>
    <row r="7" spans="1:5">
      <c r="A7" s="33" t="s">
        <v>65</v>
      </c>
      <c r="B7" s="68">
        <f>SUM(SUMIFS(Despesas_Receitas!E:E,Despesas_Receitas!H:H,"RECEITA_ATIVIDADES_CONTRATADAS",Despesas_Receitas!B:B,"RECEITA"))</f>
        <v>0</v>
      </c>
      <c r="C7" s="2">
        <f t="shared" si="0"/>
        <v>0</v>
      </c>
      <c r="D7" s="65">
        <f>SUM(SUMIFS(Despesas_Receitas!E:E,Despesas_Receitas!H:H,"RECEITA_ATIVIDADES_CONTRATADAS",Despesas_Receitas!B:B,"GASTO"))</f>
        <v>0</v>
      </c>
      <c r="E7" s="74">
        <f t="shared" si="1"/>
        <v>0</v>
      </c>
    </row>
    <row r="8" spans="1:5">
      <c r="A8" s="23" t="s">
        <v>64</v>
      </c>
      <c r="B8" s="68">
        <f>SUM(SUMIFS(Despesas_Receitas!E:E,Despesas_Receitas!H:H,"RENDA_RESTAURANTE",Despesas_Receitas!B:B,"RECEITA"))</f>
        <v>0</v>
      </c>
      <c r="C8" s="2">
        <f t="shared" si="0"/>
        <v>0</v>
      </c>
      <c r="D8" s="65">
        <f>SUM(SUMIFS(Despesas_Receitas!E:E,Despesas_Receitas!H:H,"RENDA_RESTAURANTE",Despesas_Receitas!B:B,"GASTO"))</f>
        <v>0</v>
      </c>
      <c r="E8" s="74">
        <f t="shared" si="1"/>
        <v>0</v>
      </c>
    </row>
    <row r="9" spans="1:5">
      <c r="A9" s="9" t="s">
        <v>48</v>
      </c>
      <c r="B9" s="68">
        <f>SUM(SUMIFS(Despesas_Receitas!E:E,Despesas_Receitas!H:H,"SÓCIOS",Despesas_Receitas!B:B,"RECEITA"))</f>
        <v>0</v>
      </c>
      <c r="C9" s="2">
        <f t="shared" si="0"/>
        <v>0</v>
      </c>
      <c r="D9" s="65">
        <f>SUM(SUMIFS(Despesas_Receitas!E:E,Despesas_Receitas!H:H,"SÓCIOS",Despesas_Receitas!B:B,"GASTO"))</f>
        <v>0</v>
      </c>
      <c r="E9" s="74">
        <f t="shared" si="1"/>
        <v>0</v>
      </c>
    </row>
    <row r="10" spans="1:5">
      <c r="A10" s="8" t="s">
        <v>46</v>
      </c>
      <c r="B10" s="68">
        <f>SUM(SUMIFS(Despesas_Receitas!E:E,Despesas_Receitas!H:H,"TEATRO_UNIÃO",Despesas_Receitas!B:B,"RECEITA"))</f>
        <v>28</v>
      </c>
      <c r="C10" s="2">
        <f t="shared" si="0"/>
        <v>65.131425913003028</v>
      </c>
      <c r="D10" s="65">
        <f>SUM(SUMIFS(Despesas_Receitas!E:E,Despesas_Receitas!H:H,"TEATRO_UNIÃO",Despesas_Receitas!B:B,"GASTO"))</f>
        <v>-1026.8600000000001</v>
      </c>
      <c r="E10" s="74">
        <f t="shared" si="1"/>
        <v>8.9527826723035346</v>
      </c>
    </row>
    <row r="11" spans="1:5">
      <c r="A11" s="42" t="s">
        <v>90</v>
      </c>
      <c r="B11" s="68">
        <f>SUM(SUMIFS(Despesas_Receitas!E:E,Despesas_Receitas!H:H,"ATIVIDADES_DIVERSAS",Despesas_Receitas!B:B,"RECEITA"))</f>
        <v>0</v>
      </c>
      <c r="C11" s="2">
        <f t="shared" si="0"/>
        <v>0</v>
      </c>
      <c r="D11" s="65">
        <f>SUM(SUMIFS(Despesas_Receitas!E:E,Despesas_Receitas!H:H,"ATIVIDADES_DIVERSAS",Despesas_Receitas!B:B,"GASTO"))</f>
        <v>-170.98000000000002</v>
      </c>
      <c r="E11" s="74">
        <f t="shared" si="1"/>
        <v>1.4907064072127243</v>
      </c>
    </row>
    <row r="12" spans="1:5" ht="17" thickBot="1">
      <c r="A12" s="64" t="s">
        <v>18</v>
      </c>
      <c r="B12" s="70">
        <f>SUM(SUMIFS(Despesas_Receitas!E:E,Despesas_Receitas!H:H,"ANIVERSÁRIO_SUS",Despesas_Receitas!B:B,"RECEITA"))</f>
        <v>0</v>
      </c>
      <c r="C12" s="3">
        <f t="shared" si="0"/>
        <v>0</v>
      </c>
      <c r="D12" s="67">
        <f>SUM(SUMIFS(Despesas_Receitas!E:E,Despesas_Receitas!H:H,"ANIVERSÁRIO_SUS",Despesas_Receitas!B:B,"GASTO"))</f>
        <v>-206.41</v>
      </c>
      <c r="E12" s="75">
        <f t="shared" si="1"/>
        <v>1.7996064423486866</v>
      </c>
    </row>
    <row r="13" spans="1:5">
      <c r="A13" t="s">
        <v>15</v>
      </c>
      <c r="B13" s="14">
        <f>SUM(B2:B12)</f>
        <v>42.99</v>
      </c>
      <c r="D13" s="14">
        <f>SUM(D2:D12)</f>
        <v>-11469.73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DF81-A55B-A844-B147-3208326F7FD9}">
  <dimension ref="A1:K20"/>
  <sheetViews>
    <sheetView workbookViewId="0">
      <selection activeCell="C13" sqref="C13"/>
    </sheetView>
  </sheetViews>
  <sheetFormatPr baseColWidth="10" defaultRowHeight="16"/>
  <cols>
    <col min="1" max="1" width="27.83203125" bestFit="1" customWidth="1"/>
    <col min="2" max="2" width="31.1640625" bestFit="1" customWidth="1"/>
    <col min="3" max="3" width="37.6640625" bestFit="1" customWidth="1"/>
    <col min="4" max="4" width="39" bestFit="1" customWidth="1"/>
    <col min="5" max="5" width="33.6640625" customWidth="1"/>
    <col min="6" max="6" width="32.5" bestFit="1" customWidth="1"/>
    <col min="7" max="7" width="20.1640625" bestFit="1" customWidth="1"/>
    <col min="8" max="8" width="13.5" bestFit="1" customWidth="1"/>
    <col min="9" max="9" width="19.1640625" bestFit="1" customWidth="1"/>
    <col min="10" max="10" width="20.33203125" bestFit="1" customWidth="1"/>
    <col min="11" max="11" width="16.6640625" bestFit="1" customWidth="1"/>
  </cols>
  <sheetData>
    <row r="1" spans="1:11">
      <c r="A1" s="53" t="s">
        <v>36</v>
      </c>
      <c r="B1" s="54" t="s">
        <v>81</v>
      </c>
      <c r="C1" s="55" t="s">
        <v>82</v>
      </c>
      <c r="D1" s="56" t="s">
        <v>23</v>
      </c>
      <c r="E1" s="57" t="s">
        <v>77</v>
      </c>
      <c r="F1" s="58" t="s">
        <v>78</v>
      </c>
      <c r="G1" s="59" t="s">
        <v>79</v>
      </c>
      <c r="H1" s="60" t="s">
        <v>48</v>
      </c>
      <c r="I1" s="61" t="s">
        <v>80</v>
      </c>
      <c r="J1" s="62" t="s">
        <v>91</v>
      </c>
      <c r="K1" s="63" t="s">
        <v>92</v>
      </c>
    </row>
    <row r="2" spans="1:11">
      <c r="A2" s="17" t="s">
        <v>83</v>
      </c>
      <c r="B2" s="16" t="s">
        <v>42</v>
      </c>
      <c r="C2" s="35" t="s">
        <v>17</v>
      </c>
      <c r="D2" s="36" t="s">
        <v>53</v>
      </c>
      <c r="E2" s="18" t="s">
        <v>49</v>
      </c>
      <c r="F2" s="20" t="s">
        <v>65</v>
      </c>
      <c r="G2" s="19" t="s">
        <v>64</v>
      </c>
      <c r="H2" s="38" t="s">
        <v>25</v>
      </c>
      <c r="I2" s="39" t="s">
        <v>37</v>
      </c>
      <c r="J2" s="43" t="s">
        <v>83</v>
      </c>
      <c r="K2" s="44" t="s">
        <v>83</v>
      </c>
    </row>
    <row r="3" spans="1:11">
      <c r="A3" s="17" t="s">
        <v>61</v>
      </c>
      <c r="B3" s="16" t="s">
        <v>43</v>
      </c>
      <c r="C3" s="35" t="s">
        <v>19</v>
      </c>
      <c r="D3" s="36" t="s">
        <v>55</v>
      </c>
      <c r="E3" s="18" t="s">
        <v>23</v>
      </c>
      <c r="F3" s="4"/>
      <c r="G3" s="4"/>
      <c r="H3" s="38" t="s">
        <v>27</v>
      </c>
      <c r="I3" s="39" t="s">
        <v>40</v>
      </c>
      <c r="J3" s="43" t="s">
        <v>61</v>
      </c>
      <c r="K3" s="44" t="s">
        <v>61</v>
      </c>
    </row>
    <row r="4" spans="1:11">
      <c r="A4" s="17" t="s">
        <v>23</v>
      </c>
      <c r="B4" s="16" t="s">
        <v>44</v>
      </c>
      <c r="C4" s="35" t="s">
        <v>20</v>
      </c>
      <c r="D4" s="36" t="s">
        <v>54</v>
      </c>
      <c r="E4" s="18" t="s">
        <v>50</v>
      </c>
      <c r="F4" s="4"/>
      <c r="G4" s="4"/>
      <c r="H4" s="38" t="s">
        <v>21</v>
      </c>
      <c r="I4" s="39" t="s">
        <v>34</v>
      </c>
      <c r="J4" s="43" t="s">
        <v>89</v>
      </c>
      <c r="K4" s="44" t="s">
        <v>89</v>
      </c>
    </row>
    <row r="5" spans="1:11">
      <c r="A5" s="17" t="s">
        <v>84</v>
      </c>
      <c r="B5" s="16" t="s">
        <v>35</v>
      </c>
      <c r="C5" s="35" t="s">
        <v>22</v>
      </c>
      <c r="D5" s="36" t="s">
        <v>56</v>
      </c>
      <c r="E5" s="18" t="s">
        <v>37</v>
      </c>
      <c r="F5" s="4"/>
      <c r="G5" s="4"/>
      <c r="H5" s="4"/>
      <c r="I5" s="39" t="s">
        <v>87</v>
      </c>
      <c r="J5" s="4"/>
      <c r="K5" s="4"/>
    </row>
    <row r="6" spans="1:11">
      <c r="A6" s="17"/>
      <c r="B6" s="4"/>
      <c r="C6" s="35" t="s">
        <v>24</v>
      </c>
      <c r="D6" s="36" t="s">
        <v>85</v>
      </c>
      <c r="E6" s="37" t="s">
        <v>38</v>
      </c>
      <c r="F6" s="4"/>
      <c r="G6" s="4"/>
      <c r="H6" s="4"/>
      <c r="I6" s="39" t="s">
        <v>89</v>
      </c>
      <c r="J6" s="4"/>
      <c r="K6" s="4"/>
    </row>
    <row r="7" spans="1:11">
      <c r="A7" s="17"/>
      <c r="B7" s="4"/>
      <c r="C7" s="35" t="s">
        <v>26</v>
      </c>
      <c r="D7" s="36" t="s">
        <v>86</v>
      </c>
      <c r="E7" s="37" t="s">
        <v>39</v>
      </c>
      <c r="F7" s="4"/>
      <c r="G7" s="4"/>
      <c r="H7" s="4"/>
      <c r="I7" s="4"/>
      <c r="J7" s="4"/>
      <c r="K7" s="4"/>
    </row>
    <row r="8" spans="1:11">
      <c r="A8" s="4"/>
      <c r="B8" s="4"/>
      <c r="C8" s="35" t="s">
        <v>52</v>
      </c>
      <c r="D8" s="36" t="s">
        <v>35</v>
      </c>
      <c r="E8" s="18" t="s">
        <v>87</v>
      </c>
      <c r="F8" s="4"/>
      <c r="G8" s="4"/>
      <c r="H8" s="4"/>
      <c r="I8" s="4"/>
      <c r="J8" s="4"/>
      <c r="K8" s="4"/>
    </row>
    <row r="9" spans="1:11">
      <c r="A9" s="4"/>
      <c r="B9" s="4"/>
      <c r="C9" s="35" t="s">
        <v>49</v>
      </c>
      <c r="D9" s="4"/>
      <c r="E9" s="18" t="s">
        <v>88</v>
      </c>
      <c r="F9" s="4"/>
      <c r="G9" s="4"/>
      <c r="H9" s="4"/>
      <c r="I9" s="4"/>
      <c r="J9" s="4"/>
      <c r="K9" s="4"/>
    </row>
    <row r="10" spans="1:11">
      <c r="A10" s="4"/>
      <c r="B10" s="4"/>
      <c r="C10" s="35" t="s">
        <v>28</v>
      </c>
      <c r="D10" s="4"/>
      <c r="E10" s="18" t="s">
        <v>89</v>
      </c>
      <c r="F10" s="4"/>
      <c r="G10" s="4"/>
      <c r="H10" s="4"/>
      <c r="I10" s="4"/>
      <c r="J10" s="4"/>
      <c r="K10" s="4"/>
    </row>
    <row r="11" spans="1:11">
      <c r="A11" s="4"/>
      <c r="B11" s="4"/>
      <c r="C11" s="35" t="s">
        <v>29</v>
      </c>
      <c r="D11" s="4"/>
      <c r="E11" s="18" t="s">
        <v>35</v>
      </c>
      <c r="F11" s="4"/>
      <c r="G11" s="4"/>
      <c r="H11" s="4"/>
      <c r="I11" s="4"/>
      <c r="J11" s="4"/>
      <c r="K11" s="4"/>
    </row>
    <row r="12" spans="1:11">
      <c r="A12" s="4"/>
      <c r="B12" s="4"/>
      <c r="C12" s="35" t="s">
        <v>30</v>
      </c>
      <c r="D12" s="4"/>
      <c r="E12" s="18" t="s">
        <v>225</v>
      </c>
      <c r="F12" s="4"/>
      <c r="G12" s="4"/>
      <c r="H12" s="4"/>
      <c r="I12" s="4"/>
      <c r="J12" s="4"/>
      <c r="K12" s="4"/>
    </row>
    <row r="13" spans="1:11">
      <c r="A13" s="4"/>
      <c r="B13" s="4"/>
      <c r="C13" s="35" t="s">
        <v>31</v>
      </c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35" t="s">
        <v>32</v>
      </c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35" t="s">
        <v>33</v>
      </c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35" t="s">
        <v>57</v>
      </c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35" t="s">
        <v>58</v>
      </c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35" t="s">
        <v>89</v>
      </c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35" t="s">
        <v>35</v>
      </c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35" t="s">
        <v>205</v>
      </c>
      <c r="D20" s="4"/>
      <c r="E20" s="4"/>
      <c r="F20" s="4"/>
      <c r="G20" s="4"/>
      <c r="H20" s="4"/>
      <c r="I20" s="4"/>
      <c r="J20" s="4"/>
      <c r="K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12</vt:i4>
      </vt:variant>
    </vt:vector>
  </HeadingPairs>
  <TitlesOfParts>
    <vt:vector size="17" baseType="lpstr">
      <vt:lpstr>Balanço</vt:lpstr>
      <vt:lpstr>Despesas_Receitas</vt:lpstr>
      <vt:lpstr>evolução</vt:lpstr>
      <vt:lpstr>GRÁFICOS - CC</vt:lpstr>
      <vt:lpstr>CC</vt:lpstr>
      <vt:lpstr>ANIVERSÁRIO_SUS</vt:lpstr>
      <vt:lpstr>ATIVIDADES_DIVERSAS</vt:lpstr>
      <vt:lpstr>BAR</vt:lpstr>
      <vt:lpstr>CC</vt:lpstr>
      <vt:lpstr>ENCARGOS_C__COLABORADORES</vt:lpstr>
      <vt:lpstr>ENCARGOS_C__INSTALAÇÕES</vt:lpstr>
      <vt:lpstr>EQUIPAMENTOS</vt:lpstr>
      <vt:lpstr>NOITE_DAS_CAMÉLIAS</vt:lpstr>
      <vt:lpstr>RECEITA_ATIVIDADES_CONTRATADAS</vt:lpstr>
      <vt:lpstr>RENDA_RESTAURANTE</vt:lpstr>
      <vt:lpstr>SÓCIOS</vt:lpstr>
      <vt:lpstr>TEATRO_UNIÃO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Ribeiro</dc:creator>
  <cp:lastModifiedBy>Vasco Ribeiro</cp:lastModifiedBy>
  <cp:lastPrinted>2019-06-10T16:41:32Z</cp:lastPrinted>
  <dcterms:created xsi:type="dcterms:W3CDTF">2019-06-10T07:45:36Z</dcterms:created>
  <dcterms:modified xsi:type="dcterms:W3CDTF">2020-05-14T09:34:38Z</dcterms:modified>
</cp:coreProperties>
</file>