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sil\PycharmProjects\fastApiProject_RWT\template_docs\"/>
    </mc:Choice>
  </mc:AlternateContent>
  <xr:revisionPtr revIDLastSave="0" documentId="13_ncr:1_{18740A4C-C95E-4CEF-BBBC-CFC356D71EA5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Служебный (водители)" sheetId="5" state="hidden" r:id="rId1"/>
    <sheet name="ttn" sheetId="7" r:id="rId2"/>
    <sheet name="Служебный (выписка из гл реестр" sheetId="8" state="hidden" r:id="rId3"/>
  </sheets>
  <definedNames>
    <definedName name="_xlnm.Print_Area" localSheetId="1">ttn!$A$1:$DB$91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8" i="8" l="1"/>
  <c r="J438" i="8"/>
  <c r="I438" i="8"/>
  <c r="H438" i="8"/>
  <c r="G438" i="8"/>
  <c r="F438" i="8"/>
  <c r="E438" i="8"/>
  <c r="D438" i="8"/>
  <c r="C438" i="8"/>
  <c r="B438" i="8"/>
  <c r="A438" i="8"/>
  <c r="K437" i="8"/>
  <c r="J437" i="8"/>
  <c r="I437" i="8"/>
  <c r="H437" i="8"/>
  <c r="G437" i="8"/>
  <c r="F437" i="8"/>
  <c r="E437" i="8"/>
  <c r="D437" i="8"/>
  <c r="C437" i="8"/>
  <c r="B437" i="8"/>
  <c r="A437" i="8"/>
  <c r="K436" i="8"/>
  <c r="J436" i="8"/>
  <c r="I436" i="8"/>
  <c r="H436" i="8"/>
  <c r="G436" i="8"/>
  <c r="F436" i="8"/>
  <c r="E436" i="8"/>
  <c r="D436" i="8"/>
  <c r="C436" i="8"/>
  <c r="B436" i="8"/>
  <c r="A436" i="8"/>
  <c r="K435" i="8"/>
  <c r="J435" i="8"/>
  <c r="I435" i="8"/>
  <c r="H435" i="8"/>
  <c r="G435" i="8"/>
  <c r="F435" i="8"/>
  <c r="E435" i="8"/>
  <c r="D435" i="8"/>
  <c r="C435" i="8"/>
  <c r="B435" i="8"/>
  <c r="A435" i="8"/>
  <c r="K434" i="8"/>
  <c r="J434" i="8"/>
  <c r="I434" i="8"/>
  <c r="H434" i="8"/>
  <c r="G434" i="8"/>
  <c r="F434" i="8"/>
  <c r="E434" i="8"/>
  <c r="D434" i="8"/>
  <c r="C434" i="8"/>
  <c r="B434" i="8"/>
  <c r="A434" i="8"/>
  <c r="K433" i="8"/>
  <c r="J433" i="8"/>
  <c r="I433" i="8"/>
  <c r="H433" i="8"/>
  <c r="G433" i="8"/>
  <c r="F433" i="8"/>
  <c r="E433" i="8"/>
  <c r="D433" i="8"/>
  <c r="C433" i="8"/>
  <c r="B433" i="8"/>
  <c r="A433" i="8"/>
  <c r="K432" i="8"/>
  <c r="J432" i="8"/>
  <c r="I432" i="8"/>
  <c r="H432" i="8"/>
  <c r="G432" i="8"/>
  <c r="F432" i="8"/>
  <c r="E432" i="8"/>
  <c r="D432" i="8"/>
  <c r="C432" i="8"/>
  <c r="B432" i="8"/>
  <c r="A432" i="8"/>
  <c r="K431" i="8"/>
  <c r="J431" i="8"/>
  <c r="I431" i="8"/>
  <c r="H431" i="8"/>
  <c r="G431" i="8"/>
  <c r="F431" i="8"/>
  <c r="E431" i="8"/>
  <c r="D431" i="8"/>
  <c r="C431" i="8"/>
  <c r="B431" i="8"/>
  <c r="A431" i="8"/>
  <c r="K430" i="8"/>
  <c r="J430" i="8"/>
  <c r="I430" i="8"/>
  <c r="H430" i="8"/>
  <c r="G430" i="8"/>
  <c r="F430" i="8"/>
  <c r="E430" i="8"/>
  <c r="D430" i="8"/>
  <c r="C430" i="8"/>
  <c r="B430" i="8"/>
  <c r="A430" i="8"/>
  <c r="K429" i="8"/>
  <c r="J429" i="8"/>
  <c r="I429" i="8"/>
  <c r="H429" i="8"/>
  <c r="G429" i="8"/>
  <c r="F429" i="8"/>
  <c r="E429" i="8"/>
  <c r="D429" i="8"/>
  <c r="C429" i="8"/>
  <c r="B429" i="8"/>
  <c r="A429" i="8"/>
  <c r="K428" i="8"/>
  <c r="J428" i="8"/>
  <c r="I428" i="8"/>
  <c r="H428" i="8"/>
  <c r="G428" i="8"/>
  <c r="F428" i="8"/>
  <c r="E428" i="8"/>
  <c r="D428" i="8"/>
  <c r="C428" i="8"/>
  <c r="B428" i="8"/>
  <c r="A428" i="8"/>
  <c r="K427" i="8"/>
  <c r="J427" i="8"/>
  <c r="I427" i="8"/>
  <c r="H427" i="8"/>
  <c r="G427" i="8"/>
  <c r="F427" i="8"/>
  <c r="E427" i="8"/>
  <c r="D427" i="8"/>
  <c r="C427" i="8"/>
  <c r="B427" i="8"/>
  <c r="A427" i="8"/>
  <c r="K426" i="8"/>
  <c r="J426" i="8"/>
  <c r="I426" i="8"/>
  <c r="H426" i="8"/>
  <c r="G426" i="8"/>
  <c r="F426" i="8"/>
  <c r="E426" i="8"/>
  <c r="D426" i="8"/>
  <c r="C426" i="8"/>
  <c r="B426" i="8"/>
  <c r="A426" i="8"/>
  <c r="K425" i="8"/>
  <c r="J425" i="8"/>
  <c r="I425" i="8"/>
  <c r="H425" i="8"/>
  <c r="G425" i="8"/>
  <c r="F425" i="8"/>
  <c r="E425" i="8"/>
  <c r="D425" i="8"/>
  <c r="C425" i="8"/>
  <c r="B425" i="8"/>
  <c r="A425" i="8"/>
  <c r="K424" i="8"/>
  <c r="J424" i="8"/>
  <c r="I424" i="8"/>
  <c r="H424" i="8"/>
  <c r="G424" i="8"/>
  <c r="F424" i="8"/>
  <c r="E424" i="8"/>
  <c r="D424" i="8"/>
  <c r="C424" i="8"/>
  <c r="B424" i="8"/>
  <c r="A424" i="8"/>
  <c r="K423" i="8"/>
  <c r="J423" i="8"/>
  <c r="I423" i="8"/>
  <c r="H423" i="8"/>
  <c r="G423" i="8"/>
  <c r="F423" i="8"/>
  <c r="E423" i="8"/>
  <c r="D423" i="8"/>
  <c r="C423" i="8"/>
  <c r="B423" i="8"/>
  <c r="A423" i="8"/>
  <c r="K422" i="8"/>
  <c r="J422" i="8"/>
  <c r="I422" i="8"/>
  <c r="H422" i="8"/>
  <c r="G422" i="8"/>
  <c r="F422" i="8"/>
  <c r="E422" i="8"/>
  <c r="D422" i="8"/>
  <c r="C422" i="8"/>
  <c r="B422" i="8"/>
  <c r="A422" i="8"/>
  <c r="K421" i="8"/>
  <c r="J421" i="8"/>
  <c r="I421" i="8"/>
  <c r="H421" i="8"/>
  <c r="G421" i="8"/>
  <c r="F421" i="8"/>
  <c r="E421" i="8"/>
  <c r="D421" i="8"/>
  <c r="C421" i="8"/>
  <c r="B421" i="8"/>
  <c r="A421" i="8"/>
  <c r="K420" i="8"/>
  <c r="J420" i="8"/>
  <c r="I420" i="8"/>
  <c r="H420" i="8"/>
  <c r="G420" i="8"/>
  <c r="F420" i="8"/>
  <c r="E420" i="8"/>
  <c r="D420" i="8"/>
  <c r="C420" i="8"/>
  <c r="B420" i="8"/>
  <c r="A420" i="8"/>
  <c r="K419" i="8"/>
  <c r="J419" i="8"/>
  <c r="I419" i="8"/>
  <c r="H419" i="8"/>
  <c r="G419" i="8"/>
  <c r="F419" i="8"/>
  <c r="E419" i="8"/>
  <c r="D419" i="8"/>
  <c r="C419" i="8"/>
  <c r="B419" i="8"/>
  <c r="A419" i="8"/>
  <c r="K418" i="8"/>
  <c r="J418" i="8"/>
  <c r="I418" i="8"/>
  <c r="H418" i="8"/>
  <c r="G418" i="8"/>
  <c r="F418" i="8"/>
  <c r="E418" i="8"/>
  <c r="D418" i="8"/>
  <c r="C418" i="8"/>
  <c r="B418" i="8"/>
  <c r="A418" i="8"/>
  <c r="K417" i="8"/>
  <c r="J417" i="8"/>
  <c r="I417" i="8"/>
  <c r="H417" i="8"/>
  <c r="G417" i="8"/>
  <c r="F417" i="8"/>
  <c r="E417" i="8"/>
  <c r="D417" i="8"/>
  <c r="C417" i="8"/>
  <c r="B417" i="8"/>
  <c r="A417" i="8"/>
  <c r="K416" i="8"/>
  <c r="J416" i="8"/>
  <c r="I416" i="8"/>
  <c r="H416" i="8"/>
  <c r="G416" i="8"/>
  <c r="F416" i="8"/>
  <c r="E416" i="8"/>
  <c r="D416" i="8"/>
  <c r="C416" i="8"/>
  <c r="B416" i="8"/>
  <c r="A416" i="8"/>
  <c r="K415" i="8"/>
  <c r="J415" i="8"/>
  <c r="I415" i="8"/>
  <c r="H415" i="8"/>
  <c r="G415" i="8"/>
  <c r="F415" i="8"/>
  <c r="E415" i="8"/>
  <c r="D415" i="8"/>
  <c r="C415" i="8"/>
  <c r="B415" i="8"/>
  <c r="A415" i="8"/>
  <c r="K414" i="8"/>
  <c r="J414" i="8"/>
  <c r="I414" i="8"/>
  <c r="H414" i="8"/>
  <c r="G414" i="8"/>
  <c r="F414" i="8"/>
  <c r="E414" i="8"/>
  <c r="D414" i="8"/>
  <c r="C414" i="8"/>
  <c r="B414" i="8"/>
  <c r="A414" i="8"/>
  <c r="K413" i="8"/>
  <c r="J413" i="8"/>
  <c r="I413" i="8"/>
  <c r="H413" i="8"/>
  <c r="G413" i="8"/>
  <c r="F413" i="8"/>
  <c r="E413" i="8"/>
  <c r="D413" i="8"/>
  <c r="C413" i="8"/>
  <c r="B413" i="8"/>
  <c r="A413" i="8"/>
  <c r="K412" i="8"/>
  <c r="J412" i="8"/>
  <c r="I412" i="8"/>
  <c r="H412" i="8"/>
  <c r="G412" i="8"/>
  <c r="F412" i="8"/>
  <c r="E412" i="8"/>
  <c r="D412" i="8"/>
  <c r="C412" i="8"/>
  <c r="B412" i="8"/>
  <c r="A412" i="8"/>
  <c r="K411" i="8"/>
  <c r="J411" i="8"/>
  <c r="I411" i="8"/>
  <c r="H411" i="8"/>
  <c r="G411" i="8"/>
  <c r="F411" i="8"/>
  <c r="E411" i="8"/>
  <c r="D411" i="8"/>
  <c r="C411" i="8"/>
  <c r="B411" i="8"/>
  <c r="A411" i="8"/>
  <c r="K410" i="8"/>
  <c r="J410" i="8"/>
  <c r="I410" i="8"/>
  <c r="H410" i="8"/>
  <c r="G410" i="8"/>
  <c r="F410" i="8"/>
  <c r="E410" i="8"/>
  <c r="D410" i="8"/>
  <c r="C410" i="8"/>
  <c r="B410" i="8"/>
  <c r="A410" i="8"/>
  <c r="K409" i="8"/>
  <c r="J409" i="8"/>
  <c r="I409" i="8"/>
  <c r="H409" i="8"/>
  <c r="G409" i="8"/>
  <c r="F409" i="8"/>
  <c r="E409" i="8"/>
  <c r="D409" i="8"/>
  <c r="C409" i="8"/>
  <c r="B409" i="8"/>
  <c r="A409" i="8"/>
  <c r="K408" i="8"/>
  <c r="J408" i="8"/>
  <c r="I408" i="8"/>
  <c r="H408" i="8"/>
  <c r="G408" i="8"/>
  <c r="F408" i="8"/>
  <c r="E408" i="8"/>
  <c r="D408" i="8"/>
  <c r="C408" i="8"/>
  <c r="B408" i="8"/>
  <c r="A408" i="8"/>
  <c r="K407" i="8"/>
  <c r="J407" i="8"/>
  <c r="I407" i="8"/>
  <c r="H407" i="8"/>
  <c r="G407" i="8"/>
  <c r="F407" i="8"/>
  <c r="E407" i="8"/>
  <c r="D407" i="8"/>
  <c r="C407" i="8"/>
  <c r="B407" i="8"/>
  <c r="A407" i="8"/>
  <c r="K406" i="8"/>
  <c r="J406" i="8"/>
  <c r="I406" i="8"/>
  <c r="H406" i="8"/>
  <c r="G406" i="8"/>
  <c r="F406" i="8"/>
  <c r="E406" i="8"/>
  <c r="D406" i="8"/>
  <c r="C406" i="8"/>
  <c r="B406" i="8"/>
  <c r="A406" i="8"/>
  <c r="K405" i="8"/>
  <c r="J405" i="8"/>
  <c r="I405" i="8"/>
  <c r="H405" i="8"/>
  <c r="G405" i="8"/>
  <c r="F405" i="8"/>
  <c r="E405" i="8"/>
  <c r="D405" i="8"/>
  <c r="C405" i="8"/>
  <c r="B405" i="8"/>
  <c r="A405" i="8"/>
  <c r="K404" i="8"/>
  <c r="J404" i="8"/>
  <c r="I404" i="8"/>
  <c r="H404" i="8"/>
  <c r="G404" i="8"/>
  <c r="F404" i="8"/>
  <c r="E404" i="8"/>
  <c r="D404" i="8"/>
  <c r="C404" i="8"/>
  <c r="B404" i="8"/>
  <c r="A404" i="8"/>
  <c r="K403" i="8"/>
  <c r="J403" i="8"/>
  <c r="I403" i="8"/>
  <c r="H403" i="8"/>
  <c r="G403" i="8"/>
  <c r="F403" i="8"/>
  <c r="E403" i="8"/>
  <c r="D403" i="8"/>
  <c r="C403" i="8"/>
  <c r="B403" i="8"/>
  <c r="A403" i="8"/>
  <c r="K402" i="8"/>
  <c r="J402" i="8"/>
  <c r="I402" i="8"/>
  <c r="H402" i="8"/>
  <c r="G402" i="8"/>
  <c r="F402" i="8"/>
  <c r="E402" i="8"/>
  <c r="D402" i="8"/>
  <c r="C402" i="8"/>
  <c r="B402" i="8"/>
  <c r="A402" i="8"/>
  <c r="K401" i="8"/>
  <c r="J401" i="8"/>
  <c r="I401" i="8"/>
  <c r="H401" i="8"/>
  <c r="G401" i="8"/>
  <c r="F401" i="8"/>
  <c r="E401" i="8"/>
  <c r="D401" i="8"/>
  <c r="C401" i="8"/>
  <c r="B401" i="8"/>
  <c r="A401" i="8"/>
  <c r="K400" i="8"/>
  <c r="J400" i="8"/>
  <c r="I400" i="8"/>
  <c r="H400" i="8"/>
  <c r="G400" i="8"/>
  <c r="F400" i="8"/>
  <c r="E400" i="8"/>
  <c r="D400" i="8"/>
  <c r="C400" i="8"/>
  <c r="B400" i="8"/>
  <c r="A400" i="8"/>
  <c r="K399" i="8"/>
  <c r="J399" i="8"/>
  <c r="I399" i="8"/>
  <c r="H399" i="8"/>
  <c r="G399" i="8"/>
  <c r="F399" i="8"/>
  <c r="E399" i="8"/>
  <c r="D399" i="8"/>
  <c r="C399" i="8"/>
  <c r="B399" i="8"/>
  <c r="A399" i="8"/>
  <c r="K398" i="8"/>
  <c r="J398" i="8"/>
  <c r="I398" i="8"/>
  <c r="H398" i="8"/>
  <c r="G398" i="8"/>
  <c r="F398" i="8"/>
  <c r="E398" i="8"/>
  <c r="D398" i="8"/>
  <c r="C398" i="8"/>
  <c r="B398" i="8"/>
  <c r="A398" i="8"/>
  <c r="K397" i="8"/>
  <c r="J397" i="8"/>
  <c r="I397" i="8"/>
  <c r="H397" i="8"/>
  <c r="G397" i="8"/>
  <c r="F397" i="8"/>
  <c r="E397" i="8"/>
  <c r="D397" i="8"/>
  <c r="C397" i="8"/>
  <c r="B397" i="8"/>
  <c r="A397" i="8"/>
  <c r="K396" i="8"/>
  <c r="J396" i="8"/>
  <c r="I396" i="8"/>
  <c r="H396" i="8"/>
  <c r="G396" i="8"/>
  <c r="F396" i="8"/>
  <c r="E396" i="8"/>
  <c r="D396" i="8"/>
  <c r="C396" i="8"/>
  <c r="B396" i="8"/>
  <c r="A396" i="8"/>
  <c r="K395" i="8"/>
  <c r="J395" i="8"/>
  <c r="I395" i="8"/>
  <c r="H395" i="8"/>
  <c r="G395" i="8"/>
  <c r="F395" i="8"/>
  <c r="E395" i="8"/>
  <c r="D395" i="8"/>
  <c r="C395" i="8"/>
  <c r="B395" i="8"/>
  <c r="A395" i="8"/>
  <c r="K394" i="8"/>
  <c r="J394" i="8"/>
  <c r="I394" i="8"/>
  <c r="H394" i="8"/>
  <c r="G394" i="8"/>
  <c r="F394" i="8"/>
  <c r="E394" i="8"/>
  <c r="D394" i="8"/>
  <c r="C394" i="8"/>
  <c r="B394" i="8"/>
  <c r="A394" i="8"/>
  <c r="K393" i="8"/>
  <c r="J393" i="8"/>
  <c r="I393" i="8"/>
  <c r="H393" i="8"/>
  <c r="G393" i="8"/>
  <c r="F393" i="8"/>
  <c r="E393" i="8"/>
  <c r="D393" i="8"/>
  <c r="C393" i="8"/>
  <c r="B393" i="8"/>
  <c r="A393" i="8"/>
  <c r="K392" i="8"/>
  <c r="J392" i="8"/>
  <c r="I392" i="8"/>
  <c r="H392" i="8"/>
  <c r="G392" i="8"/>
  <c r="F392" i="8"/>
  <c r="E392" i="8"/>
  <c r="D392" i="8"/>
  <c r="C392" i="8"/>
  <c r="B392" i="8"/>
  <c r="A392" i="8"/>
  <c r="K391" i="8"/>
  <c r="J391" i="8"/>
  <c r="I391" i="8"/>
  <c r="H391" i="8"/>
  <c r="G391" i="8"/>
  <c r="F391" i="8"/>
  <c r="E391" i="8"/>
  <c r="D391" i="8"/>
  <c r="C391" i="8"/>
  <c r="B391" i="8"/>
  <c r="A391" i="8"/>
  <c r="K390" i="8"/>
  <c r="J390" i="8"/>
  <c r="I390" i="8"/>
  <c r="H390" i="8"/>
  <c r="G390" i="8"/>
  <c r="F390" i="8"/>
  <c r="E390" i="8"/>
  <c r="D390" i="8"/>
  <c r="C390" i="8"/>
  <c r="B390" i="8"/>
  <c r="A390" i="8"/>
  <c r="K389" i="8"/>
  <c r="J389" i="8"/>
  <c r="I389" i="8"/>
  <c r="H389" i="8"/>
  <c r="G389" i="8"/>
  <c r="F389" i="8"/>
  <c r="E389" i="8"/>
  <c r="D389" i="8"/>
  <c r="C389" i="8"/>
  <c r="B389" i="8"/>
  <c r="A389" i="8"/>
  <c r="K388" i="8"/>
  <c r="J388" i="8"/>
  <c r="I388" i="8"/>
  <c r="H388" i="8"/>
  <c r="G388" i="8"/>
  <c r="F388" i="8"/>
  <c r="E388" i="8"/>
  <c r="D388" i="8"/>
  <c r="C388" i="8"/>
  <c r="B388" i="8"/>
  <c r="A388" i="8"/>
  <c r="K387" i="8"/>
  <c r="J387" i="8"/>
  <c r="I387" i="8"/>
  <c r="H387" i="8"/>
  <c r="G387" i="8"/>
  <c r="F387" i="8"/>
  <c r="E387" i="8"/>
  <c r="D387" i="8"/>
  <c r="C387" i="8"/>
  <c r="B387" i="8"/>
  <c r="A387" i="8"/>
  <c r="K386" i="8"/>
  <c r="J386" i="8"/>
  <c r="I386" i="8"/>
  <c r="H386" i="8"/>
  <c r="G386" i="8"/>
  <c r="F386" i="8"/>
  <c r="E386" i="8"/>
  <c r="D386" i="8"/>
  <c r="C386" i="8"/>
  <c r="B386" i="8"/>
  <c r="A386" i="8"/>
  <c r="K385" i="8"/>
  <c r="J385" i="8"/>
  <c r="I385" i="8"/>
  <c r="H385" i="8"/>
  <c r="G385" i="8"/>
  <c r="F385" i="8"/>
  <c r="E385" i="8"/>
  <c r="D385" i="8"/>
  <c r="C385" i="8"/>
  <c r="B385" i="8"/>
  <c r="A385" i="8"/>
  <c r="K384" i="8"/>
  <c r="J384" i="8"/>
  <c r="I384" i="8"/>
  <c r="H384" i="8"/>
  <c r="G384" i="8"/>
  <c r="F384" i="8"/>
  <c r="E384" i="8"/>
  <c r="D384" i="8"/>
  <c r="C384" i="8"/>
  <c r="B384" i="8"/>
  <c r="A384" i="8"/>
  <c r="K383" i="8"/>
  <c r="J383" i="8"/>
  <c r="I383" i="8"/>
  <c r="H383" i="8"/>
  <c r="G383" i="8"/>
  <c r="F383" i="8"/>
  <c r="E383" i="8"/>
  <c r="D383" i="8"/>
  <c r="C383" i="8"/>
  <c r="B383" i="8"/>
  <c r="A383" i="8"/>
  <c r="K382" i="8"/>
  <c r="J382" i="8"/>
  <c r="I382" i="8"/>
  <c r="H382" i="8"/>
  <c r="G382" i="8"/>
  <c r="F382" i="8"/>
  <c r="E382" i="8"/>
  <c r="D382" i="8"/>
  <c r="C382" i="8"/>
  <c r="B382" i="8"/>
  <c r="A382" i="8"/>
  <c r="K381" i="8"/>
  <c r="J381" i="8"/>
  <c r="I381" i="8"/>
  <c r="H381" i="8"/>
  <c r="G381" i="8"/>
  <c r="F381" i="8"/>
  <c r="E381" i="8"/>
  <c r="D381" i="8"/>
  <c r="C381" i="8"/>
  <c r="B381" i="8"/>
  <c r="A381" i="8"/>
  <c r="K380" i="8"/>
  <c r="J380" i="8"/>
  <c r="I380" i="8"/>
  <c r="H380" i="8"/>
  <c r="G380" i="8"/>
  <c r="F380" i="8"/>
  <c r="E380" i="8"/>
  <c r="D380" i="8"/>
  <c r="C380" i="8"/>
  <c r="B380" i="8"/>
  <c r="A380" i="8"/>
  <c r="K379" i="8"/>
  <c r="J379" i="8"/>
  <c r="I379" i="8"/>
  <c r="H379" i="8"/>
  <c r="G379" i="8"/>
  <c r="F379" i="8"/>
  <c r="E379" i="8"/>
  <c r="D379" i="8"/>
  <c r="C379" i="8"/>
  <c r="B379" i="8"/>
  <c r="A379" i="8"/>
  <c r="K378" i="8"/>
  <c r="J378" i="8"/>
  <c r="I378" i="8"/>
  <c r="H378" i="8"/>
  <c r="G378" i="8"/>
  <c r="F378" i="8"/>
  <c r="E378" i="8"/>
  <c r="D378" i="8"/>
  <c r="C378" i="8"/>
  <c r="B378" i="8"/>
  <c r="A378" i="8"/>
  <c r="K377" i="8"/>
  <c r="J377" i="8"/>
  <c r="I377" i="8"/>
  <c r="H377" i="8"/>
  <c r="G377" i="8"/>
  <c r="F377" i="8"/>
  <c r="E377" i="8"/>
  <c r="D377" i="8"/>
  <c r="C377" i="8"/>
  <c r="B377" i="8"/>
  <c r="A377" i="8"/>
  <c r="K376" i="8"/>
  <c r="J376" i="8"/>
  <c r="I376" i="8"/>
  <c r="H376" i="8"/>
  <c r="G376" i="8"/>
  <c r="F376" i="8"/>
  <c r="E376" i="8"/>
  <c r="D376" i="8"/>
  <c r="C376" i="8"/>
  <c r="B376" i="8"/>
  <c r="A376" i="8"/>
  <c r="K375" i="8"/>
  <c r="J375" i="8"/>
  <c r="I375" i="8"/>
  <c r="H375" i="8"/>
  <c r="G375" i="8"/>
  <c r="F375" i="8"/>
  <c r="E375" i="8"/>
  <c r="D375" i="8"/>
  <c r="C375" i="8"/>
  <c r="B375" i="8"/>
  <c r="A375" i="8"/>
  <c r="K374" i="8"/>
  <c r="J374" i="8"/>
  <c r="I374" i="8"/>
  <c r="H374" i="8"/>
  <c r="G374" i="8"/>
  <c r="F374" i="8"/>
  <c r="E374" i="8"/>
  <c r="D374" i="8"/>
  <c r="C374" i="8"/>
  <c r="B374" i="8"/>
  <c r="A374" i="8"/>
  <c r="K373" i="8"/>
  <c r="J373" i="8"/>
  <c r="I373" i="8"/>
  <c r="H373" i="8"/>
  <c r="G373" i="8"/>
  <c r="F373" i="8"/>
  <c r="E373" i="8"/>
  <c r="D373" i="8"/>
  <c r="C373" i="8"/>
  <c r="B373" i="8"/>
  <c r="A373" i="8"/>
  <c r="K372" i="8"/>
  <c r="J372" i="8"/>
  <c r="I372" i="8"/>
  <c r="H372" i="8"/>
  <c r="G372" i="8"/>
  <c r="F372" i="8"/>
  <c r="E372" i="8"/>
  <c r="D372" i="8"/>
  <c r="C372" i="8"/>
  <c r="B372" i="8"/>
  <c r="A372" i="8"/>
  <c r="K371" i="8"/>
  <c r="J371" i="8"/>
  <c r="I371" i="8"/>
  <c r="H371" i="8"/>
  <c r="G371" i="8"/>
  <c r="F371" i="8"/>
  <c r="E371" i="8"/>
  <c r="D371" i="8"/>
  <c r="C371" i="8"/>
  <c r="B371" i="8"/>
  <c r="A371" i="8"/>
  <c r="K370" i="8"/>
  <c r="J370" i="8"/>
  <c r="I370" i="8"/>
  <c r="H370" i="8"/>
  <c r="G370" i="8"/>
  <c r="F370" i="8"/>
  <c r="E370" i="8"/>
  <c r="D370" i="8"/>
  <c r="C370" i="8"/>
  <c r="B370" i="8"/>
  <c r="A370" i="8"/>
  <c r="K369" i="8"/>
  <c r="J369" i="8"/>
  <c r="I369" i="8"/>
  <c r="H369" i="8"/>
  <c r="G369" i="8"/>
  <c r="F369" i="8"/>
  <c r="E369" i="8"/>
  <c r="D369" i="8"/>
  <c r="C369" i="8"/>
  <c r="B369" i="8"/>
  <c r="A369" i="8"/>
  <c r="K368" i="8"/>
  <c r="J368" i="8"/>
  <c r="I368" i="8"/>
  <c r="H368" i="8"/>
  <c r="G368" i="8"/>
  <c r="F368" i="8"/>
  <c r="E368" i="8"/>
  <c r="D368" i="8"/>
  <c r="C368" i="8"/>
  <c r="B368" i="8"/>
  <c r="A368" i="8"/>
  <c r="K367" i="8"/>
  <c r="J367" i="8"/>
  <c r="I367" i="8"/>
  <c r="H367" i="8"/>
  <c r="G367" i="8"/>
  <c r="F367" i="8"/>
  <c r="E367" i="8"/>
  <c r="D367" i="8"/>
  <c r="C367" i="8"/>
  <c r="B367" i="8"/>
  <c r="A367" i="8"/>
  <c r="K366" i="8"/>
  <c r="J366" i="8"/>
  <c r="I366" i="8"/>
  <c r="H366" i="8"/>
  <c r="G366" i="8"/>
  <c r="F366" i="8"/>
  <c r="E366" i="8"/>
  <c r="D366" i="8"/>
  <c r="C366" i="8"/>
  <c r="B366" i="8"/>
  <c r="A366" i="8"/>
  <c r="K365" i="8"/>
  <c r="J365" i="8"/>
  <c r="I365" i="8"/>
  <c r="H365" i="8"/>
  <c r="G365" i="8"/>
  <c r="F365" i="8"/>
  <c r="E365" i="8"/>
  <c r="D365" i="8"/>
  <c r="C365" i="8"/>
  <c r="B365" i="8"/>
  <c r="A365" i="8"/>
  <c r="K364" i="8"/>
  <c r="J364" i="8"/>
  <c r="I364" i="8"/>
  <c r="H364" i="8"/>
  <c r="G364" i="8"/>
  <c r="F364" i="8"/>
  <c r="E364" i="8"/>
  <c r="D364" i="8"/>
  <c r="C364" i="8"/>
  <c r="B364" i="8"/>
  <c r="A364" i="8"/>
  <c r="K363" i="8"/>
  <c r="J363" i="8"/>
  <c r="I363" i="8"/>
  <c r="H363" i="8"/>
  <c r="G363" i="8"/>
  <c r="F363" i="8"/>
  <c r="E363" i="8"/>
  <c r="D363" i="8"/>
  <c r="C363" i="8"/>
  <c r="B363" i="8"/>
  <c r="A363" i="8"/>
  <c r="K362" i="8"/>
  <c r="J362" i="8"/>
  <c r="I362" i="8"/>
  <c r="H362" i="8"/>
  <c r="G362" i="8"/>
  <c r="F362" i="8"/>
  <c r="E362" i="8"/>
  <c r="D362" i="8"/>
  <c r="C362" i="8"/>
  <c r="B362" i="8"/>
  <c r="A362" i="8"/>
  <c r="K361" i="8"/>
  <c r="J361" i="8"/>
  <c r="I361" i="8"/>
  <c r="H361" i="8"/>
  <c r="G361" i="8"/>
  <c r="F361" i="8"/>
  <c r="E361" i="8"/>
  <c r="D361" i="8"/>
  <c r="C361" i="8"/>
  <c r="B361" i="8"/>
  <c r="A361" i="8"/>
  <c r="K360" i="8"/>
  <c r="J360" i="8"/>
  <c r="I360" i="8"/>
  <c r="H360" i="8"/>
  <c r="G360" i="8"/>
  <c r="F360" i="8"/>
  <c r="E360" i="8"/>
  <c r="D360" i="8"/>
  <c r="C360" i="8"/>
  <c r="B360" i="8"/>
  <c r="A360" i="8"/>
  <c r="K359" i="8"/>
  <c r="J359" i="8"/>
  <c r="I359" i="8"/>
  <c r="H359" i="8"/>
  <c r="G359" i="8"/>
  <c r="F359" i="8"/>
  <c r="E359" i="8"/>
  <c r="D359" i="8"/>
  <c r="C359" i="8"/>
  <c r="B359" i="8"/>
  <c r="A359" i="8"/>
  <c r="K358" i="8"/>
  <c r="J358" i="8"/>
  <c r="I358" i="8"/>
  <c r="H358" i="8"/>
  <c r="G358" i="8"/>
  <c r="F358" i="8"/>
  <c r="E358" i="8"/>
  <c r="D358" i="8"/>
  <c r="C358" i="8"/>
  <c r="B358" i="8"/>
  <c r="A358" i="8"/>
  <c r="K357" i="8"/>
  <c r="J357" i="8"/>
  <c r="I357" i="8"/>
  <c r="H357" i="8"/>
  <c r="G357" i="8"/>
  <c r="F357" i="8"/>
  <c r="E357" i="8"/>
  <c r="D357" i="8"/>
  <c r="C357" i="8"/>
  <c r="B357" i="8"/>
  <c r="A357" i="8"/>
  <c r="K356" i="8"/>
  <c r="J356" i="8"/>
  <c r="I356" i="8"/>
  <c r="H356" i="8"/>
  <c r="G356" i="8"/>
  <c r="F356" i="8"/>
  <c r="E356" i="8"/>
  <c r="D356" i="8"/>
  <c r="C356" i="8"/>
  <c r="B356" i="8"/>
  <c r="A356" i="8"/>
  <c r="K355" i="8"/>
  <c r="J355" i="8"/>
  <c r="I355" i="8"/>
  <c r="H355" i="8"/>
  <c r="G355" i="8"/>
  <c r="F355" i="8"/>
  <c r="E355" i="8"/>
  <c r="D355" i="8"/>
  <c r="C355" i="8"/>
  <c r="B355" i="8"/>
  <c r="A355" i="8"/>
  <c r="K354" i="8"/>
  <c r="J354" i="8"/>
  <c r="I354" i="8"/>
  <c r="H354" i="8"/>
  <c r="G354" i="8"/>
  <c r="F354" i="8"/>
  <c r="E354" i="8"/>
  <c r="D354" i="8"/>
  <c r="C354" i="8"/>
  <c r="B354" i="8"/>
  <c r="A354" i="8"/>
  <c r="K353" i="8"/>
  <c r="J353" i="8"/>
  <c r="I353" i="8"/>
  <c r="H353" i="8"/>
  <c r="G353" i="8"/>
  <c r="F353" i="8"/>
  <c r="E353" i="8"/>
  <c r="D353" i="8"/>
  <c r="C353" i="8"/>
  <c r="B353" i="8"/>
  <c r="A353" i="8"/>
  <c r="K352" i="8"/>
  <c r="J352" i="8"/>
  <c r="I352" i="8"/>
  <c r="H352" i="8"/>
  <c r="G352" i="8"/>
  <c r="F352" i="8"/>
  <c r="E352" i="8"/>
  <c r="D352" i="8"/>
  <c r="C352" i="8"/>
  <c r="B352" i="8"/>
  <c r="A352" i="8"/>
  <c r="K351" i="8"/>
  <c r="J351" i="8"/>
  <c r="I351" i="8"/>
  <c r="H351" i="8"/>
  <c r="G351" i="8"/>
  <c r="F351" i="8"/>
  <c r="E351" i="8"/>
  <c r="D351" i="8"/>
  <c r="C351" i="8"/>
  <c r="B351" i="8"/>
  <c r="A351" i="8"/>
  <c r="K350" i="8"/>
  <c r="J350" i="8"/>
  <c r="I350" i="8"/>
  <c r="H350" i="8"/>
  <c r="G350" i="8"/>
  <c r="F350" i="8"/>
  <c r="E350" i="8"/>
  <c r="D350" i="8"/>
  <c r="C350" i="8"/>
  <c r="B350" i="8"/>
  <c r="A350" i="8"/>
  <c r="K349" i="8"/>
  <c r="J349" i="8"/>
  <c r="I349" i="8"/>
  <c r="H349" i="8"/>
  <c r="G349" i="8"/>
  <c r="F349" i="8"/>
  <c r="E349" i="8"/>
  <c r="D349" i="8"/>
  <c r="C349" i="8"/>
  <c r="B349" i="8"/>
  <c r="A349" i="8"/>
  <c r="K348" i="8"/>
  <c r="J348" i="8"/>
  <c r="I348" i="8"/>
  <c r="H348" i="8"/>
  <c r="G348" i="8"/>
  <c r="F348" i="8"/>
  <c r="E348" i="8"/>
  <c r="D348" i="8"/>
  <c r="C348" i="8"/>
  <c r="B348" i="8"/>
  <c r="A348" i="8"/>
  <c r="K347" i="8"/>
  <c r="J347" i="8"/>
  <c r="I347" i="8"/>
  <c r="H347" i="8"/>
  <c r="G347" i="8"/>
  <c r="F347" i="8"/>
  <c r="E347" i="8"/>
  <c r="D347" i="8"/>
  <c r="C347" i="8"/>
  <c r="B347" i="8"/>
  <c r="A347" i="8"/>
  <c r="K346" i="8"/>
  <c r="J346" i="8"/>
  <c r="I346" i="8"/>
  <c r="H346" i="8"/>
  <c r="G346" i="8"/>
  <c r="F346" i="8"/>
  <c r="E346" i="8"/>
  <c r="D346" i="8"/>
  <c r="C346" i="8"/>
  <c r="B346" i="8"/>
  <c r="A346" i="8"/>
  <c r="K345" i="8"/>
  <c r="J345" i="8"/>
  <c r="I345" i="8"/>
  <c r="H345" i="8"/>
  <c r="G345" i="8"/>
  <c r="F345" i="8"/>
  <c r="E345" i="8"/>
  <c r="D345" i="8"/>
  <c r="C345" i="8"/>
  <c r="B345" i="8"/>
  <c r="A345" i="8"/>
  <c r="K344" i="8"/>
  <c r="J344" i="8"/>
  <c r="I344" i="8"/>
  <c r="H344" i="8"/>
  <c r="G344" i="8"/>
  <c r="F344" i="8"/>
  <c r="E344" i="8"/>
  <c r="D344" i="8"/>
  <c r="C344" i="8"/>
  <c r="B344" i="8"/>
  <c r="A344" i="8"/>
  <c r="K343" i="8"/>
  <c r="J343" i="8"/>
  <c r="I343" i="8"/>
  <c r="H343" i="8"/>
  <c r="G343" i="8"/>
  <c r="F343" i="8"/>
  <c r="E343" i="8"/>
  <c r="D343" i="8"/>
  <c r="C343" i="8"/>
  <c r="B343" i="8"/>
  <c r="A343" i="8"/>
  <c r="K342" i="8"/>
  <c r="J342" i="8"/>
  <c r="I342" i="8"/>
  <c r="H342" i="8"/>
  <c r="G342" i="8"/>
  <c r="F342" i="8"/>
  <c r="E342" i="8"/>
  <c r="D342" i="8"/>
  <c r="C342" i="8"/>
  <c r="B342" i="8"/>
  <c r="A342" i="8"/>
  <c r="K341" i="8"/>
  <c r="J341" i="8"/>
  <c r="I341" i="8"/>
  <c r="H341" i="8"/>
  <c r="G341" i="8"/>
  <c r="F341" i="8"/>
  <c r="E341" i="8"/>
  <c r="D341" i="8"/>
  <c r="C341" i="8"/>
  <c r="B341" i="8"/>
  <c r="A341" i="8"/>
  <c r="K340" i="8"/>
  <c r="J340" i="8"/>
  <c r="I340" i="8"/>
  <c r="H340" i="8"/>
  <c r="G340" i="8"/>
  <c r="F340" i="8"/>
  <c r="E340" i="8"/>
  <c r="D340" i="8"/>
  <c r="C340" i="8"/>
  <c r="B340" i="8"/>
  <c r="A340" i="8"/>
  <c r="K339" i="8"/>
  <c r="J339" i="8"/>
  <c r="I339" i="8"/>
  <c r="H339" i="8"/>
  <c r="G339" i="8"/>
  <c r="F339" i="8"/>
  <c r="E339" i="8"/>
  <c r="D339" i="8"/>
  <c r="C339" i="8"/>
  <c r="B339" i="8"/>
  <c r="A339" i="8"/>
  <c r="K338" i="8"/>
  <c r="J338" i="8"/>
  <c r="I338" i="8"/>
  <c r="H338" i="8"/>
  <c r="G338" i="8"/>
  <c r="F338" i="8"/>
  <c r="E338" i="8"/>
  <c r="D338" i="8"/>
  <c r="C338" i="8"/>
  <c r="B338" i="8"/>
  <c r="A338" i="8"/>
  <c r="K337" i="8"/>
  <c r="J337" i="8"/>
  <c r="I337" i="8"/>
  <c r="H337" i="8"/>
  <c r="G337" i="8"/>
  <c r="F337" i="8"/>
  <c r="E337" i="8"/>
  <c r="D337" i="8"/>
  <c r="C337" i="8"/>
  <c r="B337" i="8"/>
  <c r="A337" i="8"/>
  <c r="K336" i="8"/>
  <c r="J336" i="8"/>
  <c r="I336" i="8"/>
  <c r="H336" i="8"/>
  <c r="G336" i="8"/>
  <c r="F336" i="8"/>
  <c r="E336" i="8"/>
  <c r="D336" i="8"/>
  <c r="C336" i="8"/>
  <c r="B336" i="8"/>
  <c r="A336" i="8"/>
  <c r="K335" i="8"/>
  <c r="J335" i="8"/>
  <c r="I335" i="8"/>
  <c r="H335" i="8"/>
  <c r="G335" i="8"/>
  <c r="F335" i="8"/>
  <c r="E335" i="8"/>
  <c r="D335" i="8"/>
  <c r="C335" i="8"/>
  <c r="B335" i="8"/>
  <c r="A335" i="8"/>
  <c r="K334" i="8"/>
  <c r="J334" i="8"/>
  <c r="I334" i="8"/>
  <c r="H334" i="8"/>
  <c r="G334" i="8"/>
  <c r="F334" i="8"/>
  <c r="E334" i="8"/>
  <c r="D334" i="8"/>
  <c r="C334" i="8"/>
  <c r="B334" i="8"/>
  <c r="A334" i="8"/>
  <c r="K333" i="8"/>
  <c r="J333" i="8"/>
  <c r="I333" i="8"/>
  <c r="H333" i="8"/>
  <c r="G333" i="8"/>
  <c r="F333" i="8"/>
  <c r="E333" i="8"/>
  <c r="D333" i="8"/>
  <c r="C333" i="8"/>
  <c r="B333" i="8"/>
  <c r="A333" i="8"/>
  <c r="K332" i="8"/>
  <c r="J332" i="8"/>
  <c r="I332" i="8"/>
  <c r="H332" i="8"/>
  <c r="G332" i="8"/>
  <c r="F332" i="8"/>
  <c r="E332" i="8"/>
  <c r="D332" i="8"/>
  <c r="C332" i="8"/>
  <c r="B332" i="8"/>
  <c r="A332" i="8"/>
  <c r="K331" i="8"/>
  <c r="J331" i="8"/>
  <c r="I331" i="8"/>
  <c r="H331" i="8"/>
  <c r="G331" i="8"/>
  <c r="F331" i="8"/>
  <c r="E331" i="8"/>
  <c r="D331" i="8"/>
  <c r="C331" i="8"/>
  <c r="B331" i="8"/>
  <c r="A331" i="8"/>
  <c r="K330" i="8"/>
  <c r="J330" i="8"/>
  <c r="I330" i="8"/>
  <c r="H330" i="8"/>
  <c r="G330" i="8"/>
  <c r="F330" i="8"/>
  <c r="E330" i="8"/>
  <c r="D330" i="8"/>
  <c r="C330" i="8"/>
  <c r="B330" i="8"/>
  <c r="A330" i="8"/>
  <c r="K329" i="8"/>
  <c r="J329" i="8"/>
  <c r="I329" i="8"/>
  <c r="H329" i="8"/>
  <c r="G329" i="8"/>
  <c r="F329" i="8"/>
  <c r="E329" i="8"/>
  <c r="D329" i="8"/>
  <c r="C329" i="8"/>
  <c r="B329" i="8"/>
  <c r="A329" i="8"/>
  <c r="K328" i="8"/>
  <c r="J328" i="8"/>
  <c r="I328" i="8"/>
  <c r="H328" i="8"/>
  <c r="G328" i="8"/>
  <c r="F328" i="8"/>
  <c r="E328" i="8"/>
  <c r="D328" i="8"/>
  <c r="C328" i="8"/>
  <c r="B328" i="8"/>
  <c r="A328" i="8"/>
  <c r="K327" i="8"/>
  <c r="J327" i="8"/>
  <c r="I327" i="8"/>
  <c r="H327" i="8"/>
  <c r="G327" i="8"/>
  <c r="F327" i="8"/>
  <c r="E327" i="8"/>
  <c r="D327" i="8"/>
  <c r="C327" i="8"/>
  <c r="B327" i="8"/>
  <c r="A327" i="8"/>
  <c r="K326" i="8"/>
  <c r="J326" i="8"/>
  <c r="I326" i="8"/>
  <c r="H326" i="8"/>
  <c r="G326" i="8"/>
  <c r="F326" i="8"/>
  <c r="E326" i="8"/>
  <c r="D326" i="8"/>
  <c r="C326" i="8"/>
  <c r="B326" i="8"/>
  <c r="A326" i="8"/>
  <c r="K325" i="8"/>
  <c r="J325" i="8"/>
  <c r="I325" i="8"/>
  <c r="H325" i="8"/>
  <c r="G325" i="8"/>
  <c r="F325" i="8"/>
  <c r="E325" i="8"/>
  <c r="D325" i="8"/>
  <c r="C325" i="8"/>
  <c r="B325" i="8"/>
  <c r="A325" i="8"/>
  <c r="K324" i="8"/>
  <c r="J324" i="8"/>
  <c r="I324" i="8"/>
  <c r="H324" i="8"/>
  <c r="G324" i="8"/>
  <c r="F324" i="8"/>
  <c r="E324" i="8"/>
  <c r="D324" i="8"/>
  <c r="C324" i="8"/>
  <c r="B324" i="8"/>
  <c r="A324" i="8"/>
  <c r="K323" i="8"/>
  <c r="J323" i="8"/>
  <c r="I323" i="8"/>
  <c r="H323" i="8"/>
  <c r="G323" i="8"/>
  <c r="F323" i="8"/>
  <c r="E323" i="8"/>
  <c r="D323" i="8"/>
  <c r="C323" i="8"/>
  <c r="B323" i="8"/>
  <c r="A323" i="8"/>
  <c r="K322" i="8"/>
  <c r="J322" i="8"/>
  <c r="I322" i="8"/>
  <c r="H322" i="8"/>
  <c r="G322" i="8"/>
  <c r="F322" i="8"/>
  <c r="E322" i="8"/>
  <c r="D322" i="8"/>
  <c r="C322" i="8"/>
  <c r="B322" i="8"/>
  <c r="A322" i="8"/>
  <c r="K321" i="8"/>
  <c r="J321" i="8"/>
  <c r="I321" i="8"/>
  <c r="H321" i="8"/>
  <c r="G321" i="8"/>
  <c r="F321" i="8"/>
  <c r="E321" i="8"/>
  <c r="D321" i="8"/>
  <c r="C321" i="8"/>
  <c r="B321" i="8"/>
  <c r="A321" i="8"/>
  <c r="K320" i="8"/>
  <c r="J320" i="8"/>
  <c r="I320" i="8"/>
  <c r="H320" i="8"/>
  <c r="G320" i="8"/>
  <c r="F320" i="8"/>
  <c r="E320" i="8"/>
  <c r="D320" i="8"/>
  <c r="C320" i="8"/>
  <c r="B320" i="8"/>
  <c r="A320" i="8"/>
  <c r="K319" i="8"/>
  <c r="J319" i="8"/>
  <c r="I319" i="8"/>
  <c r="H319" i="8"/>
  <c r="G319" i="8"/>
  <c r="F319" i="8"/>
  <c r="E319" i="8"/>
  <c r="D319" i="8"/>
  <c r="C319" i="8"/>
  <c r="B319" i="8"/>
  <c r="A319" i="8"/>
  <c r="K318" i="8"/>
  <c r="J318" i="8"/>
  <c r="I318" i="8"/>
  <c r="H318" i="8"/>
  <c r="G318" i="8"/>
  <c r="F318" i="8"/>
  <c r="E318" i="8"/>
  <c r="D318" i="8"/>
  <c r="C318" i="8"/>
  <c r="B318" i="8"/>
  <c r="A318" i="8"/>
  <c r="K317" i="8"/>
  <c r="J317" i="8"/>
  <c r="I317" i="8"/>
  <c r="H317" i="8"/>
  <c r="G317" i="8"/>
  <c r="F317" i="8"/>
  <c r="E317" i="8"/>
  <c r="D317" i="8"/>
  <c r="C317" i="8"/>
  <c r="B317" i="8"/>
  <c r="A317" i="8"/>
  <c r="K316" i="8"/>
  <c r="J316" i="8"/>
  <c r="I316" i="8"/>
  <c r="H316" i="8"/>
  <c r="G316" i="8"/>
  <c r="F316" i="8"/>
  <c r="E316" i="8"/>
  <c r="D316" i="8"/>
  <c r="C316" i="8"/>
  <c r="B316" i="8"/>
  <c r="A316" i="8"/>
  <c r="K315" i="8"/>
  <c r="J315" i="8"/>
  <c r="I315" i="8"/>
  <c r="H315" i="8"/>
  <c r="G315" i="8"/>
  <c r="F315" i="8"/>
  <c r="E315" i="8"/>
  <c r="D315" i="8"/>
  <c r="C315" i="8"/>
  <c r="B315" i="8"/>
  <c r="A315" i="8"/>
  <c r="K314" i="8"/>
  <c r="J314" i="8"/>
  <c r="I314" i="8"/>
  <c r="H314" i="8"/>
  <c r="G314" i="8"/>
  <c r="F314" i="8"/>
  <c r="E314" i="8"/>
  <c r="D314" i="8"/>
  <c r="C314" i="8"/>
  <c r="B314" i="8"/>
  <c r="A314" i="8"/>
  <c r="K313" i="8"/>
  <c r="J313" i="8"/>
  <c r="I313" i="8"/>
  <c r="H313" i="8"/>
  <c r="G313" i="8"/>
  <c r="F313" i="8"/>
  <c r="E313" i="8"/>
  <c r="D313" i="8"/>
  <c r="C313" i="8"/>
  <c r="B313" i="8"/>
  <c r="A313" i="8"/>
  <c r="K312" i="8"/>
  <c r="J312" i="8"/>
  <c r="I312" i="8"/>
  <c r="H312" i="8"/>
  <c r="G312" i="8"/>
  <c r="F312" i="8"/>
  <c r="E312" i="8"/>
  <c r="D312" i="8"/>
  <c r="C312" i="8"/>
  <c r="B312" i="8"/>
  <c r="A312" i="8"/>
  <c r="K311" i="8"/>
  <c r="J311" i="8"/>
  <c r="I311" i="8"/>
  <c r="H311" i="8"/>
  <c r="G311" i="8"/>
  <c r="F311" i="8"/>
  <c r="E311" i="8"/>
  <c r="D311" i="8"/>
  <c r="C311" i="8"/>
  <c r="B311" i="8"/>
  <c r="A311" i="8"/>
  <c r="K310" i="8"/>
  <c r="J310" i="8"/>
  <c r="I310" i="8"/>
  <c r="H310" i="8"/>
  <c r="G310" i="8"/>
  <c r="F310" i="8"/>
  <c r="E310" i="8"/>
  <c r="D310" i="8"/>
  <c r="C310" i="8"/>
  <c r="B310" i="8"/>
  <c r="A310" i="8"/>
  <c r="K309" i="8"/>
  <c r="J309" i="8"/>
  <c r="I309" i="8"/>
  <c r="H309" i="8"/>
  <c r="G309" i="8"/>
  <c r="F309" i="8"/>
  <c r="E309" i="8"/>
  <c r="D309" i="8"/>
  <c r="C309" i="8"/>
  <c r="B309" i="8"/>
  <c r="A309" i="8"/>
  <c r="K308" i="8"/>
  <c r="J308" i="8"/>
  <c r="I308" i="8"/>
  <c r="H308" i="8"/>
  <c r="G308" i="8"/>
  <c r="F308" i="8"/>
  <c r="E308" i="8"/>
  <c r="D308" i="8"/>
  <c r="C308" i="8"/>
  <c r="B308" i="8"/>
  <c r="A308" i="8"/>
  <c r="K307" i="8"/>
  <c r="J307" i="8"/>
  <c r="I307" i="8"/>
  <c r="H307" i="8"/>
  <c r="G307" i="8"/>
  <c r="F307" i="8"/>
  <c r="E307" i="8"/>
  <c r="D307" i="8"/>
  <c r="C307" i="8"/>
  <c r="B307" i="8"/>
  <c r="A307" i="8"/>
  <c r="K306" i="8"/>
  <c r="J306" i="8"/>
  <c r="I306" i="8"/>
  <c r="H306" i="8"/>
  <c r="G306" i="8"/>
  <c r="F306" i="8"/>
  <c r="E306" i="8"/>
  <c r="D306" i="8"/>
  <c r="C306" i="8"/>
  <c r="B306" i="8"/>
  <c r="A306" i="8"/>
  <c r="K305" i="8"/>
  <c r="J305" i="8"/>
  <c r="I305" i="8"/>
  <c r="H305" i="8"/>
  <c r="G305" i="8"/>
  <c r="F305" i="8"/>
  <c r="E305" i="8"/>
  <c r="D305" i="8"/>
  <c r="C305" i="8"/>
  <c r="B305" i="8"/>
  <c r="A305" i="8"/>
  <c r="K304" i="8"/>
  <c r="J304" i="8"/>
  <c r="I304" i="8"/>
  <c r="H304" i="8"/>
  <c r="G304" i="8"/>
  <c r="F304" i="8"/>
  <c r="E304" i="8"/>
  <c r="D304" i="8"/>
  <c r="C304" i="8"/>
  <c r="B304" i="8"/>
  <c r="A304" i="8"/>
  <c r="K303" i="8"/>
  <c r="J303" i="8"/>
  <c r="I303" i="8"/>
  <c r="H303" i="8"/>
  <c r="G303" i="8"/>
  <c r="F303" i="8"/>
  <c r="E303" i="8"/>
  <c r="D303" i="8"/>
  <c r="C303" i="8"/>
  <c r="B303" i="8"/>
  <c r="A303" i="8"/>
  <c r="K302" i="8"/>
  <c r="J302" i="8"/>
  <c r="I302" i="8"/>
  <c r="H302" i="8"/>
  <c r="G302" i="8"/>
  <c r="F302" i="8"/>
  <c r="E302" i="8"/>
  <c r="D302" i="8"/>
  <c r="C302" i="8"/>
  <c r="B302" i="8"/>
  <c r="A302" i="8"/>
  <c r="K301" i="8"/>
  <c r="J301" i="8"/>
  <c r="I301" i="8"/>
  <c r="H301" i="8"/>
  <c r="G301" i="8"/>
  <c r="F301" i="8"/>
  <c r="E301" i="8"/>
  <c r="D301" i="8"/>
  <c r="C301" i="8"/>
  <c r="B301" i="8"/>
  <c r="A301" i="8"/>
  <c r="K300" i="8"/>
  <c r="J300" i="8"/>
  <c r="I300" i="8"/>
  <c r="H300" i="8"/>
  <c r="G300" i="8"/>
  <c r="F300" i="8"/>
  <c r="E300" i="8"/>
  <c r="D300" i="8"/>
  <c r="C300" i="8"/>
  <c r="B300" i="8"/>
  <c r="A300" i="8"/>
  <c r="K299" i="8"/>
  <c r="J299" i="8"/>
  <c r="I299" i="8"/>
  <c r="H299" i="8"/>
  <c r="G299" i="8"/>
  <c r="F299" i="8"/>
  <c r="E299" i="8"/>
  <c r="D299" i="8"/>
  <c r="C299" i="8"/>
  <c r="B299" i="8"/>
  <c r="A299" i="8"/>
  <c r="K298" i="8"/>
  <c r="J298" i="8"/>
  <c r="I298" i="8"/>
  <c r="H298" i="8"/>
  <c r="G298" i="8"/>
  <c r="F298" i="8"/>
  <c r="E298" i="8"/>
  <c r="D298" i="8"/>
  <c r="C298" i="8"/>
  <c r="B298" i="8"/>
  <c r="A298" i="8"/>
  <c r="K297" i="8"/>
  <c r="J297" i="8"/>
  <c r="I297" i="8"/>
  <c r="H297" i="8"/>
  <c r="G297" i="8"/>
  <c r="F297" i="8"/>
  <c r="E297" i="8"/>
  <c r="D297" i="8"/>
  <c r="C297" i="8"/>
  <c r="B297" i="8"/>
  <c r="A297" i="8"/>
  <c r="K296" i="8"/>
  <c r="J296" i="8"/>
  <c r="I296" i="8"/>
  <c r="H296" i="8"/>
  <c r="G296" i="8"/>
  <c r="F296" i="8"/>
  <c r="E296" i="8"/>
  <c r="D296" i="8"/>
  <c r="C296" i="8"/>
  <c r="B296" i="8"/>
  <c r="A296" i="8"/>
  <c r="K295" i="8"/>
  <c r="J295" i="8"/>
  <c r="I295" i="8"/>
  <c r="H295" i="8"/>
  <c r="G295" i="8"/>
  <c r="F295" i="8"/>
  <c r="E295" i="8"/>
  <c r="D295" i="8"/>
  <c r="C295" i="8"/>
  <c r="B295" i="8"/>
  <c r="A295" i="8"/>
  <c r="K294" i="8"/>
  <c r="J294" i="8"/>
  <c r="I294" i="8"/>
  <c r="H294" i="8"/>
  <c r="G294" i="8"/>
  <c r="F294" i="8"/>
  <c r="E294" i="8"/>
  <c r="D294" i="8"/>
  <c r="C294" i="8"/>
  <c r="B294" i="8"/>
  <c r="A294" i="8"/>
  <c r="K293" i="8"/>
  <c r="J293" i="8"/>
  <c r="I293" i="8"/>
  <c r="H293" i="8"/>
  <c r="G293" i="8"/>
  <c r="F293" i="8"/>
  <c r="E293" i="8"/>
  <c r="D293" i="8"/>
  <c r="C293" i="8"/>
  <c r="B293" i="8"/>
  <c r="A293" i="8"/>
  <c r="K292" i="8"/>
  <c r="J292" i="8"/>
  <c r="I292" i="8"/>
  <c r="H292" i="8"/>
  <c r="G292" i="8"/>
  <c r="F292" i="8"/>
  <c r="E292" i="8"/>
  <c r="D292" i="8"/>
  <c r="C292" i="8"/>
  <c r="B292" i="8"/>
  <c r="A292" i="8"/>
  <c r="K291" i="8"/>
  <c r="J291" i="8"/>
  <c r="I291" i="8"/>
  <c r="H291" i="8"/>
  <c r="G291" i="8"/>
  <c r="F291" i="8"/>
  <c r="E291" i="8"/>
  <c r="D291" i="8"/>
  <c r="C291" i="8"/>
  <c r="B291" i="8"/>
  <c r="A291" i="8"/>
  <c r="K290" i="8"/>
  <c r="J290" i="8"/>
  <c r="I290" i="8"/>
  <c r="H290" i="8"/>
  <c r="G290" i="8"/>
  <c r="F290" i="8"/>
  <c r="E290" i="8"/>
  <c r="D290" i="8"/>
  <c r="C290" i="8"/>
  <c r="B290" i="8"/>
  <c r="A290" i="8"/>
  <c r="K289" i="8"/>
  <c r="J289" i="8"/>
  <c r="I289" i="8"/>
  <c r="H289" i="8"/>
  <c r="G289" i="8"/>
  <c r="F289" i="8"/>
  <c r="E289" i="8"/>
  <c r="D289" i="8"/>
  <c r="C289" i="8"/>
  <c r="B289" i="8"/>
  <c r="A289" i="8"/>
  <c r="K288" i="8"/>
  <c r="J288" i="8"/>
  <c r="I288" i="8"/>
  <c r="H288" i="8"/>
  <c r="G288" i="8"/>
  <c r="F288" i="8"/>
  <c r="E288" i="8"/>
  <c r="D288" i="8"/>
  <c r="C288" i="8"/>
  <c r="B288" i="8"/>
  <c r="A288" i="8"/>
  <c r="K287" i="8"/>
  <c r="J287" i="8"/>
  <c r="I287" i="8"/>
  <c r="H287" i="8"/>
  <c r="G287" i="8"/>
  <c r="F287" i="8"/>
  <c r="E287" i="8"/>
  <c r="D287" i="8"/>
  <c r="C287" i="8"/>
  <c r="B287" i="8"/>
  <c r="A287" i="8"/>
  <c r="K286" i="8"/>
  <c r="J286" i="8"/>
  <c r="I286" i="8"/>
  <c r="H286" i="8"/>
  <c r="G286" i="8"/>
  <c r="F286" i="8"/>
  <c r="E286" i="8"/>
  <c r="D286" i="8"/>
  <c r="C286" i="8"/>
  <c r="B286" i="8"/>
  <c r="A286" i="8"/>
  <c r="K285" i="8"/>
  <c r="J285" i="8"/>
  <c r="I285" i="8"/>
  <c r="H285" i="8"/>
  <c r="G285" i="8"/>
  <c r="F285" i="8"/>
  <c r="E285" i="8"/>
  <c r="D285" i="8"/>
  <c r="C285" i="8"/>
  <c r="B285" i="8"/>
  <c r="A285" i="8"/>
  <c r="K284" i="8"/>
  <c r="J284" i="8"/>
  <c r="I284" i="8"/>
  <c r="H284" i="8"/>
  <c r="G284" i="8"/>
  <c r="F284" i="8"/>
  <c r="E284" i="8"/>
  <c r="D284" i="8"/>
  <c r="C284" i="8"/>
  <c r="B284" i="8"/>
  <c r="A284" i="8"/>
  <c r="K283" i="8"/>
  <c r="J283" i="8"/>
  <c r="I283" i="8"/>
  <c r="H283" i="8"/>
  <c r="G283" i="8"/>
  <c r="F283" i="8"/>
  <c r="E283" i="8"/>
  <c r="D283" i="8"/>
  <c r="C283" i="8"/>
  <c r="B283" i="8"/>
  <c r="A283" i="8"/>
  <c r="K282" i="8"/>
  <c r="J282" i="8"/>
  <c r="I282" i="8"/>
  <c r="H282" i="8"/>
  <c r="G282" i="8"/>
  <c r="F282" i="8"/>
  <c r="E282" i="8"/>
  <c r="D282" i="8"/>
  <c r="C282" i="8"/>
  <c r="B282" i="8"/>
  <c r="A282" i="8"/>
  <c r="K281" i="8"/>
  <c r="J281" i="8"/>
  <c r="I281" i="8"/>
  <c r="H281" i="8"/>
  <c r="G281" i="8"/>
  <c r="F281" i="8"/>
  <c r="E281" i="8"/>
  <c r="D281" i="8"/>
  <c r="C281" i="8"/>
  <c r="B281" i="8"/>
  <c r="A281" i="8"/>
  <c r="K280" i="8"/>
  <c r="J280" i="8"/>
  <c r="I280" i="8"/>
  <c r="H280" i="8"/>
  <c r="G280" i="8"/>
  <c r="F280" i="8"/>
  <c r="E280" i="8"/>
  <c r="D280" i="8"/>
  <c r="C280" i="8"/>
  <c r="B280" i="8"/>
  <c r="A280" i="8"/>
  <c r="K279" i="8"/>
  <c r="J279" i="8"/>
  <c r="I279" i="8"/>
  <c r="H279" i="8"/>
  <c r="G279" i="8"/>
  <c r="F279" i="8"/>
  <c r="E279" i="8"/>
  <c r="D279" i="8"/>
  <c r="C279" i="8"/>
  <c r="B279" i="8"/>
  <c r="A279" i="8"/>
  <c r="K278" i="8"/>
  <c r="J278" i="8"/>
  <c r="I278" i="8"/>
  <c r="H278" i="8"/>
  <c r="G278" i="8"/>
  <c r="F278" i="8"/>
  <c r="E278" i="8"/>
  <c r="D278" i="8"/>
  <c r="C278" i="8"/>
  <c r="B278" i="8"/>
  <c r="A278" i="8"/>
  <c r="K277" i="8"/>
  <c r="J277" i="8"/>
  <c r="I277" i="8"/>
  <c r="H277" i="8"/>
  <c r="G277" i="8"/>
  <c r="F277" i="8"/>
  <c r="E277" i="8"/>
  <c r="D277" i="8"/>
  <c r="C277" i="8"/>
  <c r="B277" i="8"/>
  <c r="A277" i="8"/>
  <c r="K276" i="8"/>
  <c r="J276" i="8"/>
  <c r="I276" i="8"/>
  <c r="H276" i="8"/>
  <c r="G276" i="8"/>
  <c r="F276" i="8"/>
  <c r="E276" i="8"/>
  <c r="D276" i="8"/>
  <c r="C276" i="8"/>
  <c r="B276" i="8"/>
  <c r="A276" i="8"/>
  <c r="K275" i="8"/>
  <c r="J275" i="8"/>
  <c r="I275" i="8"/>
  <c r="H275" i="8"/>
  <c r="G275" i="8"/>
  <c r="F275" i="8"/>
  <c r="E275" i="8"/>
  <c r="D275" i="8"/>
  <c r="C275" i="8"/>
  <c r="B275" i="8"/>
  <c r="A275" i="8"/>
  <c r="K274" i="8"/>
  <c r="J274" i="8"/>
  <c r="I274" i="8"/>
  <c r="H274" i="8"/>
  <c r="G274" i="8"/>
  <c r="F274" i="8"/>
  <c r="E274" i="8"/>
  <c r="D274" i="8"/>
  <c r="C274" i="8"/>
  <c r="B274" i="8"/>
  <c r="A274" i="8"/>
  <c r="K273" i="8"/>
  <c r="J273" i="8"/>
  <c r="I273" i="8"/>
  <c r="H273" i="8"/>
  <c r="G273" i="8"/>
  <c r="F273" i="8"/>
  <c r="E273" i="8"/>
  <c r="D273" i="8"/>
  <c r="C273" i="8"/>
  <c r="B273" i="8"/>
  <c r="A273" i="8"/>
  <c r="K272" i="8"/>
  <c r="J272" i="8"/>
  <c r="I272" i="8"/>
  <c r="H272" i="8"/>
  <c r="G272" i="8"/>
  <c r="F272" i="8"/>
  <c r="E272" i="8"/>
  <c r="D272" i="8"/>
  <c r="C272" i="8"/>
  <c r="B272" i="8"/>
  <c r="A272" i="8"/>
  <c r="K271" i="8"/>
  <c r="J271" i="8"/>
  <c r="I271" i="8"/>
  <c r="H271" i="8"/>
  <c r="G271" i="8"/>
  <c r="F271" i="8"/>
  <c r="E271" i="8"/>
  <c r="D271" i="8"/>
  <c r="C271" i="8"/>
  <c r="B271" i="8"/>
  <c r="A271" i="8"/>
  <c r="K270" i="8"/>
  <c r="J270" i="8"/>
  <c r="I270" i="8"/>
  <c r="H270" i="8"/>
  <c r="G270" i="8"/>
  <c r="F270" i="8"/>
  <c r="E270" i="8"/>
  <c r="D270" i="8"/>
  <c r="C270" i="8"/>
  <c r="B270" i="8"/>
  <c r="A270" i="8"/>
  <c r="K269" i="8"/>
  <c r="J269" i="8"/>
  <c r="I269" i="8"/>
  <c r="H269" i="8"/>
  <c r="G269" i="8"/>
  <c r="F269" i="8"/>
  <c r="E269" i="8"/>
  <c r="D269" i="8"/>
  <c r="C269" i="8"/>
  <c r="B269" i="8"/>
  <c r="A269" i="8"/>
  <c r="K268" i="8"/>
  <c r="J268" i="8"/>
  <c r="I268" i="8"/>
  <c r="H268" i="8"/>
  <c r="G268" i="8"/>
  <c r="F268" i="8"/>
  <c r="E268" i="8"/>
  <c r="D268" i="8"/>
  <c r="C268" i="8"/>
  <c r="B268" i="8"/>
  <c r="A268" i="8"/>
  <c r="K267" i="8"/>
  <c r="J267" i="8"/>
  <c r="I267" i="8"/>
  <c r="H267" i="8"/>
  <c r="G267" i="8"/>
  <c r="F267" i="8"/>
  <c r="E267" i="8"/>
  <c r="D267" i="8"/>
  <c r="C267" i="8"/>
  <c r="B267" i="8"/>
  <c r="A267" i="8"/>
  <c r="K266" i="8"/>
  <c r="J266" i="8"/>
  <c r="I266" i="8"/>
  <c r="H266" i="8"/>
  <c r="G266" i="8"/>
  <c r="F266" i="8"/>
  <c r="E266" i="8"/>
  <c r="D266" i="8"/>
  <c r="C266" i="8"/>
  <c r="B266" i="8"/>
  <c r="A266" i="8"/>
  <c r="K265" i="8"/>
  <c r="J265" i="8"/>
  <c r="I265" i="8"/>
  <c r="H265" i="8"/>
  <c r="G265" i="8"/>
  <c r="F265" i="8"/>
  <c r="E265" i="8"/>
  <c r="D265" i="8"/>
  <c r="C265" i="8"/>
  <c r="B265" i="8"/>
  <c r="A265" i="8"/>
  <c r="K264" i="8"/>
  <c r="J264" i="8"/>
  <c r="I264" i="8"/>
  <c r="H264" i="8"/>
  <c r="G264" i="8"/>
  <c r="F264" i="8"/>
  <c r="E264" i="8"/>
  <c r="D264" i="8"/>
  <c r="C264" i="8"/>
  <c r="B264" i="8"/>
  <c r="A264" i="8"/>
  <c r="K263" i="8"/>
  <c r="J263" i="8"/>
  <c r="I263" i="8"/>
  <c r="H263" i="8"/>
  <c r="G263" i="8"/>
  <c r="F263" i="8"/>
  <c r="E263" i="8"/>
  <c r="D263" i="8"/>
  <c r="C263" i="8"/>
  <c r="B263" i="8"/>
  <c r="A263" i="8"/>
  <c r="K262" i="8"/>
  <c r="J262" i="8"/>
  <c r="I262" i="8"/>
  <c r="H262" i="8"/>
  <c r="G262" i="8"/>
  <c r="F262" i="8"/>
  <c r="E262" i="8"/>
  <c r="D262" i="8"/>
  <c r="C262" i="8"/>
  <c r="B262" i="8"/>
  <c r="A262" i="8"/>
  <c r="K261" i="8"/>
  <c r="J261" i="8"/>
  <c r="I261" i="8"/>
  <c r="H261" i="8"/>
  <c r="G261" i="8"/>
  <c r="F261" i="8"/>
  <c r="E261" i="8"/>
  <c r="D261" i="8"/>
  <c r="C261" i="8"/>
  <c r="B261" i="8"/>
  <c r="A261" i="8"/>
  <c r="K260" i="8"/>
  <c r="J260" i="8"/>
  <c r="I260" i="8"/>
  <c r="H260" i="8"/>
  <c r="G260" i="8"/>
  <c r="F260" i="8"/>
  <c r="E260" i="8"/>
  <c r="D260" i="8"/>
  <c r="C260" i="8"/>
  <c r="B260" i="8"/>
  <c r="A260" i="8"/>
  <c r="K259" i="8"/>
  <c r="J259" i="8"/>
  <c r="I259" i="8"/>
  <c r="H259" i="8"/>
  <c r="G259" i="8"/>
  <c r="F259" i="8"/>
  <c r="E259" i="8"/>
  <c r="D259" i="8"/>
  <c r="C259" i="8"/>
  <c r="B259" i="8"/>
  <c r="A259" i="8"/>
  <c r="K258" i="8"/>
  <c r="J258" i="8"/>
  <c r="I258" i="8"/>
  <c r="H258" i="8"/>
  <c r="G258" i="8"/>
  <c r="F258" i="8"/>
  <c r="E258" i="8"/>
  <c r="D258" i="8"/>
  <c r="C258" i="8"/>
  <c r="B258" i="8"/>
  <c r="A258" i="8"/>
  <c r="K257" i="8"/>
  <c r="J257" i="8"/>
  <c r="I257" i="8"/>
  <c r="H257" i="8"/>
  <c r="G257" i="8"/>
  <c r="F257" i="8"/>
  <c r="E257" i="8"/>
  <c r="D257" i="8"/>
  <c r="C257" i="8"/>
  <c r="B257" i="8"/>
  <c r="A257" i="8"/>
  <c r="K256" i="8"/>
  <c r="J256" i="8"/>
  <c r="I256" i="8"/>
  <c r="H256" i="8"/>
  <c r="G256" i="8"/>
  <c r="F256" i="8"/>
  <c r="E256" i="8"/>
  <c r="D256" i="8"/>
  <c r="C256" i="8"/>
  <c r="B256" i="8"/>
  <c r="A256" i="8"/>
  <c r="K255" i="8"/>
  <c r="J255" i="8"/>
  <c r="I255" i="8"/>
  <c r="H255" i="8"/>
  <c r="G255" i="8"/>
  <c r="F255" i="8"/>
  <c r="E255" i="8"/>
  <c r="D255" i="8"/>
  <c r="C255" i="8"/>
  <c r="B255" i="8"/>
  <c r="A255" i="8"/>
  <c r="K254" i="8"/>
  <c r="J254" i="8"/>
  <c r="I254" i="8"/>
  <c r="H254" i="8"/>
  <c r="G254" i="8"/>
  <c r="F254" i="8"/>
  <c r="E254" i="8"/>
  <c r="D254" i="8"/>
  <c r="C254" i="8"/>
  <c r="B254" i="8"/>
  <c r="A254" i="8"/>
  <c r="K253" i="8"/>
  <c r="J253" i="8"/>
  <c r="I253" i="8"/>
  <c r="H253" i="8"/>
  <c r="G253" i="8"/>
  <c r="F253" i="8"/>
  <c r="E253" i="8"/>
  <c r="D253" i="8"/>
  <c r="C253" i="8"/>
  <c r="B253" i="8"/>
  <c r="A253" i="8"/>
  <c r="K252" i="8"/>
  <c r="J252" i="8"/>
  <c r="I252" i="8"/>
  <c r="H252" i="8"/>
  <c r="G252" i="8"/>
  <c r="F252" i="8"/>
  <c r="E252" i="8"/>
  <c r="D252" i="8"/>
  <c r="C252" i="8"/>
  <c r="B252" i="8"/>
  <c r="A252" i="8"/>
  <c r="K251" i="8"/>
  <c r="J251" i="8"/>
  <c r="I251" i="8"/>
  <c r="H251" i="8"/>
  <c r="G251" i="8"/>
  <c r="F251" i="8"/>
  <c r="E251" i="8"/>
  <c r="D251" i="8"/>
  <c r="C251" i="8"/>
  <c r="B251" i="8"/>
  <c r="A251" i="8"/>
  <c r="K250" i="8"/>
  <c r="J250" i="8"/>
  <c r="I250" i="8"/>
  <c r="H250" i="8"/>
  <c r="G250" i="8"/>
  <c r="F250" i="8"/>
  <c r="E250" i="8"/>
  <c r="D250" i="8"/>
  <c r="C250" i="8"/>
  <c r="B250" i="8"/>
  <c r="A250" i="8"/>
  <c r="K249" i="8"/>
  <c r="J249" i="8"/>
  <c r="I249" i="8"/>
  <c r="H249" i="8"/>
  <c r="G249" i="8"/>
  <c r="F249" i="8"/>
  <c r="E249" i="8"/>
  <c r="D249" i="8"/>
  <c r="C249" i="8"/>
  <c r="B249" i="8"/>
  <c r="A249" i="8"/>
  <c r="K248" i="8"/>
  <c r="J248" i="8"/>
  <c r="I248" i="8"/>
  <c r="H248" i="8"/>
  <c r="G248" i="8"/>
  <c r="F248" i="8"/>
  <c r="E248" i="8"/>
  <c r="D248" i="8"/>
  <c r="C248" i="8"/>
  <c r="B248" i="8"/>
  <c r="A248" i="8"/>
  <c r="K247" i="8"/>
  <c r="J247" i="8"/>
  <c r="I247" i="8"/>
  <c r="H247" i="8"/>
  <c r="G247" i="8"/>
  <c r="F247" i="8"/>
  <c r="E247" i="8"/>
  <c r="D247" i="8"/>
  <c r="C247" i="8"/>
  <c r="B247" i="8"/>
  <c r="A247" i="8"/>
  <c r="K246" i="8"/>
  <c r="J246" i="8"/>
  <c r="I246" i="8"/>
  <c r="H246" i="8"/>
  <c r="G246" i="8"/>
  <c r="F246" i="8"/>
  <c r="E246" i="8"/>
  <c r="D246" i="8"/>
  <c r="C246" i="8"/>
  <c r="B246" i="8"/>
  <c r="A246" i="8"/>
  <c r="K245" i="8"/>
  <c r="J245" i="8"/>
  <c r="I245" i="8"/>
  <c r="H245" i="8"/>
  <c r="G245" i="8"/>
  <c r="F245" i="8"/>
  <c r="E245" i="8"/>
  <c r="D245" i="8"/>
  <c r="C245" i="8"/>
  <c r="B245" i="8"/>
  <c r="A245" i="8"/>
  <c r="K244" i="8"/>
  <c r="J244" i="8"/>
  <c r="I244" i="8"/>
  <c r="H244" i="8"/>
  <c r="G244" i="8"/>
  <c r="F244" i="8"/>
  <c r="E244" i="8"/>
  <c r="D244" i="8"/>
  <c r="C244" i="8"/>
  <c r="B244" i="8"/>
  <c r="A244" i="8"/>
  <c r="K243" i="8"/>
  <c r="J243" i="8"/>
  <c r="I243" i="8"/>
  <c r="H243" i="8"/>
  <c r="G243" i="8"/>
  <c r="F243" i="8"/>
  <c r="E243" i="8"/>
  <c r="D243" i="8"/>
  <c r="C243" i="8"/>
  <c r="B243" i="8"/>
  <c r="A243" i="8"/>
  <c r="K242" i="8"/>
  <c r="J242" i="8"/>
  <c r="I242" i="8"/>
  <c r="H242" i="8"/>
  <c r="G242" i="8"/>
  <c r="F242" i="8"/>
  <c r="E242" i="8"/>
  <c r="D242" i="8"/>
  <c r="C242" i="8"/>
  <c r="B242" i="8"/>
  <c r="A242" i="8"/>
  <c r="K241" i="8"/>
  <c r="J241" i="8"/>
  <c r="I241" i="8"/>
  <c r="H241" i="8"/>
  <c r="G241" i="8"/>
  <c r="F241" i="8"/>
  <c r="E241" i="8"/>
  <c r="D241" i="8"/>
  <c r="C241" i="8"/>
  <c r="B241" i="8"/>
  <c r="A241" i="8"/>
  <c r="K240" i="8"/>
  <c r="J240" i="8"/>
  <c r="I240" i="8"/>
  <c r="H240" i="8"/>
  <c r="G240" i="8"/>
  <c r="F240" i="8"/>
  <c r="E240" i="8"/>
  <c r="D240" i="8"/>
  <c r="C240" i="8"/>
  <c r="B240" i="8"/>
  <c r="A240" i="8"/>
  <c r="K239" i="8"/>
  <c r="J239" i="8"/>
  <c r="I239" i="8"/>
  <c r="H239" i="8"/>
  <c r="G239" i="8"/>
  <c r="F239" i="8"/>
  <c r="E239" i="8"/>
  <c r="D239" i="8"/>
  <c r="C239" i="8"/>
  <c r="B239" i="8"/>
  <c r="A239" i="8"/>
  <c r="K238" i="8"/>
  <c r="J238" i="8"/>
  <c r="I238" i="8"/>
  <c r="H238" i="8"/>
  <c r="G238" i="8"/>
  <c r="F238" i="8"/>
  <c r="E238" i="8"/>
  <c r="D238" i="8"/>
  <c r="C238" i="8"/>
  <c r="B238" i="8"/>
  <c r="A238" i="8"/>
  <c r="K237" i="8"/>
  <c r="J237" i="8"/>
  <c r="I237" i="8"/>
  <c r="H237" i="8"/>
  <c r="G237" i="8"/>
  <c r="F237" i="8"/>
  <c r="E237" i="8"/>
  <c r="D237" i="8"/>
  <c r="C237" i="8"/>
  <c r="B237" i="8"/>
  <c r="A237" i="8"/>
  <c r="K236" i="8"/>
  <c r="J236" i="8"/>
  <c r="I236" i="8"/>
  <c r="H236" i="8"/>
  <c r="G236" i="8"/>
  <c r="F236" i="8"/>
  <c r="E236" i="8"/>
  <c r="D236" i="8"/>
  <c r="C236" i="8"/>
  <c r="B236" i="8"/>
  <c r="A236" i="8"/>
  <c r="K235" i="8"/>
  <c r="J235" i="8"/>
  <c r="I235" i="8"/>
  <c r="H235" i="8"/>
  <c r="G235" i="8"/>
  <c r="F235" i="8"/>
  <c r="E235" i="8"/>
  <c r="D235" i="8"/>
  <c r="C235" i="8"/>
  <c r="B235" i="8"/>
  <c r="A235" i="8"/>
  <c r="K234" i="8"/>
  <c r="J234" i="8"/>
  <c r="I234" i="8"/>
  <c r="H234" i="8"/>
  <c r="G234" i="8"/>
  <c r="F234" i="8"/>
  <c r="E234" i="8"/>
  <c r="D234" i="8"/>
  <c r="C234" i="8"/>
  <c r="B234" i="8"/>
  <c r="A234" i="8"/>
  <c r="K233" i="8"/>
  <c r="J233" i="8"/>
  <c r="I233" i="8"/>
  <c r="H233" i="8"/>
  <c r="G233" i="8"/>
  <c r="F233" i="8"/>
  <c r="E233" i="8"/>
  <c r="D233" i="8"/>
  <c r="C233" i="8"/>
  <c r="B233" i="8"/>
  <c r="A233" i="8"/>
  <c r="K232" i="8"/>
  <c r="J232" i="8"/>
  <c r="I232" i="8"/>
  <c r="H232" i="8"/>
  <c r="G232" i="8"/>
  <c r="F232" i="8"/>
  <c r="E232" i="8"/>
  <c r="D232" i="8"/>
  <c r="C232" i="8"/>
  <c r="B232" i="8"/>
  <c r="A232" i="8"/>
  <c r="K231" i="8"/>
  <c r="J231" i="8"/>
  <c r="I231" i="8"/>
  <c r="H231" i="8"/>
  <c r="G231" i="8"/>
  <c r="F231" i="8"/>
  <c r="E231" i="8"/>
  <c r="D231" i="8"/>
  <c r="C231" i="8"/>
  <c r="B231" i="8"/>
  <c r="A231" i="8"/>
  <c r="K230" i="8"/>
  <c r="J230" i="8"/>
  <c r="I230" i="8"/>
  <c r="H230" i="8"/>
  <c r="G230" i="8"/>
  <c r="F230" i="8"/>
  <c r="E230" i="8"/>
  <c r="D230" i="8"/>
  <c r="C230" i="8"/>
  <c r="B230" i="8"/>
  <c r="A230" i="8"/>
  <c r="K229" i="8"/>
  <c r="J229" i="8"/>
  <c r="I229" i="8"/>
  <c r="H229" i="8"/>
  <c r="G229" i="8"/>
  <c r="F229" i="8"/>
  <c r="E229" i="8"/>
  <c r="D229" i="8"/>
  <c r="C229" i="8"/>
  <c r="B229" i="8"/>
  <c r="A229" i="8"/>
  <c r="K228" i="8"/>
  <c r="J228" i="8"/>
  <c r="I228" i="8"/>
  <c r="H228" i="8"/>
  <c r="G228" i="8"/>
  <c r="F228" i="8"/>
  <c r="E228" i="8"/>
  <c r="D228" i="8"/>
  <c r="C228" i="8"/>
  <c r="B228" i="8"/>
  <c r="A228" i="8"/>
  <c r="K227" i="8"/>
  <c r="J227" i="8"/>
  <c r="I227" i="8"/>
  <c r="H227" i="8"/>
  <c r="G227" i="8"/>
  <c r="F227" i="8"/>
  <c r="E227" i="8"/>
  <c r="D227" i="8"/>
  <c r="C227" i="8"/>
  <c r="B227" i="8"/>
  <c r="A227" i="8"/>
  <c r="K226" i="8"/>
  <c r="J226" i="8"/>
  <c r="I226" i="8"/>
  <c r="H226" i="8"/>
  <c r="G226" i="8"/>
  <c r="F226" i="8"/>
  <c r="E226" i="8"/>
  <c r="D226" i="8"/>
  <c r="C226" i="8"/>
  <c r="B226" i="8"/>
  <c r="A226" i="8"/>
  <c r="K225" i="8"/>
  <c r="J225" i="8"/>
  <c r="I225" i="8"/>
  <c r="H225" i="8"/>
  <c r="G225" i="8"/>
  <c r="F225" i="8"/>
  <c r="E225" i="8"/>
  <c r="D225" i="8"/>
  <c r="C225" i="8"/>
  <c r="B225" i="8"/>
  <c r="A225" i="8"/>
  <c r="K224" i="8"/>
  <c r="J224" i="8"/>
  <c r="I224" i="8"/>
  <c r="H224" i="8"/>
  <c r="G224" i="8"/>
  <c r="F224" i="8"/>
  <c r="E224" i="8"/>
  <c r="D224" i="8"/>
  <c r="C224" i="8"/>
  <c r="B224" i="8"/>
  <c r="A224" i="8"/>
  <c r="K223" i="8"/>
  <c r="J223" i="8"/>
  <c r="I223" i="8"/>
  <c r="H223" i="8"/>
  <c r="G223" i="8"/>
  <c r="F223" i="8"/>
  <c r="E223" i="8"/>
  <c r="D223" i="8"/>
  <c r="C223" i="8"/>
  <c r="B223" i="8"/>
  <c r="A223" i="8"/>
  <c r="K222" i="8"/>
  <c r="J222" i="8"/>
  <c r="I222" i="8"/>
  <c r="H222" i="8"/>
  <c r="G222" i="8"/>
  <c r="F222" i="8"/>
  <c r="E222" i="8"/>
  <c r="D222" i="8"/>
  <c r="C222" i="8"/>
  <c r="B222" i="8"/>
  <c r="A222" i="8"/>
  <c r="K221" i="8"/>
  <c r="J221" i="8"/>
  <c r="I221" i="8"/>
  <c r="H221" i="8"/>
  <c r="G221" i="8"/>
  <c r="F221" i="8"/>
  <c r="E221" i="8"/>
  <c r="D221" i="8"/>
  <c r="C221" i="8"/>
  <c r="B221" i="8"/>
  <c r="A221" i="8"/>
  <c r="K220" i="8"/>
  <c r="J220" i="8"/>
  <c r="I220" i="8"/>
  <c r="H220" i="8"/>
  <c r="G220" i="8"/>
  <c r="F220" i="8"/>
  <c r="E220" i="8"/>
  <c r="D220" i="8"/>
  <c r="C220" i="8"/>
  <c r="B220" i="8"/>
  <c r="A220" i="8"/>
  <c r="K219" i="8"/>
  <c r="J219" i="8"/>
  <c r="I219" i="8"/>
  <c r="H219" i="8"/>
  <c r="G219" i="8"/>
  <c r="F219" i="8"/>
  <c r="E219" i="8"/>
  <c r="D219" i="8"/>
  <c r="C219" i="8"/>
  <c r="B219" i="8"/>
  <c r="A219" i="8"/>
  <c r="K218" i="8"/>
  <c r="J218" i="8"/>
  <c r="I218" i="8"/>
  <c r="H218" i="8"/>
  <c r="G218" i="8"/>
  <c r="F218" i="8"/>
  <c r="E218" i="8"/>
  <c r="D218" i="8"/>
  <c r="C218" i="8"/>
  <c r="B218" i="8"/>
  <c r="A218" i="8"/>
  <c r="K217" i="8"/>
  <c r="J217" i="8"/>
  <c r="I217" i="8"/>
  <c r="H217" i="8"/>
  <c r="G217" i="8"/>
  <c r="F217" i="8"/>
  <c r="E217" i="8"/>
  <c r="D217" i="8"/>
  <c r="C217" i="8"/>
  <c r="B217" i="8"/>
  <c r="A217" i="8"/>
  <c r="K216" i="8"/>
  <c r="J216" i="8"/>
  <c r="I216" i="8"/>
  <c r="H216" i="8"/>
  <c r="G216" i="8"/>
  <c r="F216" i="8"/>
  <c r="E216" i="8"/>
  <c r="D216" i="8"/>
  <c r="C216" i="8"/>
  <c r="B216" i="8"/>
  <c r="A216" i="8"/>
  <c r="K215" i="8"/>
  <c r="J215" i="8"/>
  <c r="I215" i="8"/>
  <c r="H215" i="8"/>
  <c r="G215" i="8"/>
  <c r="F215" i="8"/>
  <c r="E215" i="8"/>
  <c r="D215" i="8"/>
  <c r="C215" i="8"/>
  <c r="B215" i="8"/>
  <c r="A215" i="8"/>
  <c r="K214" i="8"/>
  <c r="J214" i="8"/>
  <c r="I214" i="8"/>
  <c r="H214" i="8"/>
  <c r="G214" i="8"/>
  <c r="F214" i="8"/>
  <c r="E214" i="8"/>
  <c r="D214" i="8"/>
  <c r="C214" i="8"/>
  <c r="B214" i="8"/>
  <c r="A214" i="8"/>
  <c r="K213" i="8"/>
  <c r="J213" i="8"/>
  <c r="I213" i="8"/>
  <c r="H213" i="8"/>
  <c r="G213" i="8"/>
  <c r="F213" i="8"/>
  <c r="E213" i="8"/>
  <c r="D213" i="8"/>
  <c r="C213" i="8"/>
  <c r="B213" i="8"/>
  <c r="A213" i="8"/>
  <c r="K212" i="8"/>
  <c r="J212" i="8"/>
  <c r="I212" i="8"/>
  <c r="H212" i="8"/>
  <c r="G212" i="8"/>
  <c r="F212" i="8"/>
  <c r="E212" i="8"/>
  <c r="D212" i="8"/>
  <c r="C212" i="8"/>
  <c r="B212" i="8"/>
  <c r="A212" i="8"/>
  <c r="K211" i="8"/>
  <c r="J211" i="8"/>
  <c r="I211" i="8"/>
  <c r="H211" i="8"/>
  <c r="G211" i="8"/>
  <c r="F211" i="8"/>
  <c r="E211" i="8"/>
  <c r="D211" i="8"/>
  <c r="C211" i="8"/>
  <c r="B211" i="8"/>
  <c r="A211" i="8"/>
  <c r="K210" i="8"/>
  <c r="J210" i="8"/>
  <c r="I210" i="8"/>
  <c r="H210" i="8"/>
  <c r="G210" i="8"/>
  <c r="F210" i="8"/>
  <c r="E210" i="8"/>
  <c r="D210" i="8"/>
  <c r="C210" i="8"/>
  <c r="B210" i="8"/>
  <c r="A210" i="8"/>
  <c r="K209" i="8"/>
  <c r="J209" i="8"/>
  <c r="I209" i="8"/>
  <c r="H209" i="8"/>
  <c r="G209" i="8"/>
  <c r="F209" i="8"/>
  <c r="E209" i="8"/>
  <c r="D209" i="8"/>
  <c r="C209" i="8"/>
  <c r="B209" i="8"/>
  <c r="A209" i="8"/>
  <c r="K208" i="8"/>
  <c r="J208" i="8"/>
  <c r="I208" i="8"/>
  <c r="H208" i="8"/>
  <c r="G208" i="8"/>
  <c r="F208" i="8"/>
  <c r="E208" i="8"/>
  <c r="D208" i="8"/>
  <c r="C208" i="8"/>
  <c r="B208" i="8"/>
  <c r="A208" i="8"/>
  <c r="K207" i="8"/>
  <c r="J207" i="8"/>
  <c r="I207" i="8"/>
  <c r="H207" i="8"/>
  <c r="G207" i="8"/>
  <c r="F207" i="8"/>
  <c r="E207" i="8"/>
  <c r="D207" i="8"/>
  <c r="C207" i="8"/>
  <c r="B207" i="8"/>
  <c r="A207" i="8"/>
  <c r="K206" i="8"/>
  <c r="J206" i="8"/>
  <c r="I206" i="8"/>
  <c r="H206" i="8"/>
  <c r="G206" i="8"/>
  <c r="F206" i="8"/>
  <c r="E206" i="8"/>
  <c r="D206" i="8"/>
  <c r="C206" i="8"/>
  <c r="B206" i="8"/>
  <c r="A206" i="8"/>
  <c r="K205" i="8"/>
  <c r="J205" i="8"/>
  <c r="I205" i="8"/>
  <c r="H205" i="8"/>
  <c r="G205" i="8"/>
  <c r="F205" i="8"/>
  <c r="E205" i="8"/>
  <c r="D205" i="8"/>
  <c r="C205" i="8"/>
  <c r="B205" i="8"/>
  <c r="A205" i="8"/>
  <c r="K204" i="8"/>
  <c r="J204" i="8"/>
  <c r="I204" i="8"/>
  <c r="H204" i="8"/>
  <c r="G204" i="8"/>
  <c r="F204" i="8"/>
  <c r="E204" i="8"/>
  <c r="D204" i="8"/>
  <c r="C204" i="8"/>
  <c r="B204" i="8"/>
  <c r="A204" i="8"/>
  <c r="K203" i="8"/>
  <c r="J203" i="8"/>
  <c r="I203" i="8"/>
  <c r="H203" i="8"/>
  <c r="G203" i="8"/>
  <c r="F203" i="8"/>
  <c r="E203" i="8"/>
  <c r="D203" i="8"/>
  <c r="C203" i="8"/>
  <c r="B203" i="8"/>
  <c r="A203" i="8"/>
  <c r="K202" i="8"/>
  <c r="J202" i="8"/>
  <c r="I202" i="8"/>
  <c r="H202" i="8"/>
  <c r="G202" i="8"/>
  <c r="F202" i="8"/>
  <c r="E202" i="8"/>
  <c r="D202" i="8"/>
  <c r="C202" i="8"/>
  <c r="B202" i="8"/>
  <c r="A202" i="8"/>
  <c r="K201" i="8"/>
  <c r="J201" i="8"/>
  <c r="I201" i="8"/>
  <c r="H201" i="8"/>
  <c r="G201" i="8"/>
  <c r="F201" i="8"/>
  <c r="E201" i="8"/>
  <c r="D201" i="8"/>
  <c r="C201" i="8"/>
  <c r="B201" i="8"/>
  <c r="A201" i="8"/>
  <c r="K200" i="8"/>
  <c r="J200" i="8"/>
  <c r="I200" i="8"/>
  <c r="H200" i="8"/>
  <c r="G200" i="8"/>
  <c r="F200" i="8"/>
  <c r="E200" i="8"/>
  <c r="D200" i="8"/>
  <c r="C200" i="8"/>
  <c r="B200" i="8"/>
  <c r="A200" i="8"/>
  <c r="K199" i="8"/>
  <c r="J199" i="8"/>
  <c r="I199" i="8"/>
  <c r="H199" i="8"/>
  <c r="G199" i="8"/>
  <c r="F199" i="8"/>
  <c r="E199" i="8"/>
  <c r="D199" i="8"/>
  <c r="C199" i="8"/>
  <c r="B199" i="8"/>
  <c r="A199" i="8"/>
  <c r="K198" i="8"/>
  <c r="J198" i="8"/>
  <c r="I198" i="8"/>
  <c r="H198" i="8"/>
  <c r="G198" i="8"/>
  <c r="F198" i="8"/>
  <c r="E198" i="8"/>
  <c r="D198" i="8"/>
  <c r="C198" i="8"/>
  <c r="B198" i="8"/>
  <c r="A198" i="8"/>
  <c r="K197" i="8"/>
  <c r="J197" i="8"/>
  <c r="I197" i="8"/>
  <c r="H197" i="8"/>
  <c r="G197" i="8"/>
  <c r="F197" i="8"/>
  <c r="E197" i="8"/>
  <c r="D197" i="8"/>
  <c r="C197" i="8"/>
  <c r="B197" i="8"/>
  <c r="A197" i="8"/>
  <c r="K196" i="8"/>
  <c r="J196" i="8"/>
  <c r="I196" i="8"/>
  <c r="H196" i="8"/>
  <c r="G196" i="8"/>
  <c r="F196" i="8"/>
  <c r="E196" i="8"/>
  <c r="D196" i="8"/>
  <c r="C196" i="8"/>
  <c r="B196" i="8"/>
  <c r="A196" i="8"/>
  <c r="K195" i="8"/>
  <c r="J195" i="8"/>
  <c r="I195" i="8"/>
  <c r="H195" i="8"/>
  <c r="G195" i="8"/>
  <c r="F195" i="8"/>
  <c r="E195" i="8"/>
  <c r="D195" i="8"/>
  <c r="C195" i="8"/>
  <c r="B195" i="8"/>
  <c r="A195" i="8"/>
  <c r="K194" i="8"/>
  <c r="J194" i="8"/>
  <c r="I194" i="8"/>
  <c r="H194" i="8"/>
  <c r="G194" i="8"/>
  <c r="F194" i="8"/>
  <c r="E194" i="8"/>
  <c r="D194" i="8"/>
  <c r="C194" i="8"/>
  <c r="B194" i="8"/>
  <c r="A194" i="8"/>
  <c r="K193" i="8"/>
  <c r="J193" i="8"/>
  <c r="I193" i="8"/>
  <c r="H193" i="8"/>
  <c r="G193" i="8"/>
  <c r="F193" i="8"/>
  <c r="E193" i="8"/>
  <c r="D193" i="8"/>
  <c r="C193" i="8"/>
  <c r="B193" i="8"/>
  <c r="A193" i="8"/>
  <c r="K192" i="8"/>
  <c r="J192" i="8"/>
  <c r="I192" i="8"/>
  <c r="H192" i="8"/>
  <c r="G192" i="8"/>
  <c r="F192" i="8"/>
  <c r="E192" i="8"/>
  <c r="D192" i="8"/>
  <c r="C192" i="8"/>
  <c r="B192" i="8"/>
  <c r="A192" i="8"/>
  <c r="K191" i="8"/>
  <c r="J191" i="8"/>
  <c r="I191" i="8"/>
  <c r="H191" i="8"/>
  <c r="G191" i="8"/>
  <c r="F191" i="8"/>
  <c r="E191" i="8"/>
  <c r="D191" i="8"/>
  <c r="C191" i="8"/>
  <c r="B191" i="8"/>
  <c r="A191" i="8"/>
  <c r="K190" i="8"/>
  <c r="J190" i="8"/>
  <c r="I190" i="8"/>
  <c r="H190" i="8"/>
  <c r="G190" i="8"/>
  <c r="F190" i="8"/>
  <c r="E190" i="8"/>
  <c r="D190" i="8"/>
  <c r="C190" i="8"/>
  <c r="B190" i="8"/>
  <c r="A190" i="8"/>
  <c r="K189" i="8"/>
  <c r="J189" i="8"/>
  <c r="I189" i="8"/>
  <c r="H189" i="8"/>
  <c r="G189" i="8"/>
  <c r="F189" i="8"/>
  <c r="E189" i="8"/>
  <c r="D189" i="8"/>
  <c r="C189" i="8"/>
  <c r="B189" i="8"/>
  <c r="A189" i="8"/>
  <c r="K188" i="8"/>
  <c r="J188" i="8"/>
  <c r="I188" i="8"/>
  <c r="H188" i="8"/>
  <c r="G188" i="8"/>
  <c r="F188" i="8"/>
  <c r="E188" i="8"/>
  <c r="D188" i="8"/>
  <c r="C188" i="8"/>
  <c r="B188" i="8"/>
  <c r="A188" i="8"/>
  <c r="K187" i="8"/>
  <c r="J187" i="8"/>
  <c r="I187" i="8"/>
  <c r="H187" i="8"/>
  <c r="G187" i="8"/>
  <c r="F187" i="8"/>
  <c r="E187" i="8"/>
  <c r="D187" i="8"/>
  <c r="C187" i="8"/>
  <c r="B187" i="8"/>
  <c r="A187" i="8"/>
  <c r="K186" i="8"/>
  <c r="J186" i="8"/>
  <c r="I186" i="8"/>
  <c r="H186" i="8"/>
  <c r="G186" i="8"/>
  <c r="F186" i="8"/>
  <c r="E186" i="8"/>
  <c r="D186" i="8"/>
  <c r="C186" i="8"/>
  <c r="B186" i="8"/>
  <c r="A186" i="8"/>
  <c r="K185" i="8"/>
  <c r="J185" i="8"/>
  <c r="I185" i="8"/>
  <c r="H185" i="8"/>
  <c r="G185" i="8"/>
  <c r="F185" i="8"/>
  <c r="E185" i="8"/>
  <c r="D185" i="8"/>
  <c r="C185" i="8"/>
  <c r="B185" i="8"/>
  <c r="A185" i="8"/>
  <c r="K184" i="8"/>
  <c r="J184" i="8"/>
  <c r="I184" i="8"/>
  <c r="H184" i="8"/>
  <c r="G184" i="8"/>
  <c r="F184" i="8"/>
  <c r="E184" i="8"/>
  <c r="D184" i="8"/>
  <c r="C184" i="8"/>
  <c r="B184" i="8"/>
  <c r="A184" i="8"/>
  <c r="K183" i="8"/>
  <c r="J183" i="8"/>
  <c r="I183" i="8"/>
  <c r="H183" i="8"/>
  <c r="G183" i="8"/>
  <c r="F183" i="8"/>
  <c r="E183" i="8"/>
  <c r="D183" i="8"/>
  <c r="C183" i="8"/>
  <c r="B183" i="8"/>
  <c r="A183" i="8"/>
  <c r="K182" i="8"/>
  <c r="J182" i="8"/>
  <c r="I182" i="8"/>
  <c r="H182" i="8"/>
  <c r="G182" i="8"/>
  <c r="F182" i="8"/>
  <c r="E182" i="8"/>
  <c r="D182" i="8"/>
  <c r="C182" i="8"/>
  <c r="B182" i="8"/>
  <c r="A182" i="8"/>
  <c r="K181" i="8"/>
  <c r="J181" i="8"/>
  <c r="I181" i="8"/>
  <c r="H181" i="8"/>
  <c r="G181" i="8"/>
  <c r="F181" i="8"/>
  <c r="E181" i="8"/>
  <c r="D181" i="8"/>
  <c r="C181" i="8"/>
  <c r="B181" i="8"/>
  <c r="A181" i="8"/>
  <c r="K180" i="8"/>
  <c r="J180" i="8"/>
  <c r="I180" i="8"/>
  <c r="H180" i="8"/>
  <c r="G180" i="8"/>
  <c r="F180" i="8"/>
  <c r="E180" i="8"/>
  <c r="D180" i="8"/>
  <c r="C180" i="8"/>
  <c r="B180" i="8"/>
  <c r="A180" i="8"/>
  <c r="K179" i="8"/>
  <c r="J179" i="8"/>
  <c r="I179" i="8"/>
  <c r="H179" i="8"/>
  <c r="G179" i="8"/>
  <c r="F179" i="8"/>
  <c r="E179" i="8"/>
  <c r="D179" i="8"/>
  <c r="C179" i="8"/>
  <c r="B179" i="8"/>
  <c r="A179" i="8"/>
  <c r="K178" i="8"/>
  <c r="J178" i="8"/>
  <c r="I178" i="8"/>
  <c r="H178" i="8"/>
  <c r="G178" i="8"/>
  <c r="F178" i="8"/>
  <c r="E178" i="8"/>
  <c r="D178" i="8"/>
  <c r="C178" i="8"/>
  <c r="B178" i="8"/>
  <c r="A178" i="8"/>
  <c r="K177" i="8"/>
  <c r="J177" i="8"/>
  <c r="I177" i="8"/>
  <c r="H177" i="8"/>
  <c r="G177" i="8"/>
  <c r="F177" i="8"/>
  <c r="E177" i="8"/>
  <c r="D177" i="8"/>
  <c r="C177" i="8"/>
  <c r="B177" i="8"/>
  <c r="A177" i="8"/>
  <c r="K176" i="8"/>
  <c r="J176" i="8"/>
  <c r="I176" i="8"/>
  <c r="H176" i="8"/>
  <c r="G176" i="8"/>
  <c r="F176" i="8"/>
  <c r="E176" i="8"/>
  <c r="D176" i="8"/>
  <c r="C176" i="8"/>
  <c r="B176" i="8"/>
  <c r="A176" i="8"/>
  <c r="K175" i="8"/>
  <c r="J175" i="8"/>
  <c r="I175" i="8"/>
  <c r="H175" i="8"/>
  <c r="G175" i="8"/>
  <c r="F175" i="8"/>
  <c r="E175" i="8"/>
  <c r="D175" i="8"/>
  <c r="C175" i="8"/>
  <c r="B175" i="8"/>
  <c r="A175" i="8"/>
  <c r="K174" i="8"/>
  <c r="J174" i="8"/>
  <c r="I174" i="8"/>
  <c r="H174" i="8"/>
  <c r="G174" i="8"/>
  <c r="F174" i="8"/>
  <c r="E174" i="8"/>
  <c r="D174" i="8"/>
  <c r="C174" i="8"/>
  <c r="B174" i="8"/>
  <c r="A174" i="8"/>
  <c r="K173" i="8"/>
  <c r="J173" i="8"/>
  <c r="I173" i="8"/>
  <c r="H173" i="8"/>
  <c r="G173" i="8"/>
  <c r="F173" i="8"/>
  <c r="E173" i="8"/>
  <c r="D173" i="8"/>
  <c r="C173" i="8"/>
  <c r="B173" i="8"/>
  <c r="A173" i="8"/>
  <c r="K172" i="8"/>
  <c r="J172" i="8"/>
  <c r="I172" i="8"/>
  <c r="H172" i="8"/>
  <c r="G172" i="8"/>
  <c r="F172" i="8"/>
  <c r="E172" i="8"/>
  <c r="D172" i="8"/>
  <c r="C172" i="8"/>
  <c r="B172" i="8"/>
  <c r="A172" i="8"/>
  <c r="K171" i="8"/>
  <c r="J171" i="8"/>
  <c r="I171" i="8"/>
  <c r="H171" i="8"/>
  <c r="G171" i="8"/>
  <c r="F171" i="8"/>
  <c r="E171" i="8"/>
  <c r="D171" i="8"/>
  <c r="C171" i="8"/>
  <c r="B171" i="8"/>
  <c r="A171" i="8"/>
  <c r="K170" i="8"/>
  <c r="J170" i="8"/>
  <c r="I170" i="8"/>
  <c r="H170" i="8"/>
  <c r="G170" i="8"/>
  <c r="F170" i="8"/>
  <c r="E170" i="8"/>
  <c r="D170" i="8"/>
  <c r="C170" i="8"/>
  <c r="B170" i="8"/>
  <c r="A170" i="8"/>
  <c r="K169" i="8"/>
  <c r="J169" i="8"/>
  <c r="I169" i="8"/>
  <c r="H169" i="8"/>
  <c r="G169" i="8"/>
  <c r="F169" i="8"/>
  <c r="E169" i="8"/>
  <c r="D169" i="8"/>
  <c r="C169" i="8"/>
  <c r="B169" i="8"/>
  <c r="A169" i="8"/>
  <c r="K168" i="8"/>
  <c r="J168" i="8"/>
  <c r="I168" i="8"/>
  <c r="H168" i="8"/>
  <c r="G168" i="8"/>
  <c r="F168" i="8"/>
  <c r="E168" i="8"/>
  <c r="D168" i="8"/>
  <c r="C168" i="8"/>
  <c r="B168" i="8"/>
  <c r="A168" i="8"/>
  <c r="K167" i="8"/>
  <c r="J167" i="8"/>
  <c r="I167" i="8"/>
  <c r="H167" i="8"/>
  <c r="G167" i="8"/>
  <c r="F167" i="8"/>
  <c r="E167" i="8"/>
  <c r="D167" i="8"/>
  <c r="C167" i="8"/>
  <c r="B167" i="8"/>
  <c r="A167" i="8"/>
  <c r="K166" i="8"/>
  <c r="J166" i="8"/>
  <c r="I166" i="8"/>
  <c r="H166" i="8"/>
  <c r="G166" i="8"/>
  <c r="F166" i="8"/>
  <c r="E166" i="8"/>
  <c r="D166" i="8"/>
  <c r="C166" i="8"/>
  <c r="B166" i="8"/>
  <c r="A166" i="8"/>
  <c r="K165" i="8"/>
  <c r="J165" i="8"/>
  <c r="I165" i="8"/>
  <c r="H165" i="8"/>
  <c r="G165" i="8"/>
  <c r="F165" i="8"/>
  <c r="E165" i="8"/>
  <c r="D165" i="8"/>
  <c r="C165" i="8"/>
  <c r="B165" i="8"/>
  <c r="A165" i="8"/>
  <c r="K164" i="8"/>
  <c r="J164" i="8"/>
  <c r="I164" i="8"/>
  <c r="H164" i="8"/>
  <c r="G164" i="8"/>
  <c r="F164" i="8"/>
  <c r="E164" i="8"/>
  <c r="D164" i="8"/>
  <c r="C164" i="8"/>
  <c r="B164" i="8"/>
  <c r="A164" i="8"/>
  <c r="K163" i="8"/>
  <c r="J163" i="8"/>
  <c r="I163" i="8"/>
  <c r="H163" i="8"/>
  <c r="G163" i="8"/>
  <c r="F163" i="8"/>
  <c r="E163" i="8"/>
  <c r="D163" i="8"/>
  <c r="C163" i="8"/>
  <c r="B163" i="8"/>
  <c r="A163" i="8"/>
  <c r="K162" i="8"/>
  <c r="J162" i="8"/>
  <c r="I162" i="8"/>
  <c r="H162" i="8"/>
  <c r="G162" i="8"/>
  <c r="F162" i="8"/>
  <c r="E162" i="8"/>
  <c r="D162" i="8"/>
  <c r="C162" i="8"/>
  <c r="B162" i="8"/>
  <c r="A162" i="8"/>
  <c r="K161" i="8"/>
  <c r="J161" i="8"/>
  <c r="I161" i="8"/>
  <c r="H161" i="8"/>
  <c r="G161" i="8"/>
  <c r="F161" i="8"/>
  <c r="E161" i="8"/>
  <c r="D161" i="8"/>
  <c r="C161" i="8"/>
  <c r="B161" i="8"/>
  <c r="A161" i="8"/>
  <c r="K160" i="8"/>
  <c r="J160" i="8"/>
  <c r="I160" i="8"/>
  <c r="H160" i="8"/>
  <c r="G160" i="8"/>
  <c r="F160" i="8"/>
  <c r="E160" i="8"/>
  <c r="D160" i="8"/>
  <c r="C160" i="8"/>
  <c r="B160" i="8"/>
  <c r="A160" i="8"/>
  <c r="K159" i="8"/>
  <c r="J159" i="8"/>
  <c r="I159" i="8"/>
  <c r="H159" i="8"/>
  <c r="G159" i="8"/>
  <c r="F159" i="8"/>
  <c r="E159" i="8"/>
  <c r="D159" i="8"/>
  <c r="C159" i="8"/>
  <c r="B159" i="8"/>
  <c r="A159" i="8"/>
  <c r="K158" i="8"/>
  <c r="J158" i="8"/>
  <c r="I158" i="8"/>
  <c r="H158" i="8"/>
  <c r="G158" i="8"/>
  <c r="F158" i="8"/>
  <c r="E158" i="8"/>
  <c r="D158" i="8"/>
  <c r="C158" i="8"/>
  <c r="B158" i="8"/>
  <c r="A158" i="8"/>
  <c r="K157" i="8"/>
  <c r="J157" i="8"/>
  <c r="I157" i="8"/>
  <c r="H157" i="8"/>
  <c r="G157" i="8"/>
  <c r="F157" i="8"/>
  <c r="E157" i="8"/>
  <c r="D157" i="8"/>
  <c r="C157" i="8"/>
  <c r="B157" i="8"/>
  <c r="A157" i="8"/>
  <c r="K156" i="8"/>
  <c r="J156" i="8"/>
  <c r="I156" i="8"/>
  <c r="H156" i="8"/>
  <c r="G156" i="8"/>
  <c r="F156" i="8"/>
  <c r="E156" i="8"/>
  <c r="D156" i="8"/>
  <c r="C156" i="8"/>
  <c r="B156" i="8"/>
  <c r="A156" i="8"/>
  <c r="K155" i="8"/>
  <c r="J155" i="8"/>
  <c r="I155" i="8"/>
  <c r="H155" i="8"/>
  <c r="G155" i="8"/>
  <c r="F155" i="8"/>
  <c r="E155" i="8"/>
  <c r="D155" i="8"/>
  <c r="C155" i="8"/>
  <c r="B155" i="8"/>
  <c r="A155" i="8"/>
  <c r="K154" i="8"/>
  <c r="J154" i="8"/>
  <c r="I154" i="8"/>
  <c r="H154" i="8"/>
  <c r="G154" i="8"/>
  <c r="F154" i="8"/>
  <c r="E154" i="8"/>
  <c r="D154" i="8"/>
  <c r="C154" i="8"/>
  <c r="B154" i="8"/>
  <c r="A154" i="8"/>
  <c r="K153" i="8"/>
  <c r="J153" i="8"/>
  <c r="I153" i="8"/>
  <c r="H153" i="8"/>
  <c r="G153" i="8"/>
  <c r="F153" i="8"/>
  <c r="E153" i="8"/>
  <c r="D153" i="8"/>
  <c r="C153" i="8"/>
  <c r="B153" i="8"/>
  <c r="A153" i="8"/>
  <c r="K152" i="8"/>
  <c r="J152" i="8"/>
  <c r="I152" i="8"/>
  <c r="H152" i="8"/>
  <c r="G152" i="8"/>
  <c r="F152" i="8"/>
  <c r="E152" i="8"/>
  <c r="D152" i="8"/>
  <c r="C152" i="8"/>
  <c r="B152" i="8"/>
  <c r="A152" i="8"/>
  <c r="K151" i="8"/>
  <c r="J151" i="8"/>
  <c r="I151" i="8"/>
  <c r="H151" i="8"/>
  <c r="G151" i="8"/>
  <c r="F151" i="8"/>
  <c r="E151" i="8"/>
  <c r="D151" i="8"/>
  <c r="C151" i="8"/>
  <c r="B151" i="8"/>
  <c r="A151" i="8"/>
  <c r="K150" i="8"/>
  <c r="J150" i="8"/>
  <c r="I150" i="8"/>
  <c r="H150" i="8"/>
  <c r="G150" i="8"/>
  <c r="F150" i="8"/>
  <c r="E150" i="8"/>
  <c r="D150" i="8"/>
  <c r="C150" i="8"/>
  <c r="B150" i="8"/>
  <c r="A150" i="8"/>
  <c r="K149" i="8"/>
  <c r="J149" i="8"/>
  <c r="I149" i="8"/>
  <c r="H149" i="8"/>
  <c r="G149" i="8"/>
  <c r="F149" i="8"/>
  <c r="E149" i="8"/>
  <c r="D149" i="8"/>
  <c r="C149" i="8"/>
  <c r="B149" i="8"/>
  <c r="A149" i="8"/>
  <c r="K148" i="8"/>
  <c r="J148" i="8"/>
  <c r="I148" i="8"/>
  <c r="H148" i="8"/>
  <c r="G148" i="8"/>
  <c r="F148" i="8"/>
  <c r="E148" i="8"/>
  <c r="D148" i="8"/>
  <c r="C148" i="8"/>
  <c r="B148" i="8"/>
  <c r="A148" i="8"/>
  <c r="K147" i="8"/>
  <c r="J147" i="8"/>
  <c r="I147" i="8"/>
  <c r="H147" i="8"/>
  <c r="G147" i="8"/>
  <c r="F147" i="8"/>
  <c r="E147" i="8"/>
  <c r="D147" i="8"/>
  <c r="C147" i="8"/>
  <c r="B147" i="8"/>
  <c r="A147" i="8"/>
  <c r="K146" i="8"/>
  <c r="J146" i="8"/>
  <c r="I146" i="8"/>
  <c r="H146" i="8"/>
  <c r="G146" i="8"/>
  <c r="F146" i="8"/>
  <c r="E146" i="8"/>
  <c r="D146" i="8"/>
  <c r="C146" i="8"/>
  <c r="B146" i="8"/>
  <c r="A146" i="8"/>
  <c r="K145" i="8"/>
  <c r="J145" i="8"/>
  <c r="I145" i="8"/>
  <c r="H145" i="8"/>
  <c r="G145" i="8"/>
  <c r="F145" i="8"/>
  <c r="E145" i="8"/>
  <c r="D145" i="8"/>
  <c r="C145" i="8"/>
  <c r="B145" i="8"/>
  <c r="A145" i="8"/>
  <c r="K144" i="8"/>
  <c r="J144" i="8"/>
  <c r="I144" i="8"/>
  <c r="H144" i="8"/>
  <c r="G144" i="8"/>
  <c r="F144" i="8"/>
  <c r="E144" i="8"/>
  <c r="D144" i="8"/>
  <c r="C144" i="8"/>
  <c r="B144" i="8"/>
  <c r="A144" i="8"/>
  <c r="K143" i="8"/>
  <c r="J143" i="8"/>
  <c r="I143" i="8"/>
  <c r="H143" i="8"/>
  <c r="G143" i="8"/>
  <c r="F143" i="8"/>
  <c r="E143" i="8"/>
  <c r="D143" i="8"/>
  <c r="C143" i="8"/>
  <c r="B143" i="8"/>
  <c r="A143" i="8"/>
  <c r="K142" i="8"/>
  <c r="J142" i="8"/>
  <c r="I142" i="8"/>
  <c r="H142" i="8"/>
  <c r="G142" i="8"/>
  <c r="F142" i="8"/>
  <c r="E142" i="8"/>
  <c r="D142" i="8"/>
  <c r="C142" i="8"/>
  <c r="B142" i="8"/>
  <c r="A142" i="8"/>
  <c r="K141" i="8"/>
  <c r="J141" i="8"/>
  <c r="I141" i="8"/>
  <c r="H141" i="8"/>
  <c r="G141" i="8"/>
  <c r="F141" i="8"/>
  <c r="E141" i="8"/>
  <c r="D141" i="8"/>
  <c r="C141" i="8"/>
  <c r="B141" i="8"/>
  <c r="A141" i="8"/>
  <c r="K140" i="8"/>
  <c r="J140" i="8"/>
  <c r="I140" i="8"/>
  <c r="H140" i="8"/>
  <c r="G140" i="8"/>
  <c r="F140" i="8"/>
  <c r="E140" i="8"/>
  <c r="D140" i="8"/>
  <c r="C140" i="8"/>
  <c r="B140" i="8"/>
  <c r="A140" i="8"/>
  <c r="K139" i="8"/>
  <c r="J139" i="8"/>
  <c r="I139" i="8"/>
  <c r="H139" i="8"/>
  <c r="G139" i="8"/>
  <c r="F139" i="8"/>
  <c r="E139" i="8"/>
  <c r="D139" i="8"/>
  <c r="C139" i="8"/>
  <c r="B139" i="8"/>
  <c r="A139" i="8"/>
  <c r="K138" i="8"/>
  <c r="J138" i="8"/>
  <c r="I138" i="8"/>
  <c r="H138" i="8"/>
  <c r="G138" i="8"/>
  <c r="F138" i="8"/>
  <c r="E138" i="8"/>
  <c r="D138" i="8"/>
  <c r="C138" i="8"/>
  <c r="B138" i="8"/>
  <c r="A138" i="8"/>
  <c r="K137" i="8"/>
  <c r="J137" i="8"/>
  <c r="I137" i="8"/>
  <c r="H137" i="8"/>
  <c r="G137" i="8"/>
  <c r="F137" i="8"/>
  <c r="E137" i="8"/>
  <c r="D137" i="8"/>
  <c r="C137" i="8"/>
  <c r="B137" i="8"/>
  <c r="A137" i="8"/>
  <c r="K136" i="8"/>
  <c r="J136" i="8"/>
  <c r="I136" i="8"/>
  <c r="H136" i="8"/>
  <c r="G136" i="8"/>
  <c r="F136" i="8"/>
  <c r="E136" i="8"/>
  <c r="D136" i="8"/>
  <c r="C136" i="8"/>
  <c r="B136" i="8"/>
  <c r="A136" i="8"/>
  <c r="K135" i="8"/>
  <c r="J135" i="8"/>
  <c r="I135" i="8"/>
  <c r="H135" i="8"/>
  <c r="G135" i="8"/>
  <c r="F135" i="8"/>
  <c r="E135" i="8"/>
  <c r="D135" i="8"/>
  <c r="C135" i="8"/>
  <c r="B135" i="8"/>
  <c r="A135" i="8"/>
  <c r="K134" i="8"/>
  <c r="J134" i="8"/>
  <c r="I134" i="8"/>
  <c r="H134" i="8"/>
  <c r="G134" i="8"/>
  <c r="F134" i="8"/>
  <c r="E134" i="8"/>
  <c r="D134" i="8"/>
  <c r="C134" i="8"/>
  <c r="B134" i="8"/>
  <c r="A134" i="8"/>
  <c r="K133" i="8"/>
  <c r="J133" i="8"/>
  <c r="I133" i="8"/>
  <c r="H133" i="8"/>
  <c r="G133" i="8"/>
  <c r="F133" i="8"/>
  <c r="E133" i="8"/>
  <c r="D133" i="8"/>
  <c r="C133" i="8"/>
  <c r="B133" i="8"/>
  <c r="A133" i="8"/>
  <c r="K132" i="8"/>
  <c r="J132" i="8"/>
  <c r="I132" i="8"/>
  <c r="H132" i="8"/>
  <c r="G132" i="8"/>
  <c r="F132" i="8"/>
  <c r="E132" i="8"/>
  <c r="D132" i="8"/>
  <c r="C132" i="8"/>
  <c r="B132" i="8"/>
  <c r="A132" i="8"/>
  <c r="K131" i="8"/>
  <c r="J131" i="8"/>
  <c r="I131" i="8"/>
  <c r="H131" i="8"/>
  <c r="G131" i="8"/>
  <c r="F131" i="8"/>
  <c r="E131" i="8"/>
  <c r="D131" i="8"/>
  <c r="C131" i="8"/>
  <c r="B131" i="8"/>
  <c r="A131" i="8"/>
  <c r="K130" i="8"/>
  <c r="J130" i="8"/>
  <c r="I130" i="8"/>
  <c r="H130" i="8"/>
  <c r="G130" i="8"/>
  <c r="F130" i="8"/>
  <c r="E130" i="8"/>
  <c r="D130" i="8"/>
  <c r="C130" i="8"/>
  <c r="B130" i="8"/>
  <c r="A130" i="8"/>
  <c r="K129" i="8"/>
  <c r="J129" i="8"/>
  <c r="I129" i="8"/>
  <c r="H129" i="8"/>
  <c r="G129" i="8"/>
  <c r="F129" i="8"/>
  <c r="E129" i="8"/>
  <c r="D129" i="8"/>
  <c r="C129" i="8"/>
  <c r="B129" i="8"/>
  <c r="A129" i="8"/>
  <c r="K128" i="8"/>
  <c r="J128" i="8"/>
  <c r="I128" i="8"/>
  <c r="H128" i="8"/>
  <c r="G128" i="8"/>
  <c r="F128" i="8"/>
  <c r="E128" i="8"/>
  <c r="D128" i="8"/>
  <c r="C128" i="8"/>
  <c r="B128" i="8"/>
  <c r="A128" i="8"/>
  <c r="K127" i="8"/>
  <c r="J127" i="8"/>
  <c r="I127" i="8"/>
  <c r="H127" i="8"/>
  <c r="G127" i="8"/>
  <c r="F127" i="8"/>
  <c r="E127" i="8"/>
  <c r="D127" i="8"/>
  <c r="C127" i="8"/>
  <c r="B127" i="8"/>
  <c r="A127" i="8"/>
  <c r="K126" i="8"/>
  <c r="J126" i="8"/>
  <c r="I126" i="8"/>
  <c r="H126" i="8"/>
  <c r="G126" i="8"/>
  <c r="F126" i="8"/>
  <c r="E126" i="8"/>
  <c r="D126" i="8"/>
  <c r="C126" i="8"/>
  <c r="B126" i="8"/>
  <c r="A126" i="8"/>
  <c r="K125" i="8"/>
  <c r="J125" i="8"/>
  <c r="I125" i="8"/>
  <c r="H125" i="8"/>
  <c r="G125" i="8"/>
  <c r="F125" i="8"/>
  <c r="E125" i="8"/>
  <c r="D125" i="8"/>
  <c r="C125" i="8"/>
  <c r="B125" i="8"/>
  <c r="A125" i="8"/>
  <c r="K124" i="8"/>
  <c r="J124" i="8"/>
  <c r="I124" i="8"/>
  <c r="H124" i="8"/>
  <c r="G124" i="8"/>
  <c r="F124" i="8"/>
  <c r="E124" i="8"/>
  <c r="D124" i="8"/>
  <c r="C124" i="8"/>
  <c r="B124" i="8"/>
  <c r="A124" i="8"/>
  <c r="K123" i="8"/>
  <c r="J123" i="8"/>
  <c r="I123" i="8"/>
  <c r="H123" i="8"/>
  <c r="G123" i="8"/>
  <c r="F123" i="8"/>
  <c r="E123" i="8"/>
  <c r="D123" i="8"/>
  <c r="C123" i="8"/>
  <c r="B123" i="8"/>
  <c r="A123" i="8"/>
  <c r="K122" i="8"/>
  <c r="J122" i="8"/>
  <c r="I122" i="8"/>
  <c r="H122" i="8"/>
  <c r="G122" i="8"/>
  <c r="F122" i="8"/>
  <c r="E122" i="8"/>
  <c r="D122" i="8"/>
  <c r="C122" i="8"/>
  <c r="B122" i="8"/>
  <c r="A122" i="8"/>
  <c r="K121" i="8"/>
  <c r="J121" i="8"/>
  <c r="I121" i="8"/>
  <c r="H121" i="8"/>
  <c r="G121" i="8"/>
  <c r="F121" i="8"/>
  <c r="E121" i="8"/>
  <c r="D121" i="8"/>
  <c r="C121" i="8"/>
  <c r="B121" i="8"/>
  <c r="A121" i="8"/>
  <c r="K120" i="8"/>
  <c r="J120" i="8"/>
  <c r="I120" i="8"/>
  <c r="H120" i="8"/>
  <c r="G120" i="8"/>
  <c r="F120" i="8"/>
  <c r="E120" i="8"/>
  <c r="D120" i="8"/>
  <c r="C120" i="8"/>
  <c r="B120" i="8"/>
  <c r="A120" i="8"/>
  <c r="K119" i="8"/>
  <c r="J119" i="8"/>
  <c r="I119" i="8"/>
  <c r="H119" i="8"/>
  <c r="G119" i="8"/>
  <c r="F119" i="8"/>
  <c r="E119" i="8"/>
  <c r="D119" i="8"/>
  <c r="C119" i="8"/>
  <c r="B119" i="8"/>
  <c r="A119" i="8"/>
  <c r="K118" i="8"/>
  <c r="J118" i="8"/>
  <c r="I118" i="8"/>
  <c r="H118" i="8"/>
  <c r="G118" i="8"/>
  <c r="F118" i="8"/>
  <c r="E118" i="8"/>
  <c r="D118" i="8"/>
  <c r="C118" i="8"/>
  <c r="B118" i="8"/>
  <c r="A118" i="8"/>
  <c r="K117" i="8"/>
  <c r="J117" i="8"/>
  <c r="I117" i="8"/>
  <c r="H117" i="8"/>
  <c r="G117" i="8"/>
  <c r="F117" i="8"/>
  <c r="E117" i="8"/>
  <c r="D117" i="8"/>
  <c r="C117" i="8"/>
  <c r="B117" i="8"/>
  <c r="A117" i="8"/>
  <c r="K116" i="8"/>
  <c r="J116" i="8"/>
  <c r="I116" i="8"/>
  <c r="H116" i="8"/>
  <c r="G116" i="8"/>
  <c r="F116" i="8"/>
  <c r="E116" i="8"/>
  <c r="D116" i="8"/>
  <c r="C116" i="8"/>
  <c r="B116" i="8"/>
  <c r="A116" i="8"/>
  <c r="K115" i="8"/>
  <c r="J115" i="8"/>
  <c r="I115" i="8"/>
  <c r="H115" i="8"/>
  <c r="G115" i="8"/>
  <c r="F115" i="8"/>
  <c r="E115" i="8"/>
  <c r="D115" i="8"/>
  <c r="C115" i="8"/>
  <c r="B115" i="8"/>
  <c r="A115" i="8"/>
  <c r="K114" i="8"/>
  <c r="J114" i="8"/>
  <c r="I114" i="8"/>
  <c r="H114" i="8"/>
  <c r="G114" i="8"/>
  <c r="F114" i="8"/>
  <c r="E114" i="8"/>
  <c r="D114" i="8"/>
  <c r="C114" i="8"/>
  <c r="B114" i="8"/>
  <c r="A114" i="8"/>
  <c r="K113" i="8"/>
  <c r="J113" i="8"/>
  <c r="I113" i="8"/>
  <c r="H113" i="8"/>
  <c r="G113" i="8"/>
  <c r="F113" i="8"/>
  <c r="E113" i="8"/>
  <c r="D113" i="8"/>
  <c r="C113" i="8"/>
  <c r="B113" i="8"/>
  <c r="A113" i="8"/>
  <c r="K112" i="8"/>
  <c r="J112" i="8"/>
  <c r="I112" i="8"/>
  <c r="H112" i="8"/>
  <c r="G112" i="8"/>
  <c r="F112" i="8"/>
  <c r="E112" i="8"/>
  <c r="D112" i="8"/>
  <c r="C112" i="8"/>
  <c r="B112" i="8"/>
  <c r="A112" i="8"/>
  <c r="K111" i="8"/>
  <c r="J111" i="8"/>
  <c r="I111" i="8"/>
  <c r="H111" i="8"/>
  <c r="G111" i="8"/>
  <c r="F111" i="8"/>
  <c r="E111" i="8"/>
  <c r="D111" i="8"/>
  <c r="C111" i="8"/>
  <c r="B111" i="8"/>
  <c r="A111" i="8"/>
  <c r="K110" i="8"/>
  <c r="J110" i="8"/>
  <c r="I110" i="8"/>
  <c r="H110" i="8"/>
  <c r="G110" i="8"/>
  <c r="F110" i="8"/>
  <c r="E110" i="8"/>
  <c r="D110" i="8"/>
  <c r="C110" i="8"/>
  <c r="B110" i="8"/>
  <c r="A110" i="8"/>
  <c r="K109" i="8"/>
  <c r="J109" i="8"/>
  <c r="I109" i="8"/>
  <c r="H109" i="8"/>
  <c r="G109" i="8"/>
  <c r="F109" i="8"/>
  <c r="E109" i="8"/>
  <c r="D109" i="8"/>
  <c r="C109" i="8"/>
  <c r="B109" i="8"/>
  <c r="A109" i="8"/>
  <c r="K108" i="8"/>
  <c r="J108" i="8"/>
  <c r="I108" i="8"/>
  <c r="H108" i="8"/>
  <c r="G108" i="8"/>
  <c r="F108" i="8"/>
  <c r="E108" i="8"/>
  <c r="D108" i="8"/>
  <c r="C108" i="8"/>
  <c r="B108" i="8"/>
  <c r="A108" i="8"/>
  <c r="K107" i="8"/>
  <c r="J107" i="8"/>
  <c r="I107" i="8"/>
  <c r="H107" i="8"/>
  <c r="G107" i="8"/>
  <c r="F107" i="8"/>
  <c r="E107" i="8"/>
  <c r="D107" i="8"/>
  <c r="C107" i="8"/>
  <c r="B107" i="8"/>
  <c r="A107" i="8"/>
  <c r="K106" i="8"/>
  <c r="J106" i="8"/>
  <c r="I106" i="8"/>
  <c r="H106" i="8"/>
  <c r="G106" i="8"/>
  <c r="F106" i="8"/>
  <c r="E106" i="8"/>
  <c r="D106" i="8"/>
  <c r="C106" i="8"/>
  <c r="B106" i="8"/>
  <c r="A106" i="8"/>
  <c r="K105" i="8"/>
  <c r="J105" i="8"/>
  <c r="I105" i="8"/>
  <c r="H105" i="8"/>
  <c r="G105" i="8"/>
  <c r="F105" i="8"/>
  <c r="E105" i="8"/>
  <c r="D105" i="8"/>
  <c r="C105" i="8"/>
  <c r="B105" i="8"/>
  <c r="A105" i="8"/>
  <c r="K104" i="8"/>
  <c r="J104" i="8"/>
  <c r="I104" i="8"/>
  <c r="H104" i="8"/>
  <c r="G104" i="8"/>
  <c r="F104" i="8"/>
  <c r="E104" i="8"/>
  <c r="D104" i="8"/>
  <c r="C104" i="8"/>
  <c r="B104" i="8"/>
  <c r="A104" i="8"/>
  <c r="K103" i="8"/>
  <c r="J103" i="8"/>
  <c r="I103" i="8"/>
  <c r="H103" i="8"/>
  <c r="G103" i="8"/>
  <c r="F103" i="8"/>
  <c r="E103" i="8"/>
  <c r="D103" i="8"/>
  <c r="C103" i="8"/>
  <c r="B103" i="8"/>
  <c r="A103" i="8"/>
  <c r="K102" i="8"/>
  <c r="J102" i="8"/>
  <c r="I102" i="8"/>
  <c r="H102" i="8"/>
  <c r="G102" i="8"/>
  <c r="F102" i="8"/>
  <c r="E102" i="8"/>
  <c r="D102" i="8"/>
  <c r="C102" i="8"/>
  <c r="B102" i="8"/>
  <c r="A102" i="8"/>
  <c r="K101" i="8"/>
  <c r="J101" i="8"/>
  <c r="I101" i="8"/>
  <c r="H101" i="8"/>
  <c r="G101" i="8"/>
  <c r="F101" i="8"/>
  <c r="E101" i="8"/>
  <c r="D101" i="8"/>
  <c r="C101" i="8"/>
  <c r="B101" i="8"/>
  <c r="A101" i="8"/>
  <c r="K100" i="8"/>
  <c r="J100" i="8"/>
  <c r="I100" i="8"/>
  <c r="H100" i="8"/>
  <c r="G100" i="8"/>
  <c r="F100" i="8"/>
  <c r="E100" i="8"/>
  <c r="D100" i="8"/>
  <c r="C100" i="8"/>
  <c r="B100" i="8"/>
  <c r="A100" i="8"/>
  <c r="K99" i="8"/>
  <c r="J99" i="8"/>
  <c r="I99" i="8"/>
  <c r="H99" i="8"/>
  <c r="G99" i="8"/>
  <c r="F99" i="8"/>
  <c r="E99" i="8"/>
  <c r="D99" i="8"/>
  <c r="C99" i="8"/>
  <c r="B99" i="8"/>
  <c r="A99" i="8"/>
  <c r="K98" i="8"/>
  <c r="J98" i="8"/>
  <c r="I98" i="8"/>
  <c r="H98" i="8"/>
  <c r="G98" i="8"/>
  <c r="F98" i="8"/>
  <c r="E98" i="8"/>
  <c r="D98" i="8"/>
  <c r="C98" i="8"/>
  <c r="B98" i="8"/>
  <c r="A98" i="8"/>
  <c r="K97" i="8"/>
  <c r="J97" i="8"/>
  <c r="I97" i="8"/>
  <c r="H97" i="8"/>
  <c r="G97" i="8"/>
  <c r="F97" i="8"/>
  <c r="E97" i="8"/>
  <c r="D97" i="8"/>
  <c r="C97" i="8"/>
  <c r="B97" i="8"/>
  <c r="A97" i="8"/>
  <c r="K96" i="8"/>
  <c r="J96" i="8"/>
  <c r="I96" i="8"/>
  <c r="H96" i="8"/>
  <c r="G96" i="8"/>
  <c r="F96" i="8"/>
  <c r="E96" i="8"/>
  <c r="D96" i="8"/>
  <c r="C96" i="8"/>
  <c r="B96" i="8"/>
  <c r="A96" i="8"/>
  <c r="K95" i="8"/>
  <c r="J95" i="8"/>
  <c r="I95" i="8"/>
  <c r="H95" i="8"/>
  <c r="G95" i="8"/>
  <c r="F95" i="8"/>
  <c r="E95" i="8"/>
  <c r="D95" i="8"/>
  <c r="C95" i="8"/>
  <c r="B95" i="8"/>
  <c r="A95" i="8"/>
  <c r="K94" i="8"/>
  <c r="J94" i="8"/>
  <c r="I94" i="8"/>
  <c r="H94" i="8"/>
  <c r="G94" i="8"/>
  <c r="F94" i="8"/>
  <c r="E94" i="8"/>
  <c r="D94" i="8"/>
  <c r="C94" i="8"/>
  <c r="B94" i="8"/>
  <c r="A94" i="8"/>
  <c r="K93" i="8"/>
  <c r="J93" i="8"/>
  <c r="I93" i="8"/>
  <c r="H93" i="8"/>
  <c r="G93" i="8"/>
  <c r="F93" i="8"/>
  <c r="E93" i="8"/>
  <c r="D93" i="8"/>
  <c r="C93" i="8"/>
  <c r="B93" i="8"/>
  <c r="A93" i="8"/>
  <c r="K92" i="8"/>
  <c r="J92" i="8"/>
  <c r="I92" i="8"/>
  <c r="H92" i="8"/>
  <c r="G92" i="8"/>
  <c r="F92" i="8"/>
  <c r="E92" i="8"/>
  <c r="D92" i="8"/>
  <c r="C92" i="8"/>
  <c r="B92" i="8"/>
  <c r="A92" i="8"/>
  <c r="K91" i="8"/>
  <c r="J91" i="8"/>
  <c r="I91" i="8"/>
  <c r="H91" i="8"/>
  <c r="G91" i="8"/>
  <c r="F91" i="8"/>
  <c r="E91" i="8"/>
  <c r="D91" i="8"/>
  <c r="C91" i="8"/>
  <c r="B91" i="8"/>
  <c r="A91" i="8"/>
  <c r="K90" i="8"/>
  <c r="J90" i="8"/>
  <c r="I90" i="8"/>
  <c r="H90" i="8"/>
  <c r="G90" i="8"/>
  <c r="F90" i="8"/>
  <c r="E90" i="8"/>
  <c r="D90" i="8"/>
  <c r="C90" i="8"/>
  <c r="B90" i="8"/>
  <c r="A90" i="8"/>
  <c r="K89" i="8"/>
  <c r="J89" i="8"/>
  <c r="I89" i="8"/>
  <c r="H89" i="8"/>
  <c r="G89" i="8"/>
  <c r="F89" i="8"/>
  <c r="E89" i="8"/>
  <c r="D89" i="8"/>
  <c r="C89" i="8"/>
  <c r="B89" i="8"/>
  <c r="A89" i="8"/>
  <c r="K88" i="8"/>
  <c r="J88" i="8"/>
  <c r="I88" i="8"/>
  <c r="H88" i="8"/>
  <c r="G88" i="8"/>
  <c r="F88" i="8"/>
  <c r="E88" i="8"/>
  <c r="D88" i="8"/>
  <c r="C88" i="8"/>
  <c r="B88" i="8"/>
  <c r="A88" i="8"/>
  <c r="K87" i="8"/>
  <c r="J87" i="8"/>
  <c r="I87" i="8"/>
  <c r="H87" i="8"/>
  <c r="G87" i="8"/>
  <c r="F87" i="8"/>
  <c r="E87" i="8"/>
  <c r="D87" i="8"/>
  <c r="C87" i="8"/>
  <c r="B87" i="8"/>
  <c r="A87" i="8"/>
  <c r="K86" i="8"/>
  <c r="J86" i="8"/>
  <c r="I86" i="8"/>
  <c r="H86" i="8"/>
  <c r="G86" i="8"/>
  <c r="F86" i="8"/>
  <c r="E86" i="8"/>
  <c r="D86" i="8"/>
  <c r="C86" i="8"/>
  <c r="B86" i="8"/>
  <c r="A86" i="8"/>
  <c r="K85" i="8"/>
  <c r="J85" i="8"/>
  <c r="I85" i="8"/>
  <c r="H85" i="8"/>
  <c r="G85" i="8"/>
  <c r="F85" i="8"/>
  <c r="E85" i="8"/>
  <c r="D85" i="8"/>
  <c r="C85" i="8"/>
  <c r="B85" i="8"/>
  <c r="A85" i="8"/>
  <c r="K84" i="8"/>
  <c r="J84" i="8"/>
  <c r="I84" i="8"/>
  <c r="H84" i="8"/>
  <c r="G84" i="8"/>
  <c r="F84" i="8"/>
  <c r="E84" i="8"/>
  <c r="D84" i="8"/>
  <c r="C84" i="8"/>
  <c r="B84" i="8"/>
  <c r="A84" i="8"/>
  <c r="K83" i="8"/>
  <c r="J83" i="8"/>
  <c r="I83" i="8"/>
  <c r="H83" i="8"/>
  <c r="G83" i="8"/>
  <c r="F83" i="8"/>
  <c r="E83" i="8"/>
  <c r="D83" i="8"/>
  <c r="C83" i="8"/>
  <c r="B83" i="8"/>
  <c r="A83" i="8"/>
  <c r="K82" i="8"/>
  <c r="J82" i="8"/>
  <c r="I82" i="8"/>
  <c r="H82" i="8"/>
  <c r="G82" i="8"/>
  <c r="F82" i="8"/>
  <c r="E82" i="8"/>
  <c r="D82" i="8"/>
  <c r="C82" i="8"/>
  <c r="B82" i="8"/>
  <c r="A82" i="8"/>
  <c r="K81" i="8"/>
  <c r="J81" i="8"/>
  <c r="I81" i="8"/>
  <c r="H81" i="8"/>
  <c r="G81" i="8"/>
  <c r="F81" i="8"/>
  <c r="E81" i="8"/>
  <c r="D81" i="8"/>
  <c r="C81" i="8"/>
  <c r="B81" i="8"/>
  <c r="A81" i="8"/>
  <c r="K80" i="8"/>
  <c r="J80" i="8"/>
  <c r="I80" i="8"/>
  <c r="H80" i="8"/>
  <c r="G80" i="8"/>
  <c r="F80" i="8"/>
  <c r="E80" i="8"/>
  <c r="D80" i="8"/>
  <c r="C80" i="8"/>
  <c r="B80" i="8"/>
  <c r="A80" i="8"/>
  <c r="K79" i="8"/>
  <c r="J79" i="8"/>
  <c r="I79" i="8"/>
  <c r="H79" i="8"/>
  <c r="G79" i="8"/>
  <c r="F79" i="8"/>
  <c r="E79" i="8"/>
  <c r="D79" i="8"/>
  <c r="C79" i="8"/>
  <c r="B79" i="8"/>
  <c r="A79" i="8"/>
  <c r="K78" i="8"/>
  <c r="J78" i="8"/>
  <c r="I78" i="8"/>
  <c r="H78" i="8"/>
  <c r="G78" i="8"/>
  <c r="F78" i="8"/>
  <c r="E78" i="8"/>
  <c r="D78" i="8"/>
  <c r="C78" i="8"/>
  <c r="B78" i="8"/>
  <c r="A78" i="8"/>
  <c r="K77" i="8"/>
  <c r="J77" i="8"/>
  <c r="I77" i="8"/>
  <c r="H77" i="8"/>
  <c r="G77" i="8"/>
  <c r="F77" i="8"/>
  <c r="E77" i="8"/>
  <c r="D77" i="8"/>
  <c r="C77" i="8"/>
  <c r="B77" i="8"/>
  <c r="A77" i="8"/>
  <c r="K76" i="8"/>
  <c r="J76" i="8"/>
  <c r="I76" i="8"/>
  <c r="H76" i="8"/>
  <c r="G76" i="8"/>
  <c r="F76" i="8"/>
  <c r="E76" i="8"/>
  <c r="D76" i="8"/>
  <c r="C76" i="8"/>
  <c r="B76" i="8"/>
  <c r="A76" i="8"/>
  <c r="K75" i="8"/>
  <c r="J75" i="8"/>
  <c r="I75" i="8"/>
  <c r="H75" i="8"/>
  <c r="G75" i="8"/>
  <c r="F75" i="8"/>
  <c r="E75" i="8"/>
  <c r="D75" i="8"/>
  <c r="C75" i="8"/>
  <c r="B75" i="8"/>
  <c r="A75" i="8"/>
  <c r="K74" i="8"/>
  <c r="J74" i="8"/>
  <c r="I74" i="8"/>
  <c r="H74" i="8"/>
  <c r="G74" i="8"/>
  <c r="F74" i="8"/>
  <c r="E74" i="8"/>
  <c r="D74" i="8"/>
  <c r="C74" i="8"/>
  <c r="B74" i="8"/>
  <c r="A74" i="8"/>
  <c r="K73" i="8"/>
  <c r="J73" i="8"/>
  <c r="I73" i="8"/>
  <c r="H73" i="8"/>
  <c r="G73" i="8"/>
  <c r="F73" i="8"/>
  <c r="E73" i="8"/>
  <c r="D73" i="8"/>
  <c r="C73" i="8"/>
  <c r="B73" i="8"/>
  <c r="A73" i="8"/>
  <c r="K72" i="8"/>
  <c r="J72" i="8"/>
  <c r="I72" i="8"/>
  <c r="H72" i="8"/>
  <c r="G72" i="8"/>
  <c r="F72" i="8"/>
  <c r="E72" i="8"/>
  <c r="D72" i="8"/>
  <c r="C72" i="8"/>
  <c r="B72" i="8"/>
  <c r="A72" i="8"/>
  <c r="K71" i="8"/>
  <c r="J71" i="8"/>
  <c r="I71" i="8"/>
  <c r="H71" i="8"/>
  <c r="G71" i="8"/>
  <c r="F71" i="8"/>
  <c r="E71" i="8"/>
  <c r="D71" i="8"/>
  <c r="C71" i="8"/>
  <c r="B71" i="8"/>
  <c r="A71" i="8"/>
  <c r="K70" i="8"/>
  <c r="J70" i="8"/>
  <c r="I70" i="8"/>
  <c r="H70" i="8"/>
  <c r="G70" i="8"/>
  <c r="F70" i="8"/>
  <c r="E70" i="8"/>
  <c r="D70" i="8"/>
  <c r="C70" i="8"/>
  <c r="B70" i="8"/>
  <c r="A70" i="8"/>
  <c r="K69" i="8"/>
  <c r="J69" i="8"/>
  <c r="I69" i="8"/>
  <c r="H69" i="8"/>
  <c r="G69" i="8"/>
  <c r="F69" i="8"/>
  <c r="E69" i="8"/>
  <c r="D69" i="8"/>
  <c r="C69" i="8"/>
  <c r="B69" i="8"/>
  <c r="A69" i="8"/>
  <c r="K68" i="8"/>
  <c r="J68" i="8"/>
  <c r="I68" i="8"/>
  <c r="H68" i="8"/>
  <c r="G68" i="8"/>
  <c r="F68" i="8"/>
  <c r="E68" i="8"/>
  <c r="D68" i="8"/>
  <c r="C68" i="8"/>
  <c r="B68" i="8"/>
  <c r="A68" i="8"/>
  <c r="K67" i="8"/>
  <c r="J67" i="8"/>
  <c r="I67" i="8"/>
  <c r="H67" i="8"/>
  <c r="G67" i="8"/>
  <c r="F67" i="8"/>
  <c r="E67" i="8"/>
  <c r="D67" i="8"/>
  <c r="C67" i="8"/>
  <c r="B67" i="8"/>
  <c r="A67" i="8"/>
  <c r="K66" i="8"/>
  <c r="J66" i="8"/>
  <c r="I66" i="8"/>
  <c r="H66" i="8"/>
  <c r="G66" i="8"/>
  <c r="F66" i="8"/>
  <c r="E66" i="8"/>
  <c r="D66" i="8"/>
  <c r="C66" i="8"/>
  <c r="B66" i="8"/>
  <c r="A66" i="8"/>
  <c r="K65" i="8"/>
  <c r="J65" i="8"/>
  <c r="I65" i="8"/>
  <c r="H65" i="8"/>
  <c r="G65" i="8"/>
  <c r="F65" i="8"/>
  <c r="E65" i="8"/>
  <c r="D65" i="8"/>
  <c r="C65" i="8"/>
  <c r="B65" i="8"/>
  <c r="A65" i="8"/>
  <c r="K64" i="8"/>
  <c r="J64" i="8"/>
  <c r="I64" i="8"/>
  <c r="H64" i="8"/>
  <c r="G64" i="8"/>
  <c r="F64" i="8"/>
  <c r="E64" i="8"/>
  <c r="D64" i="8"/>
  <c r="C64" i="8"/>
  <c r="B64" i="8"/>
  <c r="A64" i="8"/>
  <c r="K63" i="8"/>
  <c r="J63" i="8"/>
  <c r="I63" i="8"/>
  <c r="H63" i="8"/>
  <c r="G63" i="8"/>
  <c r="F63" i="8"/>
  <c r="E63" i="8"/>
  <c r="D63" i="8"/>
  <c r="C63" i="8"/>
  <c r="B63" i="8"/>
  <c r="A63" i="8"/>
  <c r="K62" i="8"/>
  <c r="J62" i="8"/>
  <c r="I62" i="8"/>
  <c r="H62" i="8"/>
  <c r="G62" i="8"/>
  <c r="F62" i="8"/>
  <c r="E62" i="8"/>
  <c r="D62" i="8"/>
  <c r="C62" i="8"/>
  <c r="B62" i="8"/>
  <c r="A62" i="8"/>
  <c r="K61" i="8"/>
  <c r="J61" i="8"/>
  <c r="I61" i="8"/>
  <c r="H61" i="8"/>
  <c r="G61" i="8"/>
  <c r="F61" i="8"/>
  <c r="E61" i="8"/>
  <c r="D61" i="8"/>
  <c r="C61" i="8"/>
  <c r="B61" i="8"/>
  <c r="A61" i="8"/>
  <c r="K60" i="8"/>
  <c r="J60" i="8"/>
  <c r="I60" i="8"/>
  <c r="H60" i="8"/>
  <c r="G60" i="8"/>
  <c r="F60" i="8"/>
  <c r="E60" i="8"/>
  <c r="D60" i="8"/>
  <c r="C60" i="8"/>
  <c r="B60" i="8"/>
  <c r="A60" i="8"/>
  <c r="K59" i="8"/>
  <c r="J59" i="8"/>
  <c r="I59" i="8"/>
  <c r="H59" i="8"/>
  <c r="G59" i="8"/>
  <c r="F59" i="8"/>
  <c r="E59" i="8"/>
  <c r="D59" i="8"/>
  <c r="C59" i="8"/>
  <c r="B59" i="8"/>
  <c r="A59" i="8"/>
  <c r="K58" i="8"/>
  <c r="J58" i="8"/>
  <c r="I58" i="8"/>
  <c r="H58" i="8"/>
  <c r="G58" i="8"/>
  <c r="F58" i="8"/>
  <c r="E58" i="8"/>
  <c r="D58" i="8"/>
  <c r="C58" i="8"/>
  <c r="B58" i="8"/>
  <c r="A58" i="8"/>
  <c r="K57" i="8"/>
  <c r="J57" i="8"/>
  <c r="I57" i="8"/>
  <c r="H57" i="8"/>
  <c r="G57" i="8"/>
  <c r="F57" i="8"/>
  <c r="E57" i="8"/>
  <c r="D57" i="8"/>
  <c r="C57" i="8"/>
  <c r="B57" i="8"/>
  <c r="A57" i="8"/>
  <c r="K56" i="8"/>
  <c r="J56" i="8"/>
  <c r="I56" i="8"/>
  <c r="H56" i="8"/>
  <c r="G56" i="8"/>
  <c r="F56" i="8"/>
  <c r="E56" i="8"/>
  <c r="D56" i="8"/>
  <c r="C56" i="8"/>
  <c r="B56" i="8"/>
  <c r="A56" i="8"/>
  <c r="K55" i="8"/>
  <c r="J55" i="8"/>
  <c r="I55" i="8"/>
  <c r="H55" i="8"/>
  <c r="G55" i="8"/>
  <c r="F55" i="8"/>
  <c r="E55" i="8"/>
  <c r="D55" i="8"/>
  <c r="C55" i="8"/>
  <c r="B55" i="8"/>
  <c r="A55" i="8"/>
  <c r="K54" i="8"/>
  <c r="J54" i="8"/>
  <c r="I54" i="8"/>
  <c r="H54" i="8"/>
  <c r="G54" i="8"/>
  <c r="F54" i="8"/>
  <c r="E54" i="8"/>
  <c r="D54" i="8"/>
  <c r="C54" i="8"/>
  <c r="B54" i="8"/>
  <c r="A54" i="8"/>
  <c r="K53" i="8"/>
  <c r="J53" i="8"/>
  <c r="I53" i="8"/>
  <c r="H53" i="8"/>
  <c r="G53" i="8"/>
  <c r="F53" i="8"/>
  <c r="E53" i="8"/>
  <c r="D53" i="8"/>
  <c r="C53" i="8"/>
  <c r="B53" i="8"/>
  <c r="A53" i="8"/>
  <c r="K52" i="8"/>
  <c r="J52" i="8"/>
  <c r="I52" i="8"/>
  <c r="H52" i="8"/>
  <c r="G52" i="8"/>
  <c r="F52" i="8"/>
  <c r="E52" i="8"/>
  <c r="D52" i="8"/>
  <c r="C52" i="8"/>
  <c r="B52" i="8"/>
  <c r="A52" i="8"/>
  <c r="K51" i="8"/>
  <c r="J51" i="8"/>
  <c r="I51" i="8"/>
  <c r="H51" i="8"/>
  <c r="G51" i="8"/>
  <c r="F51" i="8"/>
  <c r="E51" i="8"/>
  <c r="D51" i="8"/>
  <c r="C51" i="8"/>
  <c r="B51" i="8"/>
  <c r="A51" i="8"/>
  <c r="K50" i="8"/>
  <c r="J50" i="8"/>
  <c r="I50" i="8"/>
  <c r="H50" i="8"/>
  <c r="G50" i="8"/>
  <c r="F50" i="8"/>
  <c r="E50" i="8"/>
  <c r="D50" i="8"/>
  <c r="C50" i="8"/>
  <c r="B50" i="8"/>
  <c r="A50" i="8"/>
  <c r="K49" i="8"/>
  <c r="J49" i="8"/>
  <c r="I49" i="8"/>
  <c r="H49" i="8"/>
  <c r="G49" i="8"/>
  <c r="F49" i="8"/>
  <c r="E49" i="8"/>
  <c r="D49" i="8"/>
  <c r="C49" i="8"/>
  <c r="B49" i="8"/>
  <c r="A49" i="8"/>
  <c r="K48" i="8"/>
  <c r="J48" i="8"/>
  <c r="I48" i="8"/>
  <c r="H48" i="8"/>
  <c r="G48" i="8"/>
  <c r="F48" i="8"/>
  <c r="E48" i="8"/>
  <c r="D48" i="8"/>
  <c r="C48" i="8"/>
  <c r="B48" i="8"/>
  <c r="A48" i="8"/>
  <c r="K47" i="8"/>
  <c r="J47" i="8"/>
  <c r="I47" i="8"/>
  <c r="H47" i="8"/>
  <c r="G47" i="8"/>
  <c r="F47" i="8"/>
  <c r="E47" i="8"/>
  <c r="D47" i="8"/>
  <c r="C47" i="8"/>
  <c r="B47" i="8"/>
  <c r="A47" i="8"/>
  <c r="K46" i="8"/>
  <c r="J46" i="8"/>
  <c r="I46" i="8"/>
  <c r="H46" i="8"/>
  <c r="G46" i="8"/>
  <c r="F46" i="8"/>
  <c r="E46" i="8"/>
  <c r="D46" i="8"/>
  <c r="C46" i="8"/>
  <c r="B46" i="8"/>
  <c r="A46" i="8"/>
  <c r="K45" i="8"/>
  <c r="J45" i="8"/>
  <c r="I45" i="8"/>
  <c r="H45" i="8"/>
  <c r="G45" i="8"/>
  <c r="F45" i="8"/>
  <c r="E45" i="8"/>
  <c r="D45" i="8"/>
  <c r="C45" i="8"/>
  <c r="B45" i="8"/>
  <c r="A45" i="8"/>
  <c r="K44" i="8"/>
  <c r="J44" i="8"/>
  <c r="I44" i="8"/>
  <c r="H44" i="8"/>
  <c r="G44" i="8"/>
  <c r="F44" i="8"/>
  <c r="E44" i="8"/>
  <c r="D44" i="8"/>
  <c r="C44" i="8"/>
  <c r="B44" i="8"/>
  <c r="A44" i="8"/>
  <c r="K43" i="8"/>
  <c r="J43" i="8"/>
  <c r="I43" i="8"/>
  <c r="H43" i="8"/>
  <c r="G43" i="8"/>
  <c r="F43" i="8"/>
  <c r="E43" i="8"/>
  <c r="D43" i="8"/>
  <c r="C43" i="8"/>
  <c r="B43" i="8"/>
  <c r="A43" i="8"/>
  <c r="K42" i="8"/>
  <c r="J42" i="8"/>
  <c r="I42" i="8"/>
  <c r="H42" i="8"/>
  <c r="G42" i="8"/>
  <c r="F42" i="8"/>
  <c r="E42" i="8"/>
  <c r="D42" i="8"/>
  <c r="C42" i="8"/>
  <c r="B42" i="8"/>
  <c r="A42" i="8"/>
  <c r="K41" i="8"/>
  <c r="J41" i="8"/>
  <c r="I41" i="8"/>
  <c r="H41" i="8"/>
  <c r="G41" i="8"/>
  <c r="F41" i="8"/>
  <c r="E41" i="8"/>
  <c r="D41" i="8"/>
  <c r="C41" i="8"/>
  <c r="B41" i="8"/>
  <c r="A41" i="8"/>
  <c r="K40" i="8"/>
  <c r="J40" i="8"/>
  <c r="I40" i="8"/>
  <c r="H40" i="8"/>
  <c r="G40" i="8"/>
  <c r="F40" i="8"/>
  <c r="E40" i="8"/>
  <c r="D40" i="8"/>
  <c r="C40" i="8"/>
  <c r="B40" i="8"/>
  <c r="A40" i="8"/>
  <c r="K39" i="8"/>
  <c r="J39" i="8"/>
  <c r="I39" i="8"/>
  <c r="H39" i="8"/>
  <c r="G39" i="8"/>
  <c r="F39" i="8"/>
  <c r="E39" i="8"/>
  <c r="D39" i="8"/>
  <c r="C39" i="8"/>
  <c r="B39" i="8"/>
  <c r="A39" i="8"/>
  <c r="K38" i="8"/>
  <c r="J38" i="8"/>
  <c r="I38" i="8"/>
  <c r="H38" i="8"/>
  <c r="G38" i="8"/>
  <c r="F38" i="8"/>
  <c r="E38" i="8"/>
  <c r="D38" i="8"/>
  <c r="C38" i="8"/>
  <c r="B38" i="8"/>
  <c r="A38" i="8"/>
  <c r="K37" i="8"/>
  <c r="J37" i="8"/>
  <c r="I37" i="8"/>
  <c r="H37" i="8"/>
  <c r="G37" i="8"/>
  <c r="F37" i="8"/>
  <c r="E37" i="8"/>
  <c r="D37" i="8"/>
  <c r="C37" i="8"/>
  <c r="B37" i="8"/>
  <c r="A37" i="8"/>
  <c r="K36" i="8"/>
  <c r="J36" i="8"/>
  <c r="I36" i="8"/>
  <c r="H36" i="8"/>
  <c r="G36" i="8"/>
  <c r="F36" i="8"/>
  <c r="E36" i="8"/>
  <c r="D36" i="8"/>
  <c r="C36" i="8"/>
  <c r="B36" i="8"/>
  <c r="A36" i="8"/>
  <c r="K35" i="8"/>
  <c r="J35" i="8"/>
  <c r="I35" i="8"/>
  <c r="H35" i="8"/>
  <c r="G35" i="8"/>
  <c r="F35" i="8"/>
  <c r="E35" i="8"/>
  <c r="D35" i="8"/>
  <c r="C35" i="8"/>
  <c r="B35" i="8"/>
  <c r="A35" i="8"/>
  <c r="K34" i="8"/>
  <c r="J34" i="8"/>
  <c r="I34" i="8"/>
  <c r="H34" i="8"/>
  <c r="G34" i="8"/>
  <c r="F34" i="8"/>
  <c r="E34" i="8"/>
  <c r="D34" i="8"/>
  <c r="C34" i="8"/>
  <c r="B34" i="8"/>
  <c r="A34" i="8"/>
  <c r="K33" i="8"/>
  <c r="J33" i="8"/>
  <c r="I33" i="8"/>
  <c r="H33" i="8"/>
  <c r="G33" i="8"/>
  <c r="F33" i="8"/>
  <c r="E33" i="8"/>
  <c r="D33" i="8"/>
  <c r="C33" i="8"/>
  <c r="B33" i="8"/>
  <c r="A33" i="8"/>
  <c r="K32" i="8"/>
  <c r="J32" i="8"/>
  <c r="I32" i="8"/>
  <c r="H32" i="8"/>
  <c r="G32" i="8"/>
  <c r="F32" i="8"/>
  <c r="E32" i="8"/>
  <c r="D32" i="8"/>
  <c r="C32" i="8"/>
  <c r="B32" i="8"/>
  <c r="A32" i="8"/>
  <c r="K31" i="8"/>
  <c r="J31" i="8"/>
  <c r="I31" i="8"/>
  <c r="H31" i="8"/>
  <c r="G31" i="8"/>
  <c r="F31" i="8"/>
  <c r="E31" i="8"/>
  <c r="D31" i="8"/>
  <c r="C31" i="8"/>
  <c r="B31" i="8"/>
  <c r="A31" i="8"/>
  <c r="K30" i="8"/>
  <c r="J30" i="8"/>
  <c r="I30" i="8"/>
  <c r="H30" i="8"/>
  <c r="G30" i="8"/>
  <c r="F30" i="8"/>
  <c r="E30" i="8"/>
  <c r="D30" i="8"/>
  <c r="C30" i="8"/>
  <c r="B30" i="8"/>
  <c r="A30" i="8"/>
  <c r="K29" i="8"/>
  <c r="J29" i="8"/>
  <c r="I29" i="8"/>
  <c r="H29" i="8"/>
  <c r="G29" i="8"/>
  <c r="F29" i="8"/>
  <c r="E29" i="8"/>
  <c r="D29" i="8"/>
  <c r="C29" i="8"/>
  <c r="B29" i="8"/>
  <c r="A29" i="8"/>
  <c r="K28" i="8"/>
  <c r="J28" i="8"/>
  <c r="I28" i="8"/>
  <c r="H28" i="8"/>
  <c r="G28" i="8"/>
  <c r="F28" i="8"/>
  <c r="E28" i="8"/>
  <c r="D28" i="8"/>
  <c r="C28" i="8"/>
  <c r="B28" i="8"/>
  <c r="A28" i="8"/>
  <c r="K27" i="8"/>
  <c r="J27" i="8"/>
  <c r="I27" i="8"/>
  <c r="H27" i="8"/>
  <c r="G27" i="8"/>
  <c r="F27" i="8"/>
  <c r="E27" i="8"/>
  <c r="D27" i="8"/>
  <c r="C27" i="8"/>
  <c r="B27" i="8"/>
  <c r="A27" i="8"/>
  <c r="K26" i="8"/>
  <c r="J26" i="8"/>
  <c r="I26" i="8"/>
  <c r="H26" i="8"/>
  <c r="G26" i="8"/>
  <c r="F26" i="8"/>
  <c r="E26" i="8"/>
  <c r="D26" i="8"/>
  <c r="C26" i="8"/>
  <c r="B26" i="8"/>
  <c r="A26" i="8"/>
  <c r="K25" i="8"/>
  <c r="J25" i="8"/>
  <c r="I25" i="8"/>
  <c r="H25" i="8"/>
  <c r="G25" i="8"/>
  <c r="F25" i="8"/>
  <c r="E25" i="8"/>
  <c r="D25" i="8"/>
  <c r="C25" i="8"/>
  <c r="B25" i="8"/>
  <c r="A25" i="8"/>
  <c r="K24" i="8"/>
  <c r="J24" i="8"/>
  <c r="I24" i="8"/>
  <c r="H24" i="8"/>
  <c r="G24" i="8"/>
  <c r="F24" i="8"/>
  <c r="E24" i="8"/>
  <c r="D24" i="8"/>
  <c r="C24" i="8"/>
  <c r="B24" i="8"/>
  <c r="A24" i="8"/>
  <c r="K23" i="8"/>
  <c r="J23" i="8"/>
  <c r="I23" i="8"/>
  <c r="H23" i="8"/>
  <c r="G23" i="8"/>
  <c r="F23" i="8"/>
  <c r="E23" i="8"/>
  <c r="D23" i="8"/>
  <c r="C23" i="8"/>
  <c r="B23" i="8"/>
  <c r="A23" i="8"/>
  <c r="K22" i="8"/>
  <c r="J22" i="8"/>
  <c r="I22" i="8"/>
  <c r="H22" i="8"/>
  <c r="G22" i="8"/>
  <c r="F22" i="8"/>
  <c r="E22" i="8"/>
  <c r="D22" i="8"/>
  <c r="C22" i="8"/>
  <c r="B22" i="8"/>
  <c r="A22" i="8"/>
  <c r="K21" i="8"/>
  <c r="J21" i="8"/>
  <c r="I21" i="8"/>
  <c r="H21" i="8"/>
  <c r="G21" i="8"/>
  <c r="F21" i="8"/>
  <c r="E21" i="8"/>
  <c r="D21" i="8"/>
  <c r="C21" i="8"/>
  <c r="B21" i="8"/>
  <c r="A21" i="8"/>
  <c r="K20" i="8"/>
  <c r="J20" i="8"/>
  <c r="I20" i="8"/>
  <c r="H20" i="8"/>
  <c r="G20" i="8"/>
  <c r="F20" i="8"/>
  <c r="E20" i="8"/>
  <c r="D20" i="8"/>
  <c r="C20" i="8"/>
  <c r="B20" i="8"/>
  <c r="A20" i="8"/>
  <c r="K19" i="8"/>
  <c r="J19" i="8"/>
  <c r="I19" i="8"/>
  <c r="H19" i="8"/>
  <c r="G19" i="8"/>
  <c r="F19" i="8"/>
  <c r="E19" i="8"/>
  <c r="D19" i="8"/>
  <c r="C19" i="8"/>
  <c r="B19" i="8"/>
  <c r="A19" i="8"/>
  <c r="K18" i="8"/>
  <c r="J18" i="8"/>
  <c r="I18" i="8"/>
  <c r="H18" i="8"/>
  <c r="G18" i="8"/>
  <c r="F18" i="8"/>
  <c r="E18" i="8"/>
  <c r="D18" i="8"/>
  <c r="C18" i="8"/>
  <c r="B18" i="8"/>
  <c r="A18" i="8"/>
  <c r="K17" i="8"/>
  <c r="J17" i="8"/>
  <c r="I17" i="8"/>
  <c r="H17" i="8"/>
  <c r="G17" i="8"/>
  <c r="F17" i="8"/>
  <c r="E17" i="8"/>
  <c r="D17" i="8"/>
  <c r="C17" i="8"/>
  <c r="B17" i="8"/>
  <c r="A17" i="8"/>
  <c r="K16" i="8"/>
  <c r="J16" i="8"/>
  <c r="I16" i="8"/>
  <c r="H16" i="8"/>
  <c r="G16" i="8"/>
  <c r="F16" i="8"/>
  <c r="E16" i="8"/>
  <c r="D16" i="8"/>
  <c r="C16" i="8"/>
  <c r="B16" i="8"/>
  <c r="A16" i="8"/>
  <c r="K15" i="8"/>
  <c r="J15" i="8"/>
  <c r="I15" i="8"/>
  <c r="H15" i="8"/>
  <c r="G15" i="8"/>
  <c r="F15" i="8"/>
  <c r="E15" i="8"/>
  <c r="D15" i="8"/>
  <c r="C15" i="8"/>
  <c r="B15" i="8"/>
  <c r="A15" i="8"/>
  <c r="K14" i="8"/>
  <c r="J14" i="8"/>
  <c r="I14" i="8"/>
  <c r="H14" i="8"/>
  <c r="G14" i="8"/>
  <c r="F14" i="8"/>
  <c r="E14" i="8"/>
  <c r="D14" i="8"/>
  <c r="C14" i="8"/>
  <c r="B14" i="8"/>
  <c r="A14" i="8"/>
  <c r="K13" i="8"/>
  <c r="J13" i="8"/>
  <c r="I13" i="8"/>
  <c r="H13" i="8"/>
  <c r="G13" i="8"/>
  <c r="F13" i="8"/>
  <c r="E13" i="8"/>
  <c r="D13" i="8"/>
  <c r="C13" i="8"/>
  <c r="B13" i="8"/>
  <c r="A13" i="8"/>
  <c r="K12" i="8"/>
  <c r="J12" i="8"/>
  <c r="I12" i="8"/>
  <c r="H12" i="8"/>
  <c r="G12" i="8"/>
  <c r="F12" i="8"/>
  <c r="E12" i="8"/>
  <c r="D12" i="8"/>
  <c r="C12" i="8"/>
  <c r="B12" i="8"/>
  <c r="A12" i="8"/>
  <c r="K11" i="8"/>
  <c r="J11" i="8"/>
  <c r="I11" i="8"/>
  <c r="H11" i="8"/>
  <c r="G11" i="8"/>
  <c r="F11" i="8"/>
  <c r="E11" i="8"/>
  <c r="D11" i="8"/>
  <c r="C11" i="8"/>
  <c r="B11" i="8"/>
  <c r="A11" i="8"/>
  <c r="K10" i="8"/>
  <c r="J10" i="8"/>
  <c r="I10" i="8"/>
  <c r="H10" i="8"/>
  <c r="G10" i="8"/>
  <c r="F10" i="8"/>
  <c r="E10" i="8"/>
  <c r="D10" i="8"/>
  <c r="C10" i="8"/>
  <c r="B10" i="8"/>
  <c r="A10" i="8"/>
  <c r="K9" i="8"/>
  <c r="J9" i="8"/>
  <c r="I9" i="8"/>
  <c r="H9" i="8"/>
  <c r="G9" i="8"/>
  <c r="F9" i="8"/>
  <c r="E9" i="8"/>
  <c r="D9" i="8"/>
  <c r="C9" i="8"/>
  <c r="B9" i="8"/>
  <c r="A9" i="8"/>
  <c r="K8" i="8"/>
  <c r="J8" i="8"/>
  <c r="I8" i="8"/>
  <c r="H8" i="8"/>
  <c r="G8" i="8"/>
  <c r="F8" i="8"/>
  <c r="E8" i="8"/>
  <c r="D8" i="8"/>
  <c r="C8" i="8"/>
  <c r="B8" i="8"/>
  <c r="A8" i="8"/>
  <c r="K7" i="8"/>
  <c r="J7" i="8"/>
  <c r="I7" i="8"/>
  <c r="H7" i="8"/>
  <c r="G7" i="8"/>
  <c r="F7" i="8"/>
  <c r="E7" i="8"/>
  <c r="D7" i="8"/>
  <c r="C7" i="8"/>
  <c r="B7" i="8"/>
  <c r="A7" i="8"/>
  <c r="K6" i="8"/>
  <c r="J6" i="8"/>
  <c r="I6" i="8"/>
  <c r="H6" i="8"/>
  <c r="G6" i="8"/>
  <c r="F6" i="8"/>
  <c r="E6" i="8"/>
  <c r="D6" i="8"/>
  <c r="C6" i="8"/>
  <c r="B6" i="8"/>
  <c r="A6" i="8"/>
  <c r="K5" i="8"/>
  <c r="J5" i="8"/>
  <c r="I5" i="8"/>
  <c r="H5" i="8"/>
  <c r="G5" i="8"/>
  <c r="F5" i="8"/>
  <c r="E5" i="8"/>
  <c r="D5" i="8"/>
  <c r="C5" i="8"/>
  <c r="B5" i="8"/>
  <c r="A5" i="8"/>
  <c r="K4" i="8"/>
  <c r="J4" i="8"/>
  <c r="I4" i="8"/>
  <c r="H4" i="8"/>
  <c r="G4" i="8"/>
  <c r="F4" i="8"/>
  <c r="E4" i="8"/>
  <c r="D4" i="8"/>
  <c r="C4" i="8"/>
  <c r="B4" i="8"/>
  <c r="A4" i="8"/>
  <c r="K3" i="8"/>
  <c r="J3" i="8"/>
  <c r="I3" i="8"/>
  <c r="H3" i="8"/>
  <c r="G3" i="8"/>
  <c r="F3" i="8"/>
  <c r="E3" i="8"/>
  <c r="D3" i="8"/>
  <c r="C3" i="8"/>
  <c r="B3" i="8"/>
  <c r="A3" i="8"/>
  <c r="K2" i="8"/>
  <c r="J2" i="8"/>
  <c r="I2" i="8"/>
  <c r="H2" i="8"/>
  <c r="G2" i="8"/>
  <c r="F2" i="8"/>
  <c r="E2" i="8"/>
  <c r="D2" i="8"/>
  <c r="C2" i="8"/>
  <c r="B2" i="8"/>
  <c r="A2" i="8"/>
  <c r="K1" i="8"/>
  <c r="J1" i="8"/>
  <c r="I1" i="8"/>
  <c r="H1" i="8"/>
  <c r="G1" i="8"/>
  <c r="F1" i="8"/>
  <c r="E1" i="8"/>
  <c r="D1" i="8"/>
  <c r="C1" i="8"/>
  <c r="B1" i="8"/>
  <c r="A1" i="8"/>
  <c r="D586" i="5"/>
  <c r="C586" i="5"/>
  <c r="B586" i="5"/>
  <c r="A586" i="5"/>
  <c r="D585" i="5"/>
  <c r="C585" i="5"/>
  <c r="B585" i="5"/>
  <c r="A585" i="5"/>
  <c r="C584" i="5"/>
  <c r="A584" i="5"/>
  <c r="C583" i="5"/>
  <c r="A583" i="5"/>
  <c r="C582" i="5"/>
  <c r="A582" i="5"/>
  <c r="C581" i="5"/>
  <c r="A581" i="5"/>
  <c r="C580" i="5"/>
  <c r="A580" i="5"/>
  <c r="C579" i="5"/>
  <c r="A579" i="5"/>
  <c r="C578" i="5"/>
  <c r="A578" i="5"/>
  <c r="C577" i="5"/>
  <c r="A577" i="5"/>
  <c r="D576" i="5"/>
  <c r="C576" i="5"/>
  <c r="B576" i="5"/>
  <c r="A576" i="5"/>
  <c r="C575" i="5"/>
  <c r="B575" i="5"/>
  <c r="A575" i="5"/>
  <c r="D574" i="5"/>
  <c r="C574" i="5"/>
  <c r="A574" i="5"/>
  <c r="D573" i="5"/>
  <c r="C573" i="5"/>
  <c r="B573" i="5"/>
  <c r="A573" i="5"/>
  <c r="D572" i="5"/>
  <c r="C572" i="5"/>
  <c r="A572" i="5"/>
  <c r="D571" i="5"/>
  <c r="C571" i="5"/>
  <c r="B571" i="5"/>
  <c r="A571" i="5"/>
  <c r="D570" i="5"/>
  <c r="C570" i="5"/>
  <c r="A570" i="5"/>
  <c r="D569" i="5"/>
  <c r="C569" i="5"/>
  <c r="A569" i="5"/>
  <c r="D568" i="5"/>
  <c r="C568" i="5"/>
  <c r="A568" i="5"/>
  <c r="D567" i="5"/>
  <c r="C567" i="5"/>
  <c r="A567" i="5"/>
  <c r="D566" i="5"/>
  <c r="C566" i="5"/>
  <c r="A566" i="5"/>
  <c r="C565" i="5"/>
  <c r="A565" i="5"/>
  <c r="C564" i="5"/>
  <c r="A564" i="5"/>
  <c r="C563" i="5"/>
  <c r="A563" i="5"/>
  <c r="D562" i="5"/>
  <c r="C562" i="5"/>
  <c r="B562" i="5"/>
  <c r="A562" i="5"/>
  <c r="C561" i="5"/>
  <c r="A561" i="5"/>
  <c r="C560" i="5"/>
  <c r="B560" i="5"/>
  <c r="A560" i="5"/>
  <c r="C559" i="5"/>
  <c r="B559" i="5"/>
  <c r="A559" i="5"/>
  <c r="D558" i="5"/>
  <c r="C558" i="5"/>
  <c r="A558" i="5"/>
  <c r="D557" i="5"/>
  <c r="C557" i="5"/>
  <c r="A557" i="5"/>
  <c r="D556" i="5"/>
  <c r="C556" i="5"/>
  <c r="A556" i="5"/>
  <c r="D555" i="5"/>
  <c r="C555" i="5"/>
  <c r="A555" i="5"/>
  <c r="D554" i="5"/>
  <c r="C554" i="5"/>
  <c r="B554" i="5"/>
  <c r="A554" i="5"/>
  <c r="D553" i="5"/>
  <c r="C553" i="5"/>
  <c r="A553" i="5"/>
  <c r="D552" i="5"/>
  <c r="C552" i="5"/>
  <c r="A552" i="5"/>
  <c r="D551" i="5"/>
  <c r="C551" i="5"/>
  <c r="B551" i="5"/>
  <c r="A551" i="5"/>
  <c r="D550" i="5"/>
  <c r="C550" i="5"/>
  <c r="B550" i="5"/>
  <c r="A550" i="5"/>
  <c r="C549" i="5"/>
  <c r="A549" i="5"/>
  <c r="C548" i="5"/>
  <c r="A548" i="5"/>
  <c r="D547" i="5"/>
  <c r="C547" i="5"/>
  <c r="B547" i="5"/>
  <c r="A547" i="5"/>
  <c r="D546" i="5"/>
  <c r="C546" i="5"/>
  <c r="B546" i="5"/>
  <c r="A546" i="5"/>
  <c r="D545" i="5"/>
  <c r="C545" i="5"/>
  <c r="B545" i="5"/>
  <c r="A545" i="5"/>
  <c r="D544" i="5"/>
  <c r="C544" i="5"/>
  <c r="B544" i="5"/>
  <c r="A544" i="5"/>
  <c r="D543" i="5"/>
  <c r="C543" i="5"/>
  <c r="B543" i="5"/>
  <c r="A543" i="5"/>
  <c r="D542" i="5"/>
  <c r="C542" i="5"/>
  <c r="B542" i="5"/>
  <c r="A542" i="5"/>
  <c r="D541" i="5"/>
  <c r="C541" i="5"/>
  <c r="A541" i="5"/>
  <c r="D540" i="5"/>
  <c r="C540" i="5"/>
  <c r="B540" i="5"/>
  <c r="A540" i="5"/>
  <c r="D539" i="5"/>
  <c r="C539" i="5"/>
  <c r="B539" i="5"/>
  <c r="A539" i="5"/>
  <c r="D538" i="5"/>
  <c r="C538" i="5"/>
  <c r="B538" i="5"/>
  <c r="A538" i="5"/>
  <c r="D537" i="5"/>
  <c r="C537" i="5"/>
  <c r="B537" i="5"/>
  <c r="A537" i="5"/>
  <c r="D536" i="5"/>
  <c r="C536" i="5"/>
  <c r="B536" i="5"/>
  <c r="A536" i="5"/>
  <c r="D535" i="5"/>
  <c r="C535" i="5"/>
  <c r="B535" i="5"/>
  <c r="A535" i="5"/>
  <c r="D534" i="5"/>
  <c r="C534" i="5"/>
  <c r="B534" i="5"/>
  <c r="A534" i="5"/>
  <c r="D533" i="5"/>
  <c r="C533" i="5"/>
  <c r="B533" i="5"/>
  <c r="A533" i="5"/>
  <c r="D532" i="5"/>
  <c r="C532" i="5"/>
  <c r="B532" i="5"/>
  <c r="A532" i="5"/>
  <c r="D531" i="5"/>
  <c r="C531" i="5"/>
  <c r="B531" i="5"/>
  <c r="A531" i="5"/>
  <c r="D530" i="5"/>
  <c r="C530" i="5"/>
  <c r="B530" i="5"/>
  <c r="A530" i="5"/>
  <c r="D529" i="5"/>
  <c r="C529" i="5"/>
  <c r="B529" i="5"/>
  <c r="A529" i="5"/>
  <c r="D528" i="5"/>
  <c r="C528" i="5"/>
  <c r="B528" i="5"/>
  <c r="A528" i="5"/>
  <c r="C527" i="5"/>
  <c r="A527" i="5"/>
  <c r="D526" i="5"/>
  <c r="C526" i="5"/>
  <c r="A526" i="5"/>
  <c r="D525" i="5"/>
  <c r="C525" i="5"/>
  <c r="B525" i="5"/>
  <c r="A525" i="5"/>
  <c r="D524" i="5"/>
  <c r="C524" i="5"/>
  <c r="B524" i="5"/>
  <c r="A524" i="5"/>
  <c r="D523" i="5"/>
  <c r="C523" i="5"/>
  <c r="A523" i="5"/>
  <c r="D522" i="5"/>
  <c r="C522" i="5"/>
  <c r="A522" i="5"/>
  <c r="D521" i="5"/>
  <c r="C521" i="5"/>
  <c r="B521" i="5"/>
  <c r="A521" i="5"/>
  <c r="D520" i="5"/>
  <c r="C520" i="5"/>
  <c r="A520" i="5"/>
  <c r="D519" i="5"/>
  <c r="C519" i="5"/>
  <c r="A519" i="5"/>
  <c r="D518" i="5"/>
  <c r="C518" i="5"/>
  <c r="A518" i="5"/>
  <c r="C517" i="5"/>
  <c r="B517" i="5"/>
  <c r="A517" i="5"/>
  <c r="D516" i="5"/>
  <c r="C516" i="5"/>
  <c r="B516" i="5"/>
  <c r="A516" i="5"/>
  <c r="D515" i="5"/>
  <c r="C515" i="5"/>
  <c r="B515" i="5"/>
  <c r="A515" i="5"/>
  <c r="C514" i="5"/>
  <c r="A514" i="5"/>
  <c r="D513" i="5"/>
  <c r="C513" i="5"/>
  <c r="A513" i="5"/>
  <c r="D512" i="5"/>
  <c r="C512" i="5"/>
  <c r="B512" i="5"/>
  <c r="A512" i="5"/>
  <c r="D511" i="5"/>
  <c r="C511" i="5"/>
  <c r="B511" i="5"/>
  <c r="A511" i="5"/>
  <c r="D510" i="5"/>
  <c r="C510" i="5"/>
  <c r="B510" i="5"/>
  <c r="A510" i="5"/>
  <c r="D509" i="5"/>
  <c r="C509" i="5"/>
  <c r="B509" i="5"/>
  <c r="A509" i="5"/>
  <c r="D508" i="5"/>
  <c r="C508" i="5"/>
  <c r="B508" i="5"/>
  <c r="A508" i="5"/>
  <c r="D507" i="5"/>
  <c r="C507" i="5"/>
  <c r="B507" i="5"/>
  <c r="A507" i="5"/>
  <c r="D506" i="5"/>
  <c r="C506" i="5"/>
  <c r="B506" i="5"/>
  <c r="A506" i="5"/>
  <c r="D505" i="5"/>
  <c r="C505" i="5"/>
  <c r="B505" i="5"/>
  <c r="A505" i="5"/>
  <c r="D504" i="5"/>
  <c r="C504" i="5"/>
  <c r="B504" i="5"/>
  <c r="A504" i="5"/>
  <c r="D503" i="5"/>
  <c r="C503" i="5"/>
  <c r="B503" i="5"/>
  <c r="A503" i="5"/>
  <c r="D502" i="5"/>
  <c r="C502" i="5"/>
  <c r="B502" i="5"/>
  <c r="A502" i="5"/>
  <c r="D501" i="5"/>
  <c r="C501" i="5"/>
  <c r="B501" i="5"/>
  <c r="A501" i="5"/>
  <c r="D500" i="5"/>
  <c r="C500" i="5"/>
  <c r="B500" i="5"/>
  <c r="A500" i="5"/>
  <c r="D499" i="5"/>
  <c r="C499" i="5"/>
  <c r="B499" i="5"/>
  <c r="A499" i="5"/>
  <c r="D498" i="5"/>
  <c r="C498" i="5"/>
  <c r="B498" i="5"/>
  <c r="A498" i="5"/>
  <c r="D497" i="5"/>
  <c r="C497" i="5"/>
  <c r="B497" i="5"/>
  <c r="A497" i="5"/>
  <c r="D496" i="5"/>
  <c r="C496" i="5"/>
  <c r="B496" i="5"/>
  <c r="A496" i="5"/>
  <c r="D495" i="5"/>
  <c r="C495" i="5"/>
  <c r="B495" i="5"/>
  <c r="A495" i="5"/>
  <c r="D494" i="5"/>
  <c r="C494" i="5"/>
  <c r="B494" i="5"/>
  <c r="A494" i="5"/>
  <c r="D493" i="5"/>
  <c r="C493" i="5"/>
  <c r="B493" i="5"/>
  <c r="A493" i="5"/>
  <c r="D492" i="5"/>
  <c r="C492" i="5"/>
  <c r="B492" i="5"/>
  <c r="A492" i="5"/>
  <c r="D491" i="5"/>
  <c r="C491" i="5"/>
  <c r="B491" i="5"/>
  <c r="A491" i="5"/>
  <c r="D490" i="5"/>
  <c r="C490" i="5"/>
  <c r="B490" i="5"/>
  <c r="A490" i="5"/>
  <c r="D489" i="5"/>
  <c r="C489" i="5"/>
  <c r="B489" i="5"/>
  <c r="A489" i="5"/>
  <c r="D488" i="5"/>
  <c r="C488" i="5"/>
  <c r="B488" i="5"/>
  <c r="A488" i="5"/>
  <c r="D487" i="5"/>
  <c r="C487" i="5"/>
  <c r="B487" i="5"/>
  <c r="A487" i="5"/>
  <c r="D486" i="5"/>
  <c r="C486" i="5"/>
  <c r="B486" i="5"/>
  <c r="A486" i="5"/>
  <c r="D485" i="5"/>
  <c r="C485" i="5"/>
  <c r="A485" i="5"/>
  <c r="C484" i="5"/>
  <c r="B484" i="5"/>
  <c r="A484" i="5"/>
  <c r="C483" i="5"/>
  <c r="B483" i="5"/>
  <c r="A483" i="5"/>
  <c r="C482" i="5"/>
  <c r="B482" i="5"/>
  <c r="A482" i="5"/>
  <c r="C481" i="5"/>
  <c r="A481" i="5"/>
  <c r="C480" i="5"/>
  <c r="A480" i="5"/>
  <c r="D479" i="5"/>
  <c r="C479" i="5"/>
  <c r="A479" i="5"/>
  <c r="D478" i="5"/>
  <c r="C478" i="5"/>
  <c r="A478" i="5"/>
  <c r="D477" i="5"/>
  <c r="C477" i="5"/>
  <c r="A477" i="5"/>
  <c r="D476" i="5"/>
  <c r="C476" i="5"/>
  <c r="A476" i="5"/>
  <c r="D475" i="5"/>
  <c r="C475" i="5"/>
  <c r="A475" i="5"/>
  <c r="D474" i="5"/>
  <c r="C474" i="5"/>
  <c r="A474" i="5"/>
  <c r="D473" i="5"/>
  <c r="C473" i="5"/>
  <c r="B473" i="5"/>
  <c r="A473" i="5"/>
  <c r="C472" i="5"/>
  <c r="B472" i="5"/>
  <c r="A472" i="5"/>
  <c r="D471" i="5"/>
  <c r="C471" i="5"/>
  <c r="A471" i="5"/>
  <c r="D470" i="5"/>
  <c r="C470" i="5"/>
  <c r="A470" i="5"/>
  <c r="D469" i="5"/>
  <c r="C469" i="5"/>
  <c r="B469" i="5"/>
  <c r="A469" i="5"/>
  <c r="C468" i="5"/>
  <c r="B468" i="5"/>
  <c r="A468" i="5"/>
  <c r="C467" i="5"/>
  <c r="B467" i="5"/>
  <c r="A467" i="5"/>
  <c r="C466" i="5"/>
  <c r="B466" i="5"/>
  <c r="A466" i="5"/>
  <c r="C465" i="5"/>
  <c r="B465" i="5"/>
  <c r="A465" i="5"/>
  <c r="C464" i="5"/>
  <c r="B464" i="5"/>
  <c r="A464" i="5"/>
  <c r="C463" i="5"/>
  <c r="B463" i="5"/>
  <c r="A463" i="5"/>
  <c r="D462" i="5"/>
  <c r="C462" i="5"/>
  <c r="A462" i="5"/>
  <c r="C461" i="5"/>
  <c r="B461" i="5"/>
  <c r="A461" i="5"/>
  <c r="D460" i="5"/>
  <c r="C460" i="5"/>
  <c r="A460" i="5"/>
  <c r="C459" i="5"/>
  <c r="B459" i="5"/>
  <c r="A459" i="5"/>
  <c r="C458" i="5"/>
  <c r="B458" i="5"/>
  <c r="A458" i="5"/>
  <c r="C457" i="5"/>
  <c r="B457" i="5"/>
  <c r="A457" i="5"/>
  <c r="D456" i="5"/>
  <c r="C456" i="5"/>
  <c r="B456" i="5"/>
  <c r="A456" i="5"/>
  <c r="C455" i="5"/>
  <c r="B455" i="5"/>
  <c r="A455" i="5"/>
  <c r="C454" i="5"/>
  <c r="B454" i="5"/>
  <c r="A454" i="5"/>
  <c r="C453" i="5"/>
  <c r="B453" i="5"/>
  <c r="A453" i="5"/>
  <c r="C452" i="5"/>
  <c r="B452" i="5"/>
  <c r="A452" i="5"/>
  <c r="C451" i="5"/>
  <c r="B451" i="5"/>
  <c r="A451" i="5"/>
  <c r="C450" i="5"/>
  <c r="B450" i="5"/>
  <c r="A450" i="5"/>
  <c r="C449" i="5"/>
  <c r="B449" i="5"/>
  <c r="A449" i="5"/>
  <c r="C448" i="5"/>
  <c r="B448" i="5"/>
  <c r="A448" i="5"/>
  <c r="C447" i="5"/>
  <c r="B447" i="5"/>
  <c r="A447" i="5"/>
  <c r="D446" i="5"/>
  <c r="C446" i="5"/>
  <c r="B446" i="5"/>
  <c r="A446" i="5"/>
  <c r="C445" i="5"/>
  <c r="B445" i="5"/>
  <c r="A445" i="5"/>
  <c r="C444" i="5"/>
  <c r="B444" i="5"/>
  <c r="A444" i="5"/>
  <c r="C443" i="5"/>
  <c r="B443" i="5"/>
  <c r="A443" i="5"/>
  <c r="C442" i="5"/>
  <c r="B442" i="5"/>
  <c r="A442" i="5"/>
  <c r="C441" i="5"/>
  <c r="B441" i="5"/>
  <c r="A441" i="5"/>
  <c r="D440" i="5"/>
  <c r="C440" i="5"/>
  <c r="B440" i="5"/>
  <c r="A440" i="5"/>
  <c r="D439" i="5"/>
  <c r="C439" i="5"/>
  <c r="B439" i="5"/>
  <c r="A439" i="5"/>
  <c r="D438" i="5"/>
  <c r="C438" i="5"/>
  <c r="B438" i="5"/>
  <c r="A438" i="5"/>
  <c r="D437" i="5"/>
  <c r="C437" i="5"/>
  <c r="B437" i="5"/>
  <c r="A437" i="5"/>
  <c r="D436" i="5"/>
  <c r="C436" i="5"/>
  <c r="B436" i="5"/>
  <c r="A436" i="5"/>
  <c r="C435" i="5"/>
  <c r="B435" i="5"/>
  <c r="A435" i="5"/>
  <c r="C434" i="5"/>
  <c r="B434" i="5"/>
  <c r="A434" i="5"/>
  <c r="C433" i="5"/>
  <c r="B433" i="5"/>
  <c r="A433" i="5"/>
  <c r="C432" i="5"/>
  <c r="B432" i="5"/>
  <c r="A432" i="5"/>
  <c r="C431" i="5"/>
  <c r="B431" i="5"/>
  <c r="A431" i="5"/>
  <c r="C430" i="5"/>
  <c r="B430" i="5"/>
  <c r="A430" i="5"/>
  <c r="C429" i="5"/>
  <c r="B429" i="5"/>
  <c r="A429" i="5"/>
  <c r="C428" i="5"/>
  <c r="B428" i="5"/>
  <c r="A428" i="5"/>
  <c r="C427" i="5"/>
  <c r="B427" i="5"/>
  <c r="A427" i="5"/>
  <c r="C426" i="5"/>
  <c r="B426" i="5"/>
  <c r="A426" i="5"/>
  <c r="C425" i="5"/>
  <c r="B425" i="5"/>
  <c r="A425" i="5"/>
  <c r="C424" i="5"/>
  <c r="B424" i="5"/>
  <c r="A424" i="5"/>
  <c r="C423" i="5"/>
  <c r="B423" i="5"/>
  <c r="A423" i="5"/>
  <c r="C422" i="5"/>
  <c r="B422" i="5"/>
  <c r="A422" i="5"/>
  <c r="C421" i="5"/>
  <c r="B421" i="5"/>
  <c r="A421" i="5"/>
  <c r="C420" i="5"/>
  <c r="B420" i="5"/>
  <c r="A420" i="5"/>
  <c r="C419" i="5"/>
  <c r="B419" i="5"/>
  <c r="A419" i="5"/>
  <c r="C418" i="5"/>
  <c r="B418" i="5"/>
  <c r="A418" i="5"/>
  <c r="C417" i="5"/>
  <c r="B417" i="5"/>
  <c r="A417" i="5"/>
  <c r="C416" i="5"/>
  <c r="B416" i="5"/>
  <c r="A416" i="5"/>
  <c r="C415" i="5"/>
  <c r="B415" i="5"/>
  <c r="A415" i="5"/>
  <c r="C414" i="5"/>
  <c r="B414" i="5"/>
  <c r="A414" i="5"/>
  <c r="C413" i="5"/>
  <c r="B413" i="5"/>
  <c r="A413" i="5"/>
  <c r="C412" i="5"/>
  <c r="B412" i="5"/>
  <c r="A412" i="5"/>
  <c r="C411" i="5"/>
  <c r="B411" i="5"/>
  <c r="A411" i="5"/>
  <c r="C410" i="5"/>
  <c r="B410" i="5"/>
  <c r="A410" i="5"/>
  <c r="C409" i="5"/>
  <c r="B409" i="5"/>
  <c r="A409" i="5"/>
  <c r="C408" i="5"/>
  <c r="B408" i="5"/>
  <c r="A408" i="5"/>
  <c r="C407" i="5"/>
  <c r="B407" i="5"/>
  <c r="A407" i="5"/>
  <c r="C406" i="5"/>
  <c r="B406" i="5"/>
  <c r="A406" i="5"/>
  <c r="C405" i="5"/>
  <c r="B405" i="5"/>
  <c r="A405" i="5"/>
  <c r="C404" i="5"/>
  <c r="B404" i="5"/>
  <c r="A404" i="5"/>
  <c r="C403" i="5"/>
  <c r="B403" i="5"/>
  <c r="A403" i="5"/>
  <c r="C402" i="5"/>
  <c r="B402" i="5"/>
  <c r="A402" i="5"/>
  <c r="C401" i="5"/>
  <c r="B401" i="5"/>
  <c r="A401" i="5"/>
  <c r="C400" i="5"/>
  <c r="B400" i="5"/>
  <c r="A400" i="5"/>
  <c r="C399" i="5"/>
  <c r="B399" i="5"/>
  <c r="A399" i="5"/>
  <c r="C398" i="5"/>
  <c r="B398" i="5"/>
  <c r="A398" i="5"/>
  <c r="C397" i="5"/>
  <c r="B397" i="5"/>
  <c r="A397" i="5"/>
  <c r="C396" i="5"/>
  <c r="B396" i="5"/>
  <c r="A396" i="5"/>
  <c r="C395" i="5"/>
  <c r="B395" i="5"/>
  <c r="A395" i="5"/>
  <c r="C394" i="5"/>
  <c r="B394" i="5"/>
  <c r="A394" i="5"/>
  <c r="C393" i="5"/>
  <c r="B393" i="5"/>
  <c r="A393" i="5"/>
  <c r="C392" i="5"/>
  <c r="B392" i="5"/>
  <c r="A392" i="5"/>
  <c r="C391" i="5"/>
  <c r="B391" i="5"/>
  <c r="A391" i="5"/>
  <c r="C390" i="5"/>
  <c r="B390" i="5"/>
  <c r="A390" i="5"/>
  <c r="C389" i="5"/>
  <c r="B389" i="5"/>
  <c r="A389" i="5"/>
  <c r="C388" i="5"/>
  <c r="B388" i="5"/>
  <c r="A388" i="5"/>
  <c r="C387" i="5"/>
  <c r="B387" i="5"/>
  <c r="A387" i="5"/>
  <c r="C386" i="5"/>
  <c r="B386" i="5"/>
  <c r="A386" i="5"/>
  <c r="C385" i="5"/>
  <c r="B385" i="5"/>
  <c r="A385" i="5"/>
  <c r="C384" i="5"/>
  <c r="B384" i="5"/>
  <c r="A384" i="5"/>
  <c r="C383" i="5"/>
  <c r="B383" i="5"/>
  <c r="A383" i="5"/>
  <c r="C382" i="5"/>
  <c r="B382" i="5"/>
  <c r="A382" i="5"/>
  <c r="C381" i="5"/>
  <c r="B381" i="5"/>
  <c r="A381" i="5"/>
  <c r="C380" i="5"/>
  <c r="B380" i="5"/>
  <c r="A380" i="5"/>
  <c r="C379" i="5"/>
  <c r="B379" i="5"/>
  <c r="A379" i="5"/>
  <c r="C378" i="5"/>
  <c r="B378" i="5"/>
  <c r="A378" i="5"/>
  <c r="C377" i="5"/>
  <c r="B377" i="5"/>
  <c r="A377" i="5"/>
  <c r="C376" i="5"/>
  <c r="B376" i="5"/>
  <c r="A376" i="5"/>
  <c r="C375" i="5"/>
  <c r="B375" i="5"/>
  <c r="A375" i="5"/>
  <c r="C374" i="5"/>
  <c r="B374" i="5"/>
  <c r="A374" i="5"/>
  <c r="C373" i="5"/>
  <c r="B373" i="5"/>
  <c r="A373" i="5"/>
  <c r="C372" i="5"/>
  <c r="B372" i="5"/>
  <c r="A372" i="5"/>
  <c r="C371" i="5"/>
  <c r="B371" i="5"/>
  <c r="A371" i="5"/>
  <c r="C370" i="5"/>
  <c r="B370" i="5"/>
  <c r="A370" i="5"/>
  <c r="C369" i="5"/>
  <c r="B369" i="5"/>
  <c r="A369" i="5"/>
  <c r="C368" i="5"/>
  <c r="B368" i="5"/>
  <c r="A368" i="5"/>
  <c r="C367" i="5"/>
  <c r="B367" i="5"/>
  <c r="A367" i="5"/>
  <c r="C366" i="5"/>
  <c r="B366" i="5"/>
  <c r="A366" i="5"/>
  <c r="C365" i="5"/>
  <c r="B365" i="5"/>
  <c r="A365" i="5"/>
  <c r="C364" i="5"/>
  <c r="B364" i="5"/>
  <c r="A364" i="5"/>
  <c r="C363" i="5"/>
  <c r="B363" i="5"/>
  <c r="A363" i="5"/>
  <c r="C362" i="5"/>
  <c r="B362" i="5"/>
  <c r="A362" i="5"/>
  <c r="C361" i="5"/>
  <c r="B361" i="5"/>
  <c r="A361" i="5"/>
  <c r="C360" i="5"/>
  <c r="B360" i="5"/>
  <c r="A360" i="5"/>
  <c r="C359" i="5"/>
  <c r="B359" i="5"/>
  <c r="A359" i="5"/>
  <c r="C358" i="5"/>
  <c r="B358" i="5"/>
  <c r="A358" i="5"/>
  <c r="C357" i="5"/>
  <c r="B357" i="5"/>
  <c r="A357" i="5"/>
  <c r="C356" i="5"/>
  <c r="B356" i="5"/>
  <c r="A356" i="5"/>
  <c r="C355" i="5"/>
  <c r="B355" i="5"/>
  <c r="A355" i="5"/>
  <c r="C354" i="5"/>
  <c r="B354" i="5"/>
  <c r="A354" i="5"/>
  <c r="C353" i="5"/>
  <c r="B353" i="5"/>
  <c r="A353" i="5"/>
  <c r="C352" i="5"/>
  <c r="B352" i="5"/>
  <c r="A352" i="5"/>
  <c r="C351" i="5"/>
  <c r="B351" i="5"/>
  <c r="A351" i="5"/>
  <c r="C350" i="5"/>
  <c r="B350" i="5"/>
  <c r="A350" i="5"/>
  <c r="C349" i="5"/>
  <c r="B349" i="5"/>
  <c r="A349" i="5"/>
  <c r="C348" i="5"/>
  <c r="B348" i="5"/>
  <c r="A348" i="5"/>
  <c r="C347" i="5"/>
  <c r="B347" i="5"/>
  <c r="A347" i="5"/>
  <c r="C346" i="5"/>
  <c r="B346" i="5"/>
  <c r="A346" i="5"/>
  <c r="C345" i="5"/>
  <c r="B345" i="5"/>
  <c r="A345" i="5"/>
  <c r="D344" i="5"/>
  <c r="C344" i="5"/>
  <c r="B344" i="5"/>
  <c r="A344" i="5"/>
  <c r="C343" i="5"/>
  <c r="B343" i="5"/>
  <c r="A343" i="5"/>
  <c r="C342" i="5"/>
  <c r="B342" i="5"/>
  <c r="A342" i="5"/>
  <c r="C341" i="5"/>
  <c r="B341" i="5"/>
  <c r="A341" i="5"/>
  <c r="C340" i="5"/>
  <c r="B340" i="5"/>
  <c r="A340" i="5"/>
  <c r="C339" i="5"/>
  <c r="B339" i="5"/>
  <c r="A339" i="5"/>
  <c r="C338" i="5"/>
  <c r="B338" i="5"/>
  <c r="A338" i="5"/>
  <c r="C337" i="5"/>
  <c r="B337" i="5"/>
  <c r="A337" i="5"/>
  <c r="C336" i="5"/>
  <c r="B336" i="5"/>
  <c r="A336" i="5"/>
  <c r="C335" i="5"/>
  <c r="B335" i="5"/>
  <c r="A335" i="5"/>
  <c r="C334" i="5"/>
  <c r="B334" i="5"/>
  <c r="A334" i="5"/>
  <c r="C333" i="5"/>
  <c r="B333" i="5"/>
  <c r="A333" i="5"/>
  <c r="C332" i="5"/>
  <c r="B332" i="5"/>
  <c r="A332" i="5"/>
  <c r="C331" i="5"/>
  <c r="B331" i="5"/>
  <c r="A331" i="5"/>
  <c r="C330" i="5"/>
  <c r="B330" i="5"/>
  <c r="A330" i="5"/>
  <c r="C329" i="5"/>
  <c r="B329" i="5"/>
  <c r="A329" i="5"/>
  <c r="C328" i="5"/>
  <c r="B328" i="5"/>
  <c r="A328" i="5"/>
  <c r="C327" i="5"/>
  <c r="B327" i="5"/>
  <c r="A327" i="5"/>
  <c r="C326" i="5"/>
  <c r="B326" i="5"/>
  <c r="A326" i="5"/>
  <c r="C325" i="5"/>
  <c r="B325" i="5"/>
  <c r="A325" i="5"/>
  <c r="C324" i="5"/>
  <c r="B324" i="5"/>
  <c r="A324" i="5"/>
  <c r="C323" i="5"/>
  <c r="B323" i="5"/>
  <c r="A323" i="5"/>
  <c r="C322" i="5"/>
  <c r="B322" i="5"/>
  <c r="A322" i="5"/>
  <c r="C321" i="5"/>
  <c r="B321" i="5"/>
  <c r="A321" i="5"/>
  <c r="C320" i="5"/>
  <c r="B320" i="5"/>
  <c r="A320" i="5"/>
  <c r="C319" i="5"/>
  <c r="B319" i="5"/>
  <c r="A319" i="5"/>
  <c r="C318" i="5"/>
  <c r="B318" i="5"/>
  <c r="A318" i="5"/>
  <c r="C317" i="5"/>
  <c r="B317" i="5"/>
  <c r="A317" i="5"/>
  <c r="C316" i="5"/>
  <c r="B316" i="5"/>
  <c r="A316" i="5"/>
  <c r="C315" i="5"/>
  <c r="B315" i="5"/>
  <c r="A315" i="5"/>
  <c r="C314" i="5"/>
  <c r="B314" i="5"/>
  <c r="A314" i="5"/>
  <c r="C313" i="5"/>
  <c r="B313" i="5"/>
  <c r="A313" i="5"/>
  <c r="C312" i="5"/>
  <c r="B312" i="5"/>
  <c r="A312" i="5"/>
  <c r="C311" i="5"/>
  <c r="B311" i="5"/>
  <c r="A311" i="5"/>
  <c r="C310" i="5"/>
  <c r="B310" i="5"/>
  <c r="A310" i="5"/>
  <c r="C309" i="5"/>
  <c r="B309" i="5"/>
  <c r="A309" i="5"/>
  <c r="C308" i="5"/>
  <c r="B308" i="5"/>
  <c r="A308" i="5"/>
  <c r="C307" i="5"/>
  <c r="B307" i="5"/>
  <c r="A307" i="5"/>
  <c r="C306" i="5"/>
  <c r="B306" i="5"/>
  <c r="A306" i="5"/>
  <c r="C305" i="5"/>
  <c r="B305" i="5"/>
  <c r="A305" i="5"/>
  <c r="C304" i="5"/>
  <c r="B304" i="5"/>
  <c r="A304" i="5"/>
  <c r="C303" i="5"/>
  <c r="B303" i="5"/>
  <c r="A303" i="5"/>
  <c r="C302" i="5"/>
  <c r="B302" i="5"/>
  <c r="A302" i="5"/>
  <c r="C301" i="5"/>
  <c r="B301" i="5"/>
  <c r="A301" i="5"/>
  <c r="C300" i="5"/>
  <c r="B300" i="5"/>
  <c r="A300" i="5"/>
  <c r="C299" i="5"/>
  <c r="B299" i="5"/>
  <c r="A299" i="5"/>
  <c r="C298" i="5"/>
  <c r="B298" i="5"/>
  <c r="A298" i="5"/>
  <c r="C297" i="5"/>
  <c r="B297" i="5"/>
  <c r="A297" i="5"/>
  <c r="C296" i="5"/>
  <c r="B296" i="5"/>
  <c r="A296" i="5"/>
  <c r="C295" i="5"/>
  <c r="B295" i="5"/>
  <c r="A295" i="5"/>
  <c r="C294" i="5"/>
  <c r="B294" i="5"/>
  <c r="A294" i="5"/>
  <c r="C293" i="5"/>
  <c r="B293" i="5"/>
  <c r="A293" i="5"/>
  <c r="C292" i="5"/>
  <c r="B292" i="5"/>
  <c r="A292" i="5"/>
  <c r="C291" i="5"/>
  <c r="B291" i="5"/>
  <c r="A291" i="5"/>
  <c r="C290" i="5"/>
  <c r="B290" i="5"/>
  <c r="A290" i="5"/>
  <c r="C289" i="5"/>
  <c r="B289" i="5"/>
  <c r="A289" i="5"/>
  <c r="C288" i="5"/>
  <c r="B288" i="5"/>
  <c r="A288" i="5"/>
  <c r="C287" i="5"/>
  <c r="B287" i="5"/>
  <c r="A287" i="5"/>
  <c r="C286" i="5"/>
  <c r="B286" i="5"/>
  <c r="A286" i="5"/>
  <c r="C285" i="5"/>
  <c r="B285" i="5"/>
  <c r="A285" i="5"/>
  <c r="C284" i="5"/>
  <c r="B284" i="5"/>
  <c r="A284" i="5"/>
  <c r="C283" i="5"/>
  <c r="B283" i="5"/>
  <c r="A283" i="5"/>
  <c r="C282" i="5"/>
  <c r="B282" i="5"/>
  <c r="A282" i="5"/>
  <c r="C281" i="5"/>
  <c r="B281" i="5"/>
  <c r="A281" i="5"/>
  <c r="C280" i="5"/>
  <c r="B280" i="5"/>
  <c r="A280" i="5"/>
  <c r="C279" i="5"/>
  <c r="B279" i="5"/>
  <c r="A279" i="5"/>
  <c r="C278" i="5"/>
  <c r="B278" i="5"/>
  <c r="A278" i="5"/>
  <c r="C277" i="5"/>
  <c r="B277" i="5"/>
  <c r="A277" i="5"/>
  <c r="C276" i="5"/>
  <c r="B276" i="5"/>
  <c r="A276" i="5"/>
  <c r="C275" i="5"/>
  <c r="B275" i="5"/>
  <c r="A275" i="5"/>
  <c r="C274" i="5"/>
  <c r="B274" i="5"/>
  <c r="A274" i="5"/>
  <c r="C273" i="5"/>
  <c r="B273" i="5"/>
  <c r="A273" i="5"/>
  <c r="C272" i="5"/>
  <c r="B272" i="5"/>
  <c r="A272" i="5"/>
  <c r="C271" i="5"/>
  <c r="B271" i="5"/>
  <c r="A271" i="5"/>
  <c r="C270" i="5"/>
  <c r="B270" i="5"/>
  <c r="A270" i="5"/>
  <c r="C269" i="5"/>
  <c r="B269" i="5"/>
  <c r="A269" i="5"/>
  <c r="C268" i="5"/>
  <c r="B268" i="5"/>
  <c r="A268" i="5"/>
  <c r="C267" i="5"/>
  <c r="B267" i="5"/>
  <c r="A267" i="5"/>
  <c r="C266" i="5"/>
  <c r="B266" i="5"/>
  <c r="A266" i="5"/>
  <c r="C265" i="5"/>
  <c r="B265" i="5"/>
  <c r="A265" i="5"/>
  <c r="C264" i="5"/>
  <c r="B264" i="5"/>
  <c r="A264" i="5"/>
  <c r="C263" i="5"/>
  <c r="B263" i="5"/>
  <c r="A263" i="5"/>
  <c r="C262" i="5"/>
  <c r="B262" i="5"/>
  <c r="A262" i="5"/>
  <c r="C261" i="5"/>
  <c r="B261" i="5"/>
  <c r="A261" i="5"/>
  <c r="C260" i="5"/>
  <c r="B260" i="5"/>
  <c r="A260" i="5"/>
  <c r="C259" i="5"/>
  <c r="B259" i="5"/>
  <c r="A259" i="5"/>
  <c r="C258" i="5"/>
  <c r="B258" i="5"/>
  <c r="A258" i="5"/>
  <c r="C257" i="5"/>
  <c r="B257" i="5"/>
  <c r="A257" i="5"/>
  <c r="C256" i="5"/>
  <c r="B256" i="5"/>
  <c r="A256" i="5"/>
  <c r="C255" i="5"/>
  <c r="B255" i="5"/>
  <c r="A255" i="5"/>
  <c r="C254" i="5"/>
  <c r="B254" i="5"/>
  <c r="A254" i="5"/>
  <c r="C253" i="5"/>
  <c r="B253" i="5"/>
  <c r="A253" i="5"/>
  <c r="C252" i="5"/>
  <c r="B252" i="5"/>
  <c r="A252" i="5"/>
  <c r="C251" i="5"/>
  <c r="B251" i="5"/>
  <c r="A251" i="5"/>
  <c r="C250" i="5"/>
  <c r="B250" i="5"/>
  <c r="A250" i="5"/>
  <c r="C249" i="5"/>
  <c r="B249" i="5"/>
  <c r="A249" i="5"/>
  <c r="C248" i="5"/>
  <c r="B248" i="5"/>
  <c r="A248" i="5"/>
  <c r="C247" i="5"/>
  <c r="B247" i="5"/>
  <c r="A247" i="5"/>
  <c r="C246" i="5"/>
  <c r="B246" i="5"/>
  <c r="A246" i="5"/>
  <c r="C245" i="5"/>
  <c r="B245" i="5"/>
  <c r="A245" i="5"/>
  <c r="C244" i="5"/>
  <c r="B244" i="5"/>
  <c r="A244" i="5"/>
  <c r="C243" i="5"/>
  <c r="B243" i="5"/>
  <c r="A243" i="5"/>
  <c r="C242" i="5"/>
  <c r="B242" i="5"/>
  <c r="A242" i="5"/>
  <c r="C241" i="5"/>
  <c r="B241" i="5"/>
  <c r="A241" i="5"/>
  <c r="C240" i="5"/>
  <c r="B240" i="5"/>
  <c r="A240" i="5"/>
  <c r="C239" i="5"/>
  <c r="B239" i="5"/>
  <c r="A239" i="5"/>
  <c r="C238" i="5"/>
  <c r="B238" i="5"/>
  <c r="A238" i="5"/>
  <c r="C237" i="5"/>
  <c r="B237" i="5"/>
  <c r="A237" i="5"/>
  <c r="C236" i="5"/>
  <c r="B236" i="5"/>
  <c r="A236" i="5"/>
  <c r="C235" i="5"/>
  <c r="B235" i="5"/>
  <c r="A235" i="5"/>
  <c r="C234" i="5"/>
  <c r="B234" i="5"/>
  <c r="A234" i="5"/>
  <c r="C233" i="5"/>
  <c r="B233" i="5"/>
  <c r="A233" i="5"/>
  <c r="C232" i="5"/>
  <c r="A232" i="5"/>
  <c r="C231" i="5"/>
  <c r="A231" i="5"/>
  <c r="C230" i="5"/>
  <c r="A230" i="5"/>
  <c r="C229" i="5"/>
  <c r="A229" i="5"/>
  <c r="C228" i="5"/>
  <c r="A228" i="5"/>
  <c r="C227" i="5"/>
  <c r="A227" i="5"/>
  <c r="D226" i="5"/>
  <c r="C226" i="5"/>
  <c r="A226" i="5"/>
  <c r="C225" i="5"/>
  <c r="A225" i="5"/>
  <c r="C224" i="5"/>
  <c r="A224" i="5"/>
  <c r="D223" i="5"/>
  <c r="C223" i="5"/>
  <c r="A223" i="5"/>
  <c r="C222" i="5"/>
  <c r="A222" i="5"/>
  <c r="C221" i="5"/>
  <c r="A221" i="5"/>
  <c r="C220" i="5"/>
  <c r="A220" i="5"/>
  <c r="C219" i="5"/>
  <c r="A219" i="5"/>
  <c r="C218" i="5"/>
  <c r="A218" i="5"/>
  <c r="C217" i="5"/>
  <c r="A217" i="5"/>
  <c r="C216" i="5"/>
  <c r="A216" i="5"/>
  <c r="C215" i="5"/>
  <c r="A215" i="5"/>
  <c r="C214" i="5"/>
  <c r="A214" i="5"/>
  <c r="C213" i="5"/>
  <c r="A213" i="5"/>
  <c r="C212" i="5"/>
  <c r="A212" i="5"/>
  <c r="C211" i="5"/>
  <c r="A211" i="5"/>
  <c r="C210" i="5"/>
  <c r="A210" i="5"/>
  <c r="C209" i="5"/>
  <c r="A209" i="5"/>
  <c r="C208" i="5"/>
  <c r="A208" i="5"/>
  <c r="C207" i="5"/>
  <c r="A207" i="5"/>
  <c r="C206" i="5"/>
  <c r="A206" i="5"/>
  <c r="C205" i="5"/>
  <c r="A205" i="5"/>
  <c r="C204" i="5"/>
  <c r="A204" i="5"/>
  <c r="C203" i="5"/>
  <c r="A203" i="5"/>
  <c r="C202" i="5"/>
  <c r="A202" i="5"/>
  <c r="C201" i="5"/>
  <c r="A201" i="5"/>
  <c r="C200" i="5"/>
  <c r="A200" i="5"/>
  <c r="C199" i="5"/>
  <c r="A199" i="5"/>
  <c r="C198" i="5"/>
  <c r="A198" i="5"/>
  <c r="C197" i="5"/>
  <c r="A197" i="5"/>
  <c r="C196" i="5"/>
  <c r="A196" i="5"/>
  <c r="C195" i="5"/>
  <c r="A195" i="5"/>
  <c r="C194" i="5"/>
  <c r="A194" i="5"/>
  <c r="C193" i="5"/>
  <c r="A193" i="5"/>
  <c r="C192" i="5"/>
  <c r="A192" i="5"/>
  <c r="C191" i="5"/>
  <c r="A191" i="5"/>
  <c r="C190" i="5"/>
  <c r="A190" i="5"/>
  <c r="C189" i="5"/>
  <c r="A189" i="5"/>
  <c r="C188" i="5"/>
  <c r="A188" i="5"/>
  <c r="C187" i="5"/>
  <c r="A187" i="5"/>
  <c r="C186" i="5"/>
  <c r="A186" i="5"/>
  <c r="C185" i="5"/>
  <c r="A185" i="5"/>
  <c r="C184" i="5"/>
  <c r="A184" i="5"/>
  <c r="C183" i="5"/>
  <c r="A183" i="5"/>
  <c r="C182" i="5"/>
  <c r="A182" i="5"/>
  <c r="C181" i="5"/>
  <c r="A181" i="5"/>
  <c r="C180" i="5"/>
  <c r="A180" i="5"/>
  <c r="C179" i="5"/>
  <c r="A179" i="5"/>
  <c r="C178" i="5"/>
  <c r="A178" i="5"/>
  <c r="C177" i="5"/>
  <c r="A177" i="5"/>
  <c r="C176" i="5"/>
  <c r="A176" i="5"/>
  <c r="C175" i="5"/>
  <c r="A175" i="5"/>
  <c r="C174" i="5"/>
  <c r="A174" i="5"/>
  <c r="C173" i="5"/>
  <c r="A173" i="5"/>
  <c r="C172" i="5"/>
  <c r="A172" i="5"/>
  <c r="C171" i="5"/>
  <c r="A171" i="5"/>
  <c r="C170" i="5"/>
  <c r="A170" i="5"/>
  <c r="C169" i="5"/>
  <c r="A169" i="5"/>
  <c r="C168" i="5"/>
  <c r="A168" i="5"/>
  <c r="C167" i="5"/>
  <c r="A167" i="5"/>
  <c r="C166" i="5"/>
  <c r="A166" i="5"/>
  <c r="C165" i="5"/>
  <c r="A165" i="5"/>
  <c r="C164" i="5"/>
  <c r="A164" i="5"/>
  <c r="C163" i="5"/>
  <c r="A163" i="5"/>
  <c r="C162" i="5"/>
  <c r="A162" i="5"/>
  <c r="C161" i="5"/>
  <c r="A161" i="5"/>
  <c r="C160" i="5"/>
  <c r="A160" i="5"/>
  <c r="C159" i="5"/>
  <c r="A159" i="5"/>
  <c r="C158" i="5"/>
  <c r="A158" i="5"/>
  <c r="C157" i="5"/>
  <c r="A157" i="5"/>
  <c r="C156" i="5"/>
  <c r="A156" i="5"/>
  <c r="C155" i="5"/>
  <c r="A155" i="5"/>
  <c r="C154" i="5"/>
  <c r="A154" i="5"/>
  <c r="C153" i="5"/>
  <c r="A153" i="5"/>
  <c r="C152" i="5"/>
  <c r="A152" i="5"/>
  <c r="C151" i="5"/>
  <c r="A151" i="5"/>
  <c r="C150" i="5"/>
  <c r="A150" i="5"/>
  <c r="C149" i="5"/>
  <c r="A149" i="5"/>
  <c r="C148" i="5"/>
  <c r="A148" i="5"/>
  <c r="C147" i="5"/>
  <c r="A147" i="5"/>
  <c r="D146" i="5"/>
  <c r="C146" i="5"/>
  <c r="B146" i="5"/>
  <c r="A146" i="5"/>
  <c r="D145" i="5"/>
  <c r="C145" i="5"/>
  <c r="B145" i="5"/>
  <c r="A145" i="5"/>
  <c r="D144" i="5"/>
  <c r="C144" i="5"/>
  <c r="A144" i="5"/>
  <c r="D143" i="5"/>
  <c r="C143" i="5"/>
  <c r="B143" i="5"/>
  <c r="A143" i="5"/>
  <c r="D142" i="5"/>
  <c r="C142" i="5"/>
  <c r="B142" i="5"/>
  <c r="A142" i="5"/>
  <c r="D141" i="5"/>
  <c r="C141" i="5"/>
  <c r="A141" i="5"/>
  <c r="D140" i="5"/>
  <c r="C140" i="5"/>
  <c r="B140" i="5"/>
  <c r="A140" i="5"/>
  <c r="D139" i="5"/>
  <c r="C139" i="5"/>
  <c r="A139" i="5"/>
  <c r="D138" i="5"/>
  <c r="C138" i="5"/>
  <c r="B138" i="5"/>
  <c r="A138" i="5"/>
  <c r="D137" i="5"/>
  <c r="C137" i="5"/>
  <c r="B137" i="5"/>
  <c r="D136" i="5"/>
  <c r="C136" i="5"/>
  <c r="B136" i="5"/>
  <c r="A136" i="5"/>
  <c r="D135" i="5"/>
  <c r="C135" i="5"/>
  <c r="B135" i="5"/>
  <c r="A135" i="5"/>
  <c r="D134" i="5"/>
  <c r="C134" i="5"/>
  <c r="B134" i="5"/>
  <c r="A134" i="5"/>
  <c r="D133" i="5"/>
  <c r="C133" i="5"/>
  <c r="B133" i="5"/>
  <c r="A133" i="5"/>
  <c r="D132" i="5"/>
  <c r="C132" i="5"/>
  <c r="B132" i="5"/>
  <c r="A132" i="5"/>
  <c r="D131" i="5"/>
  <c r="C131" i="5"/>
  <c r="B131" i="5"/>
  <c r="A131" i="5"/>
  <c r="D130" i="5"/>
  <c r="C130" i="5"/>
  <c r="B130" i="5"/>
  <c r="A130" i="5"/>
  <c r="D129" i="5"/>
  <c r="C129" i="5"/>
  <c r="B129" i="5"/>
  <c r="A129" i="5"/>
  <c r="D128" i="5"/>
  <c r="C128" i="5"/>
  <c r="A128" i="5"/>
  <c r="D127" i="5"/>
  <c r="C127" i="5"/>
  <c r="B127" i="5"/>
  <c r="A127" i="5"/>
  <c r="D126" i="5"/>
  <c r="C126" i="5"/>
  <c r="B126" i="5"/>
  <c r="A126" i="5"/>
  <c r="D125" i="5"/>
  <c r="C125" i="5"/>
  <c r="B125" i="5"/>
  <c r="A125" i="5"/>
  <c r="D124" i="5"/>
  <c r="C124" i="5"/>
  <c r="B124" i="5"/>
  <c r="A124" i="5"/>
  <c r="D123" i="5"/>
  <c r="C123" i="5"/>
  <c r="A123" i="5"/>
  <c r="D122" i="5"/>
  <c r="C122" i="5"/>
  <c r="B122" i="5"/>
  <c r="A122" i="5"/>
  <c r="D121" i="5"/>
  <c r="C121" i="5"/>
  <c r="B121" i="5"/>
  <c r="A121" i="5"/>
  <c r="D120" i="5"/>
  <c r="C120" i="5"/>
  <c r="B120" i="5"/>
  <c r="A120" i="5"/>
  <c r="D119" i="5"/>
  <c r="C119" i="5"/>
  <c r="B119" i="5"/>
  <c r="A119" i="5"/>
  <c r="D118" i="5"/>
  <c r="C118" i="5"/>
  <c r="B118" i="5"/>
  <c r="A118" i="5"/>
  <c r="D117" i="5"/>
  <c r="C117" i="5"/>
  <c r="B117" i="5"/>
  <c r="A117" i="5"/>
  <c r="D116" i="5"/>
  <c r="C116" i="5"/>
  <c r="A116" i="5"/>
  <c r="D115" i="5"/>
  <c r="C115" i="5"/>
  <c r="B115" i="5"/>
  <c r="A115" i="5"/>
  <c r="D114" i="5"/>
  <c r="C114" i="5"/>
  <c r="B114" i="5"/>
  <c r="A114" i="5"/>
  <c r="D113" i="5"/>
  <c r="C113" i="5"/>
  <c r="A113" i="5"/>
  <c r="D112" i="5"/>
  <c r="C112" i="5"/>
  <c r="B112" i="5"/>
  <c r="A112" i="5"/>
  <c r="D111" i="5"/>
  <c r="C111" i="5"/>
  <c r="B111" i="5"/>
  <c r="A111" i="5"/>
  <c r="D110" i="5"/>
  <c r="C110" i="5"/>
  <c r="B110" i="5"/>
  <c r="A110" i="5"/>
  <c r="D109" i="5"/>
  <c r="C109" i="5"/>
  <c r="B109" i="5"/>
  <c r="A109" i="5"/>
  <c r="D108" i="5"/>
  <c r="C108" i="5"/>
  <c r="B108" i="5"/>
  <c r="A108" i="5"/>
  <c r="D107" i="5"/>
  <c r="C107" i="5"/>
  <c r="A107" i="5"/>
  <c r="D106" i="5"/>
  <c r="C106" i="5"/>
  <c r="B106" i="5"/>
  <c r="A106" i="5"/>
  <c r="D105" i="5"/>
  <c r="C105" i="5"/>
  <c r="B105" i="5"/>
  <c r="A105" i="5"/>
  <c r="D104" i="5"/>
  <c r="C104" i="5"/>
  <c r="B104" i="5"/>
  <c r="A104" i="5"/>
  <c r="D103" i="5"/>
  <c r="C103" i="5"/>
  <c r="B103" i="5"/>
  <c r="A103" i="5"/>
  <c r="D102" i="5"/>
  <c r="C102" i="5"/>
  <c r="B102" i="5"/>
  <c r="A102" i="5"/>
  <c r="D101" i="5"/>
  <c r="C101" i="5"/>
  <c r="B101" i="5"/>
  <c r="A101" i="5"/>
  <c r="D100" i="5"/>
  <c r="C100" i="5"/>
  <c r="A100" i="5"/>
  <c r="D99" i="5"/>
  <c r="C99" i="5"/>
  <c r="B99" i="5"/>
  <c r="A99" i="5"/>
  <c r="D98" i="5"/>
  <c r="C98" i="5"/>
  <c r="B98" i="5"/>
  <c r="A98" i="5"/>
  <c r="D97" i="5"/>
  <c r="C97" i="5"/>
  <c r="B97" i="5"/>
  <c r="A97" i="5"/>
  <c r="D96" i="5"/>
  <c r="C96" i="5"/>
  <c r="B96" i="5"/>
  <c r="A96" i="5"/>
  <c r="D95" i="5"/>
  <c r="C95" i="5"/>
  <c r="B95" i="5"/>
  <c r="A95" i="5"/>
  <c r="D94" i="5"/>
  <c r="C94" i="5"/>
  <c r="B94" i="5"/>
  <c r="A94" i="5"/>
  <c r="D93" i="5"/>
  <c r="C93" i="5"/>
  <c r="B93" i="5"/>
  <c r="A93" i="5"/>
  <c r="D92" i="5"/>
  <c r="C92" i="5"/>
  <c r="A92" i="5"/>
  <c r="D91" i="5"/>
  <c r="C91" i="5"/>
  <c r="B91" i="5"/>
  <c r="A91" i="5"/>
  <c r="D90" i="5"/>
  <c r="C90" i="5"/>
  <c r="B90" i="5"/>
  <c r="A90" i="5"/>
  <c r="D89" i="5"/>
  <c r="C89" i="5"/>
  <c r="B89" i="5"/>
  <c r="A89" i="5"/>
  <c r="D88" i="5"/>
  <c r="C88" i="5"/>
  <c r="B88" i="5"/>
  <c r="A88" i="5"/>
  <c r="D87" i="5"/>
  <c r="C87" i="5"/>
  <c r="B87" i="5"/>
  <c r="A87" i="5"/>
  <c r="D86" i="5"/>
  <c r="C86" i="5"/>
  <c r="B86" i="5"/>
  <c r="A86" i="5"/>
  <c r="D85" i="5"/>
  <c r="C85" i="5"/>
  <c r="B85" i="5"/>
  <c r="A85" i="5"/>
  <c r="D84" i="5"/>
  <c r="C84" i="5"/>
  <c r="B84" i="5"/>
  <c r="A84" i="5"/>
  <c r="D83" i="5"/>
  <c r="C83" i="5"/>
  <c r="B83" i="5"/>
  <c r="A83" i="5"/>
  <c r="D82" i="5"/>
  <c r="C82" i="5"/>
  <c r="B82" i="5"/>
  <c r="A82" i="5"/>
  <c r="D81" i="5"/>
  <c r="C81" i="5"/>
  <c r="B81" i="5"/>
  <c r="A81" i="5"/>
  <c r="D80" i="5"/>
  <c r="C80" i="5"/>
  <c r="B80" i="5"/>
  <c r="A80" i="5"/>
  <c r="D79" i="5"/>
  <c r="C79" i="5"/>
  <c r="B79" i="5"/>
  <c r="A79" i="5"/>
  <c r="D78" i="5"/>
  <c r="C78" i="5"/>
  <c r="B78" i="5"/>
  <c r="A78" i="5"/>
  <c r="D77" i="5"/>
  <c r="C77" i="5"/>
  <c r="A77" i="5"/>
  <c r="D76" i="5"/>
  <c r="C76" i="5"/>
  <c r="B76" i="5"/>
  <c r="A76" i="5"/>
  <c r="D75" i="5"/>
  <c r="C75" i="5"/>
  <c r="A75" i="5"/>
  <c r="D74" i="5"/>
  <c r="C74" i="5"/>
  <c r="B74" i="5"/>
  <c r="A74" i="5"/>
  <c r="D73" i="5"/>
  <c r="C73" i="5"/>
  <c r="B73" i="5"/>
  <c r="A73" i="5"/>
  <c r="D72" i="5"/>
  <c r="C72" i="5"/>
  <c r="B72" i="5"/>
  <c r="A72" i="5"/>
  <c r="D71" i="5"/>
  <c r="C71" i="5"/>
  <c r="B71" i="5"/>
  <c r="A71" i="5"/>
  <c r="D70" i="5"/>
  <c r="C70" i="5"/>
  <c r="B70" i="5"/>
  <c r="A70" i="5"/>
  <c r="D69" i="5"/>
  <c r="C69" i="5"/>
  <c r="B69" i="5"/>
  <c r="A69" i="5"/>
  <c r="D68" i="5"/>
  <c r="C68" i="5"/>
  <c r="A68" i="5"/>
  <c r="D67" i="5"/>
  <c r="C67" i="5"/>
  <c r="B67" i="5"/>
  <c r="A67" i="5"/>
  <c r="D66" i="5"/>
  <c r="C66" i="5"/>
  <c r="A66" i="5"/>
  <c r="D65" i="5"/>
  <c r="C65" i="5"/>
  <c r="B65" i="5"/>
  <c r="A65" i="5"/>
  <c r="D64" i="5"/>
  <c r="C64" i="5"/>
  <c r="B64" i="5"/>
  <c r="A64" i="5"/>
  <c r="D63" i="5"/>
  <c r="C63" i="5"/>
  <c r="B63" i="5"/>
  <c r="A63" i="5"/>
  <c r="D62" i="5"/>
  <c r="C62" i="5"/>
  <c r="B62" i="5"/>
  <c r="A62" i="5"/>
  <c r="D61" i="5"/>
  <c r="C61" i="5"/>
  <c r="B61" i="5"/>
  <c r="A61" i="5"/>
  <c r="D60" i="5"/>
  <c r="C60" i="5"/>
  <c r="A60" i="5"/>
  <c r="D59" i="5"/>
  <c r="C59" i="5"/>
  <c r="B59" i="5"/>
  <c r="A59" i="5"/>
  <c r="D58" i="5"/>
  <c r="C58" i="5"/>
  <c r="A58" i="5"/>
  <c r="D57" i="5"/>
  <c r="C57" i="5"/>
  <c r="B57" i="5"/>
  <c r="A57" i="5"/>
  <c r="D56" i="5"/>
  <c r="C56" i="5"/>
  <c r="B56" i="5"/>
  <c r="A56" i="5"/>
  <c r="D55" i="5"/>
  <c r="C55" i="5"/>
  <c r="B55" i="5"/>
  <c r="A55" i="5"/>
  <c r="D54" i="5"/>
  <c r="C54" i="5"/>
  <c r="B54" i="5"/>
  <c r="A54" i="5"/>
  <c r="D53" i="5"/>
  <c r="C53" i="5"/>
  <c r="A53" i="5"/>
  <c r="D52" i="5"/>
  <c r="C52" i="5"/>
  <c r="B52" i="5"/>
  <c r="A52" i="5"/>
  <c r="D51" i="5"/>
  <c r="C51" i="5"/>
  <c r="A51" i="5"/>
  <c r="D50" i="5"/>
  <c r="C50" i="5"/>
  <c r="B50" i="5"/>
  <c r="A50" i="5"/>
  <c r="D49" i="5"/>
  <c r="C49" i="5"/>
  <c r="A49" i="5"/>
  <c r="D48" i="5"/>
  <c r="C48" i="5"/>
  <c r="B48" i="5"/>
  <c r="A48" i="5"/>
  <c r="D47" i="5"/>
  <c r="C47" i="5"/>
  <c r="B47" i="5"/>
  <c r="A47" i="5"/>
  <c r="D46" i="5"/>
  <c r="C46" i="5"/>
  <c r="B46" i="5"/>
  <c r="A46" i="5"/>
  <c r="D45" i="5"/>
  <c r="C45" i="5"/>
  <c r="B45" i="5"/>
  <c r="A45" i="5"/>
  <c r="D44" i="5"/>
  <c r="C44" i="5"/>
  <c r="B44" i="5"/>
  <c r="A44" i="5"/>
  <c r="D43" i="5"/>
  <c r="C43" i="5"/>
  <c r="B43" i="5"/>
  <c r="A43" i="5"/>
  <c r="D42" i="5"/>
  <c r="C42" i="5"/>
  <c r="B42" i="5"/>
  <c r="A42" i="5"/>
  <c r="D41" i="5"/>
  <c r="C41" i="5"/>
  <c r="B41" i="5"/>
  <c r="A41" i="5"/>
  <c r="D40" i="5"/>
  <c r="C40" i="5"/>
  <c r="B40" i="5"/>
  <c r="A40" i="5"/>
  <c r="D39" i="5"/>
  <c r="C39" i="5"/>
  <c r="B39" i="5"/>
  <c r="A39" i="5"/>
  <c r="D38" i="5"/>
  <c r="C38" i="5"/>
  <c r="B38" i="5"/>
  <c r="A38" i="5"/>
  <c r="D37" i="5"/>
  <c r="C37" i="5"/>
  <c r="B37" i="5"/>
  <c r="A37" i="5"/>
  <c r="D36" i="5"/>
  <c r="C36" i="5"/>
  <c r="A36" i="5"/>
  <c r="D35" i="5"/>
  <c r="C35" i="5"/>
  <c r="B35" i="5"/>
  <c r="A35" i="5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30" i="5"/>
  <c r="C30" i="5"/>
  <c r="A30" i="5"/>
  <c r="D29" i="5"/>
  <c r="C29" i="5"/>
  <c r="B29" i="5"/>
  <c r="A29" i="5"/>
  <c r="D28" i="5"/>
  <c r="C28" i="5"/>
  <c r="B28" i="5"/>
  <c r="A28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D20" i="5"/>
  <c r="C20" i="5"/>
  <c r="B20" i="5"/>
  <c r="A20" i="5"/>
  <c r="D19" i="5"/>
  <c r="C19" i="5"/>
  <c r="B19" i="5"/>
  <c r="A19" i="5"/>
  <c r="D18" i="5"/>
  <c r="C18" i="5"/>
  <c r="B18" i="5"/>
  <c r="A18" i="5"/>
  <c r="D17" i="5"/>
  <c r="C17" i="5"/>
  <c r="B17" i="5"/>
  <c r="A17" i="5"/>
  <c r="D16" i="5"/>
  <c r="C16" i="5"/>
  <c r="B16" i="5"/>
  <c r="A16" i="5"/>
  <c r="D15" i="5"/>
  <c r="C15" i="5"/>
  <c r="B15" i="5"/>
  <c r="A15" i="5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A1" i="5"/>
</calcChain>
</file>

<file path=xl/sharedStrings.xml><?xml version="1.0" encoding="utf-8"?>
<sst xmlns="http://schemas.openxmlformats.org/spreadsheetml/2006/main" count="292" uniqueCount="214">
  <si>
    <t>№</t>
  </si>
  <si>
    <t>Типовая межотраслевая форма № 1-Т 
Утверждена постановлением Госкомстата России от 28.11.97 №78</t>
  </si>
  <si>
    <t>Коды</t>
  </si>
  <si>
    <t>Форма по ОКУД</t>
  </si>
  <si>
    <t>0345009</t>
  </si>
  <si>
    <t>ТОВАРНО-ТРАНСПОРТНАЯ НАКЛАДНАЯ</t>
  </si>
  <si>
    <t>серия</t>
  </si>
  <si>
    <t>Дата составления</t>
  </si>
  <si>
    <t>Грузоотправитель</t>
  </si>
  <si>
    <t>по ОКПО</t>
  </si>
  <si>
    <t>полное наименование организации, адрес, номер телефона</t>
  </si>
  <si>
    <t>Грузополучатель</t>
  </si>
  <si>
    <t>Плательщик</t>
  </si>
  <si>
    <t>полное наименование организации, адрес, банковские реквизиты</t>
  </si>
  <si>
    <t>I ТОВАРНЫЙ РАЗДЕЛ (заполняется грузоотправителем)</t>
  </si>
  <si>
    <t>Страница 1</t>
  </si>
  <si>
    <t>Код продукции (номенклатур- ный номер)</t>
  </si>
  <si>
    <t>Номер прейскуранта и дополнения к нему</t>
  </si>
  <si>
    <t>Артикул или номер по прейскуранту</t>
  </si>
  <si>
    <t>Количество</t>
  </si>
  <si>
    <t>Цена руб. коп.</t>
  </si>
  <si>
    <t>Наименование продукции, товара (груза), ТУ, марка, размер, сорт</t>
  </si>
  <si>
    <t>Единица измерения</t>
  </si>
  <si>
    <t>Вид упаковки</t>
  </si>
  <si>
    <t>Коли- чество мест</t>
  </si>
  <si>
    <t>Масса, т</t>
  </si>
  <si>
    <t>Сумма,  руб. коп.</t>
  </si>
  <si>
    <t>Порядковый номер за- писи по складской кар- тотеке (грузоотправи- телю, грузополучателю)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</si>
  <si>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</si>
  <si>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</si>
  <si>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</si>
  <si>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</si>
  <si>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</si>
  <si>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</si>
  <si>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</si>
  <si>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</si>
  <si>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</si>
  <si>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</si>
  <si>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</si>
  <si>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</si>
  <si>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т</t>
  </si>
  <si>
    <t>навал</t>
  </si>
  <si>
    <t>Итого</t>
  </si>
  <si>
    <t>Х</t>
  </si>
  <si>
    <t>Всего по накладной</t>
  </si>
  <si>
    <t>Товарная накладная имеет продолжение на</t>
  </si>
  <si>
    <t>листах, на бланках за N</t>
  </si>
  <si>
    <t>и содержит</t>
  </si>
  <si>
    <t>Один</t>
  </si>
  <si>
    <t>порядковых номеров записей</t>
  </si>
  <si>
    <t>Наценка,%</t>
  </si>
  <si>
    <t>прописью</t>
  </si>
  <si>
    <t>Всего наименований</t>
  </si>
  <si>
    <t>Масса груза (нетто)</t>
  </si>
  <si>
    <t>Складские или 
транспортные
 расходы</t>
  </si>
  <si>
    <t>Всего мест</t>
  </si>
  <si>
    <t>Масса груза (брутто)</t>
  </si>
  <si>
    <t>Всего к  оплате</t>
  </si>
  <si>
    <t>Приложение (паспорта, сертификаты и т.п.) на</t>
  </si>
  <si>
    <t>листах</t>
  </si>
  <si>
    <t>По доверенности №</t>
  </si>
  <si>
    <t>от</t>
  </si>
  <si>
    <t>выданной</t>
  </si>
  <si>
    <t>Всего отпущено</t>
  </si>
  <si>
    <t>наименований</t>
  </si>
  <si>
    <t>(При личном приеме товара по количеству и ассортименту)</t>
  </si>
  <si>
    <t>Отпуск разрешил</t>
  </si>
  <si>
    <t>Директор</t>
  </si>
  <si>
    <t>Груз к 
перевозке принял</t>
  </si>
  <si>
    <t>Водитель</t>
  </si>
  <si>
    <t>должность</t>
  </si>
  <si>
    <t>подпись</t>
  </si>
  <si>
    <t>расшифровка подписи</t>
  </si>
  <si>
    <t>Главный (старший) бухгалтер</t>
  </si>
  <si>
    <t>Груз получил 
грузополучатель</t>
  </si>
  <si>
    <t>Отпуск груза 
произвел</t>
  </si>
  <si>
    <t>М.П.</t>
  </si>
  <si>
    <t>II ТРАНСПОРТНЫЙ РАЗДЕЛ</t>
  </si>
  <si>
    <t>Оборотная сторона формы № 1-Т</t>
  </si>
  <si>
    <t>Регистрационный №</t>
  </si>
  <si>
    <t>Серия</t>
  </si>
  <si>
    <t>Срок доставки груза</t>
  </si>
  <si>
    <t>ТТН №</t>
  </si>
  <si>
    <t>Организация</t>
  </si>
  <si>
    <t>К путевому 
листу №</t>
  </si>
  <si>
    <t>наименование, адрес, номер телефона, банковские реквизиты</t>
  </si>
  <si>
    <t>Автомобиль</t>
  </si>
  <si>
    <t>Государственный №</t>
  </si>
  <si>
    <t>марка</t>
  </si>
  <si>
    <t>Заказчик (плательщик)</t>
  </si>
  <si>
    <t>Удостоверение №</t>
  </si>
  <si>
    <t>Код</t>
  </si>
  <si>
    <t>Лицензионная карточка</t>
  </si>
  <si>
    <t>стандартная</t>
  </si>
  <si>
    <t>ограниченная</t>
  </si>
  <si>
    <t>Вид перевозки</t>
  </si>
  <si>
    <t>ненужное зачеркнуть</t>
  </si>
  <si>
    <t>Пункт погрузки</t>
  </si>
  <si>
    <t>Пункт разгрузки</t>
  </si>
  <si>
    <t>Маршрут</t>
  </si>
  <si>
    <t>адрес, номер телефона</t>
  </si>
  <si>
    <t>Переадресовка</t>
  </si>
  <si>
    <t>1. прицеп</t>
  </si>
  <si>
    <t>Государственный номерной знак</t>
  </si>
  <si>
    <t>Гаражный номер</t>
  </si>
  <si>
    <t>наименование и адрес нового грузополучателя, номер распоряжения</t>
  </si>
  <si>
    <t>2. прицеп</t>
  </si>
  <si>
    <t>подпись ответственного лица</t>
  </si>
  <si>
    <t>СВЕДЕНИЯ О ГРУЗЕ</t>
  </si>
  <si>
    <t>Краткое наименование груза</t>
  </si>
  <si>
    <t>С грузом следуют документы</t>
  </si>
  <si>
    <t>Кол. мест</t>
  </si>
  <si>
    <t>Способ опреде- 
ления массы</t>
  </si>
  <si>
    <t>Код груза</t>
  </si>
  <si>
    <t>Номер контейнера</t>
  </si>
  <si>
    <t>Класс груза</t>
  </si>
  <si>
    <t>Масса брутто</t>
  </si>
  <si>
    <t>ТТН</t>
  </si>
  <si>
    <t>Указанный груз с исправной</t>
  </si>
  <si>
    <t>Отметки о составленных актах</t>
  </si>
  <si>
    <t>пломбой,тарой и упаковкой</t>
  </si>
  <si>
    <t>мест</t>
  </si>
  <si>
    <t>ездок, заездов</t>
  </si>
  <si>
    <t>оттиск</t>
  </si>
  <si>
    <t>Массой брутто</t>
  </si>
  <si>
    <t>т. к перевозке</t>
  </si>
  <si>
    <t>т.</t>
  </si>
  <si>
    <t>Транспортные услуги</t>
  </si>
  <si>
    <t>Сдал водитель-экспедитор</t>
  </si>
  <si>
    <t>Место для штампа</t>
  </si>
  <si>
    <t>Принял</t>
  </si>
  <si>
    <t>опе- рация</t>
  </si>
  <si>
    <t>исполнитель (автовладелец, получатель, отправитель)</t>
  </si>
  <si>
    <t>дополнительные операции (наименование, количество)</t>
  </si>
  <si>
    <t>Механизм, грузоп. емкость ковша</t>
  </si>
  <si>
    <t>Способ</t>
  </si>
  <si>
    <t>Дата (число, месяц), 
время, ч, мин.</t>
  </si>
  <si>
    <t>Время дополнительных операций, мин</t>
  </si>
  <si>
    <t>подпись ответств. лица</t>
  </si>
  <si>
    <t>руч мех</t>
  </si>
  <si>
    <t>код</t>
  </si>
  <si>
    <t>прибытия</t>
  </si>
  <si>
    <t>убытия</t>
  </si>
  <si>
    <t>13</t>
  </si>
  <si>
    <t>14</t>
  </si>
  <si>
    <t>15</t>
  </si>
  <si>
    <t>16</t>
  </si>
  <si>
    <t>17</t>
  </si>
  <si>
    <t>18</t>
  </si>
  <si>
    <t>19</t>
  </si>
  <si>
    <t>Погр.</t>
  </si>
  <si>
    <t>Разгр.</t>
  </si>
  <si>
    <t>ПРОЧИЕ СВЕДЕНИЯ (заполняется организацией - владельцем автотранспорта)</t>
  </si>
  <si>
    <t>расст. перевозки по группам дорог, км</t>
  </si>
  <si>
    <t>код эк-</t>
  </si>
  <si>
    <t>за трансп. услуги</t>
  </si>
  <si>
    <t>Сумма штрафа за неправильное оформл. докум.</t>
  </si>
  <si>
    <t>Поправ. коэффиц</t>
  </si>
  <si>
    <t>Время простоя ч, м.</t>
  </si>
  <si>
    <t>Таксировка</t>
  </si>
  <si>
    <t>всего</t>
  </si>
  <si>
    <t>в гор</t>
  </si>
  <si>
    <t>1 гр</t>
  </si>
  <si>
    <t>2 гр</t>
  </si>
  <si>
    <t>3 гр</t>
  </si>
  <si>
    <t>спедир. груза</t>
  </si>
  <si>
    <t>с клиента</t>
  </si>
  <si>
    <t>причит. водителю</t>
  </si>
  <si>
    <t>расц. водит.</t>
  </si>
  <si>
    <t>основной тариф</t>
  </si>
  <si>
    <t>под погрузкой</t>
  </si>
  <si>
    <t>под разгрузкой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</si>
  <si>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</si>
  <si>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</si>
  <si>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</si>
  <si>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</si>
  <si>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</si>
  <si>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</si>
  <si>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</si>
  <si>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</si>
  <si>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</si>
  <si>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</si>
  <si>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</si>
  <si>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</si>
  <si>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</si>
  <si>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Расчет стоимости</t>
  </si>
  <si>
    <t>за тонны</t>
  </si>
  <si>
    <t>за тонно - 
км</t>
  </si>
  <si>
    <t>погрузочно разгрузочные работы, т</t>
  </si>
  <si>
    <t>Недогруз а/м и прицепа</t>
  </si>
  <si>
    <t>Экспеди- рование</t>
  </si>
  <si>
    <t>Сверхн. простой</t>
  </si>
  <si>
    <t>За срочность заказа</t>
  </si>
  <si>
    <t>за спец. тран- спорт</t>
  </si>
  <si>
    <t>прочие доплаты</t>
  </si>
  <si>
    <t>ВСЕГО</t>
  </si>
  <si>
    <t>при погрузке</t>
  </si>
  <si>
    <t>разгрузке</t>
  </si>
  <si>
    <t>Таксировщик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</si>
  <si>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</si>
  <si>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</si>
  <si>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</si>
  <si>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</si>
  <si>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</si>
  <si>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</si>
  <si>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</si>
  <si>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</si>
  <si>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</si>
  <si>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</si>
  <si>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</si>
  <si>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Выполнено</t>
  </si>
  <si>
    <t>Расценка, руб</t>
  </si>
  <si>
    <t>К оплате, руб</t>
  </si>
  <si>
    <r>
      <rPr>
        <b/>
        <sz val="8"/>
        <color theme="1"/>
        <rFont val="Roboto"/>
      </rPr>
      <t>Тарсиков Д.В</t>
    </r>
    <r>
      <rPr>
        <sz val="8"/>
        <color theme="1"/>
        <rFont val="Roboto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</si>
</sst>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Calibri"/>
    </font>
    <font>
      <sz val="8"/>
      <color theme="1"/>
      <name val="Arial"/>
    </font>
    <font>
      <sz val="8"/>
      <color theme="1"/>
      <name val="Roboto"/>
    </font>
    <font>
      <sz val="9"/>
      <color theme="1"/>
      <name val="Roboto"/>
    </font>
    <font>
      <b/>
      <sz val="9"/>
      <color theme="1"/>
      <name val="Roboto"/>
    </font>
    <font>
      <sz val="6"/>
      <color theme="1"/>
      <name val="Roboto"/>
    </font>
    <font>
      <sz val="7"/>
      <color theme="1"/>
      <name val="Roboto"/>
    </font>
    <font>
      <b/>
      <sz val="8"/>
      <color theme="1"/>
      <name val="Roboto"/>
    </font>
    <font>
      <b/>
      <sz val="7"/>
      <color theme="1"/>
      <name val="Roboto"/>
    </font>
    <font>
      <strike/>
      <sz val="8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2" borderId="2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39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39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39" xfId="0" applyFont="1" applyFill="1" applyBorder="1" applyAlignment="1">
      <alignment horizontal="right" vertical="top"/>
    </xf>
    <xf numFmtId="0" fontId="4" fillId="2" borderId="14" xfId="0" applyFont="1" applyFill="1" applyBorder="1" applyAlignment="1">
      <alignment horizontal="right" vertical="top"/>
    </xf>
    <xf numFmtId="0" fontId="4" fillId="2" borderId="43" xfId="0" applyFont="1" applyFill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26" xfId="0" applyFont="1" applyBorder="1" applyAlignment="1">
      <alignment horizontal="right" vertical="top"/>
    </xf>
    <xf numFmtId="0" fontId="4" fillId="2" borderId="44" xfId="0" applyFont="1" applyFill="1" applyBorder="1" applyAlignment="1">
      <alignment horizontal="left"/>
    </xf>
    <xf numFmtId="0" fontId="4" fillId="2" borderId="44" xfId="0" applyFont="1" applyFill="1" applyBorder="1" applyAlignment="1">
      <alignment horizontal="right"/>
    </xf>
    <xf numFmtId="0" fontId="4" fillId="2" borderId="51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right" vertical="center"/>
    </xf>
    <xf numFmtId="0" fontId="4" fillId="2" borderId="52" xfId="0" applyFont="1" applyFill="1" applyBorder="1" applyAlignment="1">
      <alignment horizontal="right" vertical="center"/>
    </xf>
    <xf numFmtId="0" fontId="4" fillId="2" borderId="53" xfId="0" applyFont="1" applyFill="1" applyBorder="1" applyAlignment="1">
      <alignment horizontal="right" vertical="center"/>
    </xf>
    <xf numFmtId="0" fontId="4" fillId="2" borderId="51" xfId="0" applyFont="1" applyFill="1" applyBorder="1" applyAlignment="1">
      <alignment horizontal="left"/>
    </xf>
    <xf numFmtId="0" fontId="4" fillId="2" borderId="52" xfId="0" applyFont="1" applyFill="1" applyBorder="1" applyAlignment="1">
      <alignment horizontal="left"/>
    </xf>
    <xf numFmtId="0" fontId="4" fillId="0" borderId="49" xfId="0" applyFont="1" applyBorder="1" applyAlignment="1">
      <alignment horizontal="left"/>
    </xf>
    <xf numFmtId="0" fontId="4" fillId="0" borderId="50" xfId="0" applyFont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39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9" fillId="2" borderId="15" xfId="0" applyFont="1" applyFill="1" applyBorder="1" applyAlignment="1">
      <alignment horizontal="left"/>
    </xf>
    <xf numFmtId="0" fontId="9" fillId="2" borderId="79" xfId="0" applyFont="1" applyFill="1" applyBorder="1" applyAlignment="1">
      <alignment horizontal="right"/>
    </xf>
    <xf numFmtId="0" fontId="9" fillId="0" borderId="35" xfId="0" applyFont="1" applyBorder="1" applyAlignment="1">
      <alignment horizontal="right"/>
    </xf>
    <xf numFmtId="0" fontId="9" fillId="2" borderId="80" xfId="0" applyFont="1" applyFill="1" applyBorder="1" applyAlignment="1">
      <alignment horizontal="left"/>
    </xf>
    <xf numFmtId="0" fontId="4" fillId="2" borderId="81" xfId="0" applyFont="1" applyFill="1" applyBorder="1" applyAlignment="1">
      <alignment horizontal="left"/>
    </xf>
    <xf numFmtId="0" fontId="9" fillId="2" borderId="81" xfId="0" applyFont="1" applyFill="1" applyBorder="1" applyAlignment="1">
      <alignment horizontal="left" wrapText="1"/>
    </xf>
    <xf numFmtId="0" fontId="4" fillId="2" borderId="81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80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2" fillId="2" borderId="80" xfId="0" applyFont="1" applyFill="1" applyBorder="1" applyAlignment="1">
      <alignment horizontal="left"/>
    </xf>
    <xf numFmtId="0" fontId="4" fillId="2" borderId="87" xfId="0" applyFont="1" applyFill="1" applyBorder="1" applyAlignment="1">
      <alignment horizontal="left"/>
    </xf>
    <xf numFmtId="0" fontId="4" fillId="2" borderId="88" xfId="0" applyFont="1" applyFill="1" applyBorder="1" applyAlignment="1">
      <alignment horizontal="left"/>
    </xf>
    <xf numFmtId="0" fontId="4" fillId="2" borderId="89" xfId="0" applyFont="1" applyFill="1" applyBorder="1" applyAlignment="1">
      <alignment horizontal="left"/>
    </xf>
    <xf numFmtId="0" fontId="4" fillId="2" borderId="79" xfId="0" applyFont="1" applyFill="1" applyBorder="1" applyAlignment="1">
      <alignment horizontal="left"/>
    </xf>
    <xf numFmtId="0" fontId="4" fillId="2" borderId="90" xfId="0" applyFont="1" applyFill="1" applyBorder="1" applyAlignment="1">
      <alignment horizontal="left"/>
    </xf>
    <xf numFmtId="0" fontId="7" fillId="2" borderId="81" xfId="0" applyFont="1" applyFill="1" applyBorder="1" applyAlignment="1">
      <alignment horizontal="left" wrapText="1"/>
    </xf>
    <xf numFmtId="0" fontId="7" fillId="2" borderId="14" xfId="0" applyFont="1" applyFill="1" applyBorder="1" applyAlignment="1">
      <alignment horizontal="left" wrapText="1"/>
    </xf>
    <xf numFmtId="0" fontId="4" fillId="2" borderId="99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 vertical="center"/>
    </xf>
    <xf numFmtId="0" fontId="4" fillId="2" borderId="99" xfId="0" applyFont="1" applyFill="1" applyBorder="1" applyAlignment="1">
      <alignment horizontal="right"/>
    </xf>
    <xf numFmtId="0" fontId="4" fillId="2" borderId="80" xfId="0" applyFont="1" applyFill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4" fillId="2" borderId="80" xfId="0" applyFont="1" applyFill="1" applyBorder="1" applyAlignment="1">
      <alignment horizontal="left" vertical="top" wrapText="1"/>
    </xf>
    <xf numFmtId="0" fontId="4" fillId="2" borderId="80" xfId="0" applyFont="1" applyFill="1" applyBorder="1"/>
    <xf numFmtId="0" fontId="8" fillId="2" borderId="106" xfId="0" applyFont="1" applyFill="1" applyBorder="1" applyAlignment="1">
      <alignment horizontal="center"/>
    </xf>
    <xf numFmtId="0" fontId="8" fillId="2" borderId="106" xfId="0" applyFont="1" applyFill="1" applyBorder="1" applyAlignment="1">
      <alignment horizontal="left"/>
    </xf>
    <xf numFmtId="0" fontId="4" fillId="2" borderId="108" xfId="0" applyFont="1" applyFill="1" applyBorder="1" applyAlignment="1">
      <alignment horizontal="left"/>
    </xf>
    <xf numFmtId="0" fontId="4" fillId="2" borderId="109" xfId="0" applyFont="1" applyFill="1" applyBorder="1" applyAlignment="1">
      <alignment horizontal="left"/>
    </xf>
    <xf numFmtId="0" fontId="4" fillId="2" borderId="92" xfId="0" applyFont="1" applyFill="1" applyBorder="1" applyAlignment="1">
      <alignment horizontal="left"/>
    </xf>
    <xf numFmtId="0" fontId="4" fillId="2" borderId="53" xfId="0" applyFont="1" applyFill="1" applyBorder="1" applyAlignment="1">
      <alignment horizontal="left"/>
    </xf>
    <xf numFmtId="0" fontId="4" fillId="2" borderId="93" xfId="0" applyFont="1" applyFill="1" applyBorder="1" applyAlignment="1">
      <alignment horizontal="left"/>
    </xf>
    <xf numFmtId="0" fontId="4" fillId="2" borderId="110" xfId="0" applyFont="1" applyFill="1" applyBorder="1" applyAlignment="1">
      <alignment horizontal="left"/>
    </xf>
    <xf numFmtId="0" fontId="4" fillId="2" borderId="111" xfId="0" applyFont="1" applyFill="1" applyBorder="1" applyAlignment="1">
      <alignment horizontal="left"/>
    </xf>
    <xf numFmtId="0" fontId="8" fillId="2" borderId="108" xfId="0" applyFont="1" applyFill="1" applyBorder="1" applyAlignment="1">
      <alignment horizontal="left"/>
    </xf>
    <xf numFmtId="0" fontId="8" fillId="2" borderId="80" xfId="0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4" fillId="2" borderId="114" xfId="0" applyFont="1" applyFill="1" applyBorder="1" applyAlignment="1">
      <alignment horizontal="left"/>
    </xf>
    <xf numFmtId="0" fontId="4" fillId="2" borderId="115" xfId="0" applyFont="1" applyFill="1" applyBorder="1" applyAlignment="1">
      <alignment horizontal="left"/>
    </xf>
    <xf numFmtId="0" fontId="4" fillId="2" borderId="116" xfId="0" applyFont="1" applyFill="1" applyBorder="1" applyAlignment="1">
      <alignment horizontal="left"/>
    </xf>
    <xf numFmtId="0" fontId="4" fillId="2" borderId="117" xfId="0" applyFont="1" applyFill="1" applyBorder="1" applyAlignment="1">
      <alignment horizontal="left"/>
    </xf>
    <xf numFmtId="0" fontId="4" fillId="2" borderId="118" xfId="0" applyFont="1" applyFill="1" applyBorder="1" applyAlignment="1">
      <alignment horizontal="left"/>
    </xf>
    <xf numFmtId="0" fontId="4" fillId="2" borderId="120" xfId="0" applyFont="1" applyFill="1" applyBorder="1" applyAlignment="1">
      <alignment horizontal="left"/>
    </xf>
    <xf numFmtId="0" fontId="4" fillId="2" borderId="12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/>
    </xf>
    <xf numFmtId="0" fontId="4" fillId="2" borderId="94" xfId="0" applyFont="1" applyFill="1" applyBorder="1" applyAlignment="1">
      <alignment horizontal="left"/>
    </xf>
    <xf numFmtId="0" fontId="4" fillId="2" borderId="95" xfId="0" applyFont="1" applyFill="1" applyBorder="1" applyAlignment="1">
      <alignment horizontal="left"/>
    </xf>
    <xf numFmtId="0" fontId="4" fillId="2" borderId="96" xfId="0" applyFont="1" applyFill="1" applyBorder="1" applyAlignment="1">
      <alignment horizontal="left"/>
    </xf>
    <xf numFmtId="0" fontId="4" fillId="2" borderId="121" xfId="0" applyFont="1" applyFill="1" applyBorder="1" applyAlignment="1">
      <alignment horizontal="left"/>
    </xf>
    <xf numFmtId="0" fontId="4" fillId="2" borderId="98" xfId="0" applyFont="1" applyFill="1" applyBorder="1" applyAlignment="1">
      <alignment horizontal="left"/>
    </xf>
    <xf numFmtId="0" fontId="4" fillId="2" borderId="97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7" fillId="2" borderId="127" xfId="0" applyFont="1" applyFill="1" applyBorder="1" applyAlignment="1">
      <alignment horizontal="left" wrapText="1"/>
    </xf>
    <xf numFmtId="0" fontId="7" fillId="2" borderId="128" xfId="0" applyFont="1" applyFill="1" applyBorder="1" applyAlignment="1">
      <alignment horizontal="left" wrapText="1"/>
    </xf>
    <xf numFmtId="0" fontId="7" fillId="2" borderId="129" xfId="0" applyFont="1" applyFill="1" applyBorder="1" applyAlignment="1">
      <alignment horizontal="left" wrapText="1"/>
    </xf>
    <xf numFmtId="0" fontId="4" fillId="2" borderId="127" xfId="0" applyFont="1" applyFill="1" applyBorder="1" applyAlignment="1">
      <alignment horizontal="left" wrapText="1"/>
    </xf>
    <xf numFmtId="0" fontId="4" fillId="2" borderId="128" xfId="0" applyFont="1" applyFill="1" applyBorder="1" applyAlignment="1">
      <alignment horizontal="left" wrapText="1"/>
    </xf>
    <xf numFmtId="0" fontId="4" fillId="2" borderId="129" xfId="0" applyFont="1" applyFill="1" applyBorder="1" applyAlignment="1">
      <alignment horizontal="left" wrapText="1"/>
    </xf>
    <xf numFmtId="0" fontId="4" fillId="0" borderId="128" xfId="0" applyFont="1" applyBorder="1" applyAlignment="1">
      <alignment horizontal="left" wrapText="1"/>
    </xf>
    <xf numFmtId="0" fontId="8" fillId="2" borderId="16" xfId="0" applyFont="1" applyFill="1" applyBorder="1" applyAlignment="1">
      <alignment horizontal="center" vertical="top"/>
    </xf>
    <xf numFmtId="0" fontId="2" fillId="0" borderId="17" xfId="0" applyFont="1" applyBorder="1"/>
    <xf numFmtId="0" fontId="2" fillId="0" borderId="18" xfId="0" applyFont="1" applyBorder="1"/>
    <xf numFmtId="0" fontId="4" fillId="2" borderId="103" xfId="0" applyFont="1" applyFill="1" applyBorder="1" applyAlignment="1">
      <alignment horizontal="center" vertical="center" wrapText="1"/>
    </xf>
    <xf numFmtId="0" fontId="2" fillId="0" borderId="10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0" xfId="0" applyFont="1" applyBorder="1"/>
    <xf numFmtId="0" fontId="2" fillId="0" borderId="105" xfId="0" applyFont="1" applyBorder="1"/>
    <xf numFmtId="0" fontId="2" fillId="0" borderId="31" xfId="0" applyFont="1" applyBorder="1"/>
    <xf numFmtId="0" fontId="2" fillId="0" borderId="75" xfId="0" applyFont="1" applyBorder="1"/>
    <xf numFmtId="0" fontId="4" fillId="2" borderId="91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60" xfId="0" applyFont="1" applyBorder="1"/>
    <xf numFmtId="0" fontId="8" fillId="0" borderId="67" xfId="0" applyFont="1" applyFill="1" applyBorder="1" applyAlignment="1">
      <alignment horizontal="left" wrapText="1"/>
    </xf>
    <xf numFmtId="0" fontId="2" fillId="0" borderId="65" xfId="0" applyFont="1" applyFill="1" applyBorder="1"/>
    <xf numFmtId="0" fontId="2" fillId="0" borderId="82" xfId="0" applyFont="1" applyFill="1" applyBorder="1"/>
    <xf numFmtId="0" fontId="2" fillId="0" borderId="62" xfId="0" applyFont="1" applyFill="1" applyBorder="1"/>
    <xf numFmtId="0" fontId="2" fillId="0" borderId="11" xfId="0" applyFont="1" applyFill="1" applyBorder="1"/>
    <xf numFmtId="0" fontId="2" fillId="0" borderId="83" xfId="0" applyFont="1" applyFill="1" applyBorder="1"/>
    <xf numFmtId="0" fontId="4" fillId="2" borderId="67" xfId="0" applyFont="1" applyFill="1" applyBorder="1" applyAlignment="1">
      <alignment horizontal="center" vertical="top" wrapText="1"/>
    </xf>
    <xf numFmtId="0" fontId="2" fillId="0" borderId="65" xfId="0" applyFont="1" applyBorder="1"/>
    <xf numFmtId="0" fontId="2" fillId="0" borderId="66" xfId="0" applyFont="1" applyBorder="1"/>
    <xf numFmtId="0" fontId="2" fillId="0" borderId="72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74" xfId="0" applyFont="1" applyBorder="1"/>
    <xf numFmtId="0" fontId="2" fillId="0" borderId="102" xfId="0" applyFont="1" applyBorder="1"/>
    <xf numFmtId="0" fontId="4" fillId="2" borderId="16" xfId="0" applyFont="1" applyFill="1" applyBorder="1" applyAlignment="1">
      <alignment horizontal="left"/>
    </xf>
    <xf numFmtId="0" fontId="4" fillId="2" borderId="67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top"/>
    </xf>
    <xf numFmtId="0" fontId="4" fillId="2" borderId="9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4" fillId="2" borderId="16" xfId="0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4" fillId="2" borderId="22" xfId="0" applyFont="1" applyFill="1" applyBorder="1" applyAlignment="1">
      <alignment horizontal="right" vertical="top"/>
    </xf>
    <xf numFmtId="0" fontId="8" fillId="2" borderId="16" xfId="0" applyFont="1" applyFill="1" applyBorder="1" applyAlignment="1">
      <alignment horizontal="center"/>
    </xf>
    <xf numFmtId="0" fontId="4" fillId="2" borderId="76" xfId="0" applyFont="1" applyFill="1" applyBorder="1" applyAlignment="1">
      <alignment horizontal="left"/>
    </xf>
    <xf numFmtId="0" fontId="2" fillId="0" borderId="77" xfId="0" applyFont="1" applyBorder="1"/>
    <xf numFmtId="0" fontId="2" fillId="0" borderId="78" xfId="0" applyFont="1" applyBorder="1"/>
    <xf numFmtId="0" fontId="9" fillId="2" borderId="22" xfId="0" applyFont="1" applyFill="1" applyBorder="1" applyAlignment="1">
      <alignment horizontal="left" wrapText="1"/>
    </xf>
    <xf numFmtId="0" fontId="7" fillId="2" borderId="59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left" wrapText="1"/>
    </xf>
    <xf numFmtId="0" fontId="5" fillId="2" borderId="16" xfId="0" applyFont="1" applyFill="1" applyBorder="1" applyAlignment="1">
      <alignment horizontal="right" wrapText="1"/>
    </xf>
    <xf numFmtId="0" fontId="4" fillId="2" borderId="22" xfId="0" applyFont="1" applyFill="1" applyBorder="1" applyAlignment="1">
      <alignment horizontal="left" wrapText="1"/>
    </xf>
    <xf numFmtId="0" fontId="5" fillId="2" borderId="16" xfId="0" applyFont="1" applyFill="1" applyBorder="1" applyAlignment="1">
      <alignment horizontal="right"/>
    </xf>
    <xf numFmtId="0" fontId="7" fillId="2" borderId="16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left"/>
    </xf>
    <xf numFmtId="0" fontId="2" fillId="0" borderId="55" xfId="0" applyFont="1" applyBorder="1"/>
    <xf numFmtId="0" fontId="2" fillId="0" borderId="56" xfId="0" applyFont="1" applyBorder="1"/>
    <xf numFmtId="0" fontId="2" fillId="0" borderId="61" xfId="0" applyFont="1" applyBorder="1"/>
    <xf numFmtId="0" fontId="2" fillId="0" borderId="11" xfId="0" applyFont="1" applyBorder="1"/>
    <xf numFmtId="0" fontId="2" fillId="0" borderId="12" xfId="0" applyFont="1" applyBorder="1"/>
    <xf numFmtId="0" fontId="9" fillId="2" borderId="57" xfId="0" applyFont="1" applyFill="1" applyBorder="1" applyAlignment="1">
      <alignment horizontal="right"/>
    </xf>
    <xf numFmtId="0" fontId="2" fillId="0" borderId="58" xfId="0" applyFont="1" applyBorder="1"/>
    <xf numFmtId="0" fontId="2" fillId="0" borderId="62" xfId="0" applyFont="1" applyBorder="1"/>
    <xf numFmtId="0" fontId="2" fillId="0" borderId="63" xfId="0" applyFont="1" applyBorder="1"/>
    <xf numFmtId="2" fontId="10" fillId="0" borderId="54" xfId="0" applyNumberFormat="1" applyFont="1" applyFill="1" applyBorder="1" applyAlignment="1">
      <alignment horizontal="center" vertical="center"/>
    </xf>
    <xf numFmtId="0" fontId="2" fillId="0" borderId="55" xfId="0" applyFont="1" applyFill="1" applyBorder="1"/>
    <xf numFmtId="0" fontId="2" fillId="0" borderId="58" xfId="0" applyFont="1" applyFill="1" applyBorder="1"/>
    <xf numFmtId="0" fontId="2" fillId="0" borderId="61" xfId="0" applyFont="1" applyFill="1" applyBorder="1"/>
    <xf numFmtId="0" fontId="2" fillId="0" borderId="63" xfId="0" applyFont="1" applyFill="1" applyBorder="1"/>
    <xf numFmtId="0" fontId="9" fillId="2" borderId="16" xfId="0" applyFont="1" applyFill="1" applyBorder="1" applyAlignment="1">
      <alignment horizontal="left"/>
    </xf>
    <xf numFmtId="0" fontId="4" fillId="2" borderId="45" xfId="0" applyFont="1" applyFill="1" applyBorder="1" applyAlignment="1">
      <alignment horizontal="left"/>
    </xf>
    <xf numFmtId="0" fontId="2" fillId="0" borderId="46" xfId="0" applyFont="1" applyBorder="1"/>
    <xf numFmtId="0" fontId="2" fillId="0" borderId="47" xfId="0" applyFont="1" applyBorder="1"/>
    <xf numFmtId="164" fontId="4" fillId="2" borderId="48" xfId="0" applyNumberFormat="1" applyFont="1" applyFill="1" applyBorder="1" applyAlignment="1">
      <alignment horizontal="right" vertical="center"/>
    </xf>
    <xf numFmtId="0" fontId="2" fillId="0" borderId="49" xfId="0" applyFont="1" applyBorder="1"/>
    <xf numFmtId="0" fontId="2" fillId="0" borderId="50" xfId="0" applyFont="1" applyBorder="1"/>
    <xf numFmtId="164" fontId="4" fillId="2" borderId="1" xfId="0" applyNumberFormat="1" applyFont="1" applyFill="1" applyBorder="1" applyAlignment="1">
      <alignment horizontal="right"/>
    </xf>
    <xf numFmtId="0" fontId="9" fillId="2" borderId="22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5" fillId="2" borderId="16" xfId="0" applyFont="1" applyFill="1" applyBorder="1" applyAlignment="1">
      <alignment horizontal="right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20" xfId="0" applyFont="1" applyFill="1" applyBorder="1"/>
    <xf numFmtId="0" fontId="2" fillId="0" borderId="21" xfId="0" applyFont="1" applyFill="1" applyBorder="1"/>
    <xf numFmtId="49" fontId="5" fillId="0" borderId="25" xfId="0" applyNumberFormat="1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6" xfId="0" applyFont="1" applyFill="1" applyBorder="1"/>
    <xf numFmtId="0" fontId="6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6" fillId="2" borderId="16" xfId="0" applyFont="1" applyFill="1" applyBorder="1" applyAlignment="1">
      <alignment horizontal="right" vertical="center"/>
    </xf>
    <xf numFmtId="0" fontId="7" fillId="2" borderId="16" xfId="0" applyFont="1" applyFill="1" applyBorder="1" applyAlignment="1">
      <alignment horizontal="right" vertical="top"/>
    </xf>
    <xf numFmtId="0" fontId="9" fillId="2" borderId="67" xfId="0" applyFont="1" applyFill="1" applyBorder="1" applyAlignment="1">
      <alignment horizontal="right"/>
    </xf>
    <xf numFmtId="0" fontId="2" fillId="0" borderId="68" xfId="0" applyFont="1" applyBorder="1"/>
    <xf numFmtId="0" fontId="2" fillId="0" borderId="73" xfId="0" applyFont="1" applyBorder="1"/>
    <xf numFmtId="0" fontId="10" fillId="2" borderId="64" xfId="0" applyFont="1" applyFill="1" applyBorder="1" applyAlignment="1">
      <alignment horizontal="left"/>
    </xf>
    <xf numFmtId="0" fontId="2" fillId="0" borderId="7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2" fillId="0" borderId="37" xfId="0" applyFont="1" applyBorder="1"/>
    <xf numFmtId="0" fontId="2" fillId="0" borderId="38" xfId="0" applyFont="1" applyBorder="1"/>
    <xf numFmtId="2" fontId="4" fillId="2" borderId="1" xfId="0" applyNumberFormat="1" applyFont="1" applyFill="1" applyBorder="1" applyAlignment="1">
      <alignment horizontal="center" vertical="center"/>
    </xf>
    <xf numFmtId="4" fontId="4" fillId="2" borderId="48" xfId="0" applyNumberFormat="1" applyFont="1" applyFill="1" applyBorder="1" applyAlignment="1">
      <alignment horizontal="right"/>
    </xf>
    <xf numFmtId="4" fontId="4" fillId="2" borderId="1" xfId="0" applyNumberFormat="1" applyFont="1" applyFill="1" applyBorder="1" applyAlignment="1">
      <alignment horizontal="right" vertical="center"/>
    </xf>
    <xf numFmtId="0" fontId="2" fillId="0" borderId="40" xfId="0" applyFont="1" applyBorder="1"/>
    <xf numFmtId="2" fontId="4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/>
    <xf numFmtId="0" fontId="4" fillId="2" borderId="48" xfId="0" applyFont="1" applyFill="1" applyBorder="1" applyAlignment="1">
      <alignment horizontal="center"/>
    </xf>
    <xf numFmtId="0" fontId="4" fillId="2" borderId="64" xfId="0" applyFont="1" applyFill="1" applyBorder="1" applyAlignment="1">
      <alignment horizontal="left" wrapText="1"/>
    </xf>
    <xf numFmtId="0" fontId="4" fillId="2" borderId="25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right" vertical="top"/>
    </xf>
    <xf numFmtId="4" fontId="4" fillId="2" borderId="1" xfId="0" applyNumberFormat="1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42" xfId="0" applyFont="1" applyBorder="1"/>
    <xf numFmtId="0" fontId="6" fillId="2" borderId="16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1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2" borderId="107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4" fillId="2" borderId="119" xfId="0" applyFont="1" applyFill="1" applyBorder="1" applyAlignment="1">
      <alignment horizontal="center" vertical="center" wrapText="1"/>
    </xf>
    <xf numFmtId="0" fontId="4" fillId="2" borderId="113" xfId="0" applyFont="1" applyFill="1" applyBorder="1" applyAlignment="1">
      <alignment horizontal="left"/>
    </xf>
    <xf numFmtId="0" fontId="2" fillId="0" borderId="112" xfId="0" applyFont="1" applyBorder="1"/>
    <xf numFmtId="0" fontId="4" fillId="2" borderId="113" xfId="0" applyFont="1" applyFill="1" applyBorder="1" applyAlignment="1">
      <alignment horizontal="center" vertical="center" wrapText="1"/>
    </xf>
    <xf numFmtId="0" fontId="2" fillId="0" borderId="101" xfId="0" applyFont="1" applyBorder="1"/>
    <xf numFmtId="0" fontId="4" fillId="2" borderId="48" xfId="0" applyFont="1" applyFill="1" applyBorder="1" applyAlignment="1">
      <alignment horizontal="left"/>
    </xf>
    <xf numFmtId="0" fontId="8" fillId="2" borderId="91" xfId="0" applyFont="1" applyFill="1" applyBorder="1" applyAlignment="1">
      <alignment horizontal="left"/>
    </xf>
    <xf numFmtId="0" fontId="2" fillId="0" borderId="7" xfId="0" applyFont="1" applyBorder="1"/>
    <xf numFmtId="0" fontId="2" fillId="0" borderId="10" xfId="0" applyFont="1" applyBorder="1"/>
    <xf numFmtId="0" fontId="4" fillId="2" borderId="107" xfId="0" applyFont="1" applyFill="1" applyBorder="1" applyAlignment="1">
      <alignment horizontal="center" vertical="center" wrapText="1"/>
    </xf>
    <xf numFmtId="0" fontId="2" fillId="0" borderId="100" xfId="0" applyFont="1" applyBorder="1"/>
    <xf numFmtId="0" fontId="4" fillId="2" borderId="4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8" fillId="2" borderId="107" xfId="0" applyFont="1" applyFill="1" applyBorder="1" applyAlignment="1">
      <alignment horizontal="center"/>
    </xf>
    <xf numFmtId="0" fontId="2" fillId="0" borderId="66" xfId="0" applyFont="1" applyFill="1" applyBorder="1"/>
    <xf numFmtId="0" fontId="2" fillId="0" borderId="12" xfId="0" applyFont="1" applyFill="1" applyBorder="1"/>
    <xf numFmtId="0" fontId="4" fillId="2" borderId="125" xfId="0" applyFont="1" applyFill="1" applyBorder="1" applyAlignment="1">
      <alignment horizontal="center" vertical="center" wrapText="1"/>
    </xf>
    <xf numFmtId="0" fontId="2" fillId="0" borderId="126" xfId="0" applyFont="1" applyBorder="1"/>
    <xf numFmtId="0" fontId="2" fillId="0" borderId="128" xfId="0" applyFont="1" applyBorder="1"/>
    <xf numFmtId="0" fontId="9" fillId="2" borderId="22" xfId="0" applyFont="1" applyFill="1" applyBorder="1" applyAlignment="1">
      <alignment horizontal="center"/>
    </xf>
    <xf numFmtId="0" fontId="2" fillId="0" borderId="131" xfId="0" applyFont="1" applyBorder="1"/>
    <xf numFmtId="0" fontId="8" fillId="2" borderId="128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59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center" vertical="top"/>
    </xf>
    <xf numFmtId="0" fontId="4" fillId="2" borderId="67" xfId="0" applyFont="1" applyFill="1" applyBorder="1" applyAlignment="1">
      <alignment horizontal="right" vertical="center"/>
    </xf>
    <xf numFmtId="0" fontId="2" fillId="0" borderId="82" xfId="0" applyFont="1" applyBorder="1"/>
    <xf numFmtId="0" fontId="4" fillId="2" borderId="64" xfId="0" applyFont="1" applyFill="1" applyBorder="1" applyAlignment="1">
      <alignment horizontal="left"/>
    </xf>
    <xf numFmtId="0" fontId="4" fillId="2" borderId="67" xfId="0" applyFont="1" applyFill="1" applyBorder="1" applyAlignment="1">
      <alignment horizontal="right" wrapText="1"/>
    </xf>
    <xf numFmtId="0" fontId="2" fillId="0" borderId="86" xfId="0" applyFont="1" applyBorder="1"/>
    <xf numFmtId="0" fontId="9" fillId="0" borderId="22" xfId="0" applyFont="1" applyFill="1" applyBorder="1" applyAlignment="1">
      <alignment horizontal="left" wrapText="1"/>
    </xf>
    <xf numFmtId="0" fontId="2" fillId="0" borderId="23" xfId="0" applyFont="1" applyFill="1" applyBorder="1"/>
    <xf numFmtId="0" fontId="2" fillId="0" borderId="24" xfId="0" applyFont="1" applyFill="1" applyBorder="1"/>
    <xf numFmtId="0" fontId="9" fillId="0" borderId="22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wrapText="1"/>
    </xf>
    <xf numFmtId="0" fontId="4" fillId="2" borderId="67" xfId="0" applyFont="1" applyFill="1" applyBorder="1" applyAlignment="1">
      <alignment horizontal="left" vertical="center" wrapText="1"/>
    </xf>
    <xf numFmtId="0" fontId="4" fillId="0" borderId="84" xfId="0" applyFont="1" applyFill="1" applyBorder="1" applyAlignment="1">
      <alignment horizontal="center"/>
    </xf>
    <xf numFmtId="0" fontId="2" fillId="0" borderId="46" xfId="0" applyFont="1" applyFill="1" applyBorder="1"/>
    <xf numFmtId="0" fontId="2" fillId="0" borderId="85" xfId="0" applyFont="1" applyFill="1" applyBorder="1"/>
    <xf numFmtId="0" fontId="4" fillId="2" borderId="16" xfId="0" applyFont="1" applyFill="1" applyBorder="1" applyAlignment="1">
      <alignment horizontal="left" vertical="top" wrapText="1"/>
    </xf>
    <xf numFmtId="0" fontId="4" fillId="2" borderId="67" xfId="0" applyFont="1" applyFill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/>
    </xf>
    <xf numFmtId="0" fontId="4" fillId="2" borderId="67" xfId="0" applyFont="1" applyFill="1" applyBorder="1" applyAlignment="1">
      <alignment horizontal="center"/>
    </xf>
    <xf numFmtId="0" fontId="2" fillId="0" borderId="83" xfId="0" applyFont="1" applyBorder="1"/>
    <xf numFmtId="0" fontId="4" fillId="0" borderId="22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left"/>
    </xf>
    <xf numFmtId="0" fontId="4" fillId="2" borderId="59" xfId="0" applyFont="1" applyFill="1" applyBorder="1" applyAlignment="1">
      <alignment horizontal="left"/>
    </xf>
    <xf numFmtId="0" fontId="7" fillId="2" borderId="69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8" fillId="2" borderId="130" xfId="0" applyFont="1" applyFill="1" applyBorder="1" applyAlignment="1">
      <alignment horizontal="center" vertical="center" wrapText="1"/>
    </xf>
    <xf numFmtId="0" fontId="2" fillId="0" borderId="131" xfId="0" applyFont="1" applyBorder="1" applyAlignment="1">
      <alignment vertical="center"/>
    </xf>
    <xf numFmtId="0" fontId="2" fillId="0" borderId="12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8" fillId="2" borderId="123" xfId="0" applyFont="1" applyFill="1" applyBorder="1" applyAlignment="1">
      <alignment horizontal="center" vertical="center" wrapText="1"/>
    </xf>
    <xf numFmtId="0" fontId="2" fillId="0" borderId="124" xfId="0" applyFont="1" applyBorder="1" applyAlignment="1">
      <alignment vertical="center"/>
    </xf>
    <xf numFmtId="0" fontId="8" fillId="2" borderId="127" xfId="0" applyFont="1" applyFill="1" applyBorder="1" applyAlignment="1">
      <alignment horizontal="center" vertical="center" wrapText="1"/>
    </xf>
    <xf numFmtId="0" fontId="2" fillId="0" borderId="128" xfId="0" applyFont="1" applyBorder="1" applyAlignment="1">
      <alignment vertical="center"/>
    </xf>
    <xf numFmtId="0" fontId="2" fillId="0" borderId="129" xfId="0" applyFont="1" applyBorder="1" applyAlignment="1">
      <alignment vertical="center"/>
    </xf>
    <xf numFmtId="0" fontId="8" fillId="2" borderId="122" xfId="0" applyFont="1" applyFill="1" applyBorder="1" applyAlignment="1">
      <alignment horizontal="center" vertical="center" wrapText="1"/>
    </xf>
    <xf numFmtId="0" fontId="2" fillId="0" borderId="132" xfId="0" applyFont="1" applyBorder="1"/>
    <xf numFmtId="0" fontId="4" fillId="2" borderId="132" xfId="0" applyFont="1" applyFill="1" applyBorder="1" applyAlignment="1">
      <alignment horizontal="center" vertical="center" wrapText="1"/>
    </xf>
    <xf numFmtId="0" fontId="2" fillId="0" borderId="133" xfId="0" applyFont="1" applyBorder="1"/>
    <xf numFmtId="0" fontId="4" fillId="2" borderId="130" xfId="0" applyFont="1" applyFill="1" applyBorder="1" applyAlignment="1">
      <alignment horizontal="center" vertical="center" wrapText="1"/>
    </xf>
    <xf numFmtId="0" fontId="2" fillId="0" borderId="134" xfId="0" applyFont="1" applyBorder="1"/>
    <xf numFmtId="0" fontId="4" fillId="2" borderId="135" xfId="0" applyFont="1" applyFill="1" applyBorder="1" applyAlignment="1">
      <alignment horizontal="center" vertical="center" wrapText="1"/>
    </xf>
    <xf numFmtId="0" fontId="8" fillId="2" borderId="136" xfId="0" applyFont="1" applyFill="1" applyBorder="1" applyAlignment="1">
      <alignment horizontal="center" vertical="center" wrapText="1"/>
    </xf>
    <xf numFmtId="0" fontId="2" fillId="0" borderId="81" xfId="0" applyFont="1" applyBorder="1" applyAlignment="1">
      <alignment vertical="center"/>
    </xf>
    <xf numFmtId="0" fontId="7" fillId="2" borderId="136" xfId="0" applyFont="1" applyFill="1" applyBorder="1" applyAlignment="1">
      <alignment horizontal="left" wrapText="1"/>
    </xf>
    <xf numFmtId="0" fontId="4" fillId="0" borderId="129" xfId="0" applyFont="1" applyBorder="1" applyAlignment="1">
      <alignment horizontal="left" wrapText="1"/>
    </xf>
    <xf numFmtId="0" fontId="7" fillId="2" borderId="122" xfId="0" applyFont="1" applyFill="1" applyBorder="1" applyAlignment="1">
      <alignment horizontal="left" wrapText="1"/>
    </xf>
    <xf numFmtId="0" fontId="7" fillId="2" borderId="123" xfId="0" applyFont="1" applyFill="1" applyBorder="1" applyAlignment="1">
      <alignment horizontal="left" wrapText="1"/>
    </xf>
    <xf numFmtId="0" fontId="2" fillId="0" borderId="137" xfId="0" applyFont="1" applyBorder="1"/>
    <xf numFmtId="0" fontId="2" fillId="0" borderId="138" xfId="0" applyFont="1" applyBorder="1" applyAlignment="1">
      <alignment vertical="center"/>
    </xf>
    <xf numFmtId="0" fontId="7" fillId="2" borderId="138" xfId="0" applyFont="1" applyFill="1" applyBorder="1" applyAlignment="1">
      <alignment horizontal="left" wrapText="1"/>
    </xf>
    <xf numFmtId="0" fontId="7" fillId="2" borderId="124" xfId="0" applyFont="1" applyFill="1" applyBorder="1" applyAlignment="1">
      <alignment horizontal="left" wrapText="1"/>
    </xf>
    <xf numFmtId="0" fontId="2" fillId="0" borderId="134" xfId="0" applyFont="1" applyBorder="1" applyAlignment="1">
      <alignment vertical="center"/>
    </xf>
    <xf numFmtId="0" fontId="8" fillId="2" borderId="139" xfId="0" applyFont="1" applyFill="1" applyBorder="1" applyAlignment="1">
      <alignment horizontal="center" vertical="center" wrapText="1"/>
    </xf>
    <xf numFmtId="0" fontId="2" fillId="0" borderId="140" xfId="0" applyFont="1" applyBorder="1" applyAlignment="1">
      <alignment vertical="center"/>
    </xf>
    <xf numFmtId="0" fontId="7" fillId="2" borderId="139" xfId="0" applyFont="1" applyFill="1" applyBorder="1" applyAlignment="1">
      <alignment horizontal="left" wrapText="1"/>
    </xf>
    <xf numFmtId="0" fontId="7" fillId="2" borderId="14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451"/>
  <sheetViews>
    <sheetView workbookViewId="0"/>
  </sheetViews>
  <sheetFormatPr defaultColWidth="14.3984375" defaultRowHeight="15" customHeight="1" x14ac:dyDescent="0.3"/>
  <cols>
    <col min="1" max="1" width="35.8984375" customWidth="1"/>
    <col min="2" max="2" width="23.296875" customWidth="1"/>
  </cols>
  <sheetData>
    <row r="1" spans="1:4" ht="15" customHeight="1" x14ac:dyDescent="0.3">
      <c r="A1" s="1" t="str">
        <f ca="1">IFERROR(__xludf.DUMMYFUNCTION("IMPORTRANGE(""https://docs.google.com/spreadsheets/d/1QZhfAa3fFnvNsqgo63LOpWkumW9OVxM-uwaFC1VRvEI"",""Водители!B:E"")"),"ФИО")</f>
        <v>ФИО</v>
      </c>
      <c r="B1" s="1" t="str">
        <f ca="1">IFERROR(__xludf.DUMMYFUNCTION("""COMPUTED_VALUE"""),"Телефон")</f>
        <v>Телефон</v>
      </c>
      <c r="C1" s="1" t="str">
        <f ca="1">IFERROR(__xludf.DUMMYFUNCTION("""COMPUTED_VALUE"""),"Перевозчик")</f>
        <v>Перевозчик</v>
      </c>
      <c r="D1" s="1" t="str">
        <f ca="1">IFERROR(__xludf.DUMMYFUNCTION("""COMPUTED_VALUE"""),"Права")</f>
        <v>Права</v>
      </c>
    </row>
    <row r="2" spans="1:4" ht="15" customHeight="1" x14ac:dyDescent="0.3">
      <c r="A2" s="1" t="str">
        <f ca="1">IFERROR(__xludf.DUMMYFUNCTION("""COMPUTED_VALUE"""),"Ганеев Ринат Раисович")</f>
        <v>Ганеев Ринат Раисович</v>
      </c>
      <c r="B2" s="1">
        <f ca="1">IFERROR(__xludf.DUMMYFUNCTION("""COMPUTED_VALUE"""),89093501938)</f>
        <v>89093501938</v>
      </c>
      <c r="C2" s="1" t="str">
        <f ca="1">IFERROR(__xludf.DUMMYFUNCTION("""COMPUTED_VALUE"""),"Столица")</f>
        <v>Столица</v>
      </c>
      <c r="D2" s="1" t="str">
        <f ca="1">IFERROR(__xludf.DUMMYFUNCTION("""COMPUTED_VALUE"""),"02 04 706129")</f>
        <v>02 04 706129</v>
      </c>
    </row>
    <row r="3" spans="1:4" ht="15" customHeight="1" x14ac:dyDescent="0.3">
      <c r="A3" s="1" t="str">
        <f ca="1">IFERROR(__xludf.DUMMYFUNCTION("""COMPUTED_VALUE"""),"Алламуратов Марсель Хакимьянович")</f>
        <v>Алламуратов Марсель Хакимьянович</v>
      </c>
      <c r="B3" s="1">
        <f ca="1">IFERROR(__xludf.DUMMYFUNCTION("""COMPUTED_VALUE"""),89273180864.8919)</f>
        <v>89273180864.891907</v>
      </c>
      <c r="C3" s="1" t="str">
        <f ca="1">IFERROR(__xludf.DUMMYFUNCTION("""COMPUTED_VALUE"""),"РВ-Тариф")</f>
        <v>РВ-Тариф</v>
      </c>
      <c r="D3" s="1" t="str">
        <f ca="1">IFERROR(__xludf.DUMMYFUNCTION("""COMPUTED_VALUE"""),"02 15 000717")</f>
        <v>02 15 000717</v>
      </c>
    </row>
    <row r="4" spans="1:4" ht="15" customHeight="1" x14ac:dyDescent="0.3">
      <c r="A4" s="1" t="str">
        <f ca="1">IFERROR(__xludf.DUMMYFUNCTION("""COMPUTED_VALUE"""),"Дерябин Сергей Владимирович")</f>
        <v>Дерябин Сергей Владимирович</v>
      </c>
      <c r="B4" s="1">
        <f ca="1">IFERROR(__xludf.DUMMYFUNCTION("""COMPUTED_VALUE"""),8965022215)</f>
        <v>8965022215</v>
      </c>
      <c r="C4" s="1" t="str">
        <f ca="1">IFERROR(__xludf.DUMMYFUNCTION("""COMPUTED_VALUE"""),"РВ-Тариф")</f>
        <v>РВ-Тариф</v>
      </c>
      <c r="D4" s="1" t="str">
        <f ca="1">IFERROR(__xludf.DUMMYFUNCTION("""COMPUTED_VALUE"""),"02 18 028656")</f>
        <v>02 18 028656</v>
      </c>
    </row>
    <row r="5" spans="1:4" ht="15" customHeight="1" x14ac:dyDescent="0.3">
      <c r="A5" s="1" t="str">
        <f ca="1">IFERROR(__xludf.DUMMYFUNCTION("""COMPUTED_VALUE"""),"Ярмухаметов Мажит Мухаметшевич")</f>
        <v>Ярмухаметов Мажит Мухаметшевич</v>
      </c>
      <c r="B5" s="1">
        <f ca="1">IFERROR(__xludf.DUMMYFUNCTION("""COMPUTED_VALUE"""),89033527151)</f>
        <v>89033527151</v>
      </c>
      <c r="C5" s="1" t="str">
        <f ca="1">IFERROR(__xludf.DUMMYFUNCTION("""COMPUTED_VALUE"""),"Столица")</f>
        <v>Столица</v>
      </c>
      <c r="D5" s="1" t="str">
        <f ca="1">IFERROR(__xludf.DUMMYFUNCTION("""COMPUTED_VALUE"""),"02 22 654111")</f>
        <v>02 22 654111</v>
      </c>
    </row>
    <row r="6" spans="1:4" ht="15" customHeight="1" x14ac:dyDescent="0.3">
      <c r="A6" s="1" t="str">
        <f ca="1">IFERROR(__xludf.DUMMYFUNCTION("""COMPUTED_VALUE"""),"Муратов Ильмир Ильгамович")</f>
        <v>Муратов Ильмир Ильгамович</v>
      </c>
      <c r="B6" s="1">
        <f ca="1">IFERROR(__xludf.DUMMYFUNCTION("""COMPUTED_VALUE"""),89961008486)</f>
        <v>89961008486</v>
      </c>
      <c r="C6" s="1" t="str">
        <f ca="1">IFERROR(__xludf.DUMMYFUNCTION("""COMPUTED_VALUE"""),"Столица")</f>
        <v>Столица</v>
      </c>
      <c r="D6" s="1" t="str">
        <f ca="1">IFERROR(__xludf.DUMMYFUNCTION("""COMPUTED_VALUE"""),"02 24 195546")</f>
        <v>02 24 195546</v>
      </c>
    </row>
    <row r="7" spans="1:4" ht="15" customHeight="1" x14ac:dyDescent="0.3">
      <c r="A7" s="1" t="str">
        <f ca="1">IFERROR(__xludf.DUMMYFUNCTION("""COMPUTED_VALUE"""),"Мухамадеев Ильшат Юлаевич")</f>
        <v>Мухамадеев Ильшат Юлаевич</v>
      </c>
      <c r="B7" s="1">
        <f ca="1">IFERROR(__xludf.DUMMYFUNCTION("""COMPUTED_VALUE"""),89677411189)</f>
        <v>89677411189</v>
      </c>
      <c r="C7" s="1" t="str">
        <f ca="1">IFERROR(__xludf.DUMMYFUNCTION("""COMPUTED_VALUE"""),"ИП Федоров")</f>
        <v>ИП Федоров</v>
      </c>
      <c r="D7" s="1" t="str">
        <f ca="1">IFERROR(__xludf.DUMMYFUNCTION("""COMPUTED_VALUE"""),"02 24 195832")</f>
        <v>02 24 195832</v>
      </c>
    </row>
    <row r="8" spans="1:4" ht="15" customHeight="1" x14ac:dyDescent="0.3">
      <c r="A8" s="1" t="str">
        <f ca="1">IFERROR(__xludf.DUMMYFUNCTION("""COMPUTED_VALUE"""),"Каримов Герман Валерикович")</f>
        <v>Каримов Герман Валерикович</v>
      </c>
      <c r="B8" s="1">
        <f ca="1">IFERROR(__xludf.DUMMYFUNCTION("""COMPUTED_VALUE"""),89869750023)</f>
        <v>89869750023</v>
      </c>
      <c r="C8" s="1" t="str">
        <f ca="1">IFERROR(__xludf.DUMMYFUNCTION("""COMPUTED_VALUE"""),"Синергия")</f>
        <v>Синергия</v>
      </c>
      <c r="D8" s="1" t="str">
        <f ca="1">IFERROR(__xludf.DUMMYFUNCTION("""COMPUTED_VALUE"""),"02 26 227820")</f>
        <v>02 26 227820</v>
      </c>
    </row>
    <row r="9" spans="1:4" ht="15" customHeight="1" x14ac:dyDescent="0.3">
      <c r="A9" s="1" t="str">
        <f ca="1">IFERROR(__xludf.DUMMYFUNCTION("""COMPUTED_VALUE"""),"Ягудин Равиль Рамилевич")</f>
        <v>Ягудин Равиль Рамилевич</v>
      </c>
      <c r="B9" s="1">
        <f ca="1">IFERROR(__xludf.DUMMYFUNCTION("""COMPUTED_VALUE"""),89373613380)</f>
        <v>89373613380</v>
      </c>
      <c r="C9" s="1" t="str">
        <f ca="1">IFERROR(__xludf.DUMMYFUNCTION("""COMPUTED_VALUE"""),"ИП Федоров")</f>
        <v>ИП Федоров</v>
      </c>
      <c r="D9" s="1" t="str">
        <f ca="1">IFERROR(__xludf.DUMMYFUNCTION("""COMPUTED_VALUE"""),"02 29 217826")</f>
        <v>02 29 217826</v>
      </c>
    </row>
    <row r="10" spans="1:4" ht="15" customHeight="1" x14ac:dyDescent="0.3">
      <c r="A10" s="1" t="str">
        <f ca="1">IFERROR(__xludf.DUMMYFUNCTION("""COMPUTED_VALUE"""),"Ягафаров Айнур Наилевич")</f>
        <v>Ягафаров Айнур Наилевич</v>
      </c>
      <c r="B10" s="1">
        <f ca="1">IFERROR(__xludf.DUMMYFUNCTION("""COMPUTED_VALUE"""),89677476785)</f>
        <v>89677476785</v>
      </c>
      <c r="C10" s="1" t="str">
        <f ca="1">IFERROR(__xludf.DUMMYFUNCTION("""COMPUTED_VALUE"""),"Синергия")</f>
        <v>Синергия</v>
      </c>
      <c r="D10" s="1" t="str">
        <f ca="1">IFERROR(__xludf.DUMMYFUNCTION("""COMPUTED_VALUE"""),"02 30 788295")</f>
        <v>02 30 788295</v>
      </c>
    </row>
    <row r="11" spans="1:4" ht="15" customHeight="1" x14ac:dyDescent="0.3">
      <c r="A11" s="1" t="str">
        <f ca="1">IFERROR(__xludf.DUMMYFUNCTION("""COMPUTED_VALUE"""),"Янбулатов Руслан Байгильдинович")</f>
        <v>Янбулатов Руслан Байгильдинович</v>
      </c>
      <c r="B11" s="1">
        <f ca="1">IFERROR(__xludf.DUMMYFUNCTION("""COMPUTED_VALUE"""),89033515855)</f>
        <v>89033515855</v>
      </c>
      <c r="C11" s="1" t="str">
        <f ca="1">IFERROR(__xludf.DUMMYFUNCTION("""COMPUTED_VALUE"""),"РВ-Тариф")</f>
        <v>РВ-Тариф</v>
      </c>
      <c r="D11" s="1" t="str">
        <f ca="1">IFERROR(__xludf.DUMMYFUNCTION("""COMPUTED_VALUE"""),"02 32 779227")</f>
        <v>02 32 779227</v>
      </c>
    </row>
    <row r="12" spans="1:4" ht="15" customHeight="1" x14ac:dyDescent="0.3">
      <c r="A12" s="1" t="str">
        <f ca="1">IFERROR(__xludf.DUMMYFUNCTION("""COMPUTED_VALUE"""),"Кузнецов Вячеслав Валерьевич")</f>
        <v>Кузнецов Вячеслав Валерьевич</v>
      </c>
      <c r="B12" s="1">
        <f ca="1">IFERROR(__xludf.DUMMYFUNCTION("""COMPUTED_VALUE"""),89959457048)</f>
        <v>89959457048</v>
      </c>
      <c r="C12" s="1" t="str">
        <f ca="1">IFERROR(__xludf.DUMMYFUNCTION("""COMPUTED_VALUE"""),"РВ-Тариф")</f>
        <v>РВ-Тариф</v>
      </c>
      <c r="D12" s="1" t="str">
        <f ca="1">IFERROR(__xludf.DUMMYFUNCTION("""COMPUTED_VALUE"""),"56 30 952731")</f>
        <v>56 30 952731</v>
      </c>
    </row>
    <row r="13" spans="1:4" ht="15" customHeight="1" x14ac:dyDescent="0.3">
      <c r="A13" s="1" t="str">
        <f ca="1">IFERROR(__xludf.DUMMYFUNCTION("""COMPUTED_VALUE"""),"Берест Анатолий Викторович")</f>
        <v>Берест Анатолий Викторович</v>
      </c>
      <c r="B13" s="1">
        <f ca="1">IFERROR(__xludf.DUMMYFUNCTION("""COMPUTED_VALUE"""),89615799333)</f>
        <v>89615799333</v>
      </c>
      <c r="C13" s="1" t="str">
        <f ca="1">IFERROR(__xludf.DUMMYFUNCTION("""COMPUTED_VALUE"""),"РВ-Тариф")</f>
        <v>РВ-Тариф</v>
      </c>
      <c r="D13" s="1" t="str">
        <f ca="1">IFERROR(__xludf.DUMMYFUNCTION("""COMPUTED_VALUE"""),"74 08 430976")</f>
        <v>74 08 430976</v>
      </c>
    </row>
    <row r="14" spans="1:4" ht="15" customHeight="1" x14ac:dyDescent="0.3">
      <c r="A14" s="1" t="str">
        <f ca="1">IFERROR(__xludf.DUMMYFUNCTION("""COMPUTED_VALUE"""),"Мавлитов Фаниль Файзуллович")</f>
        <v>Мавлитов Фаниль Файзуллович</v>
      </c>
      <c r="B14" s="1">
        <f ca="1">IFERROR(__xludf.DUMMYFUNCTION("""COMPUTED_VALUE"""),89630962162)</f>
        <v>89630962162</v>
      </c>
      <c r="C14" s="1" t="str">
        <f ca="1">IFERROR(__xludf.DUMMYFUNCTION("""COMPUTED_VALUE"""),"ИП Федоров")</f>
        <v>ИП Федоров</v>
      </c>
      <c r="D14" s="1" t="str">
        <f ca="1">IFERROR(__xludf.DUMMYFUNCTION("""COMPUTED_VALUE"""),"74 10 969921")</f>
        <v>74 10 969921</v>
      </c>
    </row>
    <row r="15" spans="1:4" ht="15" customHeight="1" x14ac:dyDescent="0.3">
      <c r="A15" s="1" t="str">
        <f ca="1">IFERROR(__xludf.DUMMYFUNCTION("""COMPUTED_VALUE"""),"Хасанов Марат Гильмханович")</f>
        <v>Хасанов Марат Гильмханович</v>
      </c>
      <c r="B15" s="1">
        <f ca="1">IFERROR(__xludf.DUMMYFUNCTION("""COMPUTED_VALUE"""),89080771753)</f>
        <v>89080771753</v>
      </c>
      <c r="C15" s="1" t="str">
        <f ca="1">IFERROR(__xludf.DUMMYFUNCTION("""COMPUTED_VALUE"""),"РВ-Тариф")</f>
        <v>РВ-Тариф</v>
      </c>
      <c r="D15" s="1" t="str">
        <f ca="1">IFERROR(__xludf.DUMMYFUNCTION("""COMPUTED_VALUE"""),"74 10 993621")</f>
        <v>74 10 993621</v>
      </c>
    </row>
    <row r="16" spans="1:4" ht="15" customHeight="1" x14ac:dyDescent="0.3">
      <c r="A16" s="1" t="str">
        <f ca="1">IFERROR(__xludf.DUMMYFUNCTION("""COMPUTED_VALUE"""),"Гуренко Юрий Михайлович")</f>
        <v>Гуренко Юрий Михайлович</v>
      </c>
      <c r="B16" s="1">
        <f ca="1">IFERROR(__xludf.DUMMYFUNCTION("""COMPUTED_VALUE"""),89292376245)</f>
        <v>89292376245</v>
      </c>
      <c r="C16" s="1" t="str">
        <f ca="1">IFERROR(__xludf.DUMMYFUNCTION("""COMPUTED_VALUE"""),"ЮжУралДор")</f>
        <v>ЮжУралДор</v>
      </c>
      <c r="D16" s="1" t="str">
        <f ca="1">IFERROR(__xludf.DUMMYFUNCTION("""COMPUTED_VALUE"""),"74 11 956639")</f>
        <v>74 11 956639</v>
      </c>
    </row>
    <row r="17" spans="1:4" ht="15" customHeight="1" x14ac:dyDescent="0.3">
      <c r="A17" s="1" t="str">
        <f ca="1">IFERROR(__xludf.DUMMYFUNCTION("""COMPUTED_VALUE"""),"Шакенов Сейтжан Капышович")</f>
        <v>Шакенов Сейтжан Капышович</v>
      </c>
      <c r="B17" s="1" t="str">
        <f ca="1">IFERROR(__xludf.DUMMYFUNCTION("""COMPUTED_VALUE"""),"‎89512464129")</f>
        <v>‎89512464129</v>
      </c>
      <c r="C17" s="1" t="str">
        <f ca="1">IFERROR(__xludf.DUMMYFUNCTION("""COMPUTED_VALUE"""),"РВ-Тариф")</f>
        <v>РВ-Тариф</v>
      </c>
      <c r="D17" s="1" t="str">
        <f ca="1">IFERROR(__xludf.DUMMYFUNCTION("""COMPUTED_VALUE"""),"74 11 957297")</f>
        <v>74 11 957297</v>
      </c>
    </row>
    <row r="18" spans="1:4" ht="15" customHeight="1" x14ac:dyDescent="0.3">
      <c r="A18" s="1" t="str">
        <f ca="1">IFERROR(__xludf.DUMMYFUNCTION("""COMPUTED_VALUE"""),"Рыбаков Артем Константинович")</f>
        <v>Рыбаков Артем Константинович</v>
      </c>
      <c r="B18" s="1">
        <f ca="1">IFERROR(__xludf.DUMMYFUNCTION("""COMPUTED_VALUE"""),89954632294)</f>
        <v>89954632294</v>
      </c>
      <c r="C18" s="1" t="str">
        <f ca="1">IFERROR(__xludf.DUMMYFUNCTION("""COMPUTED_VALUE"""),"УралМетЛогистик")</f>
        <v>УралМетЛогистик</v>
      </c>
      <c r="D18" s="1" t="str">
        <f ca="1">IFERROR(__xludf.DUMMYFUNCTION("""COMPUTED_VALUE"""),"74 11 975000")</f>
        <v>74 11 975000</v>
      </c>
    </row>
    <row r="19" spans="1:4" ht="15" customHeight="1" x14ac:dyDescent="0.3">
      <c r="A19" s="1" t="str">
        <f ca="1">IFERROR(__xludf.DUMMYFUNCTION("""COMPUTED_VALUE"""),"Гребенщиков Сергей Анатольевич")</f>
        <v>Гребенщиков Сергей Анатольевич</v>
      </c>
      <c r="B19" s="1">
        <f ca="1">IFERROR(__xludf.DUMMYFUNCTION("""COMPUTED_VALUE"""),89128926469)</f>
        <v>89128926469</v>
      </c>
      <c r="C19" s="1" t="str">
        <f ca="1">IFERROR(__xludf.DUMMYFUNCTION("""COMPUTED_VALUE"""),"УралМетЛогистик")</f>
        <v>УралМетЛогистик</v>
      </c>
      <c r="D19" s="1" t="str">
        <f ca="1">IFERROR(__xludf.DUMMYFUNCTION("""COMPUTED_VALUE"""),"99 30 766329")</f>
        <v>99 30 766329</v>
      </c>
    </row>
    <row r="20" spans="1:4" ht="15" customHeight="1" x14ac:dyDescent="0.3">
      <c r="A20" s="1" t="str">
        <f ca="1">IFERROR(__xludf.DUMMYFUNCTION("""COMPUTED_VALUE"""),"Дунаев Алексей Викторович")</f>
        <v>Дунаев Алексей Викторович</v>
      </c>
      <c r="B20" s="1">
        <f ca="1">IFERROR(__xludf.DUMMYFUNCTION("""COMPUTED_VALUE"""),79191298250)</f>
        <v>79191298250</v>
      </c>
      <c r="C20" s="1" t="str">
        <f ca="1">IFERROR(__xludf.DUMMYFUNCTION("""COMPUTED_VALUE"""),"ИП Ренев")</f>
        <v>ИП Ренев</v>
      </c>
      <c r="D20" s="1" t="str">
        <f ca="1">IFERROR(__xludf.DUMMYFUNCTION("""COMPUTED_VALUE"""),"74 11 992286")</f>
        <v>74 11 992286</v>
      </c>
    </row>
    <row r="21" spans="1:4" ht="15" customHeight="1" x14ac:dyDescent="0.3">
      <c r="A21" s="1" t="str">
        <f ca="1">IFERROR(__xludf.DUMMYFUNCTION("""COMPUTED_VALUE"""),"Рюрик Вадим Сергеевич")</f>
        <v>Рюрик Вадим Сергеевич</v>
      </c>
      <c r="B21" s="1">
        <f ca="1">IFERROR(__xludf.DUMMYFUNCTION("""COMPUTED_VALUE"""),89939324055)</f>
        <v>89939324055</v>
      </c>
      <c r="C21" s="1" t="str">
        <f ca="1">IFERROR(__xludf.DUMMYFUNCTION("""COMPUTED_VALUE"""),"УралМетЛогистик")</f>
        <v>УралМетЛогистик</v>
      </c>
      <c r="D21" s="1" t="str">
        <f ca="1">IFERROR(__xludf.DUMMYFUNCTION("""COMPUTED_VALUE"""),"74 13 121360")</f>
        <v>74 13 121360</v>
      </c>
    </row>
    <row r="22" spans="1:4" ht="15" customHeight="1" x14ac:dyDescent="0.3">
      <c r="A22" s="1" t="str">
        <f ca="1">IFERROR(__xludf.DUMMYFUNCTION("""COMPUTED_VALUE"""),"Сторожев Сергей Александрович")</f>
        <v>Сторожев Сергей Александрович</v>
      </c>
      <c r="B22" s="1" t="str">
        <f ca="1">IFERROR(__xludf.DUMMYFUNCTION("""COMPUTED_VALUE"""),"‎89191105089")</f>
        <v>‎89191105089</v>
      </c>
      <c r="C22" s="1" t="str">
        <f ca="1">IFERROR(__xludf.DUMMYFUNCTION("""COMPUTED_VALUE"""),"РВ-Тариф")</f>
        <v>РВ-Тариф</v>
      </c>
      <c r="D22" s="1" t="str">
        <f ca="1">IFERROR(__xludf.DUMMYFUNCTION("""COMPUTED_VALUE"""),"74 14 270330")</f>
        <v>74 14 270330</v>
      </c>
    </row>
    <row r="23" spans="1:4" ht="15" customHeight="1" x14ac:dyDescent="0.3">
      <c r="A23" s="1" t="str">
        <f ca="1">IFERROR(__xludf.DUMMYFUNCTION("""COMPUTED_VALUE"""),"Карий Иван Иванович")</f>
        <v>Карий Иван Иванович</v>
      </c>
      <c r="B23" s="1">
        <f ca="1">IFERROR(__xludf.DUMMYFUNCTION("""COMPUTED_VALUE"""),89517755614)</f>
        <v>89517755614</v>
      </c>
      <c r="C23" s="1" t="str">
        <f ca="1">IFERROR(__xludf.DUMMYFUNCTION("""COMPUTED_VALUE"""),"РВ-Тариф")</f>
        <v>РВ-Тариф</v>
      </c>
      <c r="D23" s="1" t="str">
        <f ca="1">IFERROR(__xludf.DUMMYFUNCTION("""COMPUTED_VALUE"""),"74 14 272053")</f>
        <v>74 14 272053</v>
      </c>
    </row>
    <row r="24" spans="1:4" ht="15" customHeight="1" x14ac:dyDescent="0.3">
      <c r="A24" s="1" t="str">
        <f ca="1">IFERROR(__xludf.DUMMYFUNCTION("""COMPUTED_VALUE"""),"Красильников Сергей Анатольевич")</f>
        <v>Красильников Сергей Анатольевич</v>
      </c>
      <c r="B24" s="1" t="str">
        <f ca="1">IFERROR(__xludf.DUMMYFUNCTION("""COMPUTED_VALUE"""),"89080731559;89823676308")</f>
        <v>89080731559;89823676308</v>
      </c>
      <c r="C24" s="1" t="str">
        <f ca="1">IFERROR(__xludf.DUMMYFUNCTION("""COMPUTED_VALUE"""),"РВ-Тариф")</f>
        <v>РВ-Тариф</v>
      </c>
      <c r="D24" s="1" t="str">
        <f ca="1">IFERROR(__xludf.DUMMYFUNCTION("""COMPUTED_VALUE"""),"74 14 331019")</f>
        <v>74 14 331019</v>
      </c>
    </row>
    <row r="25" spans="1:4" ht="15" customHeight="1" x14ac:dyDescent="0.3">
      <c r="A25" s="1" t="str">
        <f ca="1">IFERROR(__xludf.DUMMYFUNCTION("""COMPUTED_VALUE"""),"Глинских Виктор Владимирович")</f>
        <v>Глинских Виктор Владимирович</v>
      </c>
      <c r="B25" s="1" t="str">
        <f ca="1">IFERROR(__xludf.DUMMYFUNCTION("""COMPUTED_VALUE"""),"89678658562")</f>
        <v>89678658562</v>
      </c>
      <c r="C25" s="1" t="str">
        <f ca="1">IFERROR(__xludf.DUMMYFUNCTION("""COMPUTED_VALUE"""),"ИП Кулешов")</f>
        <v>ИП Кулешов</v>
      </c>
      <c r="D25" s="1" t="str">
        <f ca="1">IFERROR(__xludf.DUMMYFUNCTION("""COMPUTED_VALUE"""),"74 15 493883")</f>
        <v>74 15 493883</v>
      </c>
    </row>
    <row r="26" spans="1:4" ht="15" customHeight="1" x14ac:dyDescent="0.3">
      <c r="A26" s="1" t="str">
        <f ca="1">IFERROR(__xludf.DUMMYFUNCTION("""COMPUTED_VALUE"""),"Гончаров Алексей Геннадьевич")</f>
        <v>Гончаров Алексей Геннадьевич</v>
      </c>
      <c r="B26" s="1">
        <f ca="1">IFERROR(__xludf.DUMMYFUNCTION("""COMPUTED_VALUE"""),89823088211)</f>
        <v>89823088211</v>
      </c>
      <c r="C26" s="1" t="str">
        <f ca="1">IFERROR(__xludf.DUMMYFUNCTION("""COMPUTED_VALUE"""),"ИП Ренев")</f>
        <v>ИП Ренев</v>
      </c>
      <c r="D26" s="1" t="str">
        <f ca="1">IFERROR(__xludf.DUMMYFUNCTION("""COMPUTED_VALUE"""),"74 15 501583")</f>
        <v>74 15 501583</v>
      </c>
    </row>
    <row r="27" spans="1:4" ht="15" customHeight="1" x14ac:dyDescent="0.3">
      <c r="A27" s="1" t="str">
        <f ca="1">IFERROR(__xludf.DUMMYFUNCTION("""COMPUTED_VALUE"""),"Гончаров Алексей Геннадьевич")</f>
        <v>Гончаров Алексей Геннадьевич</v>
      </c>
      <c r="B27" s="1">
        <f ca="1">IFERROR(__xludf.DUMMYFUNCTION("""COMPUTED_VALUE"""),89823088211)</f>
        <v>89823088211</v>
      </c>
      <c r="C27" s="1" t="str">
        <f ca="1">IFERROR(__xludf.DUMMYFUNCTION("""COMPUTED_VALUE"""),"РВ-Тариф")</f>
        <v>РВ-Тариф</v>
      </c>
      <c r="D27" s="1" t="str">
        <f ca="1">IFERROR(__xludf.DUMMYFUNCTION("""COMPUTED_VALUE"""),"74 15 501583")</f>
        <v>74 15 501583</v>
      </c>
    </row>
    <row r="28" spans="1:4" ht="15" customHeight="1" x14ac:dyDescent="0.3">
      <c r="A28" s="1" t="str">
        <f ca="1">IFERROR(__xludf.DUMMYFUNCTION("""COMPUTED_VALUE"""),"Толстых Николай Владимирович")</f>
        <v>Толстых Николай Владимирович</v>
      </c>
      <c r="B28" s="1">
        <f ca="1">IFERROR(__xludf.DUMMYFUNCTION("""COMPUTED_VALUE"""),89227299750.8951)</f>
        <v>89227299750.895096</v>
      </c>
      <c r="C28" s="1" t="str">
        <f ca="1">IFERROR(__xludf.DUMMYFUNCTION("""COMPUTED_VALUE"""),"РВ-Тариф")</f>
        <v>РВ-Тариф</v>
      </c>
      <c r="D28" s="1" t="str">
        <f ca="1">IFERROR(__xludf.DUMMYFUNCTION("""COMPUTED_VALUE"""),"74 15 501943")</f>
        <v>74 15 501943</v>
      </c>
    </row>
    <row r="29" spans="1:4" ht="15" customHeight="1" x14ac:dyDescent="0.3">
      <c r="A29" s="1" t="str">
        <f ca="1">IFERROR(__xludf.DUMMYFUNCTION("""COMPUTED_VALUE"""),"Поздняков Валерий Васильевич")</f>
        <v>Поздняков Валерий Васильевич</v>
      </c>
      <c r="B29" s="1">
        <f ca="1">IFERROR(__xludf.DUMMYFUNCTION("""COMPUTED_VALUE"""),89191200887)</f>
        <v>89191200887</v>
      </c>
      <c r="C29" s="1" t="str">
        <f ca="1">IFERROR(__xludf.DUMMYFUNCTION("""COMPUTED_VALUE"""),"РВ-Тариф")</f>
        <v>РВ-Тариф</v>
      </c>
      <c r="D29" s="1" t="str">
        <f ca="1">IFERROR(__xludf.DUMMYFUNCTION("""COMPUTED_VALUE"""),"74 16 688515")</f>
        <v>74 16 688515</v>
      </c>
    </row>
    <row r="30" spans="1:4" ht="15" customHeight="1" x14ac:dyDescent="0.3">
      <c r="A30" s="1" t="str">
        <f ca="1">IFERROR(__xludf.DUMMYFUNCTION("""COMPUTED_VALUE"""),"Мусалатов Денис Романович")</f>
        <v>Мусалатов Денис Романович</v>
      </c>
      <c r="B30" s="1"/>
      <c r="C30" s="1" t="str">
        <f ca="1">IFERROR(__xludf.DUMMYFUNCTION("""COMPUTED_VALUE"""),"Меридиан")</f>
        <v>Меридиан</v>
      </c>
      <c r="D30" s="1" t="str">
        <f ca="1">IFERROR(__xludf.DUMMYFUNCTION("""COMPUTED_VALUE"""),"74 16 700774")</f>
        <v>74 16 700774</v>
      </c>
    </row>
    <row r="31" spans="1:4" ht="15" customHeight="1" x14ac:dyDescent="0.3">
      <c r="A31" s="1" t="str">
        <f ca="1">IFERROR(__xludf.DUMMYFUNCTION("""COMPUTED_VALUE"""),"Батуев Владимир Валерьевич")</f>
        <v>Батуев Владимир Валерьевич</v>
      </c>
      <c r="B31" s="1">
        <f ca="1">IFERROR(__xludf.DUMMYFUNCTION("""COMPUTED_VALUE"""),89227061250)</f>
        <v>89227061250</v>
      </c>
      <c r="C31" s="1" t="str">
        <f ca="1">IFERROR(__xludf.DUMMYFUNCTION("""COMPUTED_VALUE"""),"ТрансРегион")</f>
        <v>ТрансРегион</v>
      </c>
      <c r="D31" s="1" t="str">
        <f ca="1">IFERROR(__xludf.DUMMYFUNCTION("""COMPUTED_VALUE"""),"74 17 268723")</f>
        <v>74 17 268723</v>
      </c>
    </row>
    <row r="32" spans="1:4" ht="15" customHeight="1" x14ac:dyDescent="0.3">
      <c r="A32" s="1" t="str">
        <f ca="1">IFERROR(__xludf.DUMMYFUNCTION("""COMPUTED_VALUE"""),"Игошкин Павел Вячеславович")</f>
        <v>Игошкин Павел Вячеславович</v>
      </c>
      <c r="B32" s="1">
        <f ca="1">IFERROR(__xludf.DUMMYFUNCTION("""COMPUTED_VALUE"""),89823331980)</f>
        <v>89823331980</v>
      </c>
      <c r="C32" s="1" t="str">
        <f ca="1">IFERROR(__xludf.DUMMYFUNCTION("""COMPUTED_VALUE"""),"РВ-Тариф")</f>
        <v>РВ-Тариф</v>
      </c>
      <c r="D32" s="1" t="str">
        <f ca="1">IFERROR(__xludf.DUMMYFUNCTION("""COMPUTED_VALUE"""),"74 17 272904")</f>
        <v>74 17 272904</v>
      </c>
    </row>
    <row r="33" spans="1:4" ht="15" customHeight="1" x14ac:dyDescent="0.3">
      <c r="A33" s="1" t="str">
        <f ca="1">IFERROR(__xludf.DUMMYFUNCTION("""COMPUTED_VALUE"""),"Косарев Анатолий Юрьевич")</f>
        <v>Косарев Анатолий Юрьевич</v>
      </c>
      <c r="B33" s="1">
        <f ca="1">IFERROR(__xludf.DUMMYFUNCTION("""COMPUTED_VALUE"""),89049767842)</f>
        <v>89049767842</v>
      </c>
      <c r="C33" s="1" t="str">
        <f ca="1">IFERROR(__xludf.DUMMYFUNCTION("""COMPUTED_VALUE"""),"УралМетЛогистик")</f>
        <v>УралМетЛогистик</v>
      </c>
      <c r="D33" s="1" t="str">
        <f ca="1">IFERROR(__xludf.DUMMYFUNCTION("""COMPUTED_VALUE"""),"74 18 996382")</f>
        <v>74 18 996382</v>
      </c>
    </row>
    <row r="34" spans="1:4" ht="15" customHeight="1" x14ac:dyDescent="0.3">
      <c r="A34" s="1" t="str">
        <f ca="1">IFERROR(__xludf.DUMMYFUNCTION("""COMPUTED_VALUE"""),"Милющенко Виктор Борисович")</f>
        <v>Милющенко Виктор Борисович</v>
      </c>
      <c r="B34" s="1">
        <f ca="1">IFERROR(__xludf.DUMMYFUNCTION("""COMPUTED_VALUE"""),89514398295)</f>
        <v>89514398295</v>
      </c>
      <c r="C34" s="1" t="str">
        <f ca="1">IFERROR(__xludf.DUMMYFUNCTION("""COMPUTED_VALUE"""),"ИП Кулешов")</f>
        <v>ИП Кулешов</v>
      </c>
      <c r="D34" s="1" t="str">
        <f ca="1">IFERROR(__xludf.DUMMYFUNCTION("""COMPUTED_VALUE"""),"74 20 028438")</f>
        <v>74 20 028438</v>
      </c>
    </row>
    <row r="35" spans="1:4" ht="15" customHeight="1" x14ac:dyDescent="0.3">
      <c r="A35" s="1" t="str">
        <f ca="1">IFERROR(__xludf.DUMMYFUNCTION("""COMPUTED_VALUE"""),"Игошкин Евгений Вячеславович")</f>
        <v>Игошкин Евгений Вячеславович</v>
      </c>
      <c r="B35" s="1">
        <f ca="1">IFERROR(__xludf.DUMMYFUNCTION("""COMPUTED_VALUE"""),89124064101)</f>
        <v>89124064101</v>
      </c>
      <c r="C35" s="1" t="str">
        <f ca="1">IFERROR(__xludf.DUMMYFUNCTION("""COMPUTED_VALUE"""),"РВ-Тариф")</f>
        <v>РВ-Тариф</v>
      </c>
      <c r="D35" s="1" t="str">
        <f ca="1">IFERROR(__xludf.DUMMYFUNCTION("""COMPUTED_VALUE"""),"74 20 032130")</f>
        <v>74 20 032130</v>
      </c>
    </row>
    <row r="36" spans="1:4" ht="15" customHeight="1" x14ac:dyDescent="0.3">
      <c r="A36" s="1" t="str">
        <f ca="1">IFERROR(__xludf.DUMMYFUNCTION("""COMPUTED_VALUE"""),"Хасанов Мирасбек Курганбекович")</f>
        <v>Хасанов Мирасбек Курганбекович</v>
      </c>
      <c r="B36" s="1"/>
      <c r="C36" s="1" t="str">
        <f ca="1">IFERROR(__xludf.DUMMYFUNCTION("""COMPUTED_VALUE"""),"УралМетЛогистик")</f>
        <v>УралМетЛогистик</v>
      </c>
      <c r="D36" s="1" t="str">
        <f ca="1">IFERROR(__xludf.DUMMYFUNCTION("""COMPUTED_VALUE"""),"74 20 032676")</f>
        <v>74 20 032676</v>
      </c>
    </row>
    <row r="37" spans="1:4" ht="15" customHeight="1" x14ac:dyDescent="0.3">
      <c r="A37" s="1" t="str">
        <f ca="1">IFERROR(__xludf.DUMMYFUNCTION("""COMPUTED_VALUE"""),"Шевяков Максим Николаевич")</f>
        <v>Шевяков Максим Николаевич</v>
      </c>
      <c r="B37" s="1">
        <f ca="1">IFERROR(__xludf.DUMMYFUNCTION("""COMPUTED_VALUE"""),89823050869)</f>
        <v>89823050869</v>
      </c>
      <c r="C37" s="1" t="str">
        <f ca="1">IFERROR(__xludf.DUMMYFUNCTION("""COMPUTED_VALUE"""),"РВ-Тариф")</f>
        <v>РВ-Тариф</v>
      </c>
      <c r="D37" s="1" t="str">
        <f ca="1">IFERROR(__xludf.DUMMYFUNCTION("""COMPUTED_VALUE"""),"74 21 996920")</f>
        <v>74 21 996920</v>
      </c>
    </row>
    <row r="38" spans="1:4" ht="15" customHeight="1" x14ac:dyDescent="0.3">
      <c r="A38" s="1" t="str">
        <f ca="1">IFERROR(__xludf.DUMMYFUNCTION("""COMPUTED_VALUE"""),"Безруков Андрей Вячеславович")</f>
        <v>Безруков Андрей Вячеславович</v>
      </c>
      <c r="B38" s="1">
        <f ca="1">IFERROR(__xludf.DUMMYFUNCTION("""COMPUTED_VALUE"""),89028973892)</f>
        <v>89028973892</v>
      </c>
      <c r="C38" s="1" t="str">
        <f ca="1">IFERROR(__xludf.DUMMYFUNCTION("""COMPUTED_VALUE"""),"ИП Свириденко")</f>
        <v>ИП Свириденко</v>
      </c>
      <c r="D38" s="1" t="str">
        <f ca="1">IFERROR(__xludf.DUMMYFUNCTION("""COMPUTED_VALUE"""),"74 21 997903")</f>
        <v>74 21 997903</v>
      </c>
    </row>
    <row r="39" spans="1:4" ht="13" x14ac:dyDescent="0.3">
      <c r="A39" s="1" t="str">
        <f ca="1">IFERROR(__xludf.DUMMYFUNCTION("""COMPUTED_VALUE"""),"Гришин Владимир Федорович")</f>
        <v>Гришин Владимир Федорович</v>
      </c>
      <c r="B39" s="1">
        <f ca="1">IFERROR(__xludf.DUMMYFUNCTION("""COMPUTED_VALUE"""),89630971571)</f>
        <v>89630971571</v>
      </c>
      <c r="C39" s="1" t="str">
        <f ca="1">IFERROR(__xludf.DUMMYFUNCTION("""COMPUTED_VALUE"""),"ИП Ахмедов")</f>
        <v>ИП Ахмедов</v>
      </c>
      <c r="D39" s="1" t="str">
        <f ca="1">IFERROR(__xludf.DUMMYFUNCTION("""COMPUTED_VALUE"""),"74 22 004436")</f>
        <v>74 22 004436</v>
      </c>
    </row>
    <row r="40" spans="1:4" ht="13" x14ac:dyDescent="0.3">
      <c r="A40" s="1" t="str">
        <f ca="1">IFERROR(__xludf.DUMMYFUNCTION("""COMPUTED_VALUE"""),"Дьяков Александр Александрович")</f>
        <v>Дьяков Александр Александрович</v>
      </c>
      <c r="B40" s="1">
        <f ca="1">IFERROR(__xludf.DUMMYFUNCTION("""COMPUTED_VALUE"""),89220102020)</f>
        <v>89220102020</v>
      </c>
      <c r="C40" s="1" t="str">
        <f ca="1">IFERROR(__xludf.DUMMYFUNCTION("""COMPUTED_VALUE"""),"Синергия")</f>
        <v>Синергия</v>
      </c>
      <c r="D40" s="1" t="str">
        <f ca="1">IFERROR(__xludf.DUMMYFUNCTION("""COMPUTED_VALUE"""),"74 24 001128")</f>
        <v>74 24 001128</v>
      </c>
    </row>
    <row r="41" spans="1:4" ht="13" x14ac:dyDescent="0.3">
      <c r="A41" s="1" t="str">
        <f ca="1">IFERROR(__xludf.DUMMYFUNCTION("""COMPUTED_VALUE"""),"Лаптев Илья Александрович")</f>
        <v>Лаптев Илья Александрович</v>
      </c>
      <c r="B41" s="1">
        <f ca="1">IFERROR(__xludf.DUMMYFUNCTION("""COMPUTED_VALUE"""),89026048805)</f>
        <v>89026048805</v>
      </c>
      <c r="C41" s="1" t="str">
        <f ca="1">IFERROR(__xludf.DUMMYFUNCTION("""COMPUTED_VALUE"""),"Синергия")</f>
        <v>Синергия</v>
      </c>
      <c r="D41" s="1" t="str">
        <f ca="1">IFERROR(__xludf.DUMMYFUNCTION("""COMPUTED_VALUE"""),"74 24 002575")</f>
        <v>74 24 002575</v>
      </c>
    </row>
    <row r="42" spans="1:4" ht="13" x14ac:dyDescent="0.3">
      <c r="A42" s="1" t="str">
        <f ca="1">IFERROR(__xludf.DUMMYFUNCTION("""COMPUTED_VALUE"""),"Тюнькин Никита Андреевич")</f>
        <v>Тюнькин Никита Андреевич</v>
      </c>
      <c r="B42" s="1">
        <f ca="1">IFERROR(__xludf.DUMMYFUNCTION("""COMPUTED_VALUE"""),89514815857)</f>
        <v>89514815857</v>
      </c>
      <c r="C42" s="1" t="str">
        <f ca="1">IFERROR(__xludf.DUMMYFUNCTION("""COMPUTED_VALUE"""),"УралМетЛогистик")</f>
        <v>УралМетЛогистик</v>
      </c>
      <c r="D42" s="1" t="str">
        <f ca="1">IFERROR(__xludf.DUMMYFUNCTION("""COMPUTED_VALUE"""),"74 25 366162")</f>
        <v>74 25 366162</v>
      </c>
    </row>
    <row r="43" spans="1:4" ht="13" x14ac:dyDescent="0.3">
      <c r="A43" s="1" t="str">
        <f ca="1">IFERROR(__xludf.DUMMYFUNCTION("""COMPUTED_VALUE"""),"Авцынов Максим Александрович")</f>
        <v>Авцынов Максим Александрович</v>
      </c>
      <c r="B43" s="1">
        <f ca="1">IFERROR(__xludf.DUMMYFUNCTION("""COMPUTED_VALUE"""),79191112838)</f>
        <v>79191112838</v>
      </c>
      <c r="C43" s="1" t="str">
        <f ca="1">IFERROR(__xludf.DUMMYFUNCTION("""COMPUTED_VALUE"""),"МагСтройМаш")</f>
        <v>МагСтройМаш</v>
      </c>
      <c r="D43" s="1" t="str">
        <f ca="1">IFERROR(__xludf.DUMMYFUNCTION("""COMPUTED_VALUE"""),"74 25 366259")</f>
        <v>74 25 366259</v>
      </c>
    </row>
    <row r="44" spans="1:4" ht="13" x14ac:dyDescent="0.3">
      <c r="A44" s="1" t="str">
        <f ca="1">IFERROR(__xludf.DUMMYFUNCTION("""COMPUTED_VALUE"""),"Лычагин Дмитрий Васильевич")</f>
        <v>Лычагин Дмитрий Васильевич</v>
      </c>
      <c r="B44" s="1">
        <f ca="1">IFERROR(__xludf.DUMMYFUNCTION("""COMPUTED_VALUE"""),89514630528)</f>
        <v>89514630528</v>
      </c>
      <c r="C44" s="1" t="str">
        <f ca="1">IFERROR(__xludf.DUMMYFUNCTION("""COMPUTED_VALUE"""),"РВ-Тариф")</f>
        <v>РВ-Тариф</v>
      </c>
      <c r="D44" s="1" t="str">
        <f ca="1">IFERROR(__xludf.DUMMYFUNCTION("""COMPUTED_VALUE"""),"74 25 367728")</f>
        <v>74 25 367728</v>
      </c>
    </row>
    <row r="45" spans="1:4" ht="13" x14ac:dyDescent="0.3">
      <c r="A45" s="1" t="str">
        <f ca="1">IFERROR(__xludf.DUMMYFUNCTION("""COMPUTED_VALUE"""),"Егоров Илья Владимирович")</f>
        <v>Егоров Илья Владимирович</v>
      </c>
      <c r="B45" s="1">
        <f ca="1">IFERROR(__xludf.DUMMYFUNCTION("""COMPUTED_VALUE"""),89193333802)</f>
        <v>89193333802</v>
      </c>
      <c r="C45" s="1" t="str">
        <f ca="1">IFERROR(__xludf.DUMMYFUNCTION("""COMPUTED_VALUE"""),"ИП Кулешов")</f>
        <v>ИП Кулешов</v>
      </c>
      <c r="D45" s="1" t="str">
        <f ca="1">IFERROR(__xludf.DUMMYFUNCTION("""COMPUTED_VALUE"""),"74 25 368959")</f>
        <v>74 25 368959</v>
      </c>
    </row>
    <row r="46" spans="1:4" ht="13" x14ac:dyDescent="0.3">
      <c r="A46" s="1" t="str">
        <f ca="1">IFERROR(__xludf.DUMMYFUNCTION("""COMPUTED_VALUE"""),"Куров Антон Олегович")</f>
        <v>Куров Антон Олегович</v>
      </c>
      <c r="B46" s="1">
        <f ca="1">IFERROR(__xludf.DUMMYFUNCTION("""COMPUTED_VALUE"""),89995824469)</f>
        <v>89995824469</v>
      </c>
      <c r="C46" s="1" t="str">
        <f ca="1">IFERROR(__xludf.DUMMYFUNCTION("""COMPUTED_VALUE"""),"ИП Кулешов")</f>
        <v>ИП Кулешов</v>
      </c>
      <c r="D46" s="1" t="str">
        <f ca="1">IFERROR(__xludf.DUMMYFUNCTION("""COMPUTED_VALUE"""),"74 25 383896")</f>
        <v>74 25 383896</v>
      </c>
    </row>
    <row r="47" spans="1:4" ht="13" x14ac:dyDescent="0.3">
      <c r="A47" s="1" t="str">
        <f ca="1">IFERROR(__xludf.DUMMYFUNCTION("""COMPUTED_VALUE"""),"Пенкин Степан Викторович")</f>
        <v>Пенкин Степан Викторович</v>
      </c>
      <c r="B47" s="1">
        <f ca="1">IFERROR(__xludf.DUMMYFUNCTION("""COMPUTED_VALUE"""),89220138254)</f>
        <v>89220138254</v>
      </c>
      <c r="C47" s="1" t="str">
        <f ca="1">IFERROR(__xludf.DUMMYFUNCTION("""COMPUTED_VALUE"""),"ТрансРегион")</f>
        <v>ТрансРегион</v>
      </c>
      <c r="D47" s="1" t="str">
        <f ca="1">IFERROR(__xludf.DUMMYFUNCTION("""COMPUTED_VALUE"""),"74 25 386648")</f>
        <v>74 25 386648</v>
      </c>
    </row>
    <row r="48" spans="1:4" ht="13" x14ac:dyDescent="0.3">
      <c r="A48" s="1" t="str">
        <f ca="1">IFERROR(__xludf.DUMMYFUNCTION("""COMPUTED_VALUE"""),"Ширкин Максим Валерьевич")</f>
        <v>Ширкин Максим Валерьевич</v>
      </c>
      <c r="B48" s="1">
        <f ca="1">IFERROR(__xludf.DUMMYFUNCTION("""COMPUTED_VALUE"""),89193565942)</f>
        <v>89193565942</v>
      </c>
      <c r="C48" s="1" t="str">
        <f ca="1">IFERROR(__xludf.DUMMYFUNCTION("""COMPUTED_VALUE"""),"Ип Свириденко")</f>
        <v>Ип Свириденко</v>
      </c>
      <c r="D48" s="1" t="str">
        <f ca="1">IFERROR(__xludf.DUMMYFUNCTION("""COMPUTED_VALUE"""),"74 29 115737")</f>
        <v>74 29 115737</v>
      </c>
    </row>
    <row r="49" spans="1:4" ht="13" x14ac:dyDescent="0.3">
      <c r="A49" s="1" t="str">
        <f ca="1">IFERROR(__xludf.DUMMYFUNCTION("""COMPUTED_VALUE"""),"Шагалеев Данис Рашитович")</f>
        <v>Шагалеев Данис Рашитович</v>
      </c>
      <c r="B49" s="1"/>
      <c r="C49" s="1" t="str">
        <f ca="1">IFERROR(__xludf.DUMMYFUNCTION("""COMPUTED_VALUE"""),"РВ-Тариф")</f>
        <v>РВ-Тариф</v>
      </c>
      <c r="D49" s="1" t="str">
        <f ca="1">IFERROR(__xludf.DUMMYFUNCTION("""COMPUTED_VALUE"""),"74 29 847063")</f>
        <v>74 29 847063</v>
      </c>
    </row>
    <row r="50" spans="1:4" ht="13" x14ac:dyDescent="0.3">
      <c r="A50" s="1" t="str">
        <f ca="1">IFERROR(__xludf.DUMMYFUNCTION("""COMPUTED_VALUE"""),"Колодько Владимир Сергеевич")</f>
        <v>Колодько Владимир Сергеевич</v>
      </c>
      <c r="B50" s="1" t="str">
        <f ca="1">IFERROR(__xludf.DUMMYFUNCTION("""COMPUTED_VALUE"""),"
8 982 277-18-76")</f>
        <v xml:space="preserve">
8 982 277-18-76</v>
      </c>
      <c r="C50" s="1" t="str">
        <f ca="1">IFERROR(__xludf.DUMMYFUNCTION("""COMPUTED_VALUE"""),"РВ-Тариф")</f>
        <v>РВ-Тариф</v>
      </c>
      <c r="D50" s="1" t="str">
        <f ca="1">IFERROR(__xludf.DUMMYFUNCTION("""COMPUTED_VALUE"""),"74 30 985365")</f>
        <v>74 30 985365</v>
      </c>
    </row>
    <row r="51" spans="1:4" ht="13" x14ac:dyDescent="0.3">
      <c r="A51" s="1" t="str">
        <f ca="1">IFERROR(__xludf.DUMMYFUNCTION("""COMPUTED_VALUE"""),"Сидоров Дмитрий Владимирович")</f>
        <v>Сидоров Дмитрий Владимирович</v>
      </c>
      <c r="B51" s="1"/>
      <c r="C51" s="1" t="str">
        <f ca="1">IFERROR(__xludf.DUMMYFUNCTION("""COMPUTED_VALUE"""),"УралМетЛогистик")</f>
        <v>УралМетЛогистик</v>
      </c>
      <c r="D51" s="1" t="str">
        <f ca="1">IFERROR(__xludf.DUMMYFUNCTION("""COMPUTED_VALUE"""),"74 30 995872")</f>
        <v>74 30 995872</v>
      </c>
    </row>
    <row r="52" spans="1:4" ht="13" x14ac:dyDescent="0.3">
      <c r="A52" s="1" t="str">
        <f ca="1">IFERROR(__xludf.DUMMYFUNCTION("""COMPUTED_VALUE"""),"Михайлов Владислав Васильевич")</f>
        <v>Михайлов Владислав Васильевич</v>
      </c>
      <c r="B52" s="1" t="str">
        <f ca="1">IFERROR(__xludf.DUMMYFUNCTION("""COMPUTED_VALUE"""),"89123151470")</f>
        <v>89123151470</v>
      </c>
      <c r="C52" s="1" t="str">
        <f ca="1">IFERROR(__xludf.DUMMYFUNCTION("""COMPUTED_VALUE"""),"ИП Кулешов")</f>
        <v>ИП Кулешов</v>
      </c>
      <c r="D52" s="1" t="str">
        <f ca="1">IFERROR(__xludf.DUMMYFUNCTION("""COMPUTED_VALUE"""),"74 33 181529")</f>
        <v>74 33 181529</v>
      </c>
    </row>
    <row r="53" spans="1:4" ht="13" x14ac:dyDescent="0.3">
      <c r="A53" s="1" t="str">
        <f ca="1">IFERROR(__xludf.DUMMYFUNCTION("""COMPUTED_VALUE"""),"Баранов Игорь Павлович")</f>
        <v>Баранов Игорь Павлович</v>
      </c>
      <c r="B53" s="1"/>
      <c r="C53" s="1" t="str">
        <f ca="1">IFERROR(__xludf.DUMMYFUNCTION("""COMPUTED_VALUE"""),"УралМетЛогистик")</f>
        <v>УралМетЛогистик</v>
      </c>
      <c r="D53" s="1" t="str">
        <f ca="1">IFERROR(__xludf.DUMMYFUNCTION("""COMPUTED_VALUE"""),"74 33 693638")</f>
        <v>74 33 693638</v>
      </c>
    </row>
    <row r="54" spans="1:4" ht="13" x14ac:dyDescent="0.3">
      <c r="A54" s="1" t="str">
        <f ca="1">IFERROR(__xludf.DUMMYFUNCTION("""COMPUTED_VALUE"""),"Завершинский Антон Сергеевич")</f>
        <v>Завершинский Антон Сергеевич</v>
      </c>
      <c r="B54" s="1" t="str">
        <f ca="1">IFERROR(__xludf.DUMMYFUNCTION("""COMPUTED_VALUE"""),"89995867578;89080687973")</f>
        <v>89995867578;89080687973</v>
      </c>
      <c r="C54" s="1" t="str">
        <f ca="1">IFERROR(__xludf.DUMMYFUNCTION("""COMPUTED_VALUE"""),"РВ-Тариф")</f>
        <v>РВ-Тариф</v>
      </c>
      <c r="D54" s="1" t="str">
        <f ca="1">IFERROR(__xludf.DUMMYFUNCTION("""COMPUTED_VALUE"""),"74 33 702457")</f>
        <v>74 33 702457</v>
      </c>
    </row>
    <row r="55" spans="1:4" ht="13" x14ac:dyDescent="0.3">
      <c r="A55" s="1" t="str">
        <f ca="1">IFERROR(__xludf.DUMMYFUNCTION("""COMPUTED_VALUE"""),"Миранков Владимир Васильевич")</f>
        <v>Миранков Владимир Васильевич</v>
      </c>
      <c r="B55" s="1">
        <f ca="1">IFERROR(__xludf.DUMMYFUNCTION("""COMPUTED_VALUE"""),89049767072)</f>
        <v>89049767072</v>
      </c>
      <c r="C55" s="1" t="str">
        <f ca="1">IFERROR(__xludf.DUMMYFUNCTION("""COMPUTED_VALUE"""),"РВ-Тариф")</f>
        <v>РВ-Тариф</v>
      </c>
      <c r="D55" s="1" t="str">
        <f ca="1">IFERROR(__xludf.DUMMYFUNCTION("""COMPUTED_VALUE"""),"74 33 703763")</f>
        <v>74 33 703763</v>
      </c>
    </row>
    <row r="56" spans="1:4" ht="13" x14ac:dyDescent="0.3">
      <c r="A56" s="1" t="str">
        <f ca="1">IFERROR(__xludf.DUMMYFUNCTION("""COMPUTED_VALUE"""),"Жаринов Вадим Александрович")</f>
        <v>Жаринов Вадим Александрович</v>
      </c>
      <c r="B56" s="1">
        <f ca="1">IFERROR(__xludf.DUMMYFUNCTION("""COMPUTED_VALUE"""),89193349741)</f>
        <v>89193349741</v>
      </c>
      <c r="C56" s="1" t="str">
        <f ca="1">IFERROR(__xludf.DUMMYFUNCTION("""COMPUTED_VALUE"""),"РВ-Тариф")</f>
        <v>РВ-Тариф</v>
      </c>
      <c r="D56" s="1" t="str">
        <f ca="1">IFERROR(__xludf.DUMMYFUNCTION("""COMPUTED_VALUE"""),"74 35 468183")</f>
        <v>74 35 468183</v>
      </c>
    </row>
    <row r="57" spans="1:4" ht="13" x14ac:dyDescent="0.3">
      <c r="A57" s="1" t="str">
        <f ca="1">IFERROR(__xludf.DUMMYFUNCTION("""COMPUTED_VALUE"""),"Белозеров Игорь Анатольевич")</f>
        <v>Белозеров Игорь Анатольевич</v>
      </c>
      <c r="B57" s="1">
        <f ca="1">IFERROR(__xludf.DUMMYFUNCTION("""COMPUTED_VALUE"""),89514497015)</f>
        <v>89514497015</v>
      </c>
      <c r="C57" s="1" t="str">
        <f ca="1">IFERROR(__xludf.DUMMYFUNCTION("""COMPUTED_VALUE"""),"РВ-Тариф")</f>
        <v>РВ-Тариф</v>
      </c>
      <c r="D57" s="1" t="str">
        <f ca="1">IFERROR(__xludf.DUMMYFUNCTION("""COMPUTED_VALUE"""),"74 36 426237")</f>
        <v>74 36 426237</v>
      </c>
    </row>
    <row r="58" spans="1:4" ht="13" x14ac:dyDescent="0.3">
      <c r="A58" s="1" t="str">
        <f ca="1">IFERROR(__xludf.DUMMYFUNCTION("""COMPUTED_VALUE"""),"Распутин Павел Валерьевич")</f>
        <v>Распутин Павел Валерьевич</v>
      </c>
      <c r="B58" s="1"/>
      <c r="C58" s="1" t="str">
        <f ca="1">IFERROR(__xludf.DUMMYFUNCTION("""COMPUTED_VALUE"""),"УралМетЛогистик")</f>
        <v>УралМетЛогистик</v>
      </c>
      <c r="D58" s="1" t="str">
        <f ca="1">IFERROR(__xludf.DUMMYFUNCTION("""COMPUTED_VALUE"""),"74 36 427170")</f>
        <v>74 36 427170</v>
      </c>
    </row>
    <row r="59" spans="1:4" ht="13" x14ac:dyDescent="0.3">
      <c r="A59" s="1" t="str">
        <f ca="1">IFERROR(__xludf.DUMMYFUNCTION("""COMPUTED_VALUE"""),"Таллин Александр Николаевич")</f>
        <v>Таллин Александр Николаевич</v>
      </c>
      <c r="B59" s="1">
        <f ca="1">IFERROR(__xludf.DUMMYFUNCTION("""COMPUTED_VALUE"""),89128056789)</f>
        <v>89128056789</v>
      </c>
      <c r="C59" s="1" t="str">
        <f ca="1">IFERROR(__xludf.DUMMYFUNCTION("""COMPUTED_VALUE"""),"НПП Дельта")</f>
        <v>НПП Дельта</v>
      </c>
      <c r="D59" s="1" t="str">
        <f ca="1">IFERROR(__xludf.DUMMYFUNCTION("""COMPUTED_VALUE"""),"74 МА 242832")</f>
        <v>74 МА 242832</v>
      </c>
    </row>
    <row r="60" spans="1:4" ht="13" x14ac:dyDescent="0.3">
      <c r="A60" s="1" t="str">
        <f ca="1">IFERROR(__xludf.DUMMYFUNCTION("""COMPUTED_VALUE"""),"Хабрахманов Фарит Зиннурович")</f>
        <v>Хабрахманов Фарит Зиннурович</v>
      </c>
      <c r="B60" s="1"/>
      <c r="C60" s="1" t="str">
        <f ca="1">IFERROR(__xludf.DUMMYFUNCTION("""COMPUTED_VALUE"""),"УралМетЛогистик")</f>
        <v>УралМетЛогистик</v>
      </c>
      <c r="D60" s="1" t="str">
        <f ca="1">IFERROR(__xludf.DUMMYFUNCTION("""COMPUTED_VALUE"""),"75 14 54119")</f>
        <v>75 14 54119</v>
      </c>
    </row>
    <row r="61" spans="1:4" ht="13" x14ac:dyDescent="0.3">
      <c r="A61" s="1" t="str">
        <f ca="1">IFERROR(__xludf.DUMMYFUNCTION("""COMPUTED_VALUE"""),"Стародубов Сергей Михайлович")</f>
        <v>Стародубов Сергей Михайлович</v>
      </c>
      <c r="B61" s="1">
        <f ca="1">IFERROR(__xludf.DUMMYFUNCTION("""COMPUTED_VALUE"""),89823157385)</f>
        <v>89823157385</v>
      </c>
      <c r="C61" s="1" t="str">
        <f ca="1">IFERROR(__xludf.DUMMYFUNCTION("""COMPUTED_VALUE"""),"РВ-Тариф")</f>
        <v>РВ-Тариф</v>
      </c>
      <c r="D61" s="1" t="str">
        <f ca="1">IFERROR(__xludf.DUMMYFUNCTION("""COMPUTED_VALUE"""),"75 20 531607")</f>
        <v>75 20 531607</v>
      </c>
    </row>
    <row r="62" spans="1:4" ht="13" x14ac:dyDescent="0.3">
      <c r="A62" s="1" t="str">
        <f ca="1">IFERROR(__xludf.DUMMYFUNCTION("""COMPUTED_VALUE"""),"Контарбаев Фарит Бигмагамбетович")</f>
        <v>Контарбаев Фарит Бигмагамбетович</v>
      </c>
      <c r="B62" s="1">
        <f ca="1">IFERROR(__xludf.DUMMYFUNCTION("""COMPUTED_VALUE"""),89085793717)</f>
        <v>89085793717</v>
      </c>
      <c r="C62" s="1" t="str">
        <f ca="1">IFERROR(__xludf.DUMMYFUNCTION("""COMPUTED_VALUE"""),"Спецтехтранс")</f>
        <v>Спецтехтранс</v>
      </c>
      <c r="D62" s="1" t="str">
        <f ca="1">IFERROR(__xludf.DUMMYFUNCTION("""COMPUTED_VALUE"""),"82 21")</f>
        <v>82 21</v>
      </c>
    </row>
    <row r="63" spans="1:4" ht="13" x14ac:dyDescent="0.3">
      <c r="A63" s="1" t="str">
        <f ca="1">IFERROR(__xludf.DUMMYFUNCTION("""COMPUTED_VALUE"""),"Неясов Николай Анатольевич")</f>
        <v>Неясов Николай Анатольевич</v>
      </c>
      <c r="B63" s="1">
        <f ca="1">IFERROR(__xludf.DUMMYFUNCTION("""COMPUTED_VALUE"""),79228581169)</f>
        <v>79228581169</v>
      </c>
      <c r="C63" s="1" t="str">
        <f ca="1">IFERROR(__xludf.DUMMYFUNCTION("""COMPUTED_VALUE"""),"ИП Нежданов")</f>
        <v>ИП Нежданов</v>
      </c>
      <c r="D63" s="1" t="str">
        <f ca="1">IFERROR(__xludf.DUMMYFUNCTION("""COMPUTED_VALUE"""),"99 01 300613")</f>
        <v>99 01 300613</v>
      </c>
    </row>
    <row r="64" spans="1:4" ht="13" x14ac:dyDescent="0.3">
      <c r="A64" s="1" t="str">
        <f ca="1">IFERROR(__xludf.DUMMYFUNCTION("""COMPUTED_VALUE"""),"Басарыгин Александр Евгеньевич")</f>
        <v>Басарыгин Александр Евгеньевич</v>
      </c>
      <c r="B64" s="1">
        <f ca="1">IFERROR(__xludf.DUMMYFUNCTION("""COMPUTED_VALUE"""),89639314279)</f>
        <v>89639314279</v>
      </c>
      <c r="C64" s="1" t="str">
        <f ca="1">IFERROR(__xludf.DUMMYFUNCTION("""COMPUTED_VALUE"""),"Синергия")</f>
        <v>Синергия</v>
      </c>
      <c r="D64" s="1" t="str">
        <f ca="1">IFERROR(__xludf.DUMMYFUNCTION("""COMPUTED_VALUE"""),"99 01 669555")</f>
        <v>99 01 669555</v>
      </c>
    </row>
    <row r="65" spans="1:4" ht="13" x14ac:dyDescent="0.3">
      <c r="A65" s="1" t="str">
        <f ca="1">IFERROR(__xludf.DUMMYFUNCTION("""COMPUTED_VALUE"""),"Слотин Андрей Владимирович")</f>
        <v>Слотин Андрей Владимирович</v>
      </c>
      <c r="B65" s="1">
        <f ca="1">IFERROR(__xludf.DUMMYFUNCTION("""COMPUTED_VALUE"""),89088252425)</f>
        <v>89088252425</v>
      </c>
      <c r="C65" s="1" t="str">
        <f ca="1">IFERROR(__xludf.DUMMYFUNCTION("""COMPUTED_VALUE"""),"УралМетЛогистик")</f>
        <v>УралМетЛогистик</v>
      </c>
      <c r="D65" s="1" t="str">
        <f ca="1">IFERROR(__xludf.DUMMYFUNCTION("""COMPUTED_VALUE"""),"99 01 670317")</f>
        <v>99 01 670317</v>
      </c>
    </row>
    <row r="66" spans="1:4" ht="13" x14ac:dyDescent="0.3">
      <c r="A66" s="1" t="str">
        <f ca="1">IFERROR(__xludf.DUMMYFUNCTION("""COMPUTED_VALUE"""),"Султанов Рамиль Заитович")</f>
        <v>Султанов Рамиль Заитович</v>
      </c>
      <c r="B66" s="1"/>
      <c r="C66" s="1" t="str">
        <f ca="1">IFERROR(__xludf.DUMMYFUNCTION("""COMPUTED_VALUE"""),"УДАЧА ПЛЮС БАРАНОВ")</f>
        <v>УДАЧА ПЛЮС БАРАНОВ</v>
      </c>
      <c r="D66" s="1" t="str">
        <f ca="1">IFERROR(__xludf.DUMMYFUNCTION("""COMPUTED_VALUE"""),"99 01 680308")</f>
        <v>99 01 680308</v>
      </c>
    </row>
    <row r="67" spans="1:4" ht="13" x14ac:dyDescent="0.3">
      <c r="A67" s="1" t="str">
        <f ca="1">IFERROR(__xludf.DUMMYFUNCTION("""COMPUTED_VALUE"""),"Мухамадеев Юлай Салаватович")</f>
        <v>Мухамадеев Юлай Салаватович</v>
      </c>
      <c r="B67" s="1">
        <f ca="1">IFERROR(__xludf.DUMMYFUNCTION("""COMPUTED_VALUE"""),89193372999)</f>
        <v>89193372999</v>
      </c>
      <c r="C67" s="1" t="str">
        <f ca="1">IFERROR(__xludf.DUMMYFUNCTION("""COMPUTED_VALUE"""),"РВ-Тариф")</f>
        <v>РВ-Тариф</v>
      </c>
      <c r="D67" s="1" t="str">
        <f ca="1">IFERROR(__xludf.DUMMYFUNCTION("""COMPUTED_VALUE"""),"99 01 680575")</f>
        <v>99 01 680575</v>
      </c>
    </row>
    <row r="68" spans="1:4" ht="13" x14ac:dyDescent="0.3">
      <c r="A68" s="1" t="str">
        <f ca="1">IFERROR(__xludf.DUMMYFUNCTION("""COMPUTED_VALUE"""),"Соколов Владимир Владимирович")</f>
        <v>Соколов Владимир Владимирович</v>
      </c>
      <c r="B68" s="1"/>
      <c r="C68" s="1" t="str">
        <f ca="1">IFERROR(__xludf.DUMMYFUNCTION("""COMPUTED_VALUE"""),"Меридиан")</f>
        <v>Меридиан</v>
      </c>
      <c r="D68" s="1" t="str">
        <f ca="1">IFERROR(__xludf.DUMMYFUNCTION("""COMPUTED_VALUE"""),"99 02 709132")</f>
        <v>99 02 709132</v>
      </c>
    </row>
    <row r="69" spans="1:4" ht="13" x14ac:dyDescent="0.3">
      <c r="A69" s="1" t="str">
        <f ca="1">IFERROR(__xludf.DUMMYFUNCTION("""COMPUTED_VALUE"""),"Гура Михаил Васильевич")</f>
        <v>Гура Михаил Васильевич</v>
      </c>
      <c r="B69" s="1">
        <f ca="1">IFERROR(__xludf.DUMMYFUNCTION("""COMPUTED_VALUE"""),89642490461)</f>
        <v>89642490461</v>
      </c>
      <c r="C69" s="1" t="str">
        <f ca="1">IFERROR(__xludf.DUMMYFUNCTION("""COMPUTED_VALUE"""),"Транспорт Солюшис")</f>
        <v>Транспорт Солюшис</v>
      </c>
      <c r="D69" s="1" t="str">
        <f ca="1">IFERROR(__xludf.DUMMYFUNCTION("""COMPUTED_VALUE"""),"99 03 024991")</f>
        <v>99 03 024991</v>
      </c>
    </row>
    <row r="70" spans="1:4" ht="13" x14ac:dyDescent="0.3">
      <c r="A70" s="1" t="str">
        <f ca="1">IFERROR(__xludf.DUMMYFUNCTION("""COMPUTED_VALUE"""),"Марьин Андрей Геннадьевич")</f>
        <v>Марьин Андрей Геннадьевич</v>
      </c>
      <c r="B70" s="1">
        <f ca="1">IFERROR(__xludf.DUMMYFUNCTION("""COMPUTED_VALUE"""),89048101048)</f>
        <v>89048101048</v>
      </c>
      <c r="C70" s="1" t="str">
        <f ca="1">IFERROR(__xludf.DUMMYFUNCTION("""COMPUTED_VALUE"""),"РВ-Тариф")</f>
        <v>РВ-Тариф</v>
      </c>
      <c r="D70" s="1" t="str">
        <f ca="1">IFERROR(__xludf.DUMMYFUNCTION("""COMPUTED_VALUE"""),"99 03 036848")</f>
        <v>99 03 036848</v>
      </c>
    </row>
    <row r="71" spans="1:4" ht="13" x14ac:dyDescent="0.3">
      <c r="A71" s="1" t="str">
        <f ca="1">IFERROR(__xludf.DUMMYFUNCTION("""COMPUTED_VALUE"""),"Марусов Владимир Анатольевич")</f>
        <v>Марусов Владимир Анатольевич</v>
      </c>
      <c r="B71" s="1">
        <f ca="1">IFERROR(__xludf.DUMMYFUNCTION("""COMPUTED_VALUE"""),89080699802)</f>
        <v>89080699802</v>
      </c>
      <c r="C71" s="1" t="str">
        <f ca="1">IFERROR(__xludf.DUMMYFUNCTION("""COMPUTED_VALUE"""),"РВ-Тариф")</f>
        <v>РВ-Тариф</v>
      </c>
      <c r="D71" s="1" t="str">
        <f ca="1">IFERROR(__xludf.DUMMYFUNCTION("""COMPUTED_VALUE"""),"99 05 604940")</f>
        <v>99 05 604940</v>
      </c>
    </row>
    <row r="72" spans="1:4" ht="13" x14ac:dyDescent="0.3">
      <c r="A72" s="1" t="str">
        <f ca="1">IFERROR(__xludf.DUMMYFUNCTION("""COMPUTED_VALUE"""),"Байбулатов Халит Ханифович")</f>
        <v>Байбулатов Халит Ханифович</v>
      </c>
      <c r="B72" s="1">
        <f ca="1">IFERROR(__xludf.DUMMYFUNCTION("""COMPUTED_VALUE"""),89625292892)</f>
        <v>89625292892</v>
      </c>
      <c r="C72" s="1" t="str">
        <f ca="1">IFERROR(__xludf.DUMMYFUNCTION("""COMPUTED_VALUE"""),"РВ-Тариф")</f>
        <v>РВ-Тариф</v>
      </c>
      <c r="D72" s="1" t="str">
        <f ca="1">IFERROR(__xludf.DUMMYFUNCTION("""COMPUTED_VALUE"""),"99 05 694327")</f>
        <v>99 05 694327</v>
      </c>
    </row>
    <row r="73" spans="1:4" ht="13" x14ac:dyDescent="0.3">
      <c r="A73" s="1" t="str">
        <f ca="1">IFERROR(__xludf.DUMMYFUNCTION("""COMPUTED_VALUE"""),"Воропаев Алексей Сергеевич")</f>
        <v>Воропаев Алексей Сергеевич</v>
      </c>
      <c r="B73" s="1">
        <f ca="1">IFERROR(__xludf.DUMMYFUNCTION("""COMPUTED_VALUE"""),79058825807)</f>
        <v>79058825807</v>
      </c>
      <c r="C73" s="1" t="str">
        <f ca="1">IFERROR(__xludf.DUMMYFUNCTION("""COMPUTED_VALUE"""),"МагСтройМаш")</f>
        <v>МагСтройМаш</v>
      </c>
      <c r="D73" s="1" t="str">
        <f ca="1">IFERROR(__xludf.DUMMYFUNCTION("""COMPUTED_VALUE"""),"99 06 114206")</f>
        <v>99 06 114206</v>
      </c>
    </row>
    <row r="74" spans="1:4" ht="13" x14ac:dyDescent="0.3">
      <c r="A74" s="1" t="str">
        <f ca="1">IFERROR(__xludf.DUMMYFUNCTION("""COMPUTED_VALUE"""),"Еременков Валерий Владимирович")</f>
        <v>Еременков Валерий Владимирович</v>
      </c>
      <c r="B74" s="1">
        <f ca="1">IFERROR(__xludf.DUMMYFUNCTION("""COMPUTED_VALUE"""),79193326594)</f>
        <v>79193326594</v>
      </c>
      <c r="C74" s="1" t="str">
        <f ca="1">IFERROR(__xludf.DUMMYFUNCTION("""COMPUTED_VALUE"""),"РВ-Тариф")</f>
        <v>РВ-Тариф</v>
      </c>
      <c r="D74" s="1" t="str">
        <f ca="1">IFERROR(__xludf.DUMMYFUNCTION("""COMPUTED_VALUE"""),"99 06 114206")</f>
        <v>99 06 114206</v>
      </c>
    </row>
    <row r="75" spans="1:4" ht="13" x14ac:dyDescent="0.3">
      <c r="A75" s="1" t="str">
        <f ca="1">IFERROR(__xludf.DUMMYFUNCTION("""COMPUTED_VALUE"""),"Рыбалкин Виталий Ильич")</f>
        <v>Рыбалкин Виталий Ильич</v>
      </c>
      <c r="B75" s="1"/>
      <c r="C75" s="1" t="str">
        <f ca="1">IFERROR(__xludf.DUMMYFUNCTION("""COMPUTED_VALUE"""),"РВ-Тариф")</f>
        <v>РВ-Тариф</v>
      </c>
      <c r="D75" s="1" t="str">
        <f ca="1">IFERROR(__xludf.DUMMYFUNCTION("""COMPUTED_VALUE"""),"99 06 122535")</f>
        <v>99 06 122535</v>
      </c>
    </row>
    <row r="76" spans="1:4" ht="13" x14ac:dyDescent="0.3">
      <c r="A76" s="1" t="str">
        <f ca="1">IFERROR(__xludf.DUMMYFUNCTION("""COMPUTED_VALUE"""),"Калинин Виктор Михайлович")</f>
        <v>Калинин Виктор Михайлович</v>
      </c>
      <c r="B76" s="1">
        <f ca="1">IFERROR(__xludf.DUMMYFUNCTION("""COMPUTED_VALUE"""),89507325802)</f>
        <v>89507325802</v>
      </c>
      <c r="C76" s="1" t="str">
        <f ca="1">IFERROR(__xludf.DUMMYFUNCTION("""COMPUTED_VALUE"""),"ИП Ренев")</f>
        <v>ИП Ренев</v>
      </c>
      <c r="D76" s="1" t="str">
        <f ca="1">IFERROR(__xludf.DUMMYFUNCTION("""COMPUTED_VALUE"""),"99 07 496477")</f>
        <v>99 07 496477</v>
      </c>
    </row>
    <row r="77" spans="1:4" ht="13" x14ac:dyDescent="0.3">
      <c r="A77" s="1" t="str">
        <f ca="1">IFERROR(__xludf.DUMMYFUNCTION("""COMPUTED_VALUE"""),"Бородин Алексей Владимирович")</f>
        <v>Бородин Алексей Владимирович</v>
      </c>
      <c r="B77" s="1"/>
      <c r="C77" s="1" t="str">
        <f ca="1">IFERROR(__xludf.DUMMYFUNCTION("""COMPUTED_VALUE"""),"Синергия")</f>
        <v>Синергия</v>
      </c>
      <c r="D77" s="1" t="str">
        <f ca="1">IFERROR(__xludf.DUMMYFUNCTION("""COMPUTED_VALUE"""),"99 07 503719")</f>
        <v>99 07 503719</v>
      </c>
    </row>
    <row r="78" spans="1:4" ht="13" x14ac:dyDescent="0.3">
      <c r="A78" s="1" t="str">
        <f ca="1">IFERROR(__xludf.DUMMYFUNCTION("""COMPUTED_VALUE"""),"Кевбрин Евгений Геннадьевич")</f>
        <v>Кевбрин Евгений Геннадьевич</v>
      </c>
      <c r="B78" s="1">
        <f ca="1">IFERROR(__xludf.DUMMYFUNCTION("""COMPUTED_VALUE"""),89826073181)</f>
        <v>89826073181</v>
      </c>
      <c r="C78" s="1" t="str">
        <f ca="1">IFERROR(__xludf.DUMMYFUNCTION("""COMPUTED_VALUE"""),"ТрансРегион")</f>
        <v>ТрансРегион</v>
      </c>
      <c r="D78" s="1" t="str">
        <f ca="1">IFERROR(__xludf.DUMMYFUNCTION("""COMPUTED_VALUE"""),"99 08 477589")</f>
        <v>99 08 477589</v>
      </c>
    </row>
    <row r="79" spans="1:4" ht="13" x14ac:dyDescent="0.3">
      <c r="A79" s="1" t="str">
        <f ca="1">IFERROR(__xludf.DUMMYFUNCTION("""COMPUTED_VALUE"""),"Поликарпов Константин Юрьевич")</f>
        <v>Поликарпов Константин Юрьевич</v>
      </c>
      <c r="B79" s="1">
        <f ca="1">IFERROR(__xludf.DUMMYFUNCTION("""COMPUTED_VALUE"""),89068988911)</f>
        <v>89068988911</v>
      </c>
      <c r="C79" s="1" t="str">
        <f ca="1">IFERROR(__xludf.DUMMYFUNCTION("""COMPUTED_VALUE"""),"Транспорт Солюшис")</f>
        <v>Транспорт Солюшис</v>
      </c>
      <c r="D79" s="1" t="str">
        <f ca="1">IFERROR(__xludf.DUMMYFUNCTION("""COMPUTED_VALUE"""),"99 08 499144")</f>
        <v>99 08 499144</v>
      </c>
    </row>
    <row r="80" spans="1:4" ht="13" x14ac:dyDescent="0.3">
      <c r="A80" s="1" t="str">
        <f ca="1">IFERROR(__xludf.DUMMYFUNCTION("""COMPUTED_VALUE"""),"Мещерин Александр Александрович")</f>
        <v>Мещерин Александр Александрович</v>
      </c>
      <c r="B80" s="1">
        <f ca="1">IFERROR(__xludf.DUMMYFUNCTION("""COMPUTED_VALUE"""),89000278355)</f>
        <v>89000278355</v>
      </c>
      <c r="C80" s="1" t="str">
        <f ca="1">IFERROR(__xludf.DUMMYFUNCTION("""COMPUTED_VALUE"""),"ИП Гаспарян")</f>
        <v>ИП Гаспарян</v>
      </c>
      <c r="D80" s="1" t="str">
        <f ca="1">IFERROR(__xludf.DUMMYFUNCTION("""COMPUTED_VALUE"""),"99 08 501512")</f>
        <v>99 08 501512</v>
      </c>
    </row>
    <row r="81" spans="1:4" ht="13" x14ac:dyDescent="0.3">
      <c r="A81" s="1" t="str">
        <f ca="1">IFERROR(__xludf.DUMMYFUNCTION("""COMPUTED_VALUE"""),"Метликин Александр Юрьевич")</f>
        <v>Метликин Александр Юрьевич</v>
      </c>
      <c r="B81" s="1">
        <f ca="1">IFERROR(__xludf.DUMMYFUNCTION("""COMPUTED_VALUE"""),89681193343)</f>
        <v>89681193343</v>
      </c>
      <c r="C81" s="1" t="str">
        <f ca="1">IFERROR(__xludf.DUMMYFUNCTION("""COMPUTED_VALUE"""),"РВ-Тариф")</f>
        <v>РВ-Тариф</v>
      </c>
      <c r="D81" s="1" t="str">
        <f ca="1">IFERROR(__xludf.DUMMYFUNCTION("""COMPUTED_VALUE"""),"99 08 502880")</f>
        <v>99 08 502880</v>
      </c>
    </row>
    <row r="82" spans="1:4" ht="13" x14ac:dyDescent="0.3">
      <c r="A82" s="1" t="str">
        <f ca="1">IFERROR(__xludf.DUMMYFUNCTION("""COMPUTED_VALUE"""),"Мурзабаев Руслан Мирасович")</f>
        <v>Мурзабаев Руслан Мирасович</v>
      </c>
      <c r="B82" s="1">
        <f ca="1">IFERROR(__xludf.DUMMYFUNCTION("""COMPUTED_VALUE"""),89823324078)</f>
        <v>89823324078</v>
      </c>
      <c r="C82" s="1" t="str">
        <f ca="1">IFERROR(__xludf.DUMMYFUNCTION("""COMPUTED_VALUE"""),"Синергия")</f>
        <v>Синергия</v>
      </c>
      <c r="D82" s="1" t="str">
        <f ca="1">IFERROR(__xludf.DUMMYFUNCTION("""COMPUTED_VALUE"""),"99 08 503139")</f>
        <v>99 08 503139</v>
      </c>
    </row>
    <row r="83" spans="1:4" ht="13" x14ac:dyDescent="0.3">
      <c r="A83" s="1" t="str">
        <f ca="1">IFERROR(__xludf.DUMMYFUNCTION("""COMPUTED_VALUE"""),"Мардеев Радик Сергеевич")</f>
        <v>Мардеев Радик Сергеевич</v>
      </c>
      <c r="B83" s="1">
        <f ca="1">IFERROR(__xludf.DUMMYFUNCTION("""COMPUTED_VALUE"""),89191157283)</f>
        <v>89191157283</v>
      </c>
      <c r="C83" s="1" t="str">
        <f ca="1">IFERROR(__xludf.DUMMYFUNCTION("""COMPUTED_VALUE"""),"РВ-Тариф")</f>
        <v>РВ-Тариф</v>
      </c>
      <c r="D83" s="1" t="str">
        <f ca="1">IFERROR(__xludf.DUMMYFUNCTION("""COMPUTED_VALUE"""),"99 08 504180")</f>
        <v>99 08 504180</v>
      </c>
    </row>
    <row r="84" spans="1:4" ht="13" x14ac:dyDescent="0.3">
      <c r="A84" s="1" t="str">
        <f ca="1">IFERROR(__xludf.DUMMYFUNCTION("""COMPUTED_VALUE"""),"Доколов Адик Валерьевич")</f>
        <v>Доколов Адик Валерьевич</v>
      </c>
      <c r="B84" s="1">
        <f ca="1">IFERROR(__xludf.DUMMYFUNCTION("""COMPUTED_VALUE"""),89227125439.8951)</f>
        <v>89227125439.895096</v>
      </c>
      <c r="C84" s="1" t="str">
        <f ca="1">IFERROR(__xludf.DUMMYFUNCTION("""COMPUTED_VALUE"""),"РВ-Тариф")</f>
        <v>РВ-Тариф</v>
      </c>
      <c r="D84" s="1" t="str">
        <f ca="1">IFERROR(__xludf.DUMMYFUNCTION("""COMPUTED_VALUE"""),"99 08 505321")</f>
        <v>99 08 505321</v>
      </c>
    </row>
    <row r="85" spans="1:4" ht="13" x14ac:dyDescent="0.3">
      <c r="A85" s="1" t="str">
        <f ca="1">IFERROR(__xludf.DUMMYFUNCTION("""COMPUTED_VALUE"""),"Рогожан Игорь Валентинович")</f>
        <v>Рогожан Игорь Валентинович</v>
      </c>
      <c r="B85" s="1">
        <f ca="1">IFERROR(__xludf.DUMMYFUNCTION("""COMPUTED_VALUE"""),79825485080)</f>
        <v>79825485080</v>
      </c>
      <c r="C85" s="1" t="str">
        <f ca="1">IFERROR(__xludf.DUMMYFUNCTION("""COMPUTED_VALUE"""),"УралМетЛогистик")</f>
        <v>УралМетЛогистик</v>
      </c>
      <c r="D85" s="1" t="str">
        <f ca="1">IFERROR(__xludf.DUMMYFUNCTION("""COMPUTED_VALUE"""),"99 10 212314")</f>
        <v>99 10 212314</v>
      </c>
    </row>
    <row r="86" spans="1:4" ht="13" x14ac:dyDescent="0.3">
      <c r="A86" s="1" t="str">
        <f ca="1">IFERROR(__xludf.DUMMYFUNCTION("""COMPUTED_VALUE"""),"Коннов Алексей Витальевич")</f>
        <v>Коннов Алексей Витальевич</v>
      </c>
      <c r="B86" s="1">
        <f ca="1">IFERROR(__xludf.DUMMYFUNCTION("""COMPUTED_VALUE"""),89615799111)</f>
        <v>89615799111</v>
      </c>
      <c r="C86" s="1" t="str">
        <f ca="1">IFERROR(__xludf.DUMMYFUNCTION("""COMPUTED_VALUE"""),"Синергия")</f>
        <v>Синергия</v>
      </c>
      <c r="D86" s="1" t="str">
        <f ca="1">IFERROR(__xludf.DUMMYFUNCTION("""COMPUTED_VALUE"""),"99 10 656997")</f>
        <v>99 10 656997</v>
      </c>
    </row>
    <row r="87" spans="1:4" ht="13" x14ac:dyDescent="0.3">
      <c r="A87" s="1" t="str">
        <f ca="1">IFERROR(__xludf.DUMMYFUNCTION("""COMPUTED_VALUE"""),"Сынгызов Азамат Ишмухаметович")</f>
        <v>Сынгызов Азамат Ишмухаметович</v>
      </c>
      <c r="B87" s="1">
        <f ca="1">IFERROR(__xludf.DUMMYFUNCTION("""COMPUTED_VALUE"""),89378570098)</f>
        <v>89378570098</v>
      </c>
      <c r="C87" s="1" t="str">
        <f ca="1">IFERROR(__xludf.DUMMYFUNCTION("""COMPUTED_VALUE"""),"Синергия")</f>
        <v>Синергия</v>
      </c>
      <c r="D87" s="1" t="str">
        <f ca="1">IFERROR(__xludf.DUMMYFUNCTION("""COMPUTED_VALUE"""),"99 10 792036")</f>
        <v>99 10 792036</v>
      </c>
    </row>
    <row r="88" spans="1:4" ht="13" x14ac:dyDescent="0.3">
      <c r="A88" s="1" t="str">
        <f ca="1">IFERROR(__xludf.DUMMYFUNCTION("""COMPUTED_VALUE"""),"Бондарев Андрей Александрович")</f>
        <v>Бондарев Андрей Александрович</v>
      </c>
      <c r="B88" s="1">
        <f ca="1">IFERROR(__xludf.DUMMYFUNCTION("""COMPUTED_VALUE"""),89049447562)</f>
        <v>89049447562</v>
      </c>
      <c r="C88" s="1" t="str">
        <f ca="1">IFERROR(__xludf.DUMMYFUNCTION("""COMPUTED_VALUE"""),"РВ-Тариф")</f>
        <v>РВ-Тариф</v>
      </c>
      <c r="D88" s="1" t="str">
        <f ca="1">IFERROR(__xludf.DUMMYFUNCTION("""COMPUTED_VALUE"""),"99 11 295892")</f>
        <v>99 11 295892</v>
      </c>
    </row>
    <row r="89" spans="1:4" ht="13" x14ac:dyDescent="0.3">
      <c r="A89" s="1" t="str">
        <f ca="1">IFERROR(__xludf.DUMMYFUNCTION("""COMPUTED_VALUE"""),"Якшимбетов Вилюр Варисович")</f>
        <v>Якшимбетов Вилюр Варисович</v>
      </c>
      <c r="B89" s="1">
        <f ca="1">IFERROR(__xludf.DUMMYFUNCTION("""COMPUTED_VALUE"""),89222328097)</f>
        <v>89222328097</v>
      </c>
      <c r="C89" s="1" t="str">
        <f ca="1">IFERROR(__xludf.DUMMYFUNCTION("""COMPUTED_VALUE"""),"РВ-Тариф")</f>
        <v>РВ-Тариф</v>
      </c>
      <c r="D89" s="1" t="str">
        <f ca="1">IFERROR(__xludf.DUMMYFUNCTION("""COMPUTED_VALUE"""),"99 12 147563")</f>
        <v>99 12 147563</v>
      </c>
    </row>
    <row r="90" spans="1:4" ht="13" x14ac:dyDescent="0.3">
      <c r="A90" s="1" t="str">
        <f ca="1">IFERROR(__xludf.DUMMYFUNCTION("""COMPUTED_VALUE"""),"Мавлитов Шамиль Файзуллович")</f>
        <v>Мавлитов Шамиль Файзуллович</v>
      </c>
      <c r="B90" s="1">
        <f ca="1">IFERROR(__xludf.DUMMYFUNCTION("""COMPUTED_VALUE"""),89191290702)</f>
        <v>89191290702</v>
      </c>
      <c r="C90" s="1" t="str">
        <f ca="1">IFERROR(__xludf.DUMMYFUNCTION("""COMPUTED_VALUE"""),"ИП Федоров")</f>
        <v>ИП Федоров</v>
      </c>
      <c r="D90" s="1" t="str">
        <f ca="1">IFERROR(__xludf.DUMMYFUNCTION("""COMPUTED_VALUE"""),"99 12 147682")</f>
        <v>99 12 147682</v>
      </c>
    </row>
    <row r="91" spans="1:4" ht="13" x14ac:dyDescent="0.3">
      <c r="A91" s="1" t="str">
        <f ca="1">IFERROR(__xludf.DUMMYFUNCTION("""COMPUTED_VALUE"""),"Исмагилов Гаяз Зиннурович")</f>
        <v>Исмагилов Гаяз Зиннурович</v>
      </c>
      <c r="B91" s="1">
        <f ca="1">IFERROR(__xludf.DUMMYFUNCTION("""COMPUTED_VALUE"""),89270842404)</f>
        <v>89270842404</v>
      </c>
      <c r="C91" s="1" t="str">
        <f ca="1">IFERROR(__xludf.DUMMYFUNCTION("""COMPUTED_VALUE"""),"РВ-Тариф")</f>
        <v>РВ-Тариф</v>
      </c>
      <c r="D91" s="1" t="str">
        <f ca="1">IFERROR(__xludf.DUMMYFUNCTION("""COMPUTED_VALUE"""),"99 12 885617")</f>
        <v>99 12 885617</v>
      </c>
    </row>
    <row r="92" spans="1:4" ht="13" x14ac:dyDescent="0.3">
      <c r="A92" s="1" t="str">
        <f ca="1">IFERROR(__xludf.DUMMYFUNCTION("""COMPUTED_VALUE"""),"Нукаев Берик Каирбекович")</f>
        <v>Нукаев Берик Каирбекович</v>
      </c>
      <c r="B92" s="1"/>
      <c r="C92" s="1" t="str">
        <f ca="1">IFERROR(__xludf.DUMMYFUNCTION("""COMPUTED_VALUE"""),"УралметЛогистик")</f>
        <v>УралметЛогистик</v>
      </c>
      <c r="D92" s="1" t="str">
        <f ca="1">IFERROR(__xludf.DUMMYFUNCTION("""COMPUTED_VALUE"""),"99 12 954161")</f>
        <v>99 12 954161</v>
      </c>
    </row>
    <row r="93" spans="1:4" ht="13" x14ac:dyDescent="0.3">
      <c r="A93" s="1" t="str">
        <f ca="1">IFERROR(__xludf.DUMMYFUNCTION("""COMPUTED_VALUE"""),"Валеев Артур Арсланович")</f>
        <v>Валеев Артур Арсланович</v>
      </c>
      <c r="B93" s="1">
        <f ca="1">IFERROR(__xludf.DUMMYFUNCTION("""COMPUTED_VALUE"""),89124250232)</f>
        <v>89124250232</v>
      </c>
      <c r="C93" s="1" t="str">
        <f ca="1">IFERROR(__xludf.DUMMYFUNCTION("""COMPUTED_VALUE"""),"РВ-Тариф")</f>
        <v>РВ-Тариф</v>
      </c>
      <c r="D93" s="1" t="str">
        <f ca="1">IFERROR(__xludf.DUMMYFUNCTION("""COMPUTED_VALUE"""),"99 12 954553")</f>
        <v>99 12 954553</v>
      </c>
    </row>
    <row r="94" spans="1:4" ht="13" x14ac:dyDescent="0.3">
      <c r="A94" s="1" t="str">
        <f ca="1">IFERROR(__xludf.DUMMYFUNCTION("""COMPUTED_VALUE"""),"Горбунов Валентин Николаевич")</f>
        <v>Горбунов Валентин Николаевич</v>
      </c>
      <c r="B94" s="1">
        <f ca="1">IFERROR(__xludf.DUMMYFUNCTION("""COMPUTED_VALUE"""),89193439404)</f>
        <v>89193439404</v>
      </c>
      <c r="C94" s="1" t="str">
        <f ca="1">IFERROR(__xludf.DUMMYFUNCTION("""COMPUTED_VALUE"""),"РВ-Тариф")</f>
        <v>РВ-Тариф</v>
      </c>
      <c r="D94" s="1" t="str">
        <f ca="1">IFERROR(__xludf.DUMMYFUNCTION("""COMPUTED_VALUE"""),"99 12 975382")</f>
        <v>99 12 975382</v>
      </c>
    </row>
    <row r="95" spans="1:4" ht="13" x14ac:dyDescent="0.3">
      <c r="A95" s="1" t="str">
        <f ca="1">IFERROR(__xludf.DUMMYFUNCTION("""COMPUTED_VALUE"""),"Головлёв Артём Евгеньевич")</f>
        <v>Головлёв Артём Евгеньевич</v>
      </c>
      <c r="B95" s="1">
        <f ca="1">IFERROR(__xludf.DUMMYFUNCTION("""COMPUTED_VALUE"""),89191167533)</f>
        <v>89191167533</v>
      </c>
      <c r="C95" s="1" t="str">
        <f ca="1">IFERROR(__xludf.DUMMYFUNCTION("""COMPUTED_VALUE"""),"РВ-Тариф")</f>
        <v>РВ-Тариф</v>
      </c>
      <c r="D95" s="1" t="str">
        <f ca="1">IFERROR(__xludf.DUMMYFUNCTION("""COMPUTED_VALUE"""),"99 13 052973")</f>
        <v>99 13 052973</v>
      </c>
    </row>
    <row r="96" spans="1:4" ht="13" x14ac:dyDescent="0.3">
      <c r="A96" s="1" t="str">
        <f ca="1">IFERROR(__xludf.DUMMYFUNCTION("""COMPUTED_VALUE"""),"Мещерин Иван Александрович")</f>
        <v>Мещерин Иван Александрович</v>
      </c>
      <c r="B96" s="1">
        <f ca="1">IFERROR(__xludf.DUMMYFUNCTION("""COMPUTED_VALUE"""),89514467894)</f>
        <v>89514467894</v>
      </c>
      <c r="C96" s="1" t="str">
        <f ca="1">IFERROR(__xludf.DUMMYFUNCTION("""COMPUTED_VALUE"""),"ИП Гаспарян")</f>
        <v>ИП Гаспарян</v>
      </c>
      <c r="D96" s="1" t="str">
        <f ca="1">IFERROR(__xludf.DUMMYFUNCTION("""COMPUTED_VALUE"""),"99 14 361394")</f>
        <v>99 14 361394</v>
      </c>
    </row>
    <row r="97" spans="1:4" ht="13" x14ac:dyDescent="0.3">
      <c r="A97" s="1" t="str">
        <f ca="1">IFERROR(__xludf.DUMMYFUNCTION("""COMPUTED_VALUE"""),"Маслаков Андрей Владимирович")</f>
        <v>Маслаков Андрей Владимирович</v>
      </c>
      <c r="B97" s="1">
        <f ca="1">IFERROR(__xludf.DUMMYFUNCTION("""COMPUTED_VALUE"""),89127782524)</f>
        <v>89127782524</v>
      </c>
      <c r="C97" s="1" t="str">
        <f ca="1">IFERROR(__xludf.DUMMYFUNCTION("""COMPUTED_VALUE"""),"РВ-Тариф")</f>
        <v>РВ-Тариф</v>
      </c>
      <c r="D97" s="1" t="str">
        <f ca="1">IFERROR(__xludf.DUMMYFUNCTION("""COMPUTED_VALUE"""),"99 14 361583")</f>
        <v>99 14 361583</v>
      </c>
    </row>
    <row r="98" spans="1:4" ht="13" x14ac:dyDescent="0.3">
      <c r="A98" s="1" t="str">
        <f ca="1">IFERROR(__xludf.DUMMYFUNCTION("""COMPUTED_VALUE"""),"Закиров Замил Закиевич")</f>
        <v>Закиров Замил Закиевич</v>
      </c>
      <c r="B98" s="1">
        <f ca="1">IFERROR(__xludf.DUMMYFUNCTION("""COMPUTED_VALUE"""),89026129284)</f>
        <v>89026129284</v>
      </c>
      <c r="C98" s="1" t="str">
        <f ca="1">IFERROR(__xludf.DUMMYFUNCTION("""COMPUTED_VALUE"""),"РВ-Тариф")</f>
        <v>РВ-Тариф</v>
      </c>
      <c r="D98" s="1" t="str">
        <f ca="1">IFERROR(__xludf.DUMMYFUNCTION("""COMPUTED_VALUE"""),"99 15 233751")</f>
        <v>99 15 233751</v>
      </c>
    </row>
    <row r="99" spans="1:4" ht="13" x14ac:dyDescent="0.3">
      <c r="A99" s="1" t="str">
        <f ca="1">IFERROR(__xludf.DUMMYFUNCTION("""COMPUTED_VALUE"""),"Брусенцев Николай Викторович")</f>
        <v>Брусенцев Николай Викторович</v>
      </c>
      <c r="B99" s="1">
        <f ca="1">IFERROR(__xludf.DUMMYFUNCTION("""COMPUTED_VALUE"""),89823692274)</f>
        <v>89823692274</v>
      </c>
      <c r="C99" s="1" t="str">
        <f ca="1">IFERROR(__xludf.DUMMYFUNCTION("""COMPUTED_VALUE"""),"НПП Дельта")</f>
        <v>НПП Дельта</v>
      </c>
      <c r="D99" s="1" t="str">
        <f ca="1">IFERROR(__xludf.DUMMYFUNCTION("""COMPUTED_VALUE"""),"99 15 235355")</f>
        <v>99 15 235355</v>
      </c>
    </row>
    <row r="100" spans="1:4" ht="13" x14ac:dyDescent="0.3">
      <c r="A100" s="1" t="str">
        <f ca="1">IFERROR(__xludf.DUMMYFUNCTION("""COMPUTED_VALUE"""),"Шагиев Ильгам Фаритович")</f>
        <v>Шагиев Ильгам Фаритович</v>
      </c>
      <c r="B100" s="1"/>
      <c r="C100" s="1" t="str">
        <f ca="1">IFERROR(__xludf.DUMMYFUNCTION("""COMPUTED_VALUE"""),"ИП Федоров")</f>
        <v>ИП Федоров</v>
      </c>
      <c r="D100" s="1" t="str">
        <f ca="1">IFERROR(__xludf.DUMMYFUNCTION("""COMPUTED_VALUE"""),"99 16 211812")</f>
        <v>99 16 211812</v>
      </c>
    </row>
    <row r="101" spans="1:4" ht="13" x14ac:dyDescent="0.3">
      <c r="A101" s="1" t="str">
        <f ca="1">IFERROR(__xludf.DUMMYFUNCTION("""COMPUTED_VALUE"""),"Ярушин Валерий Иванович")</f>
        <v>Ярушин Валерий Иванович</v>
      </c>
      <c r="B101" s="1">
        <f ca="1">IFERROR(__xludf.DUMMYFUNCTION("""COMPUTED_VALUE"""),89089366903)</f>
        <v>89089366903</v>
      </c>
      <c r="C101" s="1" t="str">
        <f ca="1">IFERROR(__xludf.DUMMYFUNCTION("""COMPUTED_VALUE"""),"ТрансРегион")</f>
        <v>ТрансРегион</v>
      </c>
      <c r="D101" s="1" t="str">
        <f ca="1">IFERROR(__xludf.DUMMYFUNCTION("""COMPUTED_VALUE"""),"99 17 059795")</f>
        <v>99 17 059795</v>
      </c>
    </row>
    <row r="102" spans="1:4" ht="13" x14ac:dyDescent="0.3">
      <c r="A102" s="1" t="str">
        <f ca="1">IFERROR(__xludf.DUMMYFUNCTION("""COMPUTED_VALUE"""),"Зинатуллин Ильшат Ильясович")</f>
        <v>Зинатуллин Ильшат Ильясович</v>
      </c>
      <c r="B102" s="1" t="str">
        <f ca="1">IFERROR(__xludf.DUMMYFUNCTION("""COMPUTED_VALUE"""),"‎89063731755")</f>
        <v>‎89063731755</v>
      </c>
      <c r="C102" s="1" t="str">
        <f ca="1">IFERROR(__xludf.DUMMYFUNCTION("""COMPUTED_VALUE"""),"РВ-Тариф")</f>
        <v>РВ-Тариф</v>
      </c>
      <c r="D102" s="1" t="str">
        <f ca="1">IFERROR(__xludf.DUMMYFUNCTION("""COMPUTED_VALUE"""),"99 17 196776")</f>
        <v>99 17 196776</v>
      </c>
    </row>
    <row r="103" spans="1:4" ht="13" x14ac:dyDescent="0.3">
      <c r="A103" s="1" t="str">
        <f ca="1">IFERROR(__xludf.DUMMYFUNCTION("""COMPUTED_VALUE"""),"Сибирёв Артём Николаевич")</f>
        <v>Сибирёв Артём Николаевич</v>
      </c>
      <c r="B103" s="1">
        <f ca="1">IFERROR(__xludf.DUMMYFUNCTION("""COMPUTED_VALUE"""),89227369001)</f>
        <v>89227369001</v>
      </c>
      <c r="C103" s="1" t="str">
        <f ca="1">IFERROR(__xludf.DUMMYFUNCTION("""COMPUTED_VALUE"""),"РВ-Тариф")</f>
        <v>РВ-Тариф</v>
      </c>
      <c r="D103" s="1" t="str">
        <f ca="1">IFERROR(__xludf.DUMMYFUNCTION("""COMPUTED_VALUE"""),"99 17 620526")</f>
        <v>99 17 620526</v>
      </c>
    </row>
    <row r="104" spans="1:4" ht="13" x14ac:dyDescent="0.3">
      <c r="A104" s="1" t="str">
        <f ca="1">IFERROR(__xludf.DUMMYFUNCTION("""COMPUTED_VALUE"""),"Якупов Айрат Асгатович")</f>
        <v>Якупов Айрат Асгатович</v>
      </c>
      <c r="B104" s="1">
        <f ca="1">IFERROR(__xludf.DUMMYFUNCTION("""COMPUTED_VALUE"""),89964020793)</f>
        <v>89964020793</v>
      </c>
      <c r="C104" s="1" t="str">
        <f ca="1">IFERROR(__xludf.DUMMYFUNCTION("""COMPUTED_VALUE"""),"Столица")</f>
        <v>Столица</v>
      </c>
      <c r="D104" s="1" t="str">
        <f ca="1">IFERROR(__xludf.DUMMYFUNCTION("""COMPUTED_VALUE"""),"99 17 748013")</f>
        <v>99 17 748013</v>
      </c>
    </row>
    <row r="105" spans="1:4" ht="13" x14ac:dyDescent="0.3">
      <c r="A105" s="1" t="str">
        <f ca="1">IFERROR(__xludf.DUMMYFUNCTION("""COMPUTED_VALUE"""),"Кунаков Ильгиз Кувандыкович")</f>
        <v>Кунаков Ильгиз Кувандыкович</v>
      </c>
      <c r="B105" s="1">
        <f ca="1">IFERROR(__xludf.DUMMYFUNCTION("""COMPUTED_VALUE"""),89279455297)</f>
        <v>89279455297</v>
      </c>
      <c r="C105" s="1" t="str">
        <f ca="1">IFERROR(__xludf.DUMMYFUNCTION("""COMPUTED_VALUE"""),"РВ-Тариф")</f>
        <v>РВ-Тариф</v>
      </c>
      <c r="D105" s="1" t="str">
        <f ca="1">IFERROR(__xludf.DUMMYFUNCTION("""COMPUTED_VALUE"""),"99 18 038109")</f>
        <v>99 18 038109</v>
      </c>
    </row>
    <row r="106" spans="1:4" ht="13" x14ac:dyDescent="0.3">
      <c r="A106" s="1" t="str">
        <f ca="1">IFERROR(__xludf.DUMMYFUNCTION("""COMPUTED_VALUE"""),"Соханчук Михаил Викторович")</f>
        <v>Соханчук Михаил Викторович</v>
      </c>
      <c r="B106" s="1">
        <f ca="1">IFERROR(__xludf.DUMMYFUNCTION("""COMPUTED_VALUE"""),89000608749)</f>
        <v>89000608749</v>
      </c>
      <c r="C106" s="1" t="str">
        <f ca="1">IFERROR(__xludf.DUMMYFUNCTION("""COMPUTED_VALUE"""),"Синергия")</f>
        <v>Синергия</v>
      </c>
      <c r="D106" s="1" t="str">
        <f ca="1">IFERROR(__xludf.DUMMYFUNCTION("""COMPUTED_VALUE"""),"99 18 404760")</f>
        <v>99 18 404760</v>
      </c>
    </row>
    <row r="107" spans="1:4" ht="13" x14ac:dyDescent="0.3">
      <c r="A107" s="1" t="str">
        <f ca="1">IFERROR(__xludf.DUMMYFUNCTION("""COMPUTED_VALUE"""),"Караулов Андрей Геннадьевич")</f>
        <v>Караулов Андрей Геннадьевич</v>
      </c>
      <c r="B107" s="1"/>
      <c r="C107" s="1" t="str">
        <f ca="1">IFERROR(__xludf.DUMMYFUNCTION("""COMPUTED_VALUE"""),"Меридиан")</f>
        <v>Меридиан</v>
      </c>
      <c r="D107" s="1" t="str">
        <f ca="1">IFERROR(__xludf.DUMMYFUNCTION("""COMPUTED_VALUE"""),"99 18 404851")</f>
        <v>99 18 404851</v>
      </c>
    </row>
    <row r="108" spans="1:4" ht="13" x14ac:dyDescent="0.3">
      <c r="A108" s="1" t="str">
        <f ca="1">IFERROR(__xludf.DUMMYFUNCTION("""COMPUTED_VALUE"""),"Казиахметов Владислав Аркадиевич")</f>
        <v>Казиахметов Владислав Аркадиевич</v>
      </c>
      <c r="B108" s="1">
        <f ca="1">IFERROR(__xludf.DUMMYFUNCTION("""COMPUTED_VALUE"""),89080597318)</f>
        <v>89080597318</v>
      </c>
      <c r="C108" s="1" t="str">
        <f ca="1">IFERROR(__xludf.DUMMYFUNCTION("""COMPUTED_VALUE"""),"Синергия")</f>
        <v>Синергия</v>
      </c>
      <c r="D108" s="1" t="str">
        <f ca="1">IFERROR(__xludf.DUMMYFUNCTION("""COMPUTED_VALUE"""),"99 19 441079")</f>
        <v>99 19 441079</v>
      </c>
    </row>
    <row r="109" spans="1:4" ht="13" x14ac:dyDescent="0.3">
      <c r="A109" s="1" t="str">
        <f ca="1">IFERROR(__xludf.DUMMYFUNCTION("""COMPUTED_VALUE"""),"Мельников Дмитрий Анатольевич")</f>
        <v>Мельников Дмитрий Анатольевич</v>
      </c>
      <c r="B109" s="1">
        <f ca="1">IFERROR(__xludf.DUMMYFUNCTION("""COMPUTED_VALUE"""),89507403172)</f>
        <v>89507403172</v>
      </c>
      <c r="C109" s="1" t="str">
        <f ca="1">IFERROR(__xludf.DUMMYFUNCTION("""COMPUTED_VALUE"""),"РВ-Тариф")</f>
        <v>РВ-Тариф</v>
      </c>
      <c r="D109" s="1" t="str">
        <f ca="1">IFERROR(__xludf.DUMMYFUNCTION("""COMPUTED_VALUE"""),"99 19 452216")</f>
        <v>99 19 452216</v>
      </c>
    </row>
    <row r="110" spans="1:4" ht="13" x14ac:dyDescent="0.3">
      <c r="A110" s="1" t="str">
        <f ca="1">IFERROR(__xludf.DUMMYFUNCTION("""COMPUTED_VALUE"""),"Такмаков Владимир Николаевич")</f>
        <v>Такмаков Владимир Николаевич</v>
      </c>
      <c r="B110" s="1">
        <f ca="1">IFERROR(__xludf.DUMMYFUNCTION("""COMPUTED_VALUE"""),89823151560)</f>
        <v>89823151560</v>
      </c>
      <c r="C110" s="1" t="str">
        <f ca="1">IFERROR(__xludf.DUMMYFUNCTION("""COMPUTED_VALUE"""),"СтройПлюс")</f>
        <v>СтройПлюс</v>
      </c>
      <c r="D110" s="1" t="str">
        <f ca="1">IFERROR(__xludf.DUMMYFUNCTION("""COMPUTED_VALUE"""),"99 19 457002")</f>
        <v>99 19 457002</v>
      </c>
    </row>
    <row r="111" spans="1:4" ht="13" x14ac:dyDescent="0.3">
      <c r="A111" s="1" t="str">
        <f ca="1">IFERROR(__xludf.DUMMYFUNCTION("""COMPUTED_VALUE"""),"Молодых Алексей Валентинович")</f>
        <v>Молодых Алексей Валентинович</v>
      </c>
      <c r="B111" s="1">
        <f ca="1">IFERROR(__xludf.DUMMYFUNCTION("""COMPUTED_VALUE"""),89193010687)</f>
        <v>89193010687</v>
      </c>
      <c r="C111" s="1" t="str">
        <f ca="1">IFERROR(__xludf.DUMMYFUNCTION("""COMPUTED_VALUE"""),"ИП Кулешов")</f>
        <v>ИП Кулешов</v>
      </c>
      <c r="D111" s="1" t="str">
        <f ca="1">IFERROR(__xludf.DUMMYFUNCTION("""COMPUTED_VALUE"""),"99 20 553961")</f>
        <v>99 20 553961</v>
      </c>
    </row>
    <row r="112" spans="1:4" ht="13" x14ac:dyDescent="0.3">
      <c r="A112" s="1" t="str">
        <f ca="1">IFERROR(__xludf.DUMMYFUNCTION("""COMPUTED_VALUE"""),"Аитов Владимир Иванович")</f>
        <v>Аитов Владимир Иванович</v>
      </c>
      <c r="B112" s="1">
        <f ca="1">IFERROR(__xludf.DUMMYFUNCTION("""COMPUTED_VALUE"""),89507473624)</f>
        <v>89507473624</v>
      </c>
      <c r="C112" s="1" t="str">
        <f ca="1">IFERROR(__xludf.DUMMYFUNCTION("""COMPUTED_VALUE"""),"УралМетЛогистик")</f>
        <v>УралМетЛогистик</v>
      </c>
      <c r="D112" s="1" t="str">
        <f ca="1">IFERROR(__xludf.DUMMYFUNCTION("""COMPUTED_VALUE"""),"99 20 557540")</f>
        <v>99 20 557540</v>
      </c>
    </row>
    <row r="113" spans="1:4" ht="13" x14ac:dyDescent="0.3">
      <c r="A113" s="1" t="str">
        <f ca="1">IFERROR(__xludf.DUMMYFUNCTION("""COMPUTED_VALUE"""),"Журавлёв Александр Викторович")</f>
        <v>Журавлёв Александр Викторович</v>
      </c>
      <c r="B113" s="1"/>
      <c r="C113" s="1" t="str">
        <f ca="1">IFERROR(__xludf.DUMMYFUNCTION("""COMPUTED_VALUE"""),"РВ-Тариф")</f>
        <v>РВ-Тариф</v>
      </c>
      <c r="D113" s="1" t="str">
        <f ca="1">IFERROR(__xludf.DUMMYFUNCTION("""COMPUTED_VALUE"""),"99 21 612123")</f>
        <v>99 21 612123</v>
      </c>
    </row>
    <row r="114" spans="1:4" ht="13" x14ac:dyDescent="0.3">
      <c r="A114" s="1" t="str">
        <f ca="1">IFERROR(__xludf.DUMMYFUNCTION("""COMPUTED_VALUE"""),"Хакимов Михаил Анварович")</f>
        <v>Хакимов Михаил Анварович</v>
      </c>
      <c r="B114" s="1">
        <f ca="1">IFERROR(__xludf.DUMMYFUNCTION("""COMPUTED_VALUE"""),89123212124)</f>
        <v>89123212124</v>
      </c>
      <c r="C114" s="1" t="str">
        <f ca="1">IFERROR(__xludf.DUMMYFUNCTION("""COMPUTED_VALUE"""),"РВ-Тариф")</f>
        <v>РВ-Тариф</v>
      </c>
      <c r="D114" s="1" t="str">
        <f ca="1">IFERROR(__xludf.DUMMYFUNCTION("""COMPUTED_VALUE"""),"99 22 074183")</f>
        <v>99 22 074183</v>
      </c>
    </row>
    <row r="115" spans="1:4" ht="13" x14ac:dyDescent="0.3">
      <c r="A115" s="1" t="str">
        <f ca="1">IFERROR(__xludf.DUMMYFUNCTION("""COMPUTED_VALUE"""),"Чуйко Иван Андреевич")</f>
        <v>Чуйко Иван Андреевич</v>
      </c>
      <c r="B115" s="1">
        <f ca="1">IFERROR(__xludf.DUMMYFUNCTION("""COMPUTED_VALUE"""),89517731634)</f>
        <v>89517731634</v>
      </c>
      <c r="C115" s="1" t="str">
        <f ca="1">IFERROR(__xludf.DUMMYFUNCTION("""COMPUTED_VALUE"""),"УралМетЛогистик")</f>
        <v>УралМетЛогистик</v>
      </c>
      <c r="D115" s="1" t="str">
        <f ca="1">IFERROR(__xludf.DUMMYFUNCTION("""COMPUTED_VALUE"""),"99 22 075212")</f>
        <v>99 22 075212</v>
      </c>
    </row>
    <row r="116" spans="1:4" ht="13" x14ac:dyDescent="0.3">
      <c r="A116" s="1" t="str">
        <f ca="1">IFERROR(__xludf.DUMMYFUNCTION("""COMPUTED_VALUE"""),"Сарбаев Руслан Маликович")</f>
        <v>Сарбаев Руслан Маликович</v>
      </c>
      <c r="B116" s="1"/>
      <c r="C116" s="1" t="str">
        <f ca="1">IFERROR(__xludf.DUMMYFUNCTION("""COMPUTED_VALUE"""),"УралМетЛогистик")</f>
        <v>УралМетЛогистик</v>
      </c>
      <c r="D116" s="1" t="str">
        <f ca="1">IFERROR(__xludf.DUMMYFUNCTION("""COMPUTED_VALUE"""),"99 22 086208")</f>
        <v>99 22 086208</v>
      </c>
    </row>
    <row r="117" spans="1:4" ht="13" x14ac:dyDescent="0.3">
      <c r="A117" s="1" t="str">
        <f ca="1">IFERROR(__xludf.DUMMYFUNCTION("""COMPUTED_VALUE"""),"Медведев Андрей Витальевич")</f>
        <v>Медведев Андрей Витальевич</v>
      </c>
      <c r="B117" s="1">
        <f ca="1">IFERROR(__xludf.DUMMYFUNCTION("""COMPUTED_VALUE"""),89049797046)</f>
        <v>89049797046</v>
      </c>
      <c r="C117" s="1" t="str">
        <f ca="1">IFERROR(__xludf.DUMMYFUNCTION("""COMPUTED_VALUE"""),"УралМетЛогистик")</f>
        <v>УралМетЛогистик</v>
      </c>
      <c r="D117" s="1" t="str">
        <f ca="1">IFERROR(__xludf.DUMMYFUNCTION("""COMPUTED_VALUE"""),"99 22 093152")</f>
        <v>99 22 093152</v>
      </c>
    </row>
    <row r="118" spans="1:4" ht="13" x14ac:dyDescent="0.3">
      <c r="A118" s="1" t="str">
        <f ca="1">IFERROR(__xludf.DUMMYFUNCTION("""COMPUTED_VALUE"""),"Ахунов Алексей Анатольевич")</f>
        <v>Ахунов Алексей Анатольевич</v>
      </c>
      <c r="B118" s="1">
        <f ca="1">IFERROR(__xludf.DUMMYFUNCTION("""COMPUTED_VALUE"""),89823400645)</f>
        <v>89823400645</v>
      </c>
      <c r="C118" s="1" t="str">
        <f ca="1">IFERROR(__xludf.DUMMYFUNCTION("""COMPUTED_VALUE"""),"РВ-Тариф")</f>
        <v>РВ-Тариф</v>
      </c>
      <c r="D118" s="1" t="str">
        <f ca="1">IFERROR(__xludf.DUMMYFUNCTION("""COMPUTED_VALUE"""),"99 23 018896")</f>
        <v>99 23 018896</v>
      </c>
    </row>
    <row r="119" spans="1:4" ht="13" x14ac:dyDescent="0.3">
      <c r="A119" s="1" t="str">
        <f ca="1">IFERROR(__xludf.DUMMYFUNCTION("""COMPUTED_VALUE"""),"Третьяков Сергей Владимирович")</f>
        <v>Третьяков Сергей Владимирович</v>
      </c>
      <c r="B119" s="1">
        <f ca="1">IFERROR(__xludf.DUMMYFUNCTION("""COMPUTED_VALUE"""),89193482893)</f>
        <v>89193482893</v>
      </c>
      <c r="C119" s="1" t="str">
        <f ca="1">IFERROR(__xludf.DUMMYFUNCTION("""COMPUTED_VALUE"""),"РВ-Тариф")</f>
        <v>РВ-Тариф</v>
      </c>
      <c r="D119" s="1" t="str">
        <f ca="1">IFERROR(__xludf.DUMMYFUNCTION("""COMPUTED_VALUE"""),"99 23 799923")</f>
        <v>99 23 799923</v>
      </c>
    </row>
    <row r="120" spans="1:4" ht="13" x14ac:dyDescent="0.3">
      <c r="A120" s="1" t="str">
        <f ca="1">IFERROR(__xludf.DUMMYFUNCTION("""COMPUTED_VALUE"""),"Бычков Олег Юрьевич")</f>
        <v>Бычков Олег Юрьевич</v>
      </c>
      <c r="B120" s="1">
        <f ca="1">IFERROR(__xludf.DUMMYFUNCTION("""COMPUTED_VALUE"""),89123200272)</f>
        <v>89123200272</v>
      </c>
      <c r="C120" s="1" t="str">
        <f ca="1">IFERROR(__xludf.DUMMYFUNCTION("""COMPUTED_VALUE"""),"ЮжУралДор")</f>
        <v>ЮжУралДор</v>
      </c>
      <c r="D120" s="1" t="str">
        <f ca="1">IFERROR(__xludf.DUMMYFUNCTION("""COMPUTED_VALUE"""),"99 23 808992")</f>
        <v>99 23 808992</v>
      </c>
    </row>
    <row r="121" spans="1:4" ht="13" x14ac:dyDescent="0.3">
      <c r="A121" s="1" t="str">
        <f ca="1">IFERROR(__xludf.DUMMYFUNCTION("""COMPUTED_VALUE"""),"Хренов Константин Анатольевич")</f>
        <v>Хренов Константин Анатольевич</v>
      </c>
      <c r="B121" s="1">
        <f ca="1">IFERROR(__xludf.DUMMYFUNCTION("""COMPUTED_VALUE"""),89517788255)</f>
        <v>89517788255</v>
      </c>
      <c r="C121" s="1" t="str">
        <f ca="1">IFERROR(__xludf.DUMMYFUNCTION("""COMPUTED_VALUE"""),"РВ-Тариф")</f>
        <v>РВ-Тариф</v>
      </c>
      <c r="D121" s="1" t="str">
        <f ca="1">IFERROR(__xludf.DUMMYFUNCTION("""COMPUTED_VALUE"""),"99 23 812179")</f>
        <v>99 23 812179</v>
      </c>
    </row>
    <row r="122" spans="1:4" ht="13" x14ac:dyDescent="0.3">
      <c r="A122" s="1" t="str">
        <f ca="1">IFERROR(__xludf.DUMMYFUNCTION("""COMPUTED_VALUE"""),"Ситдиков Ришат Ринатович")</f>
        <v>Ситдиков Ришат Ринатович</v>
      </c>
      <c r="B122" s="1">
        <f ca="1">IFERROR(__xludf.DUMMYFUNCTION("""COMPUTED_VALUE"""),89677358833)</f>
        <v>89677358833</v>
      </c>
      <c r="C122" s="1" t="str">
        <f ca="1">IFERROR(__xludf.DUMMYFUNCTION("""COMPUTED_VALUE"""),"Столица")</f>
        <v>Столица</v>
      </c>
      <c r="D122" s="1" t="str">
        <f ca="1">IFERROR(__xludf.DUMMYFUNCTION("""COMPUTED_VALUE"""),"99 24 078285")</f>
        <v>99 24 078285</v>
      </c>
    </row>
    <row r="123" spans="1:4" ht="13" x14ac:dyDescent="0.3">
      <c r="A123" s="1" t="str">
        <f ca="1">IFERROR(__xludf.DUMMYFUNCTION("""COMPUTED_VALUE"""),"Мельниченко Михаил Николаевич")</f>
        <v>Мельниченко Михаил Николаевич</v>
      </c>
      <c r="B123" s="1"/>
      <c r="C123" s="1" t="str">
        <f ca="1">IFERROR(__xludf.DUMMYFUNCTION("""COMPUTED_VALUE"""),"УДАЧА ПЛЮС БАРАНОВ")</f>
        <v>УДАЧА ПЛЮС БАРАНОВ</v>
      </c>
      <c r="D123" s="1" t="str">
        <f ca="1">IFERROR(__xludf.DUMMYFUNCTION("""COMPUTED_VALUE"""),"99 25 533744")</f>
        <v>99 25 533744</v>
      </c>
    </row>
    <row r="124" spans="1:4" ht="13" x14ac:dyDescent="0.3">
      <c r="A124" s="1" t="str">
        <f ca="1">IFERROR(__xludf.DUMMYFUNCTION("""COMPUTED_VALUE"""),"Алексеев Алексей Сергеевич")</f>
        <v>Алексеев Алексей Сергеевич</v>
      </c>
      <c r="B124" s="1">
        <f ca="1">IFERROR(__xludf.DUMMYFUNCTION("""COMPUTED_VALUE"""),89000224494)</f>
        <v>89000224494</v>
      </c>
      <c r="C124" s="1" t="str">
        <f ca="1">IFERROR(__xludf.DUMMYFUNCTION("""COMPUTED_VALUE"""),"Синергия")</f>
        <v>Синергия</v>
      </c>
      <c r="D124" s="1" t="str">
        <f ca="1">IFERROR(__xludf.DUMMYFUNCTION("""COMPUTED_VALUE"""),"99 25 534431")</f>
        <v>99 25 534431</v>
      </c>
    </row>
    <row r="125" spans="1:4" ht="13" x14ac:dyDescent="0.3">
      <c r="A125" s="1" t="str">
        <f ca="1">IFERROR(__xludf.DUMMYFUNCTION("""COMPUTED_VALUE"""),"Тухватуллин Халит Хамитович")</f>
        <v>Тухватуллин Халит Хамитович</v>
      </c>
      <c r="B125" s="1">
        <f ca="1">IFERROR(__xludf.DUMMYFUNCTION("""COMPUTED_VALUE"""),89048141884)</f>
        <v>89048141884</v>
      </c>
      <c r="C125" s="1" t="str">
        <f ca="1">IFERROR(__xludf.DUMMYFUNCTION("""COMPUTED_VALUE"""),"Синергия")</f>
        <v>Синергия</v>
      </c>
      <c r="D125" s="1" t="str">
        <f ca="1">IFERROR(__xludf.DUMMYFUNCTION("""COMPUTED_VALUE"""),"99 25 855452")</f>
        <v>99 25 855452</v>
      </c>
    </row>
    <row r="126" spans="1:4" ht="13" x14ac:dyDescent="0.3">
      <c r="A126" s="1" t="str">
        <f ca="1">IFERROR(__xludf.DUMMYFUNCTION("""COMPUTED_VALUE"""),"Шумилин Евгений Валерьевич")</f>
        <v>Шумилин Евгений Валерьевич</v>
      </c>
      <c r="B126" s="1">
        <f ca="1">IFERROR(__xludf.DUMMYFUNCTION("""COMPUTED_VALUE"""),89123229574)</f>
        <v>89123229574</v>
      </c>
      <c r="C126" s="1" t="str">
        <f ca="1">IFERROR(__xludf.DUMMYFUNCTION("""COMPUTED_VALUE"""),"РВ-Тариф")</f>
        <v>РВ-Тариф</v>
      </c>
      <c r="D126" s="1" t="str">
        <f ca="1">IFERROR(__xludf.DUMMYFUNCTION("""COMPUTED_VALUE"""),"99 25 856608")</f>
        <v>99 25 856608</v>
      </c>
    </row>
    <row r="127" spans="1:4" ht="13" x14ac:dyDescent="0.3">
      <c r="A127" s="1" t="str">
        <f ca="1">IFERROR(__xludf.DUMMYFUNCTION("""COMPUTED_VALUE"""),"Поздняков Максим Валерьевич")</f>
        <v>Поздняков Максим Валерьевич</v>
      </c>
      <c r="B127" s="1">
        <f ca="1">IFERROR(__xludf.DUMMYFUNCTION("""COMPUTED_VALUE"""),89193298573)</f>
        <v>89193298573</v>
      </c>
      <c r="C127" s="1" t="str">
        <f ca="1">IFERROR(__xludf.DUMMYFUNCTION("""COMPUTED_VALUE"""),"РВ-Тариф")</f>
        <v>РВ-Тариф</v>
      </c>
      <c r="D127" s="1" t="str">
        <f ca="1">IFERROR(__xludf.DUMMYFUNCTION("""COMPUTED_VALUE"""),"99 25 856921")</f>
        <v>99 25 856921</v>
      </c>
    </row>
    <row r="128" spans="1:4" ht="13" x14ac:dyDescent="0.3">
      <c r="A128" s="1" t="str">
        <f ca="1">IFERROR(__xludf.DUMMYFUNCTION("""COMPUTED_VALUE"""),"Мирошников Денис Владимирович")</f>
        <v>Мирошников Денис Владимирович</v>
      </c>
      <c r="B128" s="1"/>
      <c r="C128" s="1" t="str">
        <f ca="1">IFERROR(__xludf.DUMMYFUNCTION("""COMPUTED_VALUE"""),"УралМетЛогистик")</f>
        <v>УралМетЛогистик</v>
      </c>
      <c r="D128" s="1" t="str">
        <f ca="1">IFERROR(__xludf.DUMMYFUNCTION("""COMPUTED_VALUE"""),"99 26 113533")</f>
        <v>99 26 113533</v>
      </c>
    </row>
    <row r="129" spans="1:4" ht="13" x14ac:dyDescent="0.3">
      <c r="A129" s="1" t="str">
        <f ca="1">IFERROR(__xludf.DUMMYFUNCTION("""COMPUTED_VALUE"""),"Попов Сергей Владимирович")</f>
        <v>Попов Сергей Владимирович</v>
      </c>
      <c r="B129" s="1">
        <f ca="1">IFERROR(__xludf.DUMMYFUNCTION("""COMPUTED_VALUE"""),89123193259)</f>
        <v>89123193259</v>
      </c>
      <c r="C129" s="1" t="str">
        <f ca="1">IFERROR(__xludf.DUMMYFUNCTION("""COMPUTED_VALUE"""),"ИП Кулешов")</f>
        <v>ИП Кулешов</v>
      </c>
      <c r="D129" s="1" t="str">
        <f ca="1">IFERROR(__xludf.DUMMYFUNCTION("""COMPUTED_VALUE"""),"99 27 922756")</f>
        <v>99 27 922756</v>
      </c>
    </row>
    <row r="130" spans="1:4" ht="13" x14ac:dyDescent="0.3">
      <c r="A130" s="1" t="str">
        <f ca="1">IFERROR(__xludf.DUMMYFUNCTION("""COMPUTED_VALUE"""),"Карий Николай Иванович")</f>
        <v>Карий Николай Иванович</v>
      </c>
      <c r="B130" s="1">
        <f ca="1">IFERROR(__xludf.DUMMYFUNCTION("""COMPUTED_VALUE"""),89127931508)</f>
        <v>89127931508</v>
      </c>
      <c r="C130" s="1" t="str">
        <f ca="1">IFERROR(__xludf.DUMMYFUNCTION("""COMPUTED_VALUE"""),"РВ-Тариф")</f>
        <v>РВ-Тариф</v>
      </c>
      <c r="D130" s="1" t="str">
        <f ca="1">IFERROR(__xludf.DUMMYFUNCTION("""COMPUTED_VALUE"""),"99 27 937260")</f>
        <v>99 27 937260</v>
      </c>
    </row>
    <row r="131" spans="1:4" ht="13" x14ac:dyDescent="0.3">
      <c r="A131" s="1" t="str">
        <f ca="1">IFERROR(__xludf.DUMMYFUNCTION("""COMPUTED_VALUE"""),"Лученко Андрей Владимирович")</f>
        <v>Лученко Андрей Владимирович</v>
      </c>
      <c r="B131" s="1">
        <f ca="1">IFERROR(__xludf.DUMMYFUNCTION("""COMPUTED_VALUE"""),89517947085)</f>
        <v>89517947085</v>
      </c>
      <c r="C131" s="1" t="str">
        <f ca="1">IFERROR(__xludf.DUMMYFUNCTION("""COMPUTED_VALUE"""),"РВ-Тариф")</f>
        <v>РВ-Тариф</v>
      </c>
      <c r="D131" s="1" t="str">
        <f ca="1">IFERROR(__xludf.DUMMYFUNCTION("""COMPUTED_VALUE"""),"99 27 937466")</f>
        <v>99 27 937466</v>
      </c>
    </row>
    <row r="132" spans="1:4" ht="13" x14ac:dyDescent="0.3">
      <c r="A132" s="1" t="str">
        <f ca="1">IFERROR(__xludf.DUMMYFUNCTION("""COMPUTED_VALUE"""),"Хаюрлин Нуржан Ситканович")</f>
        <v>Хаюрлин Нуржан Ситканович</v>
      </c>
      <c r="B132" s="1">
        <f ca="1">IFERROR(__xludf.DUMMYFUNCTION("""COMPUTED_VALUE"""),89030900998)</f>
        <v>89030900998</v>
      </c>
      <c r="C132" s="1" t="str">
        <f ca="1">IFERROR(__xludf.DUMMYFUNCTION("""COMPUTED_VALUE"""),"РВ-Тариф")</f>
        <v>РВ-Тариф</v>
      </c>
      <c r="D132" s="1" t="str">
        <f ca="1">IFERROR(__xludf.DUMMYFUNCTION("""COMPUTED_VALUE"""),"99 27 937564")</f>
        <v>99 27 937564</v>
      </c>
    </row>
    <row r="133" spans="1:4" ht="13" x14ac:dyDescent="0.3">
      <c r="A133" s="1" t="str">
        <f ca="1">IFERROR(__xludf.DUMMYFUNCTION("""COMPUTED_VALUE"""),"Нургалин Ильшат Абдулхакович")</f>
        <v>Нургалин Ильшат Абдулхакович</v>
      </c>
      <c r="B133" s="1">
        <f ca="1">IFERROR(__xludf.DUMMYFUNCTION("""COMPUTED_VALUE"""),89048141505)</f>
        <v>89048141505</v>
      </c>
      <c r="C133" s="1" t="str">
        <f ca="1">IFERROR(__xludf.DUMMYFUNCTION("""COMPUTED_VALUE"""),"Транспорт Солюшис")</f>
        <v>Транспорт Солюшис</v>
      </c>
      <c r="D133" s="1" t="str">
        <f ca="1">IFERROR(__xludf.DUMMYFUNCTION("""COMPUTED_VALUE"""),"99 27 938676")</f>
        <v>99 27 938676</v>
      </c>
    </row>
    <row r="134" spans="1:4" ht="13" x14ac:dyDescent="0.3">
      <c r="A134" s="1" t="str">
        <f ca="1">IFERROR(__xludf.DUMMYFUNCTION("""COMPUTED_VALUE"""),"Сорокин Денис Викторович")</f>
        <v>Сорокин Денис Викторович</v>
      </c>
      <c r="B134" s="1">
        <f ca="1">IFERROR(__xludf.DUMMYFUNCTION("""COMPUTED_VALUE"""),89615797460)</f>
        <v>89615797460</v>
      </c>
      <c r="C134" s="1" t="str">
        <f ca="1">IFERROR(__xludf.DUMMYFUNCTION("""COMPUTED_VALUE"""),"РВ-Тариф")</f>
        <v>РВ-Тариф</v>
      </c>
      <c r="D134" s="1" t="str">
        <f ca="1">IFERROR(__xludf.DUMMYFUNCTION("""COMPUTED_VALUE"""),"99 27 939727")</f>
        <v>99 27 939727</v>
      </c>
    </row>
    <row r="135" spans="1:4" ht="13" x14ac:dyDescent="0.3">
      <c r="A135" s="1" t="str">
        <f ca="1">IFERROR(__xludf.DUMMYFUNCTION("""COMPUTED_VALUE"""),"Янзигитов Данил Рамилович")</f>
        <v>Янзигитов Данил Рамилович</v>
      </c>
      <c r="B135" s="1">
        <f ca="1">IFERROR(__xludf.DUMMYFUNCTION("""COMPUTED_VALUE"""),89649505600)</f>
        <v>89649505600</v>
      </c>
      <c r="C135" s="1" t="str">
        <f ca="1">IFERROR(__xludf.DUMMYFUNCTION("""COMPUTED_VALUE"""),"ИП Федоров")</f>
        <v>ИП Федоров</v>
      </c>
      <c r="D135" s="1" t="str">
        <f ca="1">IFERROR(__xludf.DUMMYFUNCTION("""COMPUTED_VALUE"""),"99 28 046400")</f>
        <v>99 28 046400</v>
      </c>
    </row>
    <row r="136" spans="1:4" ht="13" x14ac:dyDescent="0.3">
      <c r="A136" s="1" t="str">
        <f ca="1">IFERROR(__xludf.DUMMYFUNCTION("""COMPUTED_VALUE"""),"Вильданов Вадим Галимович")</f>
        <v>Вильданов Вадим Галимович</v>
      </c>
      <c r="B136" s="1">
        <f ca="1">IFERROR(__xludf.DUMMYFUNCTION("""COMPUTED_VALUE"""),89642032322)</f>
        <v>89642032322</v>
      </c>
      <c r="C136" s="1" t="str">
        <f ca="1">IFERROR(__xludf.DUMMYFUNCTION("""COMPUTED_VALUE"""),"ИП Федоров")</f>
        <v>ИП Федоров</v>
      </c>
      <c r="D136" s="1" t="str">
        <f ca="1">IFERROR(__xludf.DUMMYFUNCTION("""COMPUTED_VALUE"""),"99 28 781475")</f>
        <v>99 28 781475</v>
      </c>
    </row>
    <row r="137" spans="1:4" ht="13" x14ac:dyDescent="0.3">
      <c r="A137" s="1"/>
      <c r="B137" s="1">
        <f ca="1">IFERROR(__xludf.DUMMYFUNCTION("""COMPUTED_VALUE"""),89000221949.8968)</f>
        <v>89000221949.896805</v>
      </c>
      <c r="C137" s="1" t="str">
        <f ca="1">IFERROR(__xludf.DUMMYFUNCTION("""COMPUTED_VALUE"""),"РВ-Тариф")</f>
        <v>РВ-Тариф</v>
      </c>
      <c r="D137" s="1" t="str">
        <f ca="1">IFERROR(__xludf.DUMMYFUNCTION("""COMPUTED_VALUE"""),"99 28 926701")</f>
        <v>99 28 926701</v>
      </c>
    </row>
    <row r="138" spans="1:4" ht="13" x14ac:dyDescent="0.3">
      <c r="A138" s="1" t="str">
        <f ca="1">IFERROR(__xludf.DUMMYFUNCTION("""COMPUTED_VALUE"""),"Никитин Иван Борисович")</f>
        <v>Никитин Иван Борисович</v>
      </c>
      <c r="B138" s="1">
        <f ca="1">IFERROR(__xludf.DUMMYFUNCTION("""COMPUTED_VALUE"""),89615787033)</f>
        <v>89615787033</v>
      </c>
      <c r="C138" s="1" t="str">
        <f ca="1">IFERROR(__xludf.DUMMYFUNCTION("""COMPUTED_VALUE"""),"РВ-Тариф")</f>
        <v>РВ-Тариф</v>
      </c>
      <c r="D138" s="1" t="str">
        <f ca="1">IFERROR(__xludf.DUMMYFUNCTION("""COMPUTED_VALUE"""),"99 28 936671")</f>
        <v>99 28 936671</v>
      </c>
    </row>
    <row r="139" spans="1:4" ht="13" x14ac:dyDescent="0.3">
      <c r="A139" s="1" t="str">
        <f ca="1">IFERROR(__xludf.DUMMYFUNCTION("""COMPUTED_VALUE"""),"Мурзин Алексей Викторович")</f>
        <v>Мурзин Алексей Викторович</v>
      </c>
      <c r="B139" s="1"/>
      <c r="C139" s="1" t="str">
        <f ca="1">IFERROR(__xludf.DUMMYFUNCTION("""COMPUTED_VALUE"""),"УралМетЛогистик")</f>
        <v>УралМетЛогистик</v>
      </c>
      <c r="D139" s="1" t="str">
        <f ca="1">IFERROR(__xludf.DUMMYFUNCTION("""COMPUTED_VALUE"""),"99 28 937341")</f>
        <v>99 28 937341</v>
      </c>
    </row>
    <row r="140" spans="1:4" ht="13" x14ac:dyDescent="0.3">
      <c r="A140" s="1" t="str">
        <f ca="1">IFERROR(__xludf.DUMMYFUNCTION("""COMPUTED_VALUE"""),"Минин Олег Иванович")</f>
        <v>Минин Олег Иванович</v>
      </c>
      <c r="B140" s="1" t="str">
        <f ca="1">IFERROR(__xludf.DUMMYFUNCTION("""COMPUTED_VALUE"""),"89000805682;89000805682;89514810854")</f>
        <v>89000805682;89000805682;89514810854</v>
      </c>
      <c r="C140" s="1" t="str">
        <f ca="1">IFERROR(__xludf.DUMMYFUNCTION("""COMPUTED_VALUE"""),"РВ-Тариф")</f>
        <v>РВ-Тариф</v>
      </c>
      <c r="D140" s="1" t="str">
        <f ca="1">IFERROR(__xludf.DUMMYFUNCTION("""COMPUTED_VALUE"""),"99 28 942354")</f>
        <v>99 28 942354</v>
      </c>
    </row>
    <row r="141" spans="1:4" ht="13" x14ac:dyDescent="0.3">
      <c r="A141" s="1" t="str">
        <f ca="1">IFERROR(__xludf.DUMMYFUNCTION("""COMPUTED_VALUE"""),"Доронин Январ Дмитриевич")</f>
        <v>Доронин Январ Дмитриевич</v>
      </c>
      <c r="B141" s="1"/>
      <c r="C141" s="1" t="str">
        <f ca="1">IFERROR(__xludf.DUMMYFUNCTION("""COMPUTED_VALUE"""),"ПромГражданСтрой")</f>
        <v>ПромГражданСтрой</v>
      </c>
      <c r="D141" s="1" t="str">
        <f ca="1">IFERROR(__xludf.DUMMYFUNCTION("""COMPUTED_VALUE"""),"99 30 766853")</f>
        <v>99 30 766853</v>
      </c>
    </row>
    <row r="142" spans="1:4" ht="13" x14ac:dyDescent="0.3">
      <c r="A142" s="1" t="str">
        <f ca="1">IFERROR(__xludf.DUMMYFUNCTION("""COMPUTED_VALUE"""),"Бацюн Сергей Сергеевич")</f>
        <v>Бацюн Сергей Сергеевич</v>
      </c>
      <c r="B142" s="1">
        <f ca="1">IFERROR(__xludf.DUMMYFUNCTION("""COMPUTED_VALUE"""),89227548511)</f>
        <v>89227548511</v>
      </c>
      <c r="C142" s="1" t="str">
        <f ca="1">IFERROR(__xludf.DUMMYFUNCTION("""COMPUTED_VALUE"""),"РВ-Тариф")</f>
        <v>РВ-Тариф</v>
      </c>
      <c r="D142" s="1" t="str">
        <f ca="1">IFERROR(__xludf.DUMMYFUNCTION("""COMPUTED_VALUE"""),"99 32 333147")</f>
        <v>99 32 333147</v>
      </c>
    </row>
    <row r="143" spans="1:4" ht="13" x14ac:dyDescent="0.3">
      <c r="A143" s="1" t="str">
        <f ca="1">IFERROR(__xludf.DUMMYFUNCTION("""COMPUTED_VALUE"""),"Саитов Ильнур Муритович")</f>
        <v>Саитов Ильнур Муритович</v>
      </c>
      <c r="B143" s="1">
        <f ca="1">IFERROR(__xludf.DUMMYFUNCTION("""COMPUTED_VALUE"""),89324409957)</f>
        <v>89324409957</v>
      </c>
      <c r="C143" s="1" t="str">
        <f ca="1">IFERROR(__xludf.DUMMYFUNCTION("""COMPUTED_VALUE"""),"РВ-Тариф")</f>
        <v>РВ-Тариф</v>
      </c>
      <c r="D143" s="1" t="str">
        <f ca="1">IFERROR(__xludf.DUMMYFUNCTION("""COMPUTED_VALUE"""),"99 32 333749")</f>
        <v>99 32 333749</v>
      </c>
    </row>
    <row r="144" spans="1:4" ht="13" x14ac:dyDescent="0.3">
      <c r="A144" s="1" t="str">
        <f ca="1">IFERROR(__xludf.DUMMYFUNCTION("""COMPUTED_VALUE"""),"Ахматкулов Абдурахим Абдурахмонович")</f>
        <v>Ахматкулов Абдурахим Абдурахмонович</v>
      </c>
      <c r="B144" s="1"/>
      <c r="C144" s="1" t="str">
        <f ca="1">IFERROR(__xludf.DUMMYFUNCTION("""COMPUTED_VALUE"""),"ПромГражданСтрой")</f>
        <v>ПромГражданСтрой</v>
      </c>
      <c r="D144" s="1" t="str">
        <f ca="1">IFERROR(__xludf.DUMMYFUNCTION("""COMPUTED_VALUE"""),"АА 12 49645")</f>
        <v>АА 12 49645</v>
      </c>
    </row>
    <row r="145" spans="1:4" ht="13" x14ac:dyDescent="0.3">
      <c r="A145" s="1" t="str">
        <f ca="1">IFERROR(__xludf.DUMMYFUNCTION("""COMPUTED_VALUE"""),"Горяев Тимур Олегович")</f>
        <v>Горяев Тимур Олегович</v>
      </c>
      <c r="B145" s="1">
        <f ca="1">IFERROR(__xludf.DUMMYFUNCTION("""COMPUTED_VALUE"""),89823175304)</f>
        <v>89823175304</v>
      </c>
      <c r="C145" s="1" t="str">
        <f ca="1">IFERROR(__xludf.DUMMYFUNCTION("""COMPUTED_VALUE"""),"ИП Ахмедов")</f>
        <v>ИП Ахмедов</v>
      </c>
      <c r="D145" s="1" t="str">
        <f ca="1">IFERROR(__xludf.DUMMYFUNCTION("""COMPUTED_VALUE"""),"ВА Е0 97088")</f>
        <v>ВА Е0 97088</v>
      </c>
    </row>
    <row r="146" spans="1:4" ht="13" x14ac:dyDescent="0.3">
      <c r="A146" s="1" t="str">
        <f ca="1">IFERROR(__xludf.DUMMYFUNCTION("""COMPUTED_VALUE"""),"Крохин Андрей Сергеевич")</f>
        <v>Крохин Андрей Сергеевич</v>
      </c>
      <c r="B146" s="1">
        <f ca="1">IFERROR(__xludf.DUMMYFUNCTION("""COMPUTED_VALUE"""),89193083202)</f>
        <v>89193083202</v>
      </c>
      <c r="C146" s="1" t="str">
        <f ca="1">IFERROR(__xludf.DUMMYFUNCTION("""COMPUTED_VALUE"""),"ИП Кулешов")</f>
        <v>ИП Кулешов</v>
      </c>
      <c r="D146" s="1" t="str">
        <f ca="1">IFERROR(__xludf.DUMMYFUNCTION("""COMPUTED_VALUE"""),"MQ 17 3009")</f>
        <v>MQ 17 3009</v>
      </c>
    </row>
    <row r="147" spans="1:4" ht="13" x14ac:dyDescent="0.3">
      <c r="A147" s="1" t="str">
        <f ca="1">IFERROR(__xludf.DUMMYFUNCTION("""COMPUTED_VALUE"""),"Погосян Егише Амаякович")</f>
        <v>Погосян Егише Амаякович</v>
      </c>
      <c r="B147" s="1"/>
      <c r="C147" s="1" t="str">
        <f ca="1">IFERROR(__xludf.DUMMYFUNCTION("""COMPUTED_VALUE"""),"ВАВИЛОН")</f>
        <v>ВАВИЛОН</v>
      </c>
      <c r="D147" s="1"/>
    </row>
    <row r="148" spans="1:4" ht="13" x14ac:dyDescent="0.3">
      <c r="A148" s="1" t="str">
        <f ca="1">IFERROR(__xludf.DUMMYFUNCTION("""COMPUTED_VALUE"""),"Тикуришвили Каха Отаревич")</f>
        <v>Тикуришвили Каха Отаревич</v>
      </c>
      <c r="B148" s="1"/>
      <c r="C148" s="1" t="str">
        <f ca="1">IFERROR(__xludf.DUMMYFUNCTION("""COMPUTED_VALUE"""),"ДОРСЕРВИС")</f>
        <v>ДОРСЕРВИС</v>
      </c>
      <c r="D148" s="1"/>
    </row>
    <row r="149" spans="1:4" ht="13" x14ac:dyDescent="0.3">
      <c r="A149" s="1" t="str">
        <f ca="1">IFERROR(__xludf.DUMMYFUNCTION("""COMPUTED_VALUE"""),"Коханый Сергей Анатольевич")</f>
        <v>Коханый Сергей Анатольевич</v>
      </c>
      <c r="B149" s="1"/>
      <c r="C149" s="1" t="str">
        <f ca="1">IFERROR(__xludf.DUMMYFUNCTION("""COMPUTED_VALUE"""),"Империя Строй")</f>
        <v>Империя Строй</v>
      </c>
      <c r="D149" s="1"/>
    </row>
    <row r="150" spans="1:4" ht="13" x14ac:dyDescent="0.3">
      <c r="A150" s="1" t="str">
        <f ca="1">IFERROR(__xludf.DUMMYFUNCTION("""COMPUTED_VALUE"""),"Галин Вадим Саматович")</f>
        <v>Галин Вадим Саматович</v>
      </c>
      <c r="B150" s="1"/>
      <c r="C150" s="1" t="str">
        <f ca="1">IFERROR(__xludf.DUMMYFUNCTION("""COMPUTED_VALUE"""),"ИП Ахмедов")</f>
        <v>ИП Ахмедов</v>
      </c>
      <c r="D150" s="1"/>
    </row>
    <row r="151" spans="1:4" ht="13" x14ac:dyDescent="0.3">
      <c r="A151" s="1" t="str">
        <f ca="1">IFERROR(__xludf.DUMMYFUNCTION("""COMPUTED_VALUE"""),"Пятибратов Сергей Владимирович")</f>
        <v>Пятибратов Сергей Владимирович</v>
      </c>
      <c r="B151" s="1"/>
      <c r="C151" s="1" t="str">
        <f ca="1">IFERROR(__xludf.DUMMYFUNCTION("""COMPUTED_VALUE"""),"ИП Ахмедов")</f>
        <v>ИП Ахмедов</v>
      </c>
      <c r="D151" s="1"/>
    </row>
    <row r="152" spans="1:4" ht="13" x14ac:dyDescent="0.3">
      <c r="A152" s="1" t="str">
        <f ca="1">IFERROR(__xludf.DUMMYFUNCTION("""COMPUTED_VALUE"""),"Харин Владимир Николаевич")</f>
        <v>Харин Владимир Николаевич</v>
      </c>
      <c r="B152" s="1"/>
      <c r="C152" s="1" t="str">
        <f ca="1">IFERROR(__xludf.DUMMYFUNCTION("""COMPUTED_VALUE"""),"ИП Кулешов")</f>
        <v>ИП Кулешов</v>
      </c>
      <c r="D152" s="1"/>
    </row>
    <row r="153" spans="1:4" ht="13" x14ac:dyDescent="0.3">
      <c r="A153" s="1" t="str">
        <f ca="1">IFERROR(__xludf.DUMMYFUNCTION("""COMPUTED_VALUE"""),"Холявенко Артем Николаевич")</f>
        <v>Холявенко Артем Николаевич</v>
      </c>
      <c r="B153" s="1"/>
      <c r="C153" s="1" t="str">
        <f ca="1">IFERROR(__xludf.DUMMYFUNCTION("""COMPUTED_VALUE"""),"ИП Кулешов")</f>
        <v>ИП Кулешов</v>
      </c>
      <c r="D153" s="1"/>
    </row>
    <row r="154" spans="1:4" ht="13" x14ac:dyDescent="0.3">
      <c r="A154" s="1" t="str">
        <f ca="1">IFERROR(__xludf.DUMMYFUNCTION("""COMPUTED_VALUE"""),"Минникаев Рустам Рафикович")</f>
        <v>Минникаев Рустам Рафикович</v>
      </c>
      <c r="B154" s="1"/>
      <c r="C154" s="1" t="str">
        <f ca="1">IFERROR(__xludf.DUMMYFUNCTION("""COMPUTED_VALUE"""),"ИП Кулешов")</f>
        <v>ИП Кулешов</v>
      </c>
      <c r="D154" s="1"/>
    </row>
    <row r="155" spans="1:4" ht="13" x14ac:dyDescent="0.3">
      <c r="A155" s="1" t="str">
        <f ca="1">IFERROR(__xludf.DUMMYFUNCTION("""COMPUTED_VALUE"""),"Колодкин Андрей Николаевич")</f>
        <v>Колодкин Андрей Николаевич</v>
      </c>
      <c r="B155" s="1"/>
      <c r="C155" s="1" t="str">
        <f ca="1">IFERROR(__xludf.DUMMYFUNCTION("""COMPUTED_VALUE"""),"ИП Кулешов")</f>
        <v>ИП Кулешов</v>
      </c>
      <c r="D155" s="1"/>
    </row>
    <row r="156" spans="1:4" ht="13" x14ac:dyDescent="0.3">
      <c r="A156" s="1" t="str">
        <f ca="1">IFERROR(__xludf.DUMMYFUNCTION("""COMPUTED_VALUE"""),"Резниченко Михаил Алексеевич")</f>
        <v>Резниченко Михаил Алексеевич</v>
      </c>
      <c r="B156" s="1"/>
      <c r="C156" s="1" t="str">
        <f ca="1">IFERROR(__xludf.DUMMYFUNCTION("""COMPUTED_VALUE"""),"ИП Кулешов")</f>
        <v>ИП Кулешов</v>
      </c>
      <c r="D156" s="1"/>
    </row>
    <row r="157" spans="1:4" ht="13" x14ac:dyDescent="0.3">
      <c r="A157" s="1" t="str">
        <f ca="1">IFERROR(__xludf.DUMMYFUNCTION("""COMPUTED_VALUE"""),"Ганибесов Алексей Михайлович")</f>
        <v>Ганибесов Алексей Михайлович</v>
      </c>
      <c r="B157" s="1"/>
      <c r="C157" s="1" t="str">
        <f ca="1">IFERROR(__xludf.DUMMYFUNCTION("""COMPUTED_VALUE"""),"ИП Кулешов")</f>
        <v>ИП Кулешов</v>
      </c>
      <c r="D157" s="1"/>
    </row>
    <row r="158" spans="1:4" ht="13" x14ac:dyDescent="0.3">
      <c r="A158" s="1" t="str">
        <f ca="1">IFERROR(__xludf.DUMMYFUNCTION("""COMPUTED_VALUE"""),"Шагииев Ильгам Фаритович")</f>
        <v>Шагииев Ильгам Фаритович</v>
      </c>
      <c r="B158" s="1"/>
      <c r="C158" s="1" t="str">
        <f ca="1">IFERROR(__xludf.DUMMYFUNCTION("""COMPUTED_VALUE"""),"ИП Федоров")</f>
        <v>ИП Федоров</v>
      </c>
      <c r="D158" s="1"/>
    </row>
    <row r="159" spans="1:4" ht="13" x14ac:dyDescent="0.3">
      <c r="A159" s="1" t="str">
        <f ca="1">IFERROR(__xludf.DUMMYFUNCTION("""COMPUTED_VALUE"""),"Чудайкин Олег Николаевич")</f>
        <v>Чудайкин Олег Николаевич</v>
      </c>
      <c r="B159" s="1"/>
      <c r="C159" s="1" t="str">
        <f ca="1">IFERROR(__xludf.DUMMYFUNCTION("""COMPUTED_VALUE"""),"ИП Федоров")</f>
        <v>ИП Федоров</v>
      </c>
      <c r="D159" s="1"/>
    </row>
    <row r="160" spans="1:4" ht="13" x14ac:dyDescent="0.3">
      <c r="A160" s="1" t="str">
        <f ca="1">IFERROR(__xludf.DUMMYFUNCTION("""COMPUTED_VALUE"""),"Зулкарнаев Искандар Григорьевич")</f>
        <v>Зулкарнаев Искандар Григорьевич</v>
      </c>
      <c r="B160" s="1"/>
      <c r="C160" s="1" t="str">
        <f ca="1">IFERROR(__xludf.DUMMYFUNCTION("""COMPUTED_VALUE"""),"ИП Федоров")</f>
        <v>ИП Федоров</v>
      </c>
      <c r="D160" s="1"/>
    </row>
    <row r="161" spans="1:4" ht="13" x14ac:dyDescent="0.3">
      <c r="A161" s="1" t="str">
        <f ca="1">IFERROR(__xludf.DUMMYFUNCTION("""COMPUTED_VALUE"""),"Калита Константин Константинович")</f>
        <v>Калита Константин Константинович</v>
      </c>
      <c r="B161" s="1"/>
      <c r="C161" s="1" t="str">
        <f ca="1">IFERROR(__xludf.DUMMYFUNCTION("""COMPUTED_VALUE"""),"МагСпецТранс")</f>
        <v>МагСпецТранс</v>
      </c>
      <c r="D161" s="1"/>
    </row>
    <row r="162" spans="1:4" ht="13" x14ac:dyDescent="0.3">
      <c r="A162" s="1" t="str">
        <f ca="1">IFERROR(__xludf.DUMMYFUNCTION("""COMPUTED_VALUE"""),"Гайназаров Сардор")</f>
        <v>Гайназаров Сардор</v>
      </c>
      <c r="B162" s="1"/>
      <c r="C162" s="1" t="str">
        <f ca="1">IFERROR(__xludf.DUMMYFUNCTION("""COMPUTED_VALUE"""),"Меридиан")</f>
        <v>Меридиан</v>
      </c>
      <c r="D162" s="1"/>
    </row>
    <row r="163" spans="1:4" ht="13" x14ac:dyDescent="0.3">
      <c r="A163" s="1" t="str">
        <f ca="1">IFERROR(__xludf.DUMMYFUNCTION("""COMPUTED_VALUE"""),"Тишин Павел Валерьевич")</f>
        <v>Тишин Павел Валерьевич</v>
      </c>
      <c r="B163" s="1"/>
      <c r="C163" s="1" t="str">
        <f ca="1">IFERROR(__xludf.DUMMYFUNCTION("""COMPUTED_VALUE"""),"Меридиан")</f>
        <v>Меридиан</v>
      </c>
      <c r="D163" s="1"/>
    </row>
    <row r="164" spans="1:4" ht="13" x14ac:dyDescent="0.3">
      <c r="A164" s="1" t="str">
        <f ca="1">IFERROR(__xludf.DUMMYFUNCTION("""COMPUTED_VALUE"""),"Рожков Дмитрий Витальевич")</f>
        <v>Рожков Дмитрий Витальевич</v>
      </c>
      <c r="B164" s="1"/>
      <c r="C164" s="1" t="str">
        <f ca="1">IFERROR(__xludf.DUMMYFUNCTION("""COMPUTED_VALUE"""),"Меридиан")</f>
        <v>Меридиан</v>
      </c>
      <c r="D164" s="1"/>
    </row>
    <row r="165" spans="1:4" ht="13" x14ac:dyDescent="0.3">
      <c r="A165" s="1" t="str">
        <f ca="1">IFERROR(__xludf.DUMMYFUNCTION("""COMPUTED_VALUE"""),"Асадуллин Альберт Мидхатович")</f>
        <v>Асадуллин Альберт Мидхатович</v>
      </c>
      <c r="B165" s="1"/>
      <c r="C165" s="1" t="str">
        <f ca="1">IFERROR(__xludf.DUMMYFUNCTION("""COMPUTED_VALUE"""),"Меридиан")</f>
        <v>Меридиан</v>
      </c>
      <c r="D165" s="1"/>
    </row>
    <row r="166" spans="1:4" ht="13" x14ac:dyDescent="0.3">
      <c r="A166" s="1" t="str">
        <f ca="1">IFERROR(__xludf.DUMMYFUNCTION("""COMPUTED_VALUE"""),"Ишмурзин Ильшат Галимьянович")</f>
        <v>Ишмурзин Ильшат Галимьянович</v>
      </c>
      <c r="B166" s="1"/>
      <c r="C166" s="1" t="str">
        <f ca="1">IFERROR(__xludf.DUMMYFUNCTION("""COMPUTED_VALUE"""),"Меридиан")</f>
        <v>Меридиан</v>
      </c>
      <c r="D166" s="1"/>
    </row>
    <row r="167" spans="1:4" ht="13" x14ac:dyDescent="0.3">
      <c r="A167" s="1" t="str">
        <f ca="1">IFERROR(__xludf.DUMMYFUNCTION("""COMPUTED_VALUE"""),"Солодовников Никита Александрович")</f>
        <v>Солодовников Никита Александрович</v>
      </c>
      <c r="B167" s="1"/>
      <c r="C167" s="1" t="str">
        <f ca="1">IFERROR(__xludf.DUMMYFUNCTION("""COMPUTED_VALUE"""),"Меридиан")</f>
        <v>Меридиан</v>
      </c>
      <c r="D167" s="1"/>
    </row>
    <row r="168" spans="1:4" ht="13" x14ac:dyDescent="0.3">
      <c r="A168" s="1" t="str">
        <f ca="1">IFERROR(__xludf.DUMMYFUNCTION("""COMPUTED_VALUE"""),"Исламгулов Ринат Амирович")</f>
        <v>Исламгулов Ринат Амирович</v>
      </c>
      <c r="B168" s="1"/>
      <c r="C168" s="1" t="str">
        <f ca="1">IFERROR(__xludf.DUMMYFUNCTION("""COMPUTED_VALUE"""),"ООО ""ЮжУралДор""")</f>
        <v>ООО "ЮжУралДор"</v>
      </c>
      <c r="D168" s="1"/>
    </row>
    <row r="169" spans="1:4" ht="13" x14ac:dyDescent="0.3">
      <c r="A169" s="1" t="str">
        <f ca="1">IFERROR(__xludf.DUMMYFUNCTION("""COMPUTED_VALUE"""),"Резанов Евгений Витальевич")</f>
        <v>Резанов Евгений Витальевич</v>
      </c>
      <c r="B169" s="1"/>
      <c r="C169" s="1" t="str">
        <f ca="1">IFERROR(__xludf.DUMMYFUNCTION("""COMPUTED_VALUE"""),"ООО ""ЮжУралДор""")</f>
        <v>ООО "ЮжУралДор"</v>
      </c>
      <c r="D169" s="1"/>
    </row>
    <row r="170" spans="1:4" ht="13" x14ac:dyDescent="0.3">
      <c r="A170" s="1" t="str">
        <f ca="1">IFERROR(__xludf.DUMMYFUNCTION("""COMPUTED_VALUE"""),"Альтяпов Рустам Ильмирович")</f>
        <v>Альтяпов Рустам Ильмирович</v>
      </c>
      <c r="B170" s="1"/>
      <c r="C170" s="1" t="str">
        <f ca="1">IFERROR(__xludf.DUMMYFUNCTION("""COMPUTED_VALUE"""),"ООО ""ЮжУралДор""")</f>
        <v>ООО "ЮжУралДор"</v>
      </c>
      <c r="D170" s="1"/>
    </row>
    <row r="171" spans="1:4" ht="13" x14ac:dyDescent="0.3">
      <c r="A171" s="1" t="str">
        <f ca="1">IFERROR(__xludf.DUMMYFUNCTION("""COMPUTED_VALUE"""),"Шкребко Алексей Владимирович")</f>
        <v>Шкребко Алексей Владимирович</v>
      </c>
      <c r="B171" s="1"/>
      <c r="C171" s="1" t="str">
        <f ca="1">IFERROR(__xludf.DUMMYFUNCTION("""COMPUTED_VALUE"""),"ООО ""ЮжУралДор""")</f>
        <v>ООО "ЮжУралДор"</v>
      </c>
      <c r="D171" s="1"/>
    </row>
    <row r="172" spans="1:4" ht="13" x14ac:dyDescent="0.3">
      <c r="A172" s="1" t="str">
        <f ca="1">IFERROR(__xludf.DUMMYFUNCTION("""COMPUTED_VALUE"""),"Джакупов Амантай Базаргалиевич")</f>
        <v>Джакупов Амантай Базаргалиевич</v>
      </c>
      <c r="B172" s="1"/>
      <c r="C172" s="1" t="str">
        <f ca="1">IFERROR(__xludf.DUMMYFUNCTION("""COMPUTED_VALUE"""),"ООО ""ЮжУралДор""")</f>
        <v>ООО "ЮжУралДор"</v>
      </c>
      <c r="D172" s="1"/>
    </row>
    <row r="173" spans="1:4" ht="13" x14ac:dyDescent="0.3">
      <c r="A173" s="1" t="str">
        <f ca="1">IFERROR(__xludf.DUMMYFUNCTION("""COMPUTED_VALUE"""),"Шестаков Владимир Александрович")</f>
        <v>Шестаков Владимир Александрович</v>
      </c>
      <c r="B173" s="1"/>
      <c r="C173" s="1" t="str">
        <f ca="1">IFERROR(__xludf.DUMMYFUNCTION("""COMPUTED_VALUE"""),"ООО ""ЮжУралДор""")</f>
        <v>ООО "ЮжУралДор"</v>
      </c>
      <c r="D173" s="1"/>
    </row>
    <row r="174" spans="1:4" ht="13" x14ac:dyDescent="0.3">
      <c r="A174" s="1" t="str">
        <f ca="1">IFERROR(__xludf.DUMMYFUNCTION("""COMPUTED_VALUE"""),"Шутов Юрий Александрович")</f>
        <v>Шутов Юрий Александрович</v>
      </c>
      <c r="B174" s="1"/>
      <c r="C174" s="1" t="str">
        <f ca="1">IFERROR(__xludf.DUMMYFUNCTION("""COMPUTED_VALUE"""),"ООО БУЛАВА")</f>
        <v>ООО БУЛАВА</v>
      </c>
      <c r="D174" s="1"/>
    </row>
    <row r="175" spans="1:4" ht="13" x14ac:dyDescent="0.3">
      <c r="A175" s="1" t="str">
        <f ca="1">IFERROR(__xludf.DUMMYFUNCTION("""COMPUTED_VALUE"""),"Гитнатулин Александр Романович")</f>
        <v>Гитнатулин Александр Романович</v>
      </c>
      <c r="B175" s="1"/>
      <c r="C175" s="1" t="str">
        <f ca="1">IFERROR(__xludf.DUMMYFUNCTION("""COMPUTED_VALUE"""),"ООО БУЛАВА")</f>
        <v>ООО БУЛАВА</v>
      </c>
      <c r="D175" s="1"/>
    </row>
    <row r="176" spans="1:4" ht="13" x14ac:dyDescent="0.3">
      <c r="A176" s="1" t="str">
        <f ca="1">IFERROR(__xludf.DUMMYFUNCTION("""COMPUTED_VALUE"""),"Дятлов Вячеслав Иванович")</f>
        <v>Дятлов Вячеслав Иванович</v>
      </c>
      <c r="B176" s="1"/>
      <c r="C176" s="1" t="str">
        <f ca="1">IFERROR(__xludf.DUMMYFUNCTION("""COMPUTED_VALUE"""),"ООО Удача Плюс Новиков")</f>
        <v>ООО Удача Плюс Новиков</v>
      </c>
      <c r="D176" s="1"/>
    </row>
    <row r="177" spans="1:4" ht="13" x14ac:dyDescent="0.3">
      <c r="A177" s="1" t="str">
        <f ca="1">IFERROR(__xludf.DUMMYFUNCTION("""COMPUTED_VALUE"""),"Ахмедов Эльшан Тельман Оглы")</f>
        <v>Ахмедов Эльшан Тельман Оглы</v>
      </c>
      <c r="B177" s="1"/>
      <c r="C177" s="1" t="str">
        <f ca="1">IFERROR(__xludf.DUMMYFUNCTION("""COMPUTED_VALUE"""),"ПромГражданСтрой")</f>
        <v>ПромГражданСтрой</v>
      </c>
      <c r="D177" s="1"/>
    </row>
    <row r="178" spans="1:4" ht="13" x14ac:dyDescent="0.3">
      <c r="A178" s="1" t="str">
        <f ca="1">IFERROR(__xludf.DUMMYFUNCTION("""COMPUTED_VALUE"""),"Мукимов Карим Муйдинджонович")</f>
        <v>Мукимов Карим Муйдинджонович</v>
      </c>
      <c r="B178" s="1"/>
      <c r="C178" s="1" t="str">
        <f ca="1">IFERROR(__xludf.DUMMYFUNCTION("""COMPUTED_VALUE"""),"ПромГражданСтрой")</f>
        <v>ПромГражданСтрой</v>
      </c>
      <c r="D178" s="1"/>
    </row>
    <row r="179" spans="1:4" ht="13" x14ac:dyDescent="0.3">
      <c r="A179" s="1" t="str">
        <f ca="1">IFERROR(__xludf.DUMMYFUNCTION("""COMPUTED_VALUE"""),"Лученко Владимир Борисович")</f>
        <v>Лученко Владимир Борисович</v>
      </c>
      <c r="B179" s="1"/>
      <c r="C179" s="1" t="str">
        <f ca="1">IFERROR(__xludf.DUMMYFUNCTION("""COMPUTED_VALUE"""),"РВ-Тариф")</f>
        <v>РВ-Тариф</v>
      </c>
      <c r="D179" s="1"/>
    </row>
    <row r="180" spans="1:4" ht="13" x14ac:dyDescent="0.3">
      <c r="A180" s="1" t="str">
        <f ca="1">IFERROR(__xludf.DUMMYFUNCTION("""COMPUTED_VALUE"""),"Васильев Виталий Викторович")</f>
        <v>Васильев Виталий Викторович</v>
      </c>
      <c r="B180" s="1"/>
      <c r="C180" s="1" t="str">
        <f ca="1">IFERROR(__xludf.DUMMYFUNCTION("""COMPUTED_VALUE"""),"РВ-Тариф")</f>
        <v>РВ-Тариф</v>
      </c>
      <c r="D180" s="1"/>
    </row>
    <row r="181" spans="1:4" ht="13" x14ac:dyDescent="0.3">
      <c r="A181" s="1" t="str">
        <f ca="1">IFERROR(__xludf.DUMMYFUNCTION("""COMPUTED_VALUE"""),"Кабилов Тахир Аликович")</f>
        <v>Кабилов Тахир Аликович</v>
      </c>
      <c r="B181" s="1"/>
      <c r="C181" s="1" t="str">
        <f ca="1">IFERROR(__xludf.DUMMYFUNCTION("""COMPUTED_VALUE"""),"Синергия")</f>
        <v>Синергия</v>
      </c>
      <c r="D181" s="1"/>
    </row>
    <row r="182" spans="1:4" ht="13" x14ac:dyDescent="0.3">
      <c r="A182" s="1" t="str">
        <f ca="1">IFERROR(__xludf.DUMMYFUNCTION("""COMPUTED_VALUE"""),"Яцкевич Сергей Петрович")</f>
        <v>Яцкевич Сергей Петрович</v>
      </c>
      <c r="B182" s="1"/>
      <c r="C182" s="1" t="str">
        <f ca="1">IFERROR(__xludf.DUMMYFUNCTION("""COMPUTED_VALUE"""),"Синергия")</f>
        <v>Синергия</v>
      </c>
      <c r="D182" s="1"/>
    </row>
    <row r="183" spans="1:4" ht="13" x14ac:dyDescent="0.3">
      <c r="A183" s="1" t="str">
        <f ca="1">IFERROR(__xludf.DUMMYFUNCTION("""COMPUTED_VALUE"""),"Жидких Александр Юрьевич")</f>
        <v>Жидких Александр Юрьевич</v>
      </c>
      <c r="B183" s="1"/>
      <c r="C183" s="1" t="str">
        <f ca="1">IFERROR(__xludf.DUMMYFUNCTION("""COMPUTED_VALUE"""),"Синергия")</f>
        <v>Синергия</v>
      </c>
      <c r="D183" s="1"/>
    </row>
    <row r="184" spans="1:4" ht="13" x14ac:dyDescent="0.3">
      <c r="A184" s="1" t="str">
        <f ca="1">IFERROR(__xludf.DUMMYFUNCTION("""COMPUTED_VALUE"""),"Юмагулов Ринат Загитович")</f>
        <v>Юмагулов Ринат Загитович</v>
      </c>
      <c r="B184" s="1"/>
      <c r="C184" s="1" t="str">
        <f ca="1">IFERROR(__xludf.DUMMYFUNCTION("""COMPUTED_VALUE"""),"Синергия")</f>
        <v>Синергия</v>
      </c>
      <c r="D184" s="1"/>
    </row>
    <row r="185" spans="1:4" ht="13" x14ac:dyDescent="0.3">
      <c r="A185" s="1" t="str">
        <f ca="1">IFERROR(__xludf.DUMMYFUNCTION("""COMPUTED_VALUE"""),"Данилов Сергей Николаевич")</f>
        <v>Данилов Сергей Николаевич</v>
      </c>
      <c r="B185" s="1"/>
      <c r="C185" s="1" t="str">
        <f ca="1">IFERROR(__xludf.DUMMYFUNCTION("""COMPUTED_VALUE"""),"Синергия")</f>
        <v>Синергия</v>
      </c>
      <c r="D185" s="1"/>
    </row>
    <row r="186" spans="1:4" ht="13" x14ac:dyDescent="0.3">
      <c r="A186" s="1" t="str">
        <f ca="1">IFERROR(__xludf.DUMMYFUNCTION("""COMPUTED_VALUE"""),"Михеев Евгений Алексеевич")</f>
        <v>Михеев Евгений Алексеевич</v>
      </c>
      <c r="B186" s="1"/>
      <c r="C186" s="1" t="str">
        <f ca="1">IFERROR(__xludf.DUMMYFUNCTION("""COMPUTED_VALUE"""),"Синергия")</f>
        <v>Синергия</v>
      </c>
      <c r="D186" s="1"/>
    </row>
    <row r="187" spans="1:4" ht="13" x14ac:dyDescent="0.3">
      <c r="A187" s="1" t="str">
        <f ca="1">IFERROR(__xludf.DUMMYFUNCTION("""COMPUTED_VALUE"""),"Ищанов Талгат Асылбекович")</f>
        <v>Ищанов Талгат Асылбекович</v>
      </c>
      <c r="B187" s="1"/>
      <c r="C187" s="1" t="str">
        <f ca="1">IFERROR(__xludf.DUMMYFUNCTION("""COMPUTED_VALUE"""),"Синергия")</f>
        <v>Синергия</v>
      </c>
      <c r="D187" s="1"/>
    </row>
    <row r="188" spans="1:4" ht="13" x14ac:dyDescent="0.3">
      <c r="A188" s="1" t="str">
        <f ca="1">IFERROR(__xludf.DUMMYFUNCTION("""COMPUTED_VALUE"""),"Мангушев Руслан Халильевич")</f>
        <v>Мангушев Руслан Халильевич</v>
      </c>
      <c r="B188" s="1"/>
      <c r="C188" s="1" t="str">
        <f ca="1">IFERROR(__xludf.DUMMYFUNCTION("""COMPUTED_VALUE"""),"Синергия")</f>
        <v>Синергия</v>
      </c>
      <c r="D188" s="1"/>
    </row>
    <row r="189" spans="1:4" ht="13" x14ac:dyDescent="0.3">
      <c r="A189" s="1" t="str">
        <f ca="1">IFERROR(__xludf.DUMMYFUNCTION("""COMPUTED_VALUE"""),"Сатаев Кайрат Тарганалынович")</f>
        <v>Сатаев Кайрат Тарганалынович</v>
      </c>
      <c r="B189" s="1"/>
      <c r="C189" s="1" t="str">
        <f ca="1">IFERROR(__xludf.DUMMYFUNCTION("""COMPUTED_VALUE"""),"Синергия")</f>
        <v>Синергия</v>
      </c>
      <c r="D189" s="1"/>
    </row>
    <row r="190" spans="1:4" ht="13" x14ac:dyDescent="0.3">
      <c r="A190" s="1" t="str">
        <f ca="1">IFERROR(__xludf.DUMMYFUNCTION("""COMPUTED_VALUE"""),"Шапошников Сергей Леонидович")</f>
        <v>Шапошников Сергей Леонидович</v>
      </c>
      <c r="B190" s="1"/>
      <c r="C190" s="1" t="str">
        <f ca="1">IFERROR(__xludf.DUMMYFUNCTION("""COMPUTED_VALUE"""),"Синергия")</f>
        <v>Синергия</v>
      </c>
      <c r="D190" s="1"/>
    </row>
    <row r="191" spans="1:4" ht="13" x14ac:dyDescent="0.3">
      <c r="A191" s="1" t="str">
        <f ca="1">IFERROR(__xludf.DUMMYFUNCTION("""COMPUTED_VALUE"""),"Ерниязов Азамат Мулдыгалеевич")</f>
        <v>Ерниязов Азамат Мулдыгалеевич</v>
      </c>
      <c r="B191" s="1"/>
      <c r="C191" s="1" t="str">
        <f ca="1">IFERROR(__xludf.DUMMYFUNCTION("""COMPUTED_VALUE"""),"Синергия")</f>
        <v>Синергия</v>
      </c>
      <c r="D191" s="1"/>
    </row>
    <row r="192" spans="1:4" ht="13" x14ac:dyDescent="0.3">
      <c r="A192" s="1" t="str">
        <f ca="1">IFERROR(__xludf.DUMMYFUNCTION("""COMPUTED_VALUE"""),"Ситдиков Миннигалей Айратович")</f>
        <v>Ситдиков Миннигалей Айратович</v>
      </c>
      <c r="B192" s="1"/>
      <c r="C192" s="1" t="str">
        <f ca="1">IFERROR(__xludf.DUMMYFUNCTION("""COMPUTED_VALUE"""),"Синергия")</f>
        <v>Синергия</v>
      </c>
      <c r="D192" s="1"/>
    </row>
    <row r="193" spans="1:4" ht="13" x14ac:dyDescent="0.3">
      <c r="A193" s="1" t="str">
        <f ca="1">IFERROR(__xludf.DUMMYFUNCTION("""COMPUTED_VALUE"""),"Кондратюк Сергей Владимирович")</f>
        <v>Кондратюк Сергей Владимирович</v>
      </c>
      <c r="B193" s="1"/>
      <c r="C193" s="1" t="str">
        <f ca="1">IFERROR(__xludf.DUMMYFUNCTION("""COMPUTED_VALUE"""),"Синергия")</f>
        <v>Синергия</v>
      </c>
      <c r="D193" s="1"/>
    </row>
    <row r="194" spans="1:4" ht="13" x14ac:dyDescent="0.3">
      <c r="A194" s="1" t="str">
        <f ca="1">IFERROR(__xludf.DUMMYFUNCTION("""COMPUTED_VALUE"""),"Дегтярев Андрей Александрович")</f>
        <v>Дегтярев Андрей Александрович</v>
      </c>
      <c r="B194" s="1"/>
      <c r="C194" s="1" t="str">
        <f ca="1">IFERROR(__xludf.DUMMYFUNCTION("""COMPUTED_VALUE"""),"Синергия")</f>
        <v>Синергия</v>
      </c>
      <c r="D194" s="1"/>
    </row>
    <row r="195" spans="1:4" ht="13" x14ac:dyDescent="0.3">
      <c r="A195" s="1" t="str">
        <f ca="1">IFERROR(__xludf.DUMMYFUNCTION("""COMPUTED_VALUE"""),"Кунаккулов Наиль Насибуллович")</f>
        <v>Кунаккулов Наиль Насибуллович</v>
      </c>
      <c r="B195" s="1"/>
      <c r="C195" s="1" t="str">
        <f ca="1">IFERROR(__xludf.DUMMYFUNCTION("""COMPUTED_VALUE"""),"Синергия")</f>
        <v>Синергия</v>
      </c>
      <c r="D195" s="1"/>
    </row>
    <row r="196" spans="1:4" ht="13" x14ac:dyDescent="0.3">
      <c r="A196" s="1" t="str">
        <f ca="1">IFERROR(__xludf.DUMMYFUNCTION("""COMPUTED_VALUE"""),"Хисамутдинов Дамир Мусабикович")</f>
        <v>Хисамутдинов Дамир Мусабикович</v>
      </c>
      <c r="B196" s="1"/>
      <c r="C196" s="1" t="str">
        <f ca="1">IFERROR(__xludf.DUMMYFUNCTION("""COMPUTED_VALUE"""),"Синергия")</f>
        <v>Синергия</v>
      </c>
      <c r="D196" s="1"/>
    </row>
    <row r="197" spans="1:4" ht="13" x14ac:dyDescent="0.3">
      <c r="A197" s="1" t="str">
        <f ca="1">IFERROR(__xludf.DUMMYFUNCTION("""COMPUTED_VALUE"""),"Бисимбаев Тулинген Мухамбетович")</f>
        <v>Бисимбаев Тулинген Мухамбетович</v>
      </c>
      <c r="B197" s="1"/>
      <c r="C197" s="1" t="str">
        <f ca="1">IFERROR(__xludf.DUMMYFUNCTION("""COMPUTED_VALUE"""),"Синергия")</f>
        <v>Синергия</v>
      </c>
      <c r="D197" s="1"/>
    </row>
    <row r="198" spans="1:4" ht="13" x14ac:dyDescent="0.3">
      <c r="A198" s="1" t="str">
        <f ca="1">IFERROR(__xludf.DUMMYFUNCTION("""COMPUTED_VALUE"""),"Лось Илья Викторович")</f>
        <v>Лось Илья Викторович</v>
      </c>
      <c r="B198" s="1"/>
      <c r="C198" s="1" t="str">
        <f ca="1">IFERROR(__xludf.DUMMYFUNCTION("""COMPUTED_VALUE"""),"Спецтехтранс")</f>
        <v>Спецтехтранс</v>
      </c>
      <c r="D198" s="1"/>
    </row>
    <row r="199" spans="1:4" ht="13" x14ac:dyDescent="0.3">
      <c r="A199" s="1" t="str">
        <f ca="1">IFERROR(__xludf.DUMMYFUNCTION("""COMPUTED_VALUE"""),"Лось Артём Викторович")</f>
        <v>Лось Артём Викторович</v>
      </c>
      <c r="B199" s="1"/>
      <c r="C199" s="1" t="str">
        <f ca="1">IFERROR(__xludf.DUMMYFUNCTION("""COMPUTED_VALUE"""),"Спецтехтранс")</f>
        <v>Спецтехтранс</v>
      </c>
      <c r="D199" s="1"/>
    </row>
    <row r="200" spans="1:4" ht="13" x14ac:dyDescent="0.3">
      <c r="A200" s="1" t="str">
        <f ca="1">IFERROR(__xludf.DUMMYFUNCTION("""COMPUTED_VALUE"""),"Крупенин Андрей Юрьевич")</f>
        <v>Крупенин Андрей Юрьевич</v>
      </c>
      <c r="B200" s="1"/>
      <c r="C200" s="1" t="str">
        <f ca="1">IFERROR(__xludf.DUMMYFUNCTION("""COMPUTED_VALUE"""),"Спецтехтранс")</f>
        <v>Спецтехтранс</v>
      </c>
      <c r="D200" s="1"/>
    </row>
    <row r="201" spans="1:4" ht="13" x14ac:dyDescent="0.3">
      <c r="A201" s="1" t="str">
        <f ca="1">IFERROR(__xludf.DUMMYFUNCTION("""COMPUTED_VALUE"""),"Красавин Виталий Юрьевич")</f>
        <v>Красавин Виталий Юрьевич</v>
      </c>
      <c r="B201" s="1"/>
      <c r="C201" s="1" t="str">
        <f ca="1">IFERROR(__xludf.DUMMYFUNCTION("""COMPUTED_VALUE"""),"Спецтехтранс")</f>
        <v>Спецтехтранс</v>
      </c>
      <c r="D201" s="1"/>
    </row>
    <row r="202" spans="1:4" ht="13" x14ac:dyDescent="0.3">
      <c r="A202" s="1" t="str">
        <f ca="1">IFERROR(__xludf.DUMMYFUNCTION("""COMPUTED_VALUE"""),"Жамбуршин Айдар Александрович")</f>
        <v>Жамбуршин Айдар Александрович</v>
      </c>
      <c r="B202" s="1"/>
      <c r="C202" s="1" t="str">
        <f ca="1">IFERROR(__xludf.DUMMYFUNCTION("""COMPUTED_VALUE"""),"Спецтехтранс")</f>
        <v>Спецтехтранс</v>
      </c>
      <c r="D202" s="1"/>
    </row>
    <row r="203" spans="1:4" ht="13" x14ac:dyDescent="0.3">
      <c r="A203" s="1" t="str">
        <f ca="1">IFERROR(__xludf.DUMMYFUNCTION("""COMPUTED_VALUE"""),"Малютин Владимир Александрович")</f>
        <v>Малютин Владимир Александрович</v>
      </c>
      <c r="B203" s="1"/>
      <c r="C203" s="1" t="str">
        <f ca="1">IFERROR(__xludf.DUMMYFUNCTION("""COMPUTED_VALUE"""),"Спецтехтранс")</f>
        <v>Спецтехтранс</v>
      </c>
      <c r="D203" s="1"/>
    </row>
    <row r="204" spans="1:4" ht="13" x14ac:dyDescent="0.3">
      <c r="A204" s="1" t="str">
        <f ca="1">IFERROR(__xludf.DUMMYFUNCTION("""COMPUTED_VALUE"""),"Короткий Константин Алексеевич")</f>
        <v>Короткий Константин Алексеевич</v>
      </c>
      <c r="B204" s="1"/>
      <c r="C204" s="1" t="str">
        <f ca="1">IFERROR(__xludf.DUMMYFUNCTION("""COMPUTED_VALUE"""),"Спецтехтранс")</f>
        <v>Спецтехтранс</v>
      </c>
      <c r="D204" s="1"/>
    </row>
    <row r="205" spans="1:4" ht="13" x14ac:dyDescent="0.3">
      <c r="A205" s="1" t="str">
        <f ca="1">IFERROR(__xludf.DUMMYFUNCTION("""COMPUTED_VALUE"""),"Расулев Раян Ришатович")</f>
        <v>Расулев Раян Ришатович</v>
      </c>
      <c r="B205" s="1"/>
      <c r="C205" s="1" t="str">
        <f ca="1">IFERROR(__xludf.DUMMYFUNCTION("""COMPUTED_VALUE"""),"СтефаТрансАвто")</f>
        <v>СтефаТрансАвто</v>
      </c>
      <c r="D205" s="1"/>
    </row>
    <row r="206" spans="1:4" ht="13" x14ac:dyDescent="0.3">
      <c r="A206" s="1" t="str">
        <f ca="1">IFERROR(__xludf.DUMMYFUNCTION("""COMPUTED_VALUE"""),"Кривенков Сергей Николаевич")</f>
        <v>Кривенков Сергей Николаевич</v>
      </c>
      <c r="B206" s="1"/>
      <c r="C206" s="1" t="str">
        <f ca="1">IFERROR(__xludf.DUMMYFUNCTION("""COMPUTED_VALUE"""),"СтефаТрансАвто")</f>
        <v>СтефаТрансАвто</v>
      </c>
      <c r="D206" s="1"/>
    </row>
    <row r="207" spans="1:4" ht="13" x14ac:dyDescent="0.3">
      <c r="A207" s="1" t="str">
        <f ca="1">IFERROR(__xludf.DUMMYFUNCTION("""COMPUTED_VALUE"""),"Танов Мурат Хамзаевич")</f>
        <v>Танов Мурат Хамзаевич</v>
      </c>
      <c r="B207" s="1"/>
      <c r="C207" s="1" t="str">
        <f ca="1">IFERROR(__xludf.DUMMYFUNCTION("""COMPUTED_VALUE"""),"Строй Плюс")</f>
        <v>Строй Плюс</v>
      </c>
      <c r="D207" s="1"/>
    </row>
    <row r="208" spans="1:4" ht="13" x14ac:dyDescent="0.3">
      <c r="A208" s="1" t="str">
        <f ca="1">IFERROR(__xludf.DUMMYFUNCTION("""COMPUTED_VALUE"""),"Серпков Алексей Иванович")</f>
        <v>Серпков Алексей Иванович</v>
      </c>
      <c r="B208" s="1"/>
      <c r="C208" s="1" t="str">
        <f ca="1">IFERROR(__xludf.DUMMYFUNCTION("""COMPUTED_VALUE"""),"Строй Плюс")</f>
        <v>Строй Плюс</v>
      </c>
      <c r="D208" s="1"/>
    </row>
    <row r="209" spans="1:4" ht="13" x14ac:dyDescent="0.3">
      <c r="A209" s="1" t="str">
        <f ca="1">IFERROR(__xludf.DUMMYFUNCTION("""COMPUTED_VALUE"""),"Мичка Валерий Владимирович")</f>
        <v>Мичка Валерий Владимирович</v>
      </c>
      <c r="B209" s="1"/>
      <c r="C209" s="1" t="str">
        <f ca="1">IFERROR(__xludf.DUMMYFUNCTION("""COMPUTED_VALUE"""),"Строй Плюс")</f>
        <v>Строй Плюс</v>
      </c>
      <c r="D209" s="1"/>
    </row>
    <row r="210" spans="1:4" ht="13" x14ac:dyDescent="0.3">
      <c r="A210" s="1" t="str">
        <f ca="1">IFERROR(__xludf.DUMMYFUNCTION("""COMPUTED_VALUE"""),"Анисимов Алексей Геннадьевич")</f>
        <v>Анисимов Алексей Геннадьевич</v>
      </c>
      <c r="B210" s="1"/>
      <c r="C210" s="1" t="str">
        <f ca="1">IFERROR(__xludf.DUMMYFUNCTION("""COMPUTED_VALUE"""),"Строй Плюс")</f>
        <v>Строй Плюс</v>
      </c>
      <c r="D210" s="1"/>
    </row>
    <row r="211" spans="1:4" ht="13" x14ac:dyDescent="0.3">
      <c r="A211" s="1" t="str">
        <f ca="1">IFERROR(__xludf.DUMMYFUNCTION("""COMPUTED_VALUE"""),"Кондратенко Сергей Николаевич")</f>
        <v>Кондратенко Сергей Николаевич</v>
      </c>
      <c r="B211" s="1"/>
      <c r="C211" s="1" t="str">
        <f ca="1">IFERROR(__xludf.DUMMYFUNCTION("""COMPUTED_VALUE"""),"Строй Плюс")</f>
        <v>Строй Плюс</v>
      </c>
      <c r="D211" s="1"/>
    </row>
    <row r="212" spans="1:4" ht="13" x14ac:dyDescent="0.3">
      <c r="A212" s="1" t="str">
        <f ca="1">IFERROR(__xludf.DUMMYFUNCTION("""COMPUTED_VALUE"""),"Ханжин Евгений Александрович")</f>
        <v>Ханжин Евгений Александрович</v>
      </c>
      <c r="B212" s="1"/>
      <c r="C212" s="1" t="str">
        <f ca="1">IFERROR(__xludf.DUMMYFUNCTION("""COMPUTED_VALUE"""),"ТЕХНОСТРОЙ")</f>
        <v>ТЕХНОСТРОЙ</v>
      </c>
      <c r="D212" s="1"/>
    </row>
    <row r="213" spans="1:4" ht="13" x14ac:dyDescent="0.3">
      <c r="A213" s="1" t="str">
        <f ca="1">IFERROR(__xludf.DUMMYFUNCTION("""COMPUTED_VALUE"""),"Мельников Сергей Александрович")</f>
        <v>Мельников Сергей Александрович</v>
      </c>
      <c r="B213" s="1"/>
      <c r="C213" s="1" t="str">
        <f ca="1">IFERROR(__xludf.DUMMYFUNCTION("""COMPUTED_VALUE"""),"ТЕХНОСТРОЙ")</f>
        <v>ТЕХНОСТРОЙ</v>
      </c>
      <c r="D213" s="1"/>
    </row>
    <row r="214" spans="1:4" ht="13" x14ac:dyDescent="0.3">
      <c r="A214" s="1" t="str">
        <f ca="1">IFERROR(__xludf.DUMMYFUNCTION("""COMPUTED_VALUE"""),"Авраменко Иван Андреевич")</f>
        <v>Авраменко Иван Андреевич</v>
      </c>
      <c r="B214" s="1"/>
      <c r="C214" s="1" t="str">
        <f ca="1">IFERROR(__xludf.DUMMYFUNCTION("""COMPUTED_VALUE"""),"Транспорт Солюшис")</f>
        <v>Транспорт Солюшис</v>
      </c>
      <c r="D214" s="1"/>
    </row>
    <row r="215" spans="1:4" ht="13" x14ac:dyDescent="0.3">
      <c r="A215" s="1" t="str">
        <f ca="1">IFERROR(__xludf.DUMMYFUNCTION("""COMPUTED_VALUE"""),"Мизин Виталий Павлович")</f>
        <v>Мизин Виталий Павлович</v>
      </c>
      <c r="B215" s="1"/>
      <c r="C215" s="1" t="str">
        <f ca="1">IFERROR(__xludf.DUMMYFUNCTION("""COMPUTED_VALUE"""),"УДАЧА ПЛЮС БАРАНОВ")</f>
        <v>УДАЧА ПЛЮС БАРАНОВ</v>
      </c>
      <c r="D215" s="1"/>
    </row>
    <row r="216" spans="1:4" ht="13" x14ac:dyDescent="0.3">
      <c r="A216" s="1" t="str">
        <f ca="1">IFERROR(__xludf.DUMMYFUNCTION("""COMPUTED_VALUE"""),"Султанов РамильЗаитович")</f>
        <v>Султанов РамильЗаитович</v>
      </c>
      <c r="B216" s="1"/>
      <c r="C216" s="1" t="str">
        <f ca="1">IFERROR(__xludf.DUMMYFUNCTION("""COMPUTED_VALUE"""),"УДАЧА ПЛЮС БАРАНОВ")</f>
        <v>УДАЧА ПЛЮС БАРАНОВ</v>
      </c>
      <c r="D216" s="1"/>
    </row>
    <row r="217" spans="1:4" ht="13" x14ac:dyDescent="0.3">
      <c r="A217" s="1" t="str">
        <f ca="1">IFERROR(__xludf.DUMMYFUNCTION("""COMPUTED_VALUE"""),"Шаталов Егор Евгеньевич")</f>
        <v>Шаталов Егор Евгеньевич</v>
      </c>
      <c r="B217" s="1"/>
      <c r="C217" s="1" t="str">
        <f ca="1">IFERROR(__xludf.DUMMYFUNCTION("""COMPUTED_VALUE"""),"УДАЧА ПЛЮС БАРАНОВ")</f>
        <v>УДАЧА ПЛЮС БАРАНОВ</v>
      </c>
      <c r="D217" s="1"/>
    </row>
    <row r="218" spans="1:4" ht="13" x14ac:dyDescent="0.3">
      <c r="A218" s="1" t="str">
        <f ca="1">IFERROR(__xludf.DUMMYFUNCTION("""COMPUTED_VALUE"""),"Деменев Михаил Борисович")</f>
        <v>Деменев Михаил Борисович</v>
      </c>
      <c r="B218" s="1"/>
      <c r="C218" s="1" t="str">
        <f ca="1">IFERROR(__xludf.DUMMYFUNCTION("""COMPUTED_VALUE"""),"УДАЧА ПЛЮС БАРАНОВ")</f>
        <v>УДАЧА ПЛЮС БАРАНОВ</v>
      </c>
      <c r="D218" s="1"/>
    </row>
    <row r="219" spans="1:4" ht="13" x14ac:dyDescent="0.3">
      <c r="A219" s="1" t="str">
        <f ca="1">IFERROR(__xludf.DUMMYFUNCTION("""COMPUTED_VALUE"""),"Тихонов Виктор Васильевич")</f>
        <v>Тихонов Виктор Васильевич</v>
      </c>
      <c r="B219" s="1"/>
      <c r="C219" s="1" t="str">
        <f ca="1">IFERROR(__xludf.DUMMYFUNCTION("""COMPUTED_VALUE"""),"УДАЧА ПЛЮС БАРАНОВ")</f>
        <v>УДАЧА ПЛЮС БАРАНОВ</v>
      </c>
      <c r="D219" s="1"/>
    </row>
    <row r="220" spans="1:4" ht="13" x14ac:dyDescent="0.3">
      <c r="A220" s="1" t="str">
        <f ca="1">IFERROR(__xludf.DUMMYFUNCTION("""COMPUTED_VALUE"""),"Стародубцев Владимир Петрович")</f>
        <v>Стародубцев Владимир Петрович</v>
      </c>
      <c r="B220" s="1"/>
      <c r="C220" s="1" t="str">
        <f ca="1">IFERROR(__xludf.DUMMYFUNCTION("""COMPUTED_VALUE"""),"УДАЧА ПЛЮС БАРАНОВ")</f>
        <v>УДАЧА ПЛЮС БАРАНОВ</v>
      </c>
      <c r="D220" s="1"/>
    </row>
    <row r="221" spans="1:4" ht="13" x14ac:dyDescent="0.3">
      <c r="A221" s="1" t="str">
        <f ca="1">IFERROR(__xludf.DUMMYFUNCTION("""COMPUTED_VALUE"""),"Лукьянов Сергей Иванович")</f>
        <v>Лукьянов Сергей Иванович</v>
      </c>
      <c r="B221" s="1"/>
      <c r="C221" s="1" t="str">
        <f ca="1">IFERROR(__xludf.DUMMYFUNCTION("""COMPUTED_VALUE"""),"УРАЛ МАШ")</f>
        <v>УРАЛ МАШ</v>
      </c>
      <c r="D221" s="1"/>
    </row>
    <row r="222" spans="1:4" ht="13" x14ac:dyDescent="0.3">
      <c r="A222" s="1" t="str">
        <f ca="1">IFERROR(__xludf.DUMMYFUNCTION("""COMPUTED_VALUE"""),"Пермиловский Александр Викторович")</f>
        <v>Пермиловский Александр Викторович</v>
      </c>
      <c r="B222" s="1"/>
      <c r="C222" s="1" t="str">
        <f ca="1">IFERROR(__xludf.DUMMYFUNCTION("""COMPUTED_VALUE"""),"УРАЛ МАШ")</f>
        <v>УРАЛ МАШ</v>
      </c>
      <c r="D222" s="1"/>
    </row>
    <row r="223" spans="1:4" ht="13" x14ac:dyDescent="0.3">
      <c r="A223" s="1" t="str">
        <f ca="1">IFERROR(__xludf.DUMMYFUNCTION("""COMPUTED_VALUE"""),"Валеев Шафкат Газизович")</f>
        <v>Валеев Шафкат Газизович</v>
      </c>
      <c r="B223" s="1"/>
      <c r="C223" s="1" t="str">
        <f ca="1">IFERROR(__xludf.DUMMYFUNCTION("""COMPUTED_VALUE"""),"УралМетЛогистик")</f>
        <v>УралМетЛогистик</v>
      </c>
      <c r="D223" s="1" t="str">
        <f ca="1">IFERROR(__xludf.DUMMYFUNCTION("""COMPUTED_VALUE"""),"99 11 496476 от 16.09.2019")</f>
        <v>99 11 496476 от 16.09.2019</v>
      </c>
    </row>
    <row r="224" spans="1:4" ht="13" x14ac:dyDescent="0.3">
      <c r="A224" s="1" t="str">
        <f ca="1">IFERROR(__xludf.DUMMYFUNCTION("""COMPUTED_VALUE"""),"Шаров Дмитрий Алексеевич")</f>
        <v>Шаров Дмитрий Алексеевич</v>
      </c>
      <c r="B224" s="1"/>
      <c r="C224" s="1" t="str">
        <f ca="1">IFERROR(__xludf.DUMMYFUNCTION("""COMPUTED_VALUE"""),"УралМетЛогистик")</f>
        <v>УралМетЛогистик</v>
      </c>
      <c r="D224" s="1"/>
    </row>
    <row r="225" spans="1:4" ht="13" x14ac:dyDescent="0.3">
      <c r="A225" s="1" t="str">
        <f ca="1">IFERROR(__xludf.DUMMYFUNCTION("""COMPUTED_VALUE"""),"Васев Евгений Геналиевич")</f>
        <v>Васев Евгений Геналиевич</v>
      </c>
      <c r="B225" s="1"/>
      <c r="C225" s="1" t="str">
        <f ca="1">IFERROR(__xludf.DUMMYFUNCTION("""COMPUTED_VALUE"""),"УралМетЛогистик")</f>
        <v>УралМетЛогистик</v>
      </c>
      <c r="D225" s="1"/>
    </row>
    <row r="226" spans="1:4" ht="13" x14ac:dyDescent="0.3">
      <c r="A226" s="1" t="str">
        <f ca="1">IFERROR(__xludf.DUMMYFUNCTION("""COMPUTED_VALUE"""),"Ефремов Сергей Михайлович")</f>
        <v>Ефремов Сергей Михайлович</v>
      </c>
      <c r="B226" s="1"/>
      <c r="C226" s="1" t="str">
        <f ca="1">IFERROR(__xludf.DUMMYFUNCTION("""COMPUTED_VALUE"""),"УралМетЛогистик")</f>
        <v>УралМетЛогистик</v>
      </c>
      <c r="D226" s="1" t="str">
        <f ca="1">IFERROR(__xludf.DUMMYFUNCTION("""COMPUTED_VALUE"""),"7435 446146")</f>
        <v>7435 446146</v>
      </c>
    </row>
    <row r="227" spans="1:4" ht="13" x14ac:dyDescent="0.3">
      <c r="A227" s="1" t="str">
        <f ca="1">IFERROR(__xludf.DUMMYFUNCTION("""COMPUTED_VALUE"""),"Шангариев Айдар Загирович")</f>
        <v>Шангариев Айдар Загирович</v>
      </c>
      <c r="B227" s="1"/>
      <c r="C227" s="1" t="str">
        <f ca="1">IFERROR(__xludf.DUMMYFUNCTION("""COMPUTED_VALUE"""),"УралМетЛогистик")</f>
        <v>УралМетЛогистик</v>
      </c>
      <c r="D227" s="1"/>
    </row>
    <row r="228" spans="1:4" ht="13" x14ac:dyDescent="0.3">
      <c r="A228" s="1" t="str">
        <f ca="1">IFERROR(__xludf.DUMMYFUNCTION("""COMPUTED_VALUE"""),"Филиппов Василий Николаевич")</f>
        <v>Филиппов Василий Николаевич</v>
      </c>
      <c r="B228" s="1"/>
      <c r="C228" s="1" t="str">
        <f ca="1">IFERROR(__xludf.DUMMYFUNCTION("""COMPUTED_VALUE"""),"УралМетЛогистик")</f>
        <v>УралМетЛогистик</v>
      </c>
      <c r="D228" s="1"/>
    </row>
    <row r="229" spans="1:4" ht="13" x14ac:dyDescent="0.3">
      <c r="A229" s="1" t="str">
        <f ca="1">IFERROR(__xludf.DUMMYFUNCTION("""COMPUTED_VALUE"""),"Евченко Владимир Алексеевич")</f>
        <v>Евченко Владимир Алексеевич</v>
      </c>
      <c r="B229" s="1"/>
      <c r="C229" s="1" t="str">
        <f ca="1">IFERROR(__xludf.DUMMYFUNCTION("""COMPUTED_VALUE"""),"УралМетЛогистик")</f>
        <v>УралМетЛогистик</v>
      </c>
      <c r="D229" s="1"/>
    </row>
    <row r="230" spans="1:4" ht="13" x14ac:dyDescent="0.3">
      <c r="A230" s="1" t="str">
        <f ca="1">IFERROR(__xludf.DUMMYFUNCTION("""COMPUTED_VALUE"""),"Исламов Руслан Нурмухамедович")</f>
        <v>Исламов Руслан Нурмухамедович</v>
      </c>
      <c r="B230" s="1"/>
      <c r="C230" s="1" t="str">
        <f ca="1">IFERROR(__xludf.DUMMYFUNCTION("""COMPUTED_VALUE"""),"УралМетЛогистик")</f>
        <v>УралМетЛогистик</v>
      </c>
      <c r="D230" s="1"/>
    </row>
    <row r="231" spans="1:4" ht="13" x14ac:dyDescent="0.3">
      <c r="A231" s="1" t="str">
        <f ca="1">IFERROR(__xludf.DUMMYFUNCTION("""COMPUTED_VALUE"""),"Курмангалеев Ринат Мендыбекович")</f>
        <v>Курмангалеев Ринат Мендыбекович</v>
      </c>
      <c r="B231" s="1"/>
      <c r="C231" s="1" t="str">
        <f ca="1">IFERROR(__xludf.DUMMYFUNCTION("""COMPUTED_VALUE"""),"УралМетЛогистик")</f>
        <v>УралМетЛогистик</v>
      </c>
      <c r="D231" s="1"/>
    </row>
    <row r="232" spans="1:4" ht="13" x14ac:dyDescent="0.3">
      <c r="A232" s="1" t="str">
        <f ca="1">IFERROR(__xludf.DUMMYFUNCTION("""COMPUTED_VALUE"""),"Старостенков Александр Сергеевич")</f>
        <v>Старостенков Александр Сергеевич</v>
      </c>
      <c r="B232" s="1"/>
      <c r="C232" s="1" t="str">
        <f ca="1">IFERROR(__xludf.DUMMYFUNCTION("""COMPUTED_VALUE"""),"УралметЛогистик")</f>
        <v>УралметЛогистик</v>
      </c>
      <c r="D232" s="1"/>
    </row>
    <row r="233" spans="1:4" ht="13" x14ac:dyDescent="0.3">
      <c r="A233" s="1" t="str">
        <f ca="1">IFERROR(__xludf.DUMMYFUNCTION("""COMPUTED_VALUE"""),"Гелих Василий Анатольевич")</f>
        <v>Гелих Василий Анатольевич</v>
      </c>
      <c r="B233" s="1">
        <f ca="1">IFERROR(__xludf.DUMMYFUNCTION("""COMPUTED_VALUE"""),89193100800)</f>
        <v>89193100800</v>
      </c>
      <c r="C233" s="1" t="str">
        <f ca="1">IFERROR(__xludf.DUMMYFUNCTION("""COMPUTED_VALUE"""),"БетонАвтоРесурс")</f>
        <v>БетонАвтоРесурс</v>
      </c>
      <c r="D233" s="1"/>
    </row>
    <row r="234" spans="1:4" ht="13" x14ac:dyDescent="0.3">
      <c r="A234" s="1" t="str">
        <f ca="1">IFERROR(__xludf.DUMMYFUNCTION("""COMPUTED_VALUE"""),"Балтабаев Мураджан Токтосунович")</f>
        <v>Балтабаев Мураджан Токтосунович</v>
      </c>
      <c r="B234" s="1">
        <f ca="1">IFERROR(__xludf.DUMMYFUNCTION("""COMPUTED_VALUE"""),89870429472)</f>
        <v>89870429472</v>
      </c>
      <c r="C234" s="1" t="str">
        <f ca="1">IFERROR(__xludf.DUMMYFUNCTION("""COMPUTED_VALUE"""),"БетонАвтоРесурс")</f>
        <v>БетонАвтоРесурс</v>
      </c>
      <c r="D234" s="1"/>
    </row>
    <row r="235" spans="1:4" ht="13" x14ac:dyDescent="0.3">
      <c r="A235" s="1" t="str">
        <f ca="1">IFERROR(__xludf.DUMMYFUNCTION("""COMPUTED_VALUE"""),"Абдурасулов Маккамжан Сатвалдиевич")</f>
        <v>Абдурасулов Маккамжан Сатвалдиевич</v>
      </c>
      <c r="B235" s="1">
        <f ca="1">IFERROR(__xludf.DUMMYFUNCTION("""COMPUTED_VALUE"""),89220160687)</f>
        <v>89220160687</v>
      </c>
      <c r="C235" s="1" t="str">
        <f ca="1">IFERROR(__xludf.DUMMYFUNCTION("""COMPUTED_VALUE"""),"БетонАвтоРесурс")</f>
        <v>БетонАвтоРесурс</v>
      </c>
      <c r="D235" s="1"/>
    </row>
    <row r="236" spans="1:4" ht="13" x14ac:dyDescent="0.3">
      <c r="A236" s="1" t="str">
        <f ca="1">IFERROR(__xludf.DUMMYFUNCTION("""COMPUTED_VALUE"""),"Снурницын Игорь Владимирович")</f>
        <v>Снурницын Игорь Владимирович</v>
      </c>
      <c r="B236" s="1">
        <f ca="1">IFERROR(__xludf.DUMMYFUNCTION("""COMPUTED_VALUE"""),89096125030)</f>
        <v>89096125030</v>
      </c>
      <c r="C236" s="1" t="str">
        <f ca="1">IFERROR(__xludf.DUMMYFUNCTION("""COMPUTED_VALUE"""),"ВостокТрансСтрой")</f>
        <v>ВостокТрансСтрой</v>
      </c>
      <c r="D236" s="1"/>
    </row>
    <row r="237" spans="1:4" ht="13" x14ac:dyDescent="0.3">
      <c r="A237" s="1" t="str">
        <f ca="1">IFERROR(__xludf.DUMMYFUNCTION("""COMPUTED_VALUE"""),"Егоров Никита Ильич")</f>
        <v>Егоров Никита Ильич</v>
      </c>
      <c r="B237" s="1">
        <f ca="1">IFERROR(__xludf.DUMMYFUNCTION("""COMPUTED_VALUE"""),89823444349)</f>
        <v>89823444349</v>
      </c>
      <c r="C237" s="1" t="str">
        <f ca="1">IFERROR(__xludf.DUMMYFUNCTION("""COMPUTED_VALUE"""),"ДЕН-ТРАНС")</f>
        <v>ДЕН-ТРАНС</v>
      </c>
      <c r="D237" s="1"/>
    </row>
    <row r="238" spans="1:4" ht="13" x14ac:dyDescent="0.3">
      <c r="A238" s="1" t="str">
        <f ca="1">IFERROR(__xludf.DUMMYFUNCTION("""COMPUTED_VALUE"""),"Смирнов Вячеслав Ильич")</f>
        <v>Смирнов Вячеслав Ильич</v>
      </c>
      <c r="B238" s="1">
        <f ca="1">IFERROR(__xludf.DUMMYFUNCTION("""COMPUTED_VALUE"""),89514327448)</f>
        <v>89514327448</v>
      </c>
      <c r="C238" s="1" t="str">
        <f ca="1">IFERROR(__xludf.DUMMYFUNCTION("""COMPUTED_VALUE"""),"ДЕН-ТРАНС")</f>
        <v>ДЕН-ТРАНС</v>
      </c>
      <c r="D238" s="1"/>
    </row>
    <row r="239" spans="1:4" ht="13" x14ac:dyDescent="0.3">
      <c r="A239" s="1" t="str">
        <f ca="1">IFERROR(__xludf.DUMMYFUNCTION("""COMPUTED_VALUE"""),"Лебедев Олег Тимофеевич")</f>
        <v>Лебедев Олег Тимофеевич</v>
      </c>
      <c r="B239" s="1">
        <f ca="1">IFERROR(__xludf.DUMMYFUNCTION("""COMPUTED_VALUE"""),89514805761)</f>
        <v>89514805761</v>
      </c>
      <c r="C239" s="1" t="str">
        <f ca="1">IFERROR(__xludf.DUMMYFUNCTION("""COMPUTED_VALUE"""),"ДЕН-ТРАНС")</f>
        <v>ДЕН-ТРАНС</v>
      </c>
      <c r="D239" s="1"/>
    </row>
    <row r="240" spans="1:4" ht="13" x14ac:dyDescent="0.3">
      <c r="A240" s="1" t="str">
        <f ca="1">IFERROR(__xludf.DUMMYFUNCTION("""COMPUTED_VALUE"""),"Шеин Александр Геннадьевич")</f>
        <v>Шеин Александр Геннадьевич</v>
      </c>
      <c r="B240" s="1">
        <f ca="1">IFERROR(__xludf.DUMMYFUNCTION("""COMPUTED_VALUE"""),89124313124)</f>
        <v>89124313124</v>
      </c>
      <c r="C240" s="1" t="str">
        <f ca="1">IFERROR(__xludf.DUMMYFUNCTION("""COMPUTED_VALUE"""),"ДЕН-ТРАНС")</f>
        <v>ДЕН-ТРАНС</v>
      </c>
      <c r="D240" s="1"/>
    </row>
    <row r="241" spans="1:4" ht="13" x14ac:dyDescent="0.3">
      <c r="A241" s="1" t="str">
        <f ca="1">IFERROR(__xludf.DUMMYFUNCTION("""COMPUTED_VALUE"""),"Ромов Александр Георгиевич")</f>
        <v>Ромов Александр Георгиевич</v>
      </c>
      <c r="B241" s="1">
        <f ca="1">IFERROR(__xludf.DUMMYFUNCTION("""COMPUTED_VALUE"""),89177382825)</f>
        <v>89177382825</v>
      </c>
      <c r="C241" s="1" t="str">
        <f ca="1">IFERROR(__xludf.DUMMYFUNCTION("""COMPUTED_VALUE"""),"ДЕН-ТРАНС")</f>
        <v>ДЕН-ТРАНС</v>
      </c>
      <c r="D241" s="1"/>
    </row>
    <row r="242" spans="1:4" ht="13" x14ac:dyDescent="0.3">
      <c r="A242" s="1" t="str">
        <f ca="1">IFERROR(__xludf.DUMMYFUNCTION("""COMPUTED_VALUE"""),"Рожков Александр Владимирович")</f>
        <v>Рожков Александр Владимирович</v>
      </c>
      <c r="B242" s="1">
        <f ca="1">IFERROR(__xludf.DUMMYFUNCTION("""COMPUTED_VALUE"""),89378475435)</f>
        <v>89378475435</v>
      </c>
      <c r="C242" s="1" t="str">
        <f ca="1">IFERROR(__xludf.DUMMYFUNCTION("""COMPUTED_VALUE"""),"ДЕН-ТРАНС")</f>
        <v>ДЕН-ТРАНС</v>
      </c>
      <c r="D242" s="1"/>
    </row>
    <row r="243" spans="1:4" ht="13" x14ac:dyDescent="0.3">
      <c r="A243" s="1" t="str">
        <f ca="1">IFERROR(__xludf.DUMMYFUNCTION("""COMPUTED_VALUE"""),"Шкатов Иван Сергеевич")</f>
        <v>Шкатов Иван Сергеевич</v>
      </c>
      <c r="B243" s="1">
        <f ca="1">IFERROR(__xludf.DUMMYFUNCTION("""COMPUTED_VALUE"""),89822874896)</f>
        <v>89822874896</v>
      </c>
      <c r="C243" s="1" t="str">
        <f ca="1">IFERROR(__xludf.DUMMYFUNCTION("""COMPUTED_VALUE"""),"ДорСтройТранс")</f>
        <v>ДорСтройТранс</v>
      </c>
      <c r="D243" s="1"/>
    </row>
    <row r="244" spans="1:4" ht="13" x14ac:dyDescent="0.3">
      <c r="A244" s="1" t="str">
        <f ca="1">IFERROR(__xludf.DUMMYFUNCTION("""COMPUTED_VALUE"""),"Козлов Николай Петрович")</f>
        <v>Козлов Николай Петрович</v>
      </c>
      <c r="B244" s="1">
        <f ca="1">IFERROR(__xludf.DUMMYFUNCTION("""COMPUTED_VALUE"""),89507260145)</f>
        <v>89507260145</v>
      </c>
      <c r="C244" s="1" t="str">
        <f ca="1">IFERROR(__xludf.DUMMYFUNCTION("""COMPUTED_VALUE"""),"ДорСтройТранс")</f>
        <v>ДорСтройТранс</v>
      </c>
      <c r="D244" s="1"/>
    </row>
    <row r="245" spans="1:4" ht="13" x14ac:dyDescent="0.3">
      <c r="A245" s="1" t="str">
        <f ca="1">IFERROR(__xludf.DUMMYFUNCTION("""COMPUTED_VALUE"""),"Нургалеев Ренат Алмазович")</f>
        <v>Нургалеев Ренат Алмазович</v>
      </c>
      <c r="B245" s="1">
        <f ca="1">IFERROR(__xludf.DUMMYFUNCTION("""COMPUTED_VALUE"""),89220194967)</f>
        <v>89220194967</v>
      </c>
      <c r="C245" s="1" t="str">
        <f ca="1">IFERROR(__xludf.DUMMYFUNCTION("""COMPUTED_VALUE"""),"ДорСтройТранс")</f>
        <v>ДорСтройТранс</v>
      </c>
      <c r="D245" s="1"/>
    </row>
    <row r="246" spans="1:4" ht="13" x14ac:dyDescent="0.3">
      <c r="A246" s="1" t="str">
        <f ca="1">IFERROR(__xludf.DUMMYFUNCTION("""COMPUTED_VALUE"""),"Хажеев Артур Ахмадуллаевич")</f>
        <v>Хажеев Артур Ахмадуллаевич</v>
      </c>
      <c r="B246" s="1">
        <f ca="1">IFERROR(__xludf.DUMMYFUNCTION("""COMPUTED_VALUE"""),89193223660)</f>
        <v>89193223660</v>
      </c>
      <c r="C246" s="1" t="str">
        <f ca="1">IFERROR(__xludf.DUMMYFUNCTION("""COMPUTED_VALUE"""),"ДорСтройТранс")</f>
        <v>ДорСтройТранс</v>
      </c>
      <c r="D246" s="1"/>
    </row>
    <row r="247" spans="1:4" ht="13" x14ac:dyDescent="0.3">
      <c r="A247" s="1" t="str">
        <f ca="1">IFERROR(__xludf.DUMMYFUNCTION("""COMPUTED_VALUE"""),"Туктамышев Руслан Яруллович")</f>
        <v>Туктамышев Руслан Яруллович</v>
      </c>
      <c r="B247" s="1">
        <f ca="1">IFERROR(__xludf.DUMMYFUNCTION("""COMPUTED_VALUE"""),89080655504)</f>
        <v>89080655504</v>
      </c>
      <c r="C247" s="1" t="str">
        <f ca="1">IFERROR(__xludf.DUMMYFUNCTION("""COMPUTED_VALUE"""),"ДорСтройТранс")</f>
        <v>ДорСтройТранс</v>
      </c>
      <c r="D247" s="1"/>
    </row>
    <row r="248" spans="1:4" ht="13" x14ac:dyDescent="0.3">
      <c r="A248" s="1" t="str">
        <f ca="1">IFERROR(__xludf.DUMMYFUNCTION("""COMPUTED_VALUE"""),"Тютин Александр Владимирович")</f>
        <v>Тютин Александр Владимирович</v>
      </c>
      <c r="B248" s="1">
        <f ca="1">IFERROR(__xludf.DUMMYFUNCTION("""COMPUTED_VALUE"""),89000797830)</f>
        <v>89000797830</v>
      </c>
      <c r="C248" s="1" t="str">
        <f ca="1">IFERROR(__xludf.DUMMYFUNCTION("""COMPUTED_VALUE"""),"ДорСтройТранс")</f>
        <v>ДорСтройТранс</v>
      </c>
      <c r="D248" s="1"/>
    </row>
    <row r="249" spans="1:4" ht="13" x14ac:dyDescent="0.3">
      <c r="A249" s="1" t="str">
        <f ca="1">IFERROR(__xludf.DUMMYFUNCTION("""COMPUTED_VALUE"""),"Газенкампф Александр Юрьевич")</f>
        <v>Газенкампф Александр Юрьевич</v>
      </c>
      <c r="B249" s="1">
        <f ca="1">IFERROR(__xludf.DUMMYFUNCTION("""COMPUTED_VALUE"""),89227129685)</f>
        <v>89227129685</v>
      </c>
      <c r="C249" s="1" t="str">
        <f ca="1">IFERROR(__xludf.DUMMYFUNCTION("""COMPUTED_VALUE"""),"ДорСтройТранс")</f>
        <v>ДорСтройТранс</v>
      </c>
      <c r="D249" s="1"/>
    </row>
    <row r="250" spans="1:4" ht="13" x14ac:dyDescent="0.3">
      <c r="A250" s="1" t="str">
        <f ca="1">IFERROR(__xludf.DUMMYFUNCTION("""COMPUTED_VALUE"""),"Котельников Сергей Александрович")</f>
        <v>Котельников Сергей Александрович</v>
      </c>
      <c r="B250" s="1">
        <f ca="1">IFERROR(__xludf.DUMMYFUNCTION("""COMPUTED_VALUE"""),89193186007)</f>
        <v>89193186007</v>
      </c>
      <c r="C250" s="1" t="str">
        <f ca="1">IFERROR(__xludf.DUMMYFUNCTION("""COMPUTED_VALUE"""),"ДорСтройТранс")</f>
        <v>ДорСтройТранс</v>
      </c>
      <c r="D250" s="1"/>
    </row>
    <row r="251" spans="1:4" ht="13" x14ac:dyDescent="0.3">
      <c r="A251" s="1" t="str">
        <f ca="1">IFERROR(__xludf.DUMMYFUNCTION("""COMPUTED_VALUE"""),"Аюпов Илья Рафисович")</f>
        <v>Аюпов Илья Рафисович</v>
      </c>
      <c r="B251" s="1">
        <f ca="1">IFERROR(__xludf.DUMMYFUNCTION("""COMPUTED_VALUE"""),89174671895)</f>
        <v>89174671895</v>
      </c>
      <c r="C251" s="1" t="str">
        <f ca="1">IFERROR(__xludf.DUMMYFUNCTION("""COMPUTED_VALUE"""),"ИП Большаков-Логистика")</f>
        <v>ИП Большаков-Логистика</v>
      </c>
      <c r="D251" s="1"/>
    </row>
    <row r="252" spans="1:4" ht="13" x14ac:dyDescent="0.3">
      <c r="A252" s="1" t="str">
        <f ca="1">IFERROR(__xludf.DUMMYFUNCTION("""COMPUTED_VALUE"""),"Мумбер Олег Иванович")</f>
        <v>Мумбер Олег Иванович</v>
      </c>
      <c r="B252" s="1">
        <f ca="1">IFERROR(__xludf.DUMMYFUNCTION("""COMPUTED_VALUE"""),89373461919)</f>
        <v>89373461919</v>
      </c>
      <c r="C252" s="1" t="str">
        <f ca="1">IFERROR(__xludf.DUMMYFUNCTION("""COMPUTED_VALUE"""),"ИП Большаков-Логистика")</f>
        <v>ИП Большаков-Логистика</v>
      </c>
      <c r="D252" s="1"/>
    </row>
    <row r="253" spans="1:4" ht="13" x14ac:dyDescent="0.3">
      <c r="A253" s="1" t="str">
        <f ca="1">IFERROR(__xludf.DUMMYFUNCTION("""COMPUTED_VALUE"""),"Янузаков Артур Маратович")</f>
        <v>Янузаков Артур Маратович</v>
      </c>
      <c r="B253" s="1">
        <f ca="1">IFERROR(__xludf.DUMMYFUNCTION("""COMPUTED_VALUE"""),89177465306)</f>
        <v>89177465306</v>
      </c>
      <c r="C253" s="1" t="str">
        <f ca="1">IFERROR(__xludf.DUMMYFUNCTION("""COMPUTED_VALUE"""),"ИП Большаков-Логистика")</f>
        <v>ИП Большаков-Логистика</v>
      </c>
      <c r="D253" s="1"/>
    </row>
    <row r="254" spans="1:4" ht="13" x14ac:dyDescent="0.3">
      <c r="A254" s="1" t="str">
        <f ca="1">IFERROR(__xludf.DUMMYFUNCTION("""COMPUTED_VALUE"""),"Сайгафаров Артем Римович")</f>
        <v>Сайгафаров Артем Римович</v>
      </c>
      <c r="B254" s="1">
        <f ca="1">IFERROR(__xludf.DUMMYFUNCTION("""COMPUTED_VALUE"""),89625226777)</f>
        <v>89625226777</v>
      </c>
      <c r="C254" s="1" t="str">
        <f ca="1">IFERROR(__xludf.DUMMYFUNCTION("""COMPUTED_VALUE"""),"ИП Большаков-Логистика")</f>
        <v>ИП Большаков-Логистика</v>
      </c>
      <c r="D254" s="1"/>
    </row>
    <row r="255" spans="1:4" ht="13" x14ac:dyDescent="0.3">
      <c r="A255" s="1" t="str">
        <f ca="1">IFERROR(__xludf.DUMMYFUNCTION("""COMPUTED_VALUE"""),"Гаязов Альберт Равилович")</f>
        <v>Гаязов Альберт Равилович</v>
      </c>
      <c r="B255" s="1">
        <f ca="1">IFERROR(__xludf.DUMMYFUNCTION("""COMPUTED_VALUE"""),89876084879)</f>
        <v>89876084879</v>
      </c>
      <c r="C255" s="1" t="str">
        <f ca="1">IFERROR(__xludf.DUMMYFUNCTION("""COMPUTED_VALUE"""),"ИП Большаков-Логистика")</f>
        <v>ИП Большаков-Логистика</v>
      </c>
      <c r="D255" s="1"/>
    </row>
    <row r="256" spans="1:4" ht="13" x14ac:dyDescent="0.3">
      <c r="A256" s="1" t="str">
        <f ca="1">IFERROR(__xludf.DUMMYFUNCTION("""COMPUTED_VALUE"""),"Гончаров Николай Евгеньевич")</f>
        <v>Гончаров Николай Евгеньевич</v>
      </c>
      <c r="B256" s="1">
        <f ca="1">IFERROR(__xludf.DUMMYFUNCTION("""COMPUTED_VALUE"""),89191444339)</f>
        <v>89191444339</v>
      </c>
      <c r="C256" s="1" t="str">
        <f ca="1">IFERROR(__xludf.DUMMYFUNCTION("""COMPUTED_VALUE"""),"ИП Большаков-Логистика")</f>
        <v>ИП Большаков-Логистика</v>
      </c>
      <c r="D256" s="1"/>
    </row>
    <row r="257" spans="1:4" ht="13" x14ac:dyDescent="0.3">
      <c r="A257" s="1" t="str">
        <f ca="1">IFERROR(__xludf.DUMMYFUNCTION("""COMPUTED_VALUE"""),"Степанов Дмитрий Викторович")</f>
        <v>Степанов Дмитрий Викторович</v>
      </c>
      <c r="B257" s="1">
        <f ca="1">IFERROR(__xludf.DUMMYFUNCTION("""COMPUTED_VALUE"""),89273364165)</f>
        <v>89273364165</v>
      </c>
      <c r="C257" s="1" t="str">
        <f ca="1">IFERROR(__xludf.DUMMYFUNCTION("""COMPUTED_VALUE"""),"ИП Большаков-Логистика")</f>
        <v>ИП Большаков-Логистика</v>
      </c>
      <c r="D257" s="1"/>
    </row>
    <row r="258" spans="1:4" ht="13" x14ac:dyDescent="0.3">
      <c r="A258" s="1" t="str">
        <f ca="1">IFERROR(__xludf.DUMMYFUNCTION("""COMPUTED_VALUE"""),"Азмученко Дмитрий Николаевич")</f>
        <v>Азмученко Дмитрий Николаевич</v>
      </c>
      <c r="B258" s="1">
        <f ca="1">IFERROR(__xludf.DUMMYFUNCTION("""COMPUTED_VALUE"""),89610443850)</f>
        <v>89610443850</v>
      </c>
      <c r="C258" s="1" t="str">
        <f ca="1">IFERROR(__xludf.DUMMYFUNCTION("""COMPUTED_VALUE"""),"ИП Большаков-Логистика")</f>
        <v>ИП Большаков-Логистика</v>
      </c>
      <c r="D258" s="1"/>
    </row>
    <row r="259" spans="1:4" ht="13" x14ac:dyDescent="0.3">
      <c r="A259" s="1" t="str">
        <f ca="1">IFERROR(__xludf.DUMMYFUNCTION("""COMPUTED_VALUE"""),"Волков Николай Александрович")</f>
        <v>Волков Николай Александрович</v>
      </c>
      <c r="B259" s="1">
        <f ca="1">IFERROR(__xludf.DUMMYFUNCTION("""COMPUTED_VALUE"""),89822640170)</f>
        <v>89822640170</v>
      </c>
      <c r="C259" s="1" t="str">
        <f ca="1">IFERROR(__xludf.DUMMYFUNCTION("""COMPUTED_VALUE"""),"ИП Большаков-Логистика")</f>
        <v>ИП Большаков-Логистика</v>
      </c>
      <c r="D259" s="1"/>
    </row>
    <row r="260" spans="1:4" ht="13" x14ac:dyDescent="0.3">
      <c r="A260" s="1" t="str">
        <f ca="1">IFERROR(__xludf.DUMMYFUNCTION("""COMPUTED_VALUE"""),"Габдрафиков Динар Мидхатович")</f>
        <v>Габдрафиков Динар Мидхатович</v>
      </c>
      <c r="B260" s="1">
        <f ca="1">IFERROR(__xludf.DUMMYFUNCTION("""COMPUTED_VALUE"""),89870392683)</f>
        <v>89870392683</v>
      </c>
      <c r="C260" s="1" t="str">
        <f ca="1">IFERROR(__xludf.DUMMYFUNCTION("""COMPUTED_VALUE"""),"ИП Большаков-Логистика")</f>
        <v>ИП Большаков-Логистика</v>
      </c>
      <c r="D260" s="1"/>
    </row>
    <row r="261" spans="1:4" ht="13" x14ac:dyDescent="0.3">
      <c r="A261" s="1" t="str">
        <f ca="1">IFERROR(__xludf.DUMMYFUNCTION("""COMPUTED_VALUE"""),"Морозов Александр Владимирович")</f>
        <v>Морозов Александр Владимирович</v>
      </c>
      <c r="B261" s="1">
        <f ca="1">IFERROR(__xludf.DUMMYFUNCTION("""COMPUTED_VALUE"""),89279634099)</f>
        <v>89279634099</v>
      </c>
      <c r="C261" s="1" t="str">
        <f ca="1">IFERROR(__xludf.DUMMYFUNCTION("""COMPUTED_VALUE"""),"ИП Большаков-Логистика")</f>
        <v>ИП Большаков-Логистика</v>
      </c>
      <c r="D261" s="1"/>
    </row>
    <row r="262" spans="1:4" ht="13" x14ac:dyDescent="0.3">
      <c r="A262" s="1" t="str">
        <f ca="1">IFERROR(__xludf.DUMMYFUNCTION("""COMPUTED_VALUE"""),"Голохвастов Игорь Александрович")</f>
        <v>Голохвастов Игорь Александрович</v>
      </c>
      <c r="B262" s="1">
        <f ca="1">IFERROR(__xludf.DUMMYFUNCTION("""COMPUTED_VALUE"""),89174345891)</f>
        <v>89174345891</v>
      </c>
      <c r="C262" s="1" t="str">
        <f ca="1">IFERROR(__xludf.DUMMYFUNCTION("""COMPUTED_VALUE"""),"ИП Большаков-Логистика")</f>
        <v>ИП Большаков-Логистика</v>
      </c>
      <c r="D262" s="1"/>
    </row>
    <row r="263" spans="1:4" ht="13" x14ac:dyDescent="0.3">
      <c r="A263" s="1" t="str">
        <f ca="1">IFERROR(__xludf.DUMMYFUNCTION("""COMPUTED_VALUE"""),"Сагалов Владимир Сергеевич")</f>
        <v>Сагалов Владимир Сергеевич</v>
      </c>
      <c r="B263" s="1">
        <f ca="1">IFERROR(__xludf.DUMMYFUNCTION("""COMPUTED_VALUE"""),89226205891)</f>
        <v>89226205891</v>
      </c>
      <c r="C263" s="1" t="str">
        <f ca="1">IFERROR(__xludf.DUMMYFUNCTION("""COMPUTED_VALUE"""),"ИП Вингерт")</f>
        <v>ИП Вингерт</v>
      </c>
      <c r="D263" s="1"/>
    </row>
    <row r="264" spans="1:4" ht="13" x14ac:dyDescent="0.3">
      <c r="A264" s="1" t="str">
        <f ca="1">IFERROR(__xludf.DUMMYFUNCTION("""COMPUTED_VALUE"""),"Калабин Юрий Геннадьевич")</f>
        <v>Калабин Юрий Геннадьевич</v>
      </c>
      <c r="B264" s="1">
        <f ca="1">IFERROR(__xludf.DUMMYFUNCTION("""COMPUTED_VALUE"""),89514667769)</f>
        <v>89514667769</v>
      </c>
      <c r="C264" s="1" t="str">
        <f ca="1">IFERROR(__xludf.DUMMYFUNCTION("""COMPUTED_VALUE"""),"ИП Галиновский")</f>
        <v>ИП Галиновский</v>
      </c>
      <c r="D264" s="1"/>
    </row>
    <row r="265" spans="1:4" ht="13" x14ac:dyDescent="0.3">
      <c r="A265" s="1" t="str">
        <f ca="1">IFERROR(__xludf.DUMMYFUNCTION("""COMPUTED_VALUE"""),"Тряскин Сергей Викторович")</f>
        <v>Тряскин Сергей Викторович</v>
      </c>
      <c r="B265" s="1">
        <f ca="1">IFERROR(__xludf.DUMMYFUNCTION("""COMPUTED_VALUE"""),89128912715)</f>
        <v>89128912715</v>
      </c>
      <c r="C265" s="1" t="str">
        <f ca="1">IFERROR(__xludf.DUMMYFUNCTION("""COMPUTED_VALUE"""),"ИП Галиновский")</f>
        <v>ИП Галиновский</v>
      </c>
      <c r="D265" s="1"/>
    </row>
    <row r="266" spans="1:4" ht="13" x14ac:dyDescent="0.3">
      <c r="A266" s="1" t="str">
        <f ca="1">IFERROR(__xludf.DUMMYFUNCTION("""COMPUTED_VALUE"""),"Костенко Виктор Владимирович")</f>
        <v>Костенко Виктор Владимирович</v>
      </c>
      <c r="B266" s="1">
        <f ca="1">IFERROR(__xludf.DUMMYFUNCTION("""COMPUTED_VALUE"""),89823471282)</f>
        <v>89823471282</v>
      </c>
      <c r="C266" s="1" t="str">
        <f ca="1">IFERROR(__xludf.DUMMYFUNCTION("""COMPUTED_VALUE"""),"ИП Галиновский")</f>
        <v>ИП Галиновский</v>
      </c>
      <c r="D266" s="1"/>
    </row>
    <row r="267" spans="1:4" ht="13" x14ac:dyDescent="0.3">
      <c r="A267" s="1" t="str">
        <f ca="1">IFERROR(__xludf.DUMMYFUNCTION("""COMPUTED_VALUE"""),"Манукян Геворг Папинович")</f>
        <v>Манукян Геворг Папинович</v>
      </c>
      <c r="B267" s="1">
        <f ca="1">IFERROR(__xludf.DUMMYFUNCTION("""COMPUTED_VALUE"""),89191174988)</f>
        <v>89191174988</v>
      </c>
      <c r="C267" s="1" t="str">
        <f ca="1">IFERROR(__xludf.DUMMYFUNCTION("""COMPUTED_VALUE"""),"ИП Гаспарян")</f>
        <v>ИП Гаспарян</v>
      </c>
      <c r="D267" s="1"/>
    </row>
    <row r="268" spans="1:4" ht="13" x14ac:dyDescent="0.3">
      <c r="A268" s="1" t="str">
        <f ca="1">IFERROR(__xludf.DUMMYFUNCTION("""COMPUTED_VALUE"""),"Абрамов Сергей Викторович")</f>
        <v>Абрамов Сергей Викторович</v>
      </c>
      <c r="B268" s="1">
        <f ca="1">IFERROR(__xludf.DUMMYFUNCTION("""COMPUTED_VALUE"""),89225632989)</f>
        <v>89225632989</v>
      </c>
      <c r="C268" s="1" t="str">
        <f ca="1">IFERROR(__xludf.DUMMYFUNCTION("""COMPUTED_VALUE"""),"ИП Коптяков В.В.")</f>
        <v>ИП Коптяков В.В.</v>
      </c>
      <c r="D268" s="1"/>
    </row>
    <row r="269" spans="1:4" ht="13" x14ac:dyDescent="0.3">
      <c r="A269" s="1" t="str">
        <f ca="1">IFERROR(__xludf.DUMMYFUNCTION("""COMPUTED_VALUE"""),"Баранов Алексей Владимирович")</f>
        <v>Баранов Алексей Владимирович</v>
      </c>
      <c r="B269" s="1">
        <f ca="1">IFERROR(__xludf.DUMMYFUNCTION("""COMPUTED_VALUE"""),89080092517)</f>
        <v>89080092517</v>
      </c>
      <c r="C269" s="1" t="str">
        <f ca="1">IFERROR(__xludf.DUMMYFUNCTION("""COMPUTED_VALUE"""),"ИП Коптяков В.В.")</f>
        <v>ИП Коптяков В.В.</v>
      </c>
      <c r="D269" s="1"/>
    </row>
    <row r="270" spans="1:4" ht="13" x14ac:dyDescent="0.3">
      <c r="A270" s="1" t="str">
        <f ca="1">IFERROR(__xludf.DUMMYFUNCTION("""COMPUTED_VALUE"""),"Мальнев Николай Венниаминович")</f>
        <v>Мальнев Николай Венниаминович</v>
      </c>
      <c r="B270" s="1">
        <f ca="1">IFERROR(__xludf.DUMMYFUNCTION("""COMPUTED_VALUE"""),89091460288)</f>
        <v>89091460288</v>
      </c>
      <c r="C270" s="1" t="str">
        <f ca="1">IFERROR(__xludf.DUMMYFUNCTION("""COMPUTED_VALUE"""),"ИП Коптяков В.В.")</f>
        <v>ИП Коптяков В.В.</v>
      </c>
      <c r="D270" s="1"/>
    </row>
    <row r="271" spans="1:4" ht="13" x14ac:dyDescent="0.3">
      <c r="A271" s="1" t="str">
        <f ca="1">IFERROR(__xludf.DUMMYFUNCTION("""COMPUTED_VALUE"""),"Карча Иван Сергеевич")</f>
        <v>Карча Иван Сергеевич</v>
      </c>
      <c r="B271" s="1">
        <f ca="1">IFERROR(__xludf.DUMMYFUNCTION("""COMPUTED_VALUE"""),89193080799)</f>
        <v>89193080799</v>
      </c>
      <c r="C271" s="1" t="str">
        <f ca="1">IFERROR(__xludf.DUMMYFUNCTION("""COMPUTED_VALUE"""),"ИП Кулешов")</f>
        <v>ИП Кулешов</v>
      </c>
      <c r="D271" s="1"/>
    </row>
    <row r="272" spans="1:4" ht="13" x14ac:dyDescent="0.3">
      <c r="A272" s="1" t="str">
        <f ca="1">IFERROR(__xludf.DUMMYFUNCTION("""COMPUTED_VALUE"""),"Кочутин Иван Олегович")</f>
        <v>Кочутин Иван Олегович</v>
      </c>
      <c r="B272" s="1">
        <f ca="1">IFERROR(__xludf.DUMMYFUNCTION("""COMPUTED_VALUE"""),89080781304)</f>
        <v>89080781304</v>
      </c>
      <c r="C272" s="1" t="str">
        <f ca="1">IFERROR(__xludf.DUMMYFUNCTION("""COMPUTED_VALUE"""),"ИП Кулешов")</f>
        <v>ИП Кулешов</v>
      </c>
      <c r="D272" s="1"/>
    </row>
    <row r="273" spans="1:4" ht="13" x14ac:dyDescent="0.3">
      <c r="A273" s="1" t="str">
        <f ca="1">IFERROR(__xludf.DUMMYFUNCTION("""COMPUTED_VALUE"""),"Баннов Антон Павлович")</f>
        <v>Баннов Антон Павлович</v>
      </c>
      <c r="B273" s="1">
        <f ca="1">IFERROR(__xludf.DUMMYFUNCTION("""COMPUTED_VALUE"""),89962316573)</f>
        <v>89962316573</v>
      </c>
      <c r="C273" s="1" t="str">
        <f ca="1">IFERROR(__xludf.DUMMYFUNCTION("""COMPUTED_VALUE"""),"ИП Кулешов")</f>
        <v>ИП Кулешов</v>
      </c>
      <c r="D273" s="1"/>
    </row>
    <row r="274" spans="1:4" ht="13" x14ac:dyDescent="0.3">
      <c r="A274" s="1" t="str">
        <f ca="1">IFERROR(__xludf.DUMMYFUNCTION("""COMPUTED_VALUE"""),"Губанов Сергей Юрьевич")</f>
        <v>Губанов Сергей Юрьевич</v>
      </c>
      <c r="B274" s="1">
        <f ca="1">IFERROR(__xludf.DUMMYFUNCTION("""COMPUTED_VALUE"""),89123141417)</f>
        <v>89123141417</v>
      </c>
      <c r="C274" s="1" t="str">
        <f ca="1">IFERROR(__xludf.DUMMYFUNCTION("""COMPUTED_VALUE"""),"ИП Кулешов")</f>
        <v>ИП Кулешов</v>
      </c>
      <c r="D274" s="1"/>
    </row>
    <row r="275" spans="1:4" ht="13" x14ac:dyDescent="0.3">
      <c r="A275" s="1" t="str">
        <f ca="1">IFERROR(__xludf.DUMMYFUNCTION("""COMPUTED_VALUE"""),"Закиров Эдик Рашитович")</f>
        <v>Закиров Эдик Рашитович</v>
      </c>
      <c r="B275" s="1">
        <f ca="1">IFERROR(__xludf.DUMMYFUNCTION("""COMPUTED_VALUE"""),89525173849)</f>
        <v>89525173849</v>
      </c>
      <c r="C275" s="1" t="str">
        <f ca="1">IFERROR(__xludf.DUMMYFUNCTION("""COMPUTED_VALUE"""),"ИП Кулешов")</f>
        <v>ИП Кулешов</v>
      </c>
      <c r="D275" s="1"/>
    </row>
    <row r="276" spans="1:4" ht="13" x14ac:dyDescent="0.3">
      <c r="A276" s="1" t="str">
        <f ca="1">IFERROR(__xludf.DUMMYFUNCTION("""COMPUTED_VALUE"""),"Карча Сергей Михайлович")</f>
        <v>Карча Сергей Михайлович</v>
      </c>
      <c r="B276" s="1">
        <f ca="1">IFERROR(__xludf.DUMMYFUNCTION("""COMPUTED_VALUE"""),89049761655)</f>
        <v>89049761655</v>
      </c>
      <c r="C276" s="1" t="str">
        <f ca="1">IFERROR(__xludf.DUMMYFUNCTION("""COMPUTED_VALUE"""),"ИП Кулешов")</f>
        <v>ИП Кулешов</v>
      </c>
      <c r="D276" s="1"/>
    </row>
    <row r="277" spans="1:4" ht="13" x14ac:dyDescent="0.3">
      <c r="A277" s="1" t="str">
        <f ca="1">IFERROR(__xludf.DUMMYFUNCTION("""COMPUTED_VALUE"""),"Цыбин Максим Евгеньевич")</f>
        <v>Цыбин Максим Евгеньевич</v>
      </c>
      <c r="B277" s="1">
        <f ca="1">IFERROR(__xludf.DUMMYFUNCTION("""COMPUTED_VALUE"""),89124022304)</f>
        <v>89124022304</v>
      </c>
      <c r="C277" s="1" t="str">
        <f ca="1">IFERROR(__xludf.DUMMYFUNCTION("""COMPUTED_VALUE"""),"ИП Кулешов")</f>
        <v>ИП Кулешов</v>
      </c>
      <c r="D277" s="1"/>
    </row>
    <row r="278" spans="1:4" ht="13" x14ac:dyDescent="0.3">
      <c r="A278" s="1" t="str">
        <f ca="1">IFERROR(__xludf.DUMMYFUNCTION("""COMPUTED_VALUE"""),"Лайс Андрей Анатольевич")</f>
        <v>Лайс Андрей Анатольевич</v>
      </c>
      <c r="B278" s="1">
        <f ca="1">IFERROR(__xludf.DUMMYFUNCTION("""COMPUTED_VALUE"""),89514883401)</f>
        <v>89514883401</v>
      </c>
      <c r="C278" s="1" t="str">
        <f ca="1">IFERROR(__xludf.DUMMYFUNCTION("""COMPUTED_VALUE"""),"ИП Кулешов")</f>
        <v>ИП Кулешов</v>
      </c>
      <c r="D278" s="1"/>
    </row>
    <row r="279" spans="1:4" ht="13" x14ac:dyDescent="0.3">
      <c r="A279" s="1" t="str">
        <f ca="1">IFERROR(__xludf.DUMMYFUNCTION("""COMPUTED_VALUE"""),"Яковлев Борис Викторович")</f>
        <v>Яковлев Борис Викторович</v>
      </c>
      <c r="B279" s="1">
        <f ca="1">IFERROR(__xludf.DUMMYFUNCTION("""COMPUTED_VALUE"""),89000616283)</f>
        <v>89000616283</v>
      </c>
      <c r="C279" s="1" t="str">
        <f ca="1">IFERROR(__xludf.DUMMYFUNCTION("""COMPUTED_VALUE"""),"ИП Кулешов")</f>
        <v>ИП Кулешов</v>
      </c>
      <c r="D279" s="1"/>
    </row>
    <row r="280" spans="1:4" ht="13" x14ac:dyDescent="0.3">
      <c r="A280" s="1" t="str">
        <f ca="1">IFERROR(__xludf.DUMMYFUNCTION("""COMPUTED_VALUE"""),"Гашков Андрей Викторович")</f>
        <v>Гашков Андрей Викторович</v>
      </c>
      <c r="B280" s="1">
        <f ca="1">IFERROR(__xludf.DUMMYFUNCTION("""COMPUTED_VALUE"""),89193138734)</f>
        <v>89193138734</v>
      </c>
      <c r="C280" s="1" t="str">
        <f ca="1">IFERROR(__xludf.DUMMYFUNCTION("""COMPUTED_VALUE"""),"ИП Кулешов")</f>
        <v>ИП Кулешов</v>
      </c>
      <c r="D280" s="1"/>
    </row>
    <row r="281" spans="1:4" ht="13" x14ac:dyDescent="0.3">
      <c r="A281" s="1" t="str">
        <f ca="1">IFERROR(__xludf.DUMMYFUNCTION("""COMPUTED_VALUE"""),"Кочнев Владимир Иванович")</f>
        <v>Кочнев Владимир Иванович</v>
      </c>
      <c r="B281" s="1">
        <f ca="1">IFERROR(__xludf.DUMMYFUNCTION("""COMPUTED_VALUE"""),89193515215)</f>
        <v>89193515215</v>
      </c>
      <c r="C281" s="1" t="str">
        <f ca="1">IFERROR(__xludf.DUMMYFUNCTION("""COMPUTED_VALUE"""),"ИП Кулешов")</f>
        <v>ИП Кулешов</v>
      </c>
      <c r="D281" s="1"/>
    </row>
    <row r="282" spans="1:4" ht="13" x14ac:dyDescent="0.3">
      <c r="A282" s="1" t="str">
        <f ca="1">IFERROR(__xludf.DUMMYFUNCTION("""COMPUTED_VALUE"""),"Бабошин Сергей Сергеевич")</f>
        <v>Бабошин Сергей Сергеевич</v>
      </c>
      <c r="B282" s="1">
        <f ca="1">IFERROR(__xludf.DUMMYFUNCTION("""COMPUTED_VALUE"""),89225666886)</f>
        <v>89225666886</v>
      </c>
      <c r="C282" s="1" t="str">
        <f ca="1">IFERROR(__xludf.DUMMYFUNCTION("""COMPUTED_VALUE"""),"ИП Кулешов")</f>
        <v>ИП Кулешов</v>
      </c>
      <c r="D282" s="1"/>
    </row>
    <row r="283" spans="1:4" ht="13" x14ac:dyDescent="0.3">
      <c r="A283" s="1" t="str">
        <f ca="1">IFERROR(__xludf.DUMMYFUNCTION("""COMPUTED_VALUE"""),"Валиев Марс Миндиянович")</f>
        <v>Валиев Марс Миндиянович</v>
      </c>
      <c r="B283" s="1">
        <f ca="1">IFERROR(__xludf.DUMMYFUNCTION("""COMPUTED_VALUE"""),89193418155)</f>
        <v>89193418155</v>
      </c>
      <c r="C283" s="1" t="str">
        <f ca="1">IFERROR(__xludf.DUMMYFUNCTION("""COMPUTED_VALUE"""),"ИП Кулешов")</f>
        <v>ИП Кулешов</v>
      </c>
      <c r="D283" s="1"/>
    </row>
    <row r="284" spans="1:4" ht="13" x14ac:dyDescent="0.3">
      <c r="A284" s="1" t="str">
        <f ca="1">IFERROR(__xludf.DUMMYFUNCTION("""COMPUTED_VALUE"""),"Кочнев Александр Иванович")</f>
        <v>Кочнев Александр Иванович</v>
      </c>
      <c r="B284" s="1">
        <f ca="1">IFERROR(__xludf.DUMMYFUNCTION("""COMPUTED_VALUE"""),89000886488)</f>
        <v>89000886488</v>
      </c>
      <c r="C284" s="1" t="str">
        <f ca="1">IFERROR(__xludf.DUMMYFUNCTION("""COMPUTED_VALUE"""),"ИП Кулешов")</f>
        <v>ИП Кулешов</v>
      </c>
      <c r="D284" s="1"/>
    </row>
    <row r="285" spans="1:4" ht="13" x14ac:dyDescent="0.3">
      <c r="A285" s="1" t="str">
        <f ca="1">IFERROR(__xludf.DUMMYFUNCTION("""COMPUTED_VALUE"""),"Антоненко Антон Сергеевич")</f>
        <v>Антоненко Антон Сергеевич</v>
      </c>
      <c r="B285" s="1">
        <f ca="1">IFERROR(__xludf.DUMMYFUNCTION("""COMPUTED_VALUE"""),89514329387)</f>
        <v>89514329387</v>
      </c>
      <c r="C285" s="1" t="str">
        <f ca="1">IFERROR(__xludf.DUMMYFUNCTION("""COMPUTED_VALUE"""),"ИП Кулешов")</f>
        <v>ИП Кулешов</v>
      </c>
      <c r="D285" s="1"/>
    </row>
    <row r="286" spans="1:4" ht="13" x14ac:dyDescent="0.3">
      <c r="A286" s="1" t="str">
        <f ca="1">IFERROR(__xludf.DUMMYFUNCTION("""COMPUTED_VALUE"""),"Холявенко Артём Николаевич")</f>
        <v>Холявенко Артём Николаевич</v>
      </c>
      <c r="B286" s="1">
        <f ca="1">IFERROR(__xludf.DUMMYFUNCTION("""COMPUTED_VALUE"""),89000777787)</f>
        <v>89000777787</v>
      </c>
      <c r="C286" s="1" t="str">
        <f ca="1">IFERROR(__xludf.DUMMYFUNCTION("""COMPUTED_VALUE"""),"ИП Кулешов")</f>
        <v>ИП Кулешов</v>
      </c>
      <c r="D286" s="1"/>
    </row>
    <row r="287" spans="1:4" ht="13" x14ac:dyDescent="0.3">
      <c r="A287" s="1" t="str">
        <f ca="1">IFERROR(__xludf.DUMMYFUNCTION("""COMPUTED_VALUE"""),"Чепик Сергей Александрович")</f>
        <v>Чепик Сергей Александрович</v>
      </c>
      <c r="B287" s="1">
        <f ca="1">IFERROR(__xludf.DUMMYFUNCTION("""COMPUTED_VALUE"""),89125299135)</f>
        <v>89125299135</v>
      </c>
      <c r="C287" s="1" t="str">
        <f ca="1">IFERROR(__xludf.DUMMYFUNCTION("""COMPUTED_VALUE"""),"ИП Кулешов")</f>
        <v>ИП Кулешов</v>
      </c>
      <c r="D287" s="1"/>
    </row>
    <row r="288" spans="1:4" ht="13" x14ac:dyDescent="0.3">
      <c r="A288" s="1" t="str">
        <f ca="1">IFERROR(__xludf.DUMMYFUNCTION("""COMPUTED_VALUE"""),"Колодкин Андрей Викторович")</f>
        <v>Колодкин Андрей Викторович</v>
      </c>
      <c r="B288" s="1">
        <f ca="1">IFERROR(__xludf.DUMMYFUNCTION("""COMPUTED_VALUE"""),89193058800)</f>
        <v>89193058800</v>
      </c>
      <c r="C288" s="1" t="str">
        <f ca="1">IFERROR(__xludf.DUMMYFUNCTION("""COMPUTED_VALUE"""),"ИП Кулешов")</f>
        <v>ИП Кулешов</v>
      </c>
      <c r="D288" s="1"/>
    </row>
    <row r="289" spans="1:4" ht="13" x14ac:dyDescent="0.3">
      <c r="A289" s="1" t="str">
        <f ca="1">IFERROR(__xludf.DUMMYFUNCTION("""COMPUTED_VALUE"""),"Худяков Алексей Михайлович")</f>
        <v>Худяков Алексей Михайлович</v>
      </c>
      <c r="B289" s="1">
        <f ca="1">IFERROR(__xludf.DUMMYFUNCTION("""COMPUTED_VALUE"""),89823021477)</f>
        <v>89823021477</v>
      </c>
      <c r="C289" s="1" t="str">
        <f ca="1">IFERROR(__xludf.DUMMYFUNCTION("""COMPUTED_VALUE"""),"ИП Кулешов")</f>
        <v>ИП Кулешов</v>
      </c>
      <c r="D289" s="1"/>
    </row>
    <row r="290" spans="1:4" ht="13" x14ac:dyDescent="0.3">
      <c r="A290" s="1" t="str">
        <f ca="1">IFERROR(__xludf.DUMMYFUNCTION("""COMPUTED_VALUE"""),"Осипов Владимир Валерьевич")</f>
        <v>Осипов Владимир Валерьевич</v>
      </c>
      <c r="B290" s="1" t="str">
        <f ca="1">IFERROR(__xludf.DUMMYFUNCTION("""COMPUTED_VALUE"""),"89821043498")</f>
        <v>89821043498</v>
      </c>
      <c r="C290" s="1" t="str">
        <f ca="1">IFERROR(__xludf.DUMMYFUNCTION("""COMPUTED_VALUE"""),"ИП Кулешов")</f>
        <v>ИП Кулешов</v>
      </c>
      <c r="D290" s="1"/>
    </row>
    <row r="291" spans="1:4" ht="13" x14ac:dyDescent="0.3">
      <c r="A291" s="1" t="str">
        <f ca="1">IFERROR(__xludf.DUMMYFUNCTION("""COMPUTED_VALUE"""),"Щукин Сергей Александрович")</f>
        <v>Щукин Сергей Александрович</v>
      </c>
      <c r="B291" s="1" t="str">
        <f ca="1">IFERROR(__xludf.DUMMYFUNCTION("""COMPUTED_VALUE"""),"89913402535")</f>
        <v>89913402535</v>
      </c>
      <c r="C291" s="1" t="str">
        <f ca="1">IFERROR(__xludf.DUMMYFUNCTION("""COMPUTED_VALUE"""),"ИП Кулешов")</f>
        <v>ИП Кулешов</v>
      </c>
      <c r="D291" s="1"/>
    </row>
    <row r="292" spans="1:4" ht="13" x14ac:dyDescent="0.3">
      <c r="A292" s="1" t="str">
        <f ca="1">IFERROR(__xludf.DUMMYFUNCTION("""COMPUTED_VALUE"""),"Потапов Владимир Павлович")</f>
        <v>Потапов Владимир Павлович</v>
      </c>
      <c r="B292" s="1">
        <f ca="1">IFERROR(__xludf.DUMMYFUNCTION("""COMPUTED_VALUE"""),89043041880)</f>
        <v>89043041880</v>
      </c>
      <c r="C292" s="1" t="str">
        <f ca="1">IFERROR(__xludf.DUMMYFUNCTION("""COMPUTED_VALUE"""),"ИП Кулешов")</f>
        <v>ИП Кулешов</v>
      </c>
      <c r="D292" s="1"/>
    </row>
    <row r="293" spans="1:4" ht="13" x14ac:dyDescent="0.3">
      <c r="A293" s="1" t="str">
        <f ca="1">IFERROR(__xludf.DUMMYFUNCTION("""COMPUTED_VALUE"""),"Крылов Александр Васильевич")</f>
        <v>Крылов Александр Васильевич</v>
      </c>
      <c r="B293" s="1">
        <f ca="1">IFERROR(__xludf.DUMMYFUNCTION("""COMPUTED_VALUE"""),89000765945)</f>
        <v>89000765945</v>
      </c>
      <c r="C293" s="1" t="str">
        <f ca="1">IFERROR(__xludf.DUMMYFUNCTION("""COMPUTED_VALUE"""),"ИП Кулешов")</f>
        <v>ИП Кулешов</v>
      </c>
      <c r="D293" s="1"/>
    </row>
    <row r="294" spans="1:4" ht="13" x14ac:dyDescent="0.3">
      <c r="A294" s="1" t="str">
        <f ca="1">IFERROR(__xludf.DUMMYFUNCTION("""COMPUTED_VALUE"""),"Глушков Алексей Анатольевич")</f>
        <v>Глушков Алексей Анатольевич</v>
      </c>
      <c r="B294" s="1">
        <f ca="1">IFERROR(__xludf.DUMMYFUNCTION("""COMPUTED_VALUE"""),89320140933)</f>
        <v>89320140933</v>
      </c>
      <c r="C294" s="1" t="str">
        <f ca="1">IFERROR(__xludf.DUMMYFUNCTION("""COMPUTED_VALUE"""),"ИП Кулешов")</f>
        <v>ИП Кулешов</v>
      </c>
      <c r="D294" s="1"/>
    </row>
    <row r="295" spans="1:4" ht="13" x14ac:dyDescent="0.3">
      <c r="A295" s="1" t="str">
        <f ca="1">IFERROR(__xludf.DUMMYFUNCTION("""COMPUTED_VALUE"""),"Шайхутдинов Руслан Флюрович")</f>
        <v>Шайхутдинов Руслан Флюрович</v>
      </c>
      <c r="B295" s="1">
        <f ca="1">IFERROR(__xludf.DUMMYFUNCTION("""COMPUTED_VALUE"""),89525082459)</f>
        <v>89525082459</v>
      </c>
      <c r="C295" s="1" t="str">
        <f ca="1">IFERROR(__xludf.DUMMYFUNCTION("""COMPUTED_VALUE"""),"ИП Кулешов")</f>
        <v>ИП Кулешов</v>
      </c>
      <c r="D295" s="1"/>
    </row>
    <row r="296" spans="1:4" ht="13" x14ac:dyDescent="0.3">
      <c r="A296" s="1" t="str">
        <f ca="1">IFERROR(__xludf.DUMMYFUNCTION("""COMPUTED_VALUE"""),"Жданов Алексей Валентинович")</f>
        <v>Жданов Алексей Валентинович</v>
      </c>
      <c r="B296" s="1" t="str">
        <f ca="1">IFERROR(__xludf.DUMMYFUNCTION("""COMPUTED_VALUE"""),"89825823184")</f>
        <v>89825823184</v>
      </c>
      <c r="C296" s="1" t="str">
        <f ca="1">IFERROR(__xludf.DUMMYFUNCTION("""COMPUTED_VALUE"""),"ИП Кулешов")</f>
        <v>ИП Кулешов</v>
      </c>
      <c r="D296" s="1"/>
    </row>
    <row r="297" spans="1:4" ht="13" x14ac:dyDescent="0.3">
      <c r="A297" s="1" t="str">
        <f ca="1">IFERROR(__xludf.DUMMYFUNCTION("""COMPUTED_VALUE"""),"Марков Алексей Владимирович")</f>
        <v>Марков Алексей Владимирович</v>
      </c>
      <c r="B297" s="1" t="str">
        <f ca="1">IFERROR(__xludf.DUMMYFUNCTION("""COMPUTED_VALUE"""),"89090687868")</f>
        <v>89090687868</v>
      </c>
      <c r="C297" s="1" t="str">
        <f ca="1">IFERROR(__xludf.DUMMYFUNCTION("""COMPUTED_VALUE"""),"ИП Кулешов")</f>
        <v>ИП Кулешов</v>
      </c>
      <c r="D297" s="1"/>
    </row>
    <row r="298" spans="1:4" ht="13" x14ac:dyDescent="0.3">
      <c r="A298" s="1" t="str">
        <f ca="1">IFERROR(__xludf.DUMMYFUNCTION("""COMPUTED_VALUE"""),"Иванов Сергей Александрович")</f>
        <v>Иванов Сергей Александрович</v>
      </c>
      <c r="B298" s="1" t="str">
        <f ca="1">IFERROR(__xludf.DUMMYFUNCTION("""COMPUTED_VALUE"""),"89109496756")</f>
        <v>89109496756</v>
      </c>
      <c r="C298" s="1" t="str">
        <f ca="1">IFERROR(__xludf.DUMMYFUNCTION("""COMPUTED_VALUE"""),"ИП Кулешов")</f>
        <v>ИП Кулешов</v>
      </c>
      <c r="D298" s="1"/>
    </row>
    <row r="299" spans="1:4" ht="13" x14ac:dyDescent="0.3">
      <c r="A299" s="1" t="str">
        <f ca="1">IFERROR(__xludf.DUMMYFUNCTION("""COMPUTED_VALUE"""),"Ионов Александр Владимирович")</f>
        <v>Ионов Александр Владимирович</v>
      </c>
      <c r="B299" s="1">
        <f ca="1">IFERROR(__xludf.DUMMYFUNCTION("""COMPUTED_VALUE"""),89085739156)</f>
        <v>89085739156</v>
      </c>
      <c r="C299" s="1" t="str">
        <f ca="1">IFERROR(__xludf.DUMMYFUNCTION("""COMPUTED_VALUE"""),"ИП Кулешов")</f>
        <v>ИП Кулешов</v>
      </c>
      <c r="D299" s="1"/>
    </row>
    <row r="300" spans="1:4" ht="13" x14ac:dyDescent="0.3">
      <c r="A300" s="1" t="str">
        <f ca="1">IFERROR(__xludf.DUMMYFUNCTION("""COMPUTED_VALUE"""),"Боронин Евгений Владимирович")</f>
        <v>Боронин Евгений Владимирович</v>
      </c>
      <c r="B300" s="1">
        <f ca="1">IFERROR(__xludf.DUMMYFUNCTION("""COMPUTED_VALUE"""),89514559747)</f>
        <v>89514559747</v>
      </c>
      <c r="C300" s="1" t="str">
        <f ca="1">IFERROR(__xludf.DUMMYFUNCTION("""COMPUTED_VALUE"""),"ИП Кулешов")</f>
        <v>ИП Кулешов</v>
      </c>
      <c r="D300" s="1"/>
    </row>
    <row r="301" spans="1:4" ht="13" x14ac:dyDescent="0.3">
      <c r="A301" s="1" t="str">
        <f ca="1">IFERROR(__xludf.DUMMYFUNCTION("""COMPUTED_VALUE"""),"Шагалов Александр Викторович")</f>
        <v>Шагалов Александр Викторович</v>
      </c>
      <c r="B301" s="1">
        <f ca="1">IFERROR(__xludf.DUMMYFUNCTION("""COMPUTED_VALUE"""),89823419972)</f>
        <v>89823419972</v>
      </c>
      <c r="C301" s="1" t="str">
        <f ca="1">IFERROR(__xludf.DUMMYFUNCTION("""COMPUTED_VALUE"""),"ИП Кулешов")</f>
        <v>ИП Кулешов</v>
      </c>
      <c r="D301" s="1"/>
    </row>
    <row r="302" spans="1:4" ht="13" x14ac:dyDescent="0.3">
      <c r="A302" s="1" t="str">
        <f ca="1">IFERROR(__xludf.DUMMYFUNCTION("""COMPUTED_VALUE"""),"Недолужко Евгений Валерьевич")</f>
        <v>Недолужко Евгений Валерьевич</v>
      </c>
      <c r="B302" s="1" t="str">
        <f ca="1">IFERROR(__xludf.DUMMYFUNCTION("""COMPUTED_VALUE"""),"89124759044")</f>
        <v>89124759044</v>
      </c>
      <c r="C302" s="1" t="str">
        <f ca="1">IFERROR(__xludf.DUMMYFUNCTION("""COMPUTED_VALUE"""),"ИП Кулешов")</f>
        <v>ИП Кулешов</v>
      </c>
      <c r="D302" s="1"/>
    </row>
    <row r="303" spans="1:4" ht="13" x14ac:dyDescent="0.3">
      <c r="A303" s="1" t="str">
        <f ca="1">IFERROR(__xludf.DUMMYFUNCTION("""COMPUTED_VALUE"""),"Искаков Федаиль Мидахатович,")</f>
        <v>Искаков Федаиль Мидахатович,</v>
      </c>
      <c r="B303" s="1" t="str">
        <f ca="1">IFERROR(__xludf.DUMMYFUNCTION("""COMPUTED_VALUE"""),"89048078473")</f>
        <v>89048078473</v>
      </c>
      <c r="C303" s="1" t="str">
        <f ca="1">IFERROR(__xludf.DUMMYFUNCTION("""COMPUTED_VALUE"""),"ИП Кулешов")</f>
        <v>ИП Кулешов</v>
      </c>
      <c r="D303" s="1"/>
    </row>
    <row r="304" spans="1:4" ht="13" x14ac:dyDescent="0.3">
      <c r="A304" s="1" t="str">
        <f ca="1">IFERROR(__xludf.DUMMYFUNCTION("""COMPUTED_VALUE"""),"Шагалов Евгений Александрович")</f>
        <v>Шагалов Евгений Александрович</v>
      </c>
      <c r="B304" s="1">
        <f ca="1">IFERROR(__xludf.DUMMYFUNCTION("""COMPUTED_VALUE"""),89193285131)</f>
        <v>89193285131</v>
      </c>
      <c r="C304" s="1" t="str">
        <f ca="1">IFERROR(__xludf.DUMMYFUNCTION("""COMPUTED_VALUE"""),"ИП Кулешов")</f>
        <v>ИП Кулешов</v>
      </c>
      <c r="D304" s="1"/>
    </row>
    <row r="305" spans="1:4" ht="13" x14ac:dyDescent="0.3">
      <c r="A305" s="1" t="str">
        <f ca="1">IFERROR(__xludf.DUMMYFUNCTION("""COMPUTED_VALUE"""),"Захаров Евгений Александрович")</f>
        <v>Захаров Евгений Александрович</v>
      </c>
      <c r="B305" s="1">
        <f ca="1">IFERROR(__xludf.DUMMYFUNCTION("""COMPUTED_VALUE"""),89193313343)</f>
        <v>89193313343</v>
      </c>
      <c r="C305" s="1" t="str">
        <f ca="1">IFERROR(__xludf.DUMMYFUNCTION("""COMPUTED_VALUE"""),"ИП Кулешов")</f>
        <v>ИП Кулешов</v>
      </c>
      <c r="D305" s="1"/>
    </row>
    <row r="306" spans="1:4" ht="13" x14ac:dyDescent="0.3">
      <c r="A306" s="1" t="str">
        <f ca="1">IFERROR(__xludf.DUMMYFUNCTION("""COMPUTED_VALUE"""),"Демидов Алексей Александрович")</f>
        <v>Демидов Алексей Александрович</v>
      </c>
      <c r="B306" s="1">
        <f ca="1">IFERROR(__xludf.DUMMYFUNCTION("""COMPUTED_VALUE"""),89507479889)</f>
        <v>89507479889</v>
      </c>
      <c r="C306" s="1" t="str">
        <f ca="1">IFERROR(__xludf.DUMMYFUNCTION("""COMPUTED_VALUE"""),"ИП Кулешов")</f>
        <v>ИП Кулешов</v>
      </c>
      <c r="D306" s="1"/>
    </row>
    <row r="307" spans="1:4" ht="13" x14ac:dyDescent="0.3">
      <c r="A307" s="1" t="str">
        <f ca="1">IFERROR(__xludf.DUMMYFUNCTION("""COMPUTED_VALUE"""),"Курбаков Валерий Валентинович")</f>
        <v>Курбаков Валерий Валентинович</v>
      </c>
      <c r="B307" s="1" t="str">
        <f ca="1">IFERROR(__xludf.DUMMYFUNCTION("""COMPUTED_VALUE"""),"89028965193")</f>
        <v>89028965193</v>
      </c>
      <c r="C307" s="1" t="str">
        <f ca="1">IFERROR(__xludf.DUMMYFUNCTION("""COMPUTED_VALUE"""),"ИП Кулешов")</f>
        <v>ИП Кулешов</v>
      </c>
      <c r="D307" s="1"/>
    </row>
    <row r="308" spans="1:4" ht="13" x14ac:dyDescent="0.3">
      <c r="A308" s="1" t="str">
        <f ca="1">IFERROR(__xludf.DUMMYFUNCTION("""COMPUTED_VALUE"""),"Буторин Константин Георгиевич")</f>
        <v>Буторин Константин Георгиевич</v>
      </c>
      <c r="B308" s="1" t="str">
        <f ca="1">IFERROR(__xludf.DUMMYFUNCTION("""COMPUTED_VALUE"""),"89193138577")</f>
        <v>89193138577</v>
      </c>
      <c r="C308" s="1" t="str">
        <f ca="1">IFERROR(__xludf.DUMMYFUNCTION("""COMPUTED_VALUE"""),"ИП Кулешов")</f>
        <v>ИП Кулешов</v>
      </c>
      <c r="D308" s="1"/>
    </row>
    <row r="309" spans="1:4" ht="13" x14ac:dyDescent="0.3">
      <c r="A309" s="1" t="str">
        <f ca="1">IFERROR(__xludf.DUMMYFUNCTION("""COMPUTED_VALUE"""),"Кашигин Владимир Александрович")</f>
        <v>Кашигин Владимир Александрович</v>
      </c>
      <c r="B309" s="1">
        <f ca="1">IFERROR(__xludf.DUMMYFUNCTION("""COMPUTED_VALUE"""),89080740021)</f>
        <v>89080740021</v>
      </c>
      <c r="C309" s="1" t="str">
        <f ca="1">IFERROR(__xludf.DUMMYFUNCTION("""COMPUTED_VALUE"""),"ИП Кулешов")</f>
        <v>ИП Кулешов</v>
      </c>
      <c r="D309" s="1"/>
    </row>
    <row r="310" spans="1:4" ht="13" x14ac:dyDescent="0.3">
      <c r="A310" s="1" t="str">
        <f ca="1">IFERROR(__xludf.DUMMYFUNCTION("""COMPUTED_VALUE"""),"Молодых Александр Валентинович")</f>
        <v>Молодых Александр Валентинович</v>
      </c>
      <c r="B310" s="1">
        <f ca="1">IFERROR(__xludf.DUMMYFUNCTION("""COMPUTED_VALUE"""),89512566985)</f>
        <v>89512566985</v>
      </c>
      <c r="C310" s="1" t="str">
        <f ca="1">IFERROR(__xludf.DUMMYFUNCTION("""COMPUTED_VALUE"""),"ИП Кулешов")</f>
        <v>ИП Кулешов</v>
      </c>
      <c r="D310" s="1"/>
    </row>
    <row r="311" spans="1:4" ht="13" x14ac:dyDescent="0.3">
      <c r="A311" s="1" t="str">
        <f ca="1">IFERROR(__xludf.DUMMYFUNCTION("""COMPUTED_VALUE"""),"Хайритдинов Ильдан Нурсалимович")</f>
        <v>Хайритдинов Ильдан Нурсалимович</v>
      </c>
      <c r="B311" s="1">
        <f ca="1">IFERROR(__xludf.DUMMYFUNCTION("""COMPUTED_VALUE"""),89049760435)</f>
        <v>89049760435</v>
      </c>
      <c r="C311" s="1" t="str">
        <f ca="1">IFERROR(__xludf.DUMMYFUNCTION("""COMPUTED_VALUE"""),"ИП Кулешов")</f>
        <v>ИП Кулешов</v>
      </c>
      <c r="D311" s="1"/>
    </row>
    <row r="312" spans="1:4" ht="13" x14ac:dyDescent="0.3">
      <c r="A312" s="1" t="str">
        <f ca="1">IFERROR(__xludf.DUMMYFUNCTION("""COMPUTED_VALUE"""),"Глинских Александр Владимирович")</f>
        <v>Глинских Александр Владимирович</v>
      </c>
      <c r="B312" s="1" t="str">
        <f ca="1">IFERROR(__xludf.DUMMYFUNCTION("""COMPUTED_VALUE"""),"89634736971")</f>
        <v>89634736971</v>
      </c>
      <c r="C312" s="1" t="str">
        <f ca="1">IFERROR(__xludf.DUMMYFUNCTION("""COMPUTED_VALUE"""),"ИП Кулешов")</f>
        <v>ИП Кулешов</v>
      </c>
      <c r="D312" s="1"/>
    </row>
    <row r="313" spans="1:4" ht="13" x14ac:dyDescent="0.3">
      <c r="A313" s="1" t="str">
        <f ca="1">IFERROR(__xludf.DUMMYFUNCTION("""COMPUTED_VALUE"""),"Рассказов Владимир Александрович")</f>
        <v>Рассказов Владимир Александрович</v>
      </c>
      <c r="B313" s="1">
        <f ca="1">IFERROR(__xludf.DUMMYFUNCTION("""COMPUTED_VALUE"""),89191116987)</f>
        <v>89191116987</v>
      </c>
      <c r="C313" s="1" t="str">
        <f ca="1">IFERROR(__xludf.DUMMYFUNCTION("""COMPUTED_VALUE"""),"ИП Кулешов")</f>
        <v>ИП Кулешов</v>
      </c>
      <c r="D313" s="1"/>
    </row>
    <row r="314" spans="1:4" ht="13" x14ac:dyDescent="0.3">
      <c r="A314" s="1" t="str">
        <f ca="1">IFERROR(__xludf.DUMMYFUNCTION("""COMPUTED_VALUE"""),"Негодяев Александр Александрович")</f>
        <v>Негодяев Александр Александрович</v>
      </c>
      <c r="B314" s="1">
        <f ca="1">IFERROR(__xludf.DUMMYFUNCTION("""COMPUTED_VALUE"""),89525051843)</f>
        <v>89525051843</v>
      </c>
      <c r="C314" s="1" t="str">
        <f ca="1">IFERROR(__xludf.DUMMYFUNCTION("""COMPUTED_VALUE"""),"ИП Кулешов")</f>
        <v>ИП Кулешов</v>
      </c>
      <c r="D314" s="1"/>
    </row>
    <row r="315" spans="1:4" ht="13" x14ac:dyDescent="0.3">
      <c r="A315" s="1" t="str">
        <f ca="1">IFERROR(__xludf.DUMMYFUNCTION("""COMPUTED_VALUE"""),"Зеленков Владимир Алексеевич")</f>
        <v>Зеленков Владимир Алексеевич</v>
      </c>
      <c r="B315" s="1">
        <f ca="1">IFERROR(__xludf.DUMMYFUNCTION("""COMPUTED_VALUE"""),89227021465)</f>
        <v>89227021465</v>
      </c>
      <c r="C315" s="1" t="str">
        <f ca="1">IFERROR(__xludf.DUMMYFUNCTION("""COMPUTED_VALUE"""),"ИП Любимкин")</f>
        <v>ИП Любимкин</v>
      </c>
      <c r="D315" s="1"/>
    </row>
    <row r="316" spans="1:4" ht="13" x14ac:dyDescent="0.3">
      <c r="A316" s="1" t="str">
        <f ca="1">IFERROR(__xludf.DUMMYFUNCTION("""COMPUTED_VALUE"""),"Родионов Алексей Владимирович")</f>
        <v>Родионов Алексей Владимирович</v>
      </c>
      <c r="B316" s="1">
        <f ca="1">IFERROR(__xludf.DUMMYFUNCTION("""COMPUTED_VALUE"""),89517805355)</f>
        <v>89517805355</v>
      </c>
      <c r="C316" s="1" t="str">
        <f ca="1">IFERROR(__xludf.DUMMYFUNCTION("""COMPUTED_VALUE"""),"ИП Любимкин")</f>
        <v>ИП Любимкин</v>
      </c>
      <c r="D316" s="1"/>
    </row>
    <row r="317" spans="1:4" ht="13" x14ac:dyDescent="0.3">
      <c r="A317" s="1" t="str">
        <f ca="1">IFERROR(__xludf.DUMMYFUNCTION("""COMPUTED_VALUE"""),"Тур Денис Алекссандрович")</f>
        <v>Тур Денис Алекссандрович</v>
      </c>
      <c r="B317" s="1">
        <f ca="1">IFERROR(__xludf.DUMMYFUNCTION("""COMPUTED_VALUE"""),89228328818)</f>
        <v>89228328818</v>
      </c>
      <c r="C317" s="1" t="str">
        <f ca="1">IFERROR(__xludf.DUMMYFUNCTION("""COMPUTED_VALUE"""),"ИП Нежданов")</f>
        <v>ИП Нежданов</v>
      </c>
      <c r="D317" s="1"/>
    </row>
    <row r="318" spans="1:4" ht="13" x14ac:dyDescent="0.3">
      <c r="A318" s="1" t="str">
        <f ca="1">IFERROR(__xludf.DUMMYFUNCTION("""COMPUTED_VALUE"""),"Калинин Дмитрий Алексеевич")</f>
        <v>Калинин Дмитрий Алексеевич</v>
      </c>
      <c r="B318" s="1">
        <f ca="1">IFERROR(__xludf.DUMMYFUNCTION("""COMPUTED_VALUE"""),89089391080)</f>
        <v>89089391080</v>
      </c>
      <c r="C318" s="1" t="str">
        <f ca="1">IFERROR(__xludf.DUMMYFUNCTION("""COMPUTED_VALUE"""),"ИП Ренев")</f>
        <v>ИП Ренев</v>
      </c>
      <c r="D318" s="1"/>
    </row>
    <row r="319" spans="1:4" ht="13" x14ac:dyDescent="0.3">
      <c r="A319" s="1" t="str">
        <f ca="1">IFERROR(__xludf.DUMMYFUNCTION("""COMPUTED_VALUE"""),"Клименко Александр Николаевич")</f>
        <v>Клименко Александр Николаевич</v>
      </c>
      <c r="B319" s="1">
        <f ca="1">IFERROR(__xludf.DUMMYFUNCTION("""COMPUTED_VALUE"""),89080712264)</f>
        <v>89080712264</v>
      </c>
      <c r="C319" s="1" t="str">
        <f ca="1">IFERROR(__xludf.DUMMYFUNCTION("""COMPUTED_VALUE"""),"ИП Ренев")</f>
        <v>ИП Ренев</v>
      </c>
      <c r="D319" s="1"/>
    </row>
    <row r="320" spans="1:4" ht="13" x14ac:dyDescent="0.3">
      <c r="A320" s="1" t="str">
        <f ca="1">IFERROR(__xludf.DUMMYFUNCTION("""COMPUTED_VALUE"""),"Блинов Геннадий Александрович")</f>
        <v>Блинов Геннадий Александрович</v>
      </c>
      <c r="B320" s="1">
        <f ca="1">IFERROR(__xludf.DUMMYFUNCTION("""COMPUTED_VALUE"""),89517915915)</f>
        <v>89517915915</v>
      </c>
      <c r="C320" s="1" t="str">
        <f ca="1">IFERROR(__xludf.DUMMYFUNCTION("""COMPUTED_VALUE"""),"ИП Ренев")</f>
        <v>ИП Ренев</v>
      </c>
      <c r="D320" s="1"/>
    </row>
    <row r="321" spans="1:4" ht="13" x14ac:dyDescent="0.3">
      <c r="A321" s="1" t="str">
        <f ca="1">IFERROR(__xludf.DUMMYFUNCTION("""COMPUTED_VALUE"""),"Абдулзалилов Ринат Мухаметгалеевич")</f>
        <v>Абдулзалилов Ринат Мухаметгалеевич</v>
      </c>
      <c r="B321" s="1">
        <f ca="1">IFERROR(__xludf.DUMMYFUNCTION("""COMPUTED_VALUE"""),89822815049)</f>
        <v>89822815049</v>
      </c>
      <c r="C321" s="1" t="str">
        <f ca="1">IFERROR(__xludf.DUMMYFUNCTION("""COMPUTED_VALUE"""),"ИП Ренев")</f>
        <v>ИП Ренев</v>
      </c>
      <c r="D321" s="1"/>
    </row>
    <row r="322" spans="1:4" ht="13" x14ac:dyDescent="0.3">
      <c r="A322" s="1" t="str">
        <f ca="1">IFERROR(__xludf.DUMMYFUNCTION("""COMPUTED_VALUE"""),"Мамадалиев Рафукжон Махаматкосимович")</f>
        <v>Мамадалиев Рафукжон Махаматкосимович</v>
      </c>
      <c r="B322" s="1">
        <f ca="1">IFERROR(__xludf.DUMMYFUNCTION("""COMPUTED_VALUE"""),89374938547)</f>
        <v>89374938547</v>
      </c>
      <c r="C322" s="1" t="str">
        <f ca="1">IFERROR(__xludf.DUMMYFUNCTION("""COMPUTED_VALUE"""),"ИП Ренев")</f>
        <v>ИП Ренев</v>
      </c>
      <c r="D322" s="1"/>
    </row>
    <row r="323" spans="1:4" ht="13" x14ac:dyDescent="0.3">
      <c r="A323" s="1" t="str">
        <f ca="1">IFERROR(__xludf.DUMMYFUNCTION("""COMPUTED_VALUE"""),"Сорокин Павел Валерьевич")</f>
        <v>Сорокин Павел Валерьевич</v>
      </c>
      <c r="B323" s="1">
        <f ca="1">IFERROR(__xludf.DUMMYFUNCTION("""COMPUTED_VALUE"""),89000694058)</f>
        <v>89000694058</v>
      </c>
      <c r="C323" s="1" t="str">
        <f ca="1">IFERROR(__xludf.DUMMYFUNCTION("""COMPUTED_VALUE"""),"Ип Свириденко")</f>
        <v>Ип Свириденко</v>
      </c>
      <c r="D323" s="1"/>
    </row>
    <row r="324" spans="1:4" ht="13" x14ac:dyDescent="0.3">
      <c r="A324" s="1" t="str">
        <f ca="1">IFERROR(__xludf.DUMMYFUNCTION("""COMPUTED_VALUE"""),"Чуманов Василий Николаевич")</f>
        <v>Чуманов Василий Николаевич</v>
      </c>
      <c r="B324" s="1">
        <f ca="1">IFERROR(__xludf.DUMMYFUNCTION("""COMPUTED_VALUE"""),89053593646)</f>
        <v>89053593646</v>
      </c>
      <c r="C324" s="1" t="str">
        <f ca="1">IFERROR(__xludf.DUMMYFUNCTION("""COMPUTED_VALUE"""),"ИП Тляубердин")</f>
        <v>ИП Тляубердин</v>
      </c>
      <c r="D324" s="1"/>
    </row>
    <row r="325" spans="1:4" ht="13" x14ac:dyDescent="0.3">
      <c r="A325" s="1" t="str">
        <f ca="1">IFERROR(__xludf.DUMMYFUNCTION("""COMPUTED_VALUE"""),"Тляубердин Азамат Ишбулатович")</f>
        <v>Тляубердин Азамат Ишбулатович</v>
      </c>
      <c r="B325" s="1">
        <f ca="1">IFERROR(__xludf.DUMMYFUNCTION("""COMPUTED_VALUE"""),89659331191)</f>
        <v>89659331191</v>
      </c>
      <c r="C325" s="1" t="str">
        <f ca="1">IFERROR(__xludf.DUMMYFUNCTION("""COMPUTED_VALUE"""),"ИП Тляубердин")</f>
        <v>ИП Тляубердин</v>
      </c>
      <c r="D325" s="1"/>
    </row>
    <row r="326" spans="1:4" ht="13" x14ac:dyDescent="0.3">
      <c r="A326" s="1" t="str">
        <f ca="1">IFERROR(__xludf.DUMMYFUNCTION("""COMPUTED_VALUE"""),"Бурханов Руслан Рашитович")</f>
        <v>Бурханов Руслан Рашитович</v>
      </c>
      <c r="B326" s="1">
        <f ca="1">IFERROR(__xludf.DUMMYFUNCTION("""COMPUTED_VALUE"""),89277455026)</f>
        <v>89277455026</v>
      </c>
      <c r="C326" s="1" t="str">
        <f ca="1">IFERROR(__xludf.DUMMYFUNCTION("""COMPUTED_VALUE"""),"ИП Тявина")</f>
        <v>ИП Тявина</v>
      </c>
      <c r="D326" s="1"/>
    </row>
    <row r="327" spans="1:4" ht="13" x14ac:dyDescent="0.3">
      <c r="A327" s="1" t="str">
        <f ca="1">IFERROR(__xludf.DUMMYFUNCTION("""COMPUTED_VALUE"""),"Чижов Алексей Валентинович")</f>
        <v>Чижов Алексей Валентинович</v>
      </c>
      <c r="B327" s="1">
        <f ca="1">IFERROR(__xludf.DUMMYFUNCTION("""COMPUTED_VALUE"""),89278996411)</f>
        <v>89278996411</v>
      </c>
      <c r="C327" s="1" t="str">
        <f ca="1">IFERROR(__xludf.DUMMYFUNCTION("""COMPUTED_VALUE"""),"ИП Тявина")</f>
        <v>ИП Тявина</v>
      </c>
      <c r="D327" s="1"/>
    </row>
    <row r="328" spans="1:4" ht="13" x14ac:dyDescent="0.3">
      <c r="A328" s="1" t="str">
        <f ca="1">IFERROR(__xludf.DUMMYFUNCTION("""COMPUTED_VALUE"""),"Колонюк Игорь Геннадьевич")</f>
        <v>Колонюк Игорь Геннадьевич</v>
      </c>
      <c r="B328" s="1">
        <f ca="1">IFERROR(__xludf.DUMMYFUNCTION("""COMPUTED_VALUE"""),89191144293)</f>
        <v>89191144293</v>
      </c>
      <c r="C328" s="1" t="str">
        <f ca="1">IFERROR(__xludf.DUMMYFUNCTION("""COMPUTED_VALUE"""),"МагСпецТранс")</f>
        <v>МагСпецТранс</v>
      </c>
      <c r="D328" s="1"/>
    </row>
    <row r="329" spans="1:4" ht="13" x14ac:dyDescent="0.3">
      <c r="A329" s="1" t="str">
        <f ca="1">IFERROR(__xludf.DUMMYFUNCTION("""COMPUTED_VALUE"""),"Прытков Александр Викторович")</f>
        <v>Прытков Александр Викторович</v>
      </c>
      <c r="B329" s="1">
        <f ca="1">IFERROR(__xludf.DUMMYFUNCTION("""COMPUTED_VALUE"""),89511160662)</f>
        <v>89511160662</v>
      </c>
      <c r="C329" s="1" t="str">
        <f ca="1">IFERROR(__xludf.DUMMYFUNCTION("""COMPUTED_VALUE"""),"МагСпецТранс")</f>
        <v>МагСпецТранс</v>
      </c>
      <c r="D329" s="1"/>
    </row>
    <row r="330" spans="1:4" ht="13" x14ac:dyDescent="0.3">
      <c r="A330" s="1" t="str">
        <f ca="1">IFERROR(__xludf.DUMMYFUNCTION("""COMPUTED_VALUE"""),"Юрченко Сергей Анатольевич")</f>
        <v>Юрченко Сергей Анатольевич</v>
      </c>
      <c r="B330" s="1">
        <f ca="1">IFERROR(__xludf.DUMMYFUNCTION("""COMPUTED_VALUE"""),79068714809)</f>
        <v>79068714809</v>
      </c>
      <c r="C330" s="1" t="str">
        <f ca="1">IFERROR(__xludf.DUMMYFUNCTION("""COMPUTED_VALUE"""),"МагСтройМаш")</f>
        <v>МагСтройМаш</v>
      </c>
      <c r="D330" s="1"/>
    </row>
    <row r="331" spans="1:4" ht="13" x14ac:dyDescent="0.3">
      <c r="A331" s="1" t="str">
        <f ca="1">IFERROR(__xludf.DUMMYFUNCTION("""COMPUTED_VALUE"""),"Полей Михаил Николаевич")</f>
        <v>Полей Михаил Николаевич</v>
      </c>
      <c r="B331" s="1">
        <f ca="1">IFERROR(__xludf.DUMMYFUNCTION("""COMPUTED_VALUE"""),89328504404)</f>
        <v>89328504404</v>
      </c>
      <c r="C331" s="1" t="str">
        <f ca="1">IFERROR(__xludf.DUMMYFUNCTION("""COMPUTED_VALUE"""),"НТК")</f>
        <v>НТК</v>
      </c>
      <c r="D331" s="1"/>
    </row>
    <row r="332" spans="1:4" ht="13" x14ac:dyDescent="0.3">
      <c r="A332" s="1" t="str">
        <f ca="1">IFERROR(__xludf.DUMMYFUNCTION("""COMPUTED_VALUE"""),"Обрезаненко Сергей Николаевич")</f>
        <v>Обрезаненко Сергей Николаевич</v>
      </c>
      <c r="B332" s="1">
        <f ca="1">IFERROR(__xludf.DUMMYFUNCTION("""COMPUTED_VALUE"""),89225368702)</f>
        <v>89225368702</v>
      </c>
      <c r="C332" s="1" t="str">
        <f ca="1">IFERROR(__xludf.DUMMYFUNCTION("""COMPUTED_VALUE"""),"НТК")</f>
        <v>НТК</v>
      </c>
      <c r="D332" s="1"/>
    </row>
    <row r="333" spans="1:4" ht="13" x14ac:dyDescent="0.3">
      <c r="A333" s="1" t="str">
        <f ca="1">IFERROR(__xludf.DUMMYFUNCTION("""COMPUTED_VALUE"""),"Хамидуллин Руслан Римович")</f>
        <v>Хамидуллин Руслан Римович</v>
      </c>
      <c r="B333" s="1">
        <f ca="1">IFERROR(__xludf.DUMMYFUNCTION("""COMPUTED_VALUE"""),89193394908)</f>
        <v>89193394908</v>
      </c>
      <c r="C333" s="1" t="str">
        <f ca="1">IFERROR(__xludf.DUMMYFUNCTION("""COMPUTED_VALUE"""),"ООО ""Уралснаб""")</f>
        <v>ООО "Уралснаб"</v>
      </c>
      <c r="D333" s="1"/>
    </row>
    <row r="334" spans="1:4" ht="13" x14ac:dyDescent="0.3">
      <c r="A334" s="1" t="str">
        <f ca="1">IFERROR(__xludf.DUMMYFUNCTION("""COMPUTED_VALUE"""),"Сибагатуллин Ринат Дамирович")</f>
        <v>Сибагатуллин Ринат Дамирович</v>
      </c>
      <c r="B334" s="1">
        <f ca="1">IFERROR(__xludf.DUMMYFUNCTION("""COMPUTED_VALUE"""),89043054064)</f>
        <v>89043054064</v>
      </c>
      <c r="C334" s="1" t="str">
        <f ca="1">IFERROR(__xludf.DUMMYFUNCTION("""COMPUTED_VALUE"""),"ООО «Стандарт»")</f>
        <v>ООО «Стандарт»</v>
      </c>
      <c r="D334" s="1"/>
    </row>
    <row r="335" spans="1:4" ht="13" x14ac:dyDescent="0.3">
      <c r="A335" s="1" t="str">
        <f ca="1">IFERROR(__xludf.DUMMYFUNCTION("""COMPUTED_VALUE"""),"Иванов Евгений Владимирович")</f>
        <v>Иванов Евгений Владимирович</v>
      </c>
      <c r="B335" s="1">
        <f ca="1">IFERROR(__xludf.DUMMYFUNCTION("""COMPUTED_VALUE"""),89049475608)</f>
        <v>89049475608</v>
      </c>
      <c r="C335" s="1" t="str">
        <f ca="1">IFERROR(__xludf.DUMMYFUNCTION("""COMPUTED_VALUE"""),"ООО БУЛАВА")</f>
        <v>ООО БУЛАВА</v>
      </c>
      <c r="D335" s="1"/>
    </row>
    <row r="336" spans="1:4" ht="13" x14ac:dyDescent="0.3">
      <c r="A336" s="1" t="str">
        <f ca="1">IFERROR(__xludf.DUMMYFUNCTION("""COMPUTED_VALUE"""),"Стрельников Николай Александрович")</f>
        <v>Стрельников Николай Александрович</v>
      </c>
      <c r="B336" s="1">
        <f ca="1">IFERROR(__xludf.DUMMYFUNCTION("""COMPUTED_VALUE"""),89124038690)</f>
        <v>89124038690</v>
      </c>
      <c r="C336" s="1" t="str">
        <f ca="1">IFERROR(__xludf.DUMMYFUNCTION("""COMPUTED_VALUE"""),"РВ-Тариф")</f>
        <v>РВ-Тариф</v>
      </c>
      <c r="D336" s="1"/>
    </row>
    <row r="337" spans="1:4" ht="13" x14ac:dyDescent="0.3">
      <c r="A337" s="1" t="str">
        <f ca="1">IFERROR(__xludf.DUMMYFUNCTION("""COMPUTED_VALUE"""),"Шакирьянов Айнур Амирович")</f>
        <v>Шакирьянов Айнур Амирович</v>
      </c>
      <c r="B337" s="1">
        <f ca="1">IFERROR(__xludf.DUMMYFUNCTION("""COMPUTED_VALUE"""),89674545800)</f>
        <v>89674545800</v>
      </c>
      <c r="C337" s="1" t="str">
        <f ca="1">IFERROR(__xludf.DUMMYFUNCTION("""COMPUTED_VALUE"""),"ООО Спецстрой")</f>
        <v>ООО Спецстрой</v>
      </c>
      <c r="D337" s="1"/>
    </row>
    <row r="338" spans="1:4" ht="13" x14ac:dyDescent="0.3">
      <c r="A338" s="1" t="str">
        <f ca="1">IFERROR(__xludf.DUMMYFUNCTION("""COMPUTED_VALUE"""),"Ибрагимов Мурад Низамович")</f>
        <v>Ибрагимов Мурад Низамович</v>
      </c>
      <c r="B338" s="1">
        <f ca="1">IFERROR(__xludf.DUMMYFUNCTION("""COMPUTED_VALUE"""),89048186605)</f>
        <v>89048186605</v>
      </c>
      <c r="C338" s="1" t="str">
        <f ca="1">IFERROR(__xludf.DUMMYFUNCTION("""COMPUTED_VALUE"""),"ООО Удача Плюс Новиков")</f>
        <v>ООО Удача Плюс Новиков</v>
      </c>
      <c r="D338" s="1"/>
    </row>
    <row r="339" spans="1:4" ht="13" x14ac:dyDescent="0.3">
      <c r="A339" s="1" t="str">
        <f ca="1">IFERROR(__xludf.DUMMYFUNCTION("""COMPUTED_VALUE"""),"Баяринов Виталий Сергеевич")</f>
        <v>Баяринов Виталий Сергеевич</v>
      </c>
      <c r="B339" s="1">
        <f ca="1">IFERROR(__xludf.DUMMYFUNCTION("""COMPUTED_VALUE"""),89823179908)</f>
        <v>89823179908</v>
      </c>
      <c r="C339" s="1" t="str">
        <f ca="1">IFERROR(__xludf.DUMMYFUNCTION("""COMPUTED_VALUE"""),"ООО Удача Плюс Новиков")</f>
        <v>ООО Удача Плюс Новиков</v>
      </c>
      <c r="D339" s="1"/>
    </row>
    <row r="340" spans="1:4" ht="13" x14ac:dyDescent="0.3">
      <c r="A340" s="1" t="str">
        <f ca="1">IFERROR(__xludf.DUMMYFUNCTION("""COMPUTED_VALUE"""),"Уржумов Андрей Александрович")</f>
        <v>Уржумов Андрей Александрович</v>
      </c>
      <c r="B340" s="1">
        <f ca="1">IFERROR(__xludf.DUMMYFUNCTION("""COMPUTED_VALUE"""),89823221834)</f>
        <v>89823221834</v>
      </c>
      <c r="C340" s="1" t="str">
        <f ca="1">IFERROR(__xludf.DUMMYFUNCTION("""COMPUTED_VALUE"""),"ООО Удача Плюс Новиков")</f>
        <v>ООО Удача Плюс Новиков</v>
      </c>
      <c r="D340" s="1"/>
    </row>
    <row r="341" spans="1:4" ht="13" x14ac:dyDescent="0.3">
      <c r="A341" s="1" t="str">
        <f ca="1">IFERROR(__xludf.DUMMYFUNCTION("""COMPUTED_VALUE"""),"Лыков Игорь Николаевич")</f>
        <v>Лыков Игорь Николаевич</v>
      </c>
      <c r="B341" s="1">
        <f ca="1">IFERROR(__xludf.DUMMYFUNCTION("""COMPUTED_VALUE"""),79995862275)</f>
        <v>79995862275</v>
      </c>
      <c r="C341" s="1" t="str">
        <f ca="1">IFERROR(__xludf.DUMMYFUNCTION("""COMPUTED_VALUE"""),"ПромГражданСтрой")</f>
        <v>ПромГражданСтрой</v>
      </c>
      <c r="D341" s="1"/>
    </row>
    <row r="342" spans="1:4" ht="13" x14ac:dyDescent="0.3">
      <c r="A342" s="1" t="str">
        <f ca="1">IFERROR(__xludf.DUMMYFUNCTION("""COMPUTED_VALUE"""),"Онищенко Олег Олегович")</f>
        <v>Онищенко Олег Олегович</v>
      </c>
      <c r="B342" s="1">
        <f ca="1">IFERROR(__xludf.DUMMYFUNCTION("""COMPUTED_VALUE"""),79995862275)</f>
        <v>79995862275</v>
      </c>
      <c r="C342" s="1" t="str">
        <f ca="1">IFERROR(__xludf.DUMMYFUNCTION("""COMPUTED_VALUE"""),"ПромГражданСтрой")</f>
        <v>ПромГражданСтрой</v>
      </c>
      <c r="D342" s="1"/>
    </row>
    <row r="343" spans="1:4" ht="13" x14ac:dyDescent="0.3">
      <c r="A343" s="1" t="str">
        <f ca="1">IFERROR(__xludf.DUMMYFUNCTION("""COMPUTED_VALUE"""),"Бакиров Ренат Вакилевич")</f>
        <v>Бакиров Ренат Вакилевич</v>
      </c>
      <c r="B343" s="1">
        <f ca="1">IFERROR(__xludf.DUMMYFUNCTION("""COMPUTED_VALUE"""),79995862275)</f>
        <v>79995862275</v>
      </c>
      <c r="C343" s="1" t="str">
        <f ca="1">IFERROR(__xludf.DUMMYFUNCTION("""COMPUTED_VALUE"""),"ПромГражданСтрой")</f>
        <v>ПромГражданСтрой</v>
      </c>
      <c r="D343" s="1"/>
    </row>
    <row r="344" spans="1:4" ht="13" x14ac:dyDescent="0.3">
      <c r="A344" s="1" t="str">
        <f ca="1">IFERROR(__xludf.DUMMYFUNCTION("""COMPUTED_VALUE"""),"Енин Евгений Викторович")</f>
        <v>Енин Евгений Викторович</v>
      </c>
      <c r="B344" s="1">
        <f ca="1">IFERROR(__xludf.DUMMYFUNCTION("""COMPUTED_VALUE"""),79995862275)</f>
        <v>79995862275</v>
      </c>
      <c r="C344" s="1" t="str">
        <f ca="1">IFERROR(__xludf.DUMMYFUNCTION("""COMPUTED_VALUE"""),"ПромГражданСтрой")</f>
        <v>ПромГражданСтрой</v>
      </c>
      <c r="D344" s="1" t="str">
        <f ca="1">IFERROR(__xludf.DUMMYFUNCTION("""COMPUTED_VALUE"""),"99 15 238771")</f>
        <v>99 15 238771</v>
      </c>
    </row>
    <row r="345" spans="1:4" ht="13" x14ac:dyDescent="0.3">
      <c r="A345" s="1" t="str">
        <f ca="1">IFERROR(__xludf.DUMMYFUNCTION("""COMPUTED_VALUE"""),"Кузнецов Алексей Сергеевич")</f>
        <v>Кузнецов Алексей Сергеевич</v>
      </c>
      <c r="B345" s="1">
        <f ca="1">IFERROR(__xludf.DUMMYFUNCTION("""COMPUTED_VALUE"""),79995862275)</f>
        <v>79995862275</v>
      </c>
      <c r="C345" s="1" t="str">
        <f ca="1">IFERROR(__xludf.DUMMYFUNCTION("""COMPUTED_VALUE"""),"ПромГражданСтрой")</f>
        <v>ПромГражданСтрой</v>
      </c>
      <c r="D345" s="1"/>
    </row>
    <row r="346" spans="1:4" ht="13" x14ac:dyDescent="0.3">
      <c r="A346" s="1" t="str">
        <f ca="1">IFERROR(__xludf.DUMMYFUNCTION("""COMPUTED_VALUE"""),"Багранов Бахтияр Ахиярович")</f>
        <v>Багранов Бахтияр Ахиярович</v>
      </c>
      <c r="B346" s="1">
        <f ca="1">IFERROR(__xludf.DUMMYFUNCTION("""COMPUTED_VALUE"""),79995862275)</f>
        <v>79995862275</v>
      </c>
      <c r="C346" s="1" t="str">
        <f ca="1">IFERROR(__xludf.DUMMYFUNCTION("""COMPUTED_VALUE"""),"ПромГражданСтрой")</f>
        <v>ПромГражданСтрой</v>
      </c>
      <c r="D346" s="1"/>
    </row>
    <row r="347" spans="1:4" ht="13" x14ac:dyDescent="0.3">
      <c r="A347" s="1" t="str">
        <f ca="1">IFERROR(__xludf.DUMMYFUNCTION("""COMPUTED_VALUE"""),"Нерезенко Дмитрий Игоревич")</f>
        <v>Нерезенко Дмитрий Игоревич</v>
      </c>
      <c r="B347" s="1">
        <f ca="1">IFERROR(__xludf.DUMMYFUNCTION("""COMPUTED_VALUE"""),79995862275)</f>
        <v>79995862275</v>
      </c>
      <c r="C347" s="1" t="str">
        <f ca="1">IFERROR(__xludf.DUMMYFUNCTION("""COMPUTED_VALUE"""),"ПромГражданСтрой")</f>
        <v>ПромГражданСтрой</v>
      </c>
      <c r="D347" s="1"/>
    </row>
    <row r="348" spans="1:4" ht="13" x14ac:dyDescent="0.3">
      <c r="A348" s="1" t="str">
        <f ca="1">IFERROR(__xludf.DUMMYFUNCTION("""COMPUTED_VALUE"""),"Исмаилов Насими Мехди Оглы")</f>
        <v>Исмаилов Насими Мехди Оглы</v>
      </c>
      <c r="B348" s="1">
        <f ca="1">IFERROR(__xludf.DUMMYFUNCTION("""COMPUTED_VALUE"""),79995862275)</f>
        <v>79995862275</v>
      </c>
      <c r="C348" s="1" t="str">
        <f ca="1">IFERROR(__xludf.DUMMYFUNCTION("""COMPUTED_VALUE"""),"ПромГражданСтрой")</f>
        <v>ПромГражданСтрой</v>
      </c>
      <c r="D348" s="1"/>
    </row>
    <row r="349" spans="1:4" ht="13" x14ac:dyDescent="0.3">
      <c r="A349" s="1" t="str">
        <f ca="1">IFERROR(__xludf.DUMMYFUNCTION("""COMPUTED_VALUE"""),"Васильев Владимир Викторович")</f>
        <v>Васильев Владимир Викторович</v>
      </c>
      <c r="B349" s="1">
        <f ca="1">IFERROR(__xludf.DUMMYFUNCTION("""COMPUTED_VALUE"""),79995862275)</f>
        <v>79995862275</v>
      </c>
      <c r="C349" s="1" t="str">
        <f ca="1">IFERROR(__xludf.DUMMYFUNCTION("""COMPUTED_VALUE"""),"ПромГражданСтрой")</f>
        <v>ПромГражданСтрой</v>
      </c>
      <c r="D349" s="1"/>
    </row>
    <row r="350" spans="1:4" ht="13" x14ac:dyDescent="0.3">
      <c r="A350" s="1" t="str">
        <f ca="1">IFERROR(__xludf.DUMMYFUNCTION("""COMPUTED_VALUE"""),"Рыбаков Артём Константинович")</f>
        <v>Рыбаков Артём Константинович</v>
      </c>
      <c r="B350" s="1">
        <f ca="1">IFERROR(__xludf.DUMMYFUNCTION("""COMPUTED_VALUE"""),79995862275)</f>
        <v>79995862275</v>
      </c>
      <c r="C350" s="1" t="str">
        <f ca="1">IFERROR(__xludf.DUMMYFUNCTION("""COMPUTED_VALUE"""),"ПромГражданСтрой")</f>
        <v>ПромГражданСтрой</v>
      </c>
      <c r="D350" s="1"/>
    </row>
    <row r="351" spans="1:4" ht="13" x14ac:dyDescent="0.3">
      <c r="A351" s="1" t="str">
        <f ca="1">IFERROR(__xludf.DUMMYFUNCTION("""COMPUTED_VALUE"""),"Сирож Владимир Григорьевич")</f>
        <v>Сирож Владимир Григорьевич</v>
      </c>
      <c r="B351" s="1">
        <f ca="1">IFERROR(__xludf.DUMMYFUNCTION("""COMPUTED_VALUE"""),89058399788)</f>
        <v>89058399788</v>
      </c>
      <c r="C351" s="1" t="str">
        <f ca="1">IFERROR(__xludf.DUMMYFUNCTION("""COMPUTED_VALUE"""),"РВ-Тариф")</f>
        <v>РВ-Тариф</v>
      </c>
      <c r="D351" s="1"/>
    </row>
    <row r="352" spans="1:4" ht="13" x14ac:dyDescent="0.3">
      <c r="A352" s="1" t="str">
        <f ca="1">IFERROR(__xludf.DUMMYFUNCTION("""COMPUTED_VALUE"""),"Файзуллин Вадим Николаевич")</f>
        <v>Файзуллин Вадим Николаевич</v>
      </c>
      <c r="B352" s="1">
        <f ca="1">IFERROR(__xludf.DUMMYFUNCTION("""COMPUTED_VALUE"""),89068997426.8982)</f>
        <v>89068997426.898193</v>
      </c>
      <c r="C352" s="1" t="str">
        <f ca="1">IFERROR(__xludf.DUMMYFUNCTION("""COMPUTED_VALUE"""),"РВ-Тариф")</f>
        <v>РВ-Тариф</v>
      </c>
      <c r="D352" s="1"/>
    </row>
    <row r="353" spans="1:4" ht="13" x14ac:dyDescent="0.3">
      <c r="A353" s="1" t="str">
        <f ca="1">IFERROR(__xludf.DUMMYFUNCTION("""COMPUTED_VALUE"""),"Ревин Александр Евгеньевич")</f>
        <v>Ревин Александр Евгеньевич</v>
      </c>
      <c r="B353" s="1">
        <f ca="1">IFERROR(__xludf.DUMMYFUNCTION("""COMPUTED_VALUE"""),89127791074)</f>
        <v>89127791074</v>
      </c>
      <c r="C353" s="1" t="str">
        <f ca="1">IFERROR(__xludf.DUMMYFUNCTION("""COMPUTED_VALUE"""),"РВ-Тариф")</f>
        <v>РВ-Тариф</v>
      </c>
      <c r="D353" s="1"/>
    </row>
    <row r="354" spans="1:4" ht="13" x14ac:dyDescent="0.3">
      <c r="A354" s="1" t="str">
        <f ca="1">IFERROR(__xludf.DUMMYFUNCTION("""COMPUTED_VALUE"""),"Афанасьев Михаил Васильевич")</f>
        <v>Афанасьев Михаил Васильевич</v>
      </c>
      <c r="B354" s="1">
        <f ca="1">IFERROR(__xludf.DUMMYFUNCTION("""COMPUTED_VALUE"""),89123096803)</f>
        <v>89123096803</v>
      </c>
      <c r="C354" s="1" t="str">
        <f ca="1">IFERROR(__xludf.DUMMYFUNCTION("""COMPUTED_VALUE"""),"РВ-Тариф")</f>
        <v>РВ-Тариф</v>
      </c>
      <c r="D354" s="1"/>
    </row>
    <row r="355" spans="1:4" ht="13" x14ac:dyDescent="0.3">
      <c r="A355" s="1" t="str">
        <f ca="1">IFERROR(__xludf.DUMMYFUNCTION("""COMPUTED_VALUE"""),"Щербаков Дмитрий Николаевич")</f>
        <v>Щербаков Дмитрий Николаевич</v>
      </c>
      <c r="B355" s="1">
        <f ca="1">IFERROR(__xludf.DUMMYFUNCTION("""COMPUTED_VALUE"""),89320157979)</f>
        <v>89320157979</v>
      </c>
      <c r="C355" s="1" t="str">
        <f ca="1">IFERROR(__xludf.DUMMYFUNCTION("""COMPUTED_VALUE"""),"РВ-Тариф")</f>
        <v>РВ-Тариф</v>
      </c>
      <c r="D355" s="1"/>
    </row>
    <row r="356" spans="1:4" ht="13" x14ac:dyDescent="0.3">
      <c r="A356" s="1" t="str">
        <f ca="1">IFERROR(__xludf.DUMMYFUNCTION("""COMPUTED_VALUE"""),"Арзакулов Ержан Айдарович")</f>
        <v>Арзакулов Ержан Айдарович</v>
      </c>
      <c r="B356" s="1">
        <f ca="1">IFERROR(__xludf.DUMMYFUNCTION("""COMPUTED_VALUE"""),89823347570)</f>
        <v>89823347570</v>
      </c>
      <c r="C356" s="1" t="str">
        <f ca="1">IFERROR(__xludf.DUMMYFUNCTION("""COMPUTED_VALUE"""),"Синергия")</f>
        <v>Синергия</v>
      </c>
      <c r="D356" s="1"/>
    </row>
    <row r="357" spans="1:4" ht="13" x14ac:dyDescent="0.3">
      <c r="A357" s="1" t="str">
        <f ca="1">IFERROR(__xludf.DUMMYFUNCTION("""COMPUTED_VALUE"""),"Нацук Иван Викторович")</f>
        <v>Нацук Иван Викторович</v>
      </c>
      <c r="B357" s="1">
        <f ca="1">IFERROR(__xludf.DUMMYFUNCTION("""COMPUTED_VALUE"""),89517801376)</f>
        <v>89517801376</v>
      </c>
      <c r="C357" s="1" t="str">
        <f ca="1">IFERROR(__xludf.DUMMYFUNCTION("""COMPUTED_VALUE"""),"Синергия")</f>
        <v>Синергия</v>
      </c>
      <c r="D357" s="1"/>
    </row>
    <row r="358" spans="1:4" ht="13" x14ac:dyDescent="0.3">
      <c r="A358" s="1" t="str">
        <f ca="1">IFERROR(__xludf.DUMMYFUNCTION("""COMPUTED_VALUE"""),"Демин Андрей Сергеевич")</f>
        <v>Демин Андрей Сергеевич</v>
      </c>
      <c r="B358" s="1">
        <f ca="1">IFERROR(__xludf.DUMMYFUNCTION("""COMPUTED_VALUE"""),89127792048)</f>
        <v>89127792048</v>
      </c>
      <c r="C358" s="1" t="str">
        <f ca="1">IFERROR(__xludf.DUMMYFUNCTION("""COMPUTED_VALUE"""),"Синергия")</f>
        <v>Синергия</v>
      </c>
      <c r="D358" s="1"/>
    </row>
    <row r="359" spans="1:4" ht="13" x14ac:dyDescent="0.3">
      <c r="A359" s="1" t="str">
        <f ca="1">IFERROR(__xludf.DUMMYFUNCTION("""COMPUTED_VALUE"""),"Петрин Иван Алексеевич")</f>
        <v>Петрин Иван Алексеевич</v>
      </c>
      <c r="B359" s="1">
        <f ca="1">IFERROR(__xludf.DUMMYFUNCTION("""COMPUTED_VALUE"""),89525087425)</f>
        <v>89525087425</v>
      </c>
      <c r="C359" s="1" t="str">
        <f ca="1">IFERROR(__xludf.DUMMYFUNCTION("""COMPUTED_VALUE"""),"Синергия")</f>
        <v>Синергия</v>
      </c>
      <c r="D359" s="1"/>
    </row>
    <row r="360" spans="1:4" ht="13" x14ac:dyDescent="0.3">
      <c r="A360" s="1" t="str">
        <f ca="1">IFERROR(__xludf.DUMMYFUNCTION("""COMPUTED_VALUE"""),"Халисов Эмиль Ойратович")</f>
        <v>Халисов Эмиль Ойратович</v>
      </c>
      <c r="B360" s="1">
        <f ca="1">IFERROR(__xludf.DUMMYFUNCTION("""COMPUTED_VALUE"""),89220102020)</f>
        <v>89220102020</v>
      </c>
      <c r="C360" s="1" t="str">
        <f ca="1">IFERROR(__xludf.DUMMYFUNCTION("""COMPUTED_VALUE"""),"Синергия")</f>
        <v>Синергия</v>
      </c>
      <c r="D360" s="1"/>
    </row>
    <row r="361" spans="1:4" ht="13" x14ac:dyDescent="0.3">
      <c r="A361" s="1" t="str">
        <f ca="1">IFERROR(__xludf.DUMMYFUNCTION("""COMPUTED_VALUE"""),"Янгулов Айнур Габитович")</f>
        <v>Янгулов Айнур Габитович</v>
      </c>
      <c r="B361" s="1">
        <f ca="1">IFERROR(__xludf.DUMMYFUNCTION("""COMPUTED_VALUE"""),89962361624)</f>
        <v>89962361624</v>
      </c>
      <c r="C361" s="1" t="str">
        <f ca="1">IFERROR(__xludf.DUMMYFUNCTION("""COMPUTED_VALUE"""),"Синергия")</f>
        <v>Синергия</v>
      </c>
      <c r="D361" s="1"/>
    </row>
    <row r="362" spans="1:4" ht="13" x14ac:dyDescent="0.3">
      <c r="A362" s="1" t="str">
        <f ca="1">IFERROR(__xludf.DUMMYFUNCTION("""COMPUTED_VALUE"""),"Мелкозеров Олег Иванович")</f>
        <v>Мелкозеров Олег Иванович</v>
      </c>
      <c r="B362" s="1">
        <f ca="1">IFERROR(__xludf.DUMMYFUNCTION("""COMPUTED_VALUE"""),89128050601)</f>
        <v>89128050601</v>
      </c>
      <c r="C362" s="1" t="str">
        <f ca="1">IFERROR(__xludf.DUMMYFUNCTION("""COMPUTED_VALUE"""),"Синергия")</f>
        <v>Синергия</v>
      </c>
      <c r="D362" s="1"/>
    </row>
    <row r="363" spans="1:4" ht="13" x14ac:dyDescent="0.3">
      <c r="A363" s="1" t="str">
        <f ca="1">IFERROR(__xludf.DUMMYFUNCTION("""COMPUTED_VALUE"""),"Бетин Валерий Валерьевич")</f>
        <v>Бетин Валерий Валерьевич</v>
      </c>
      <c r="B363" s="1">
        <f ca="1">IFERROR(__xludf.DUMMYFUNCTION("""COMPUTED_VALUE"""),89227284109)</f>
        <v>89227284109</v>
      </c>
      <c r="C363" s="1" t="str">
        <f ca="1">IFERROR(__xludf.DUMMYFUNCTION("""COMPUTED_VALUE"""),"Синергия")</f>
        <v>Синергия</v>
      </c>
      <c r="D363" s="1"/>
    </row>
    <row r="364" spans="1:4" ht="13" x14ac:dyDescent="0.3">
      <c r="A364" s="1" t="str">
        <f ca="1">IFERROR(__xludf.DUMMYFUNCTION("""COMPUTED_VALUE"""),"Огарков Виталий Павлович")</f>
        <v>Огарков Виталий Павлович</v>
      </c>
      <c r="B364" s="1">
        <f ca="1">IFERROR(__xludf.DUMMYFUNCTION("""COMPUTED_VALUE"""),89642466090)</f>
        <v>89642466090</v>
      </c>
      <c r="C364" s="1" t="str">
        <f ca="1">IFERROR(__xludf.DUMMYFUNCTION("""COMPUTED_VALUE"""),"Синергия")</f>
        <v>Синергия</v>
      </c>
      <c r="D364" s="1"/>
    </row>
    <row r="365" spans="1:4" ht="13" x14ac:dyDescent="0.3">
      <c r="A365" s="1" t="str">
        <f ca="1">IFERROR(__xludf.DUMMYFUNCTION("""COMPUTED_VALUE"""),"Ахметшин Хамит Айратович")</f>
        <v>Ахметшин Хамит Айратович</v>
      </c>
      <c r="B365" s="1">
        <f ca="1">IFERROR(__xludf.DUMMYFUNCTION("""COMPUTED_VALUE"""),89681170008)</f>
        <v>89681170008</v>
      </c>
      <c r="C365" s="1" t="str">
        <f ca="1">IFERROR(__xludf.DUMMYFUNCTION("""COMPUTED_VALUE"""),"Синергия")</f>
        <v>Синергия</v>
      </c>
      <c r="D365" s="1"/>
    </row>
    <row r="366" spans="1:4" ht="13" x14ac:dyDescent="0.3">
      <c r="A366" s="1" t="str">
        <f ca="1">IFERROR(__xludf.DUMMYFUNCTION("""COMPUTED_VALUE"""),"Абрамов Павел Леонидович")</f>
        <v>Абрамов Павел Леонидович</v>
      </c>
      <c r="B366" s="1">
        <f ca="1">IFERROR(__xludf.DUMMYFUNCTION("""COMPUTED_VALUE"""),89128052501)</f>
        <v>89128052501</v>
      </c>
      <c r="C366" s="1" t="str">
        <f ca="1">IFERROR(__xludf.DUMMYFUNCTION("""COMPUTED_VALUE"""),"Синергия")</f>
        <v>Синергия</v>
      </c>
      <c r="D366" s="1"/>
    </row>
    <row r="367" spans="1:4" ht="13" x14ac:dyDescent="0.3">
      <c r="A367" s="1" t="str">
        <f ca="1">IFERROR(__xludf.DUMMYFUNCTION("""COMPUTED_VALUE"""),"Волков Алесей Геннадьевич")</f>
        <v>Волков Алесей Геннадьевич</v>
      </c>
      <c r="B367" s="1">
        <f ca="1">IFERROR(__xludf.DUMMYFUNCTION("""COMPUTED_VALUE"""),89025518338)</f>
        <v>89025518338</v>
      </c>
      <c r="C367" s="1" t="str">
        <f ca="1">IFERROR(__xludf.DUMMYFUNCTION("""COMPUTED_VALUE"""),"Синергия")</f>
        <v>Синергия</v>
      </c>
      <c r="D367" s="1"/>
    </row>
    <row r="368" spans="1:4" ht="13" x14ac:dyDescent="0.3">
      <c r="A368" s="1" t="str">
        <f ca="1">IFERROR(__xludf.DUMMYFUNCTION("""COMPUTED_VALUE"""),"Немченко Борис Николаевич")</f>
        <v>Немченко Борис Николаевич</v>
      </c>
      <c r="B368" s="1">
        <f ca="1">IFERROR(__xludf.DUMMYFUNCTION("""COMPUTED_VALUE"""),89053710525)</f>
        <v>89053710525</v>
      </c>
      <c r="C368" s="1" t="str">
        <f ca="1">IFERROR(__xludf.DUMMYFUNCTION("""COMPUTED_VALUE"""),"Синергия")</f>
        <v>Синергия</v>
      </c>
      <c r="D368" s="1"/>
    </row>
    <row r="369" spans="1:4" ht="13" x14ac:dyDescent="0.3">
      <c r="A369" s="1" t="str">
        <f ca="1">IFERROR(__xludf.DUMMYFUNCTION("""COMPUTED_VALUE"""),"Шевнин Олег Александрович")</f>
        <v>Шевнин Олег Александрович</v>
      </c>
      <c r="B369" s="1">
        <f ca="1">IFERROR(__xludf.DUMMYFUNCTION("""COMPUTED_VALUE"""),89193326281)</f>
        <v>89193326281</v>
      </c>
      <c r="C369" s="1" t="str">
        <f ca="1">IFERROR(__xludf.DUMMYFUNCTION("""COMPUTED_VALUE"""),"Синергия")</f>
        <v>Синергия</v>
      </c>
      <c r="D369" s="1"/>
    </row>
    <row r="370" spans="1:4" ht="13" x14ac:dyDescent="0.3">
      <c r="A370" s="1" t="str">
        <f ca="1">IFERROR(__xludf.DUMMYFUNCTION("""COMPUTED_VALUE"""),"Аминев Азамат Салаватович")</f>
        <v>Аминев Азамат Салаватович</v>
      </c>
      <c r="B370" s="1">
        <f ca="1">IFERROR(__xludf.DUMMYFUNCTION("""COMPUTED_VALUE"""),89961086695)</f>
        <v>89961086695</v>
      </c>
      <c r="C370" s="1" t="str">
        <f ca="1">IFERROR(__xludf.DUMMYFUNCTION("""COMPUTED_VALUE"""),"Синергия")</f>
        <v>Синергия</v>
      </c>
      <c r="D370" s="1"/>
    </row>
    <row r="371" spans="1:4" ht="13" x14ac:dyDescent="0.3">
      <c r="A371" s="1" t="str">
        <f ca="1">IFERROR(__xludf.DUMMYFUNCTION("""COMPUTED_VALUE"""),"Ермаков Евгений Сергеевич")</f>
        <v>Ермаков Евгений Сергеевич</v>
      </c>
      <c r="B371" s="1">
        <f ca="1">IFERROR(__xludf.DUMMYFUNCTION("""COMPUTED_VALUE"""),89088283592)</f>
        <v>89088283592</v>
      </c>
      <c r="C371" s="1" t="str">
        <f ca="1">IFERROR(__xludf.DUMMYFUNCTION("""COMPUTED_VALUE"""),"Синергия")</f>
        <v>Синергия</v>
      </c>
      <c r="D371" s="1"/>
    </row>
    <row r="372" spans="1:4" ht="13" x14ac:dyDescent="0.3">
      <c r="A372" s="1" t="str">
        <f ca="1">IFERROR(__xludf.DUMMYFUNCTION("""COMPUTED_VALUE"""),"Агумбаев Дмитрий Булатович")</f>
        <v>Агумбаев Дмитрий Булатович</v>
      </c>
      <c r="B372" s="1">
        <f ca="1">IFERROR(__xludf.DUMMYFUNCTION("""COMPUTED_VALUE"""),89000924152)</f>
        <v>89000924152</v>
      </c>
      <c r="C372" s="1" t="str">
        <f ca="1">IFERROR(__xludf.DUMMYFUNCTION("""COMPUTED_VALUE"""),"Синергия")</f>
        <v>Синергия</v>
      </c>
      <c r="D372" s="1"/>
    </row>
    <row r="373" spans="1:4" ht="13" x14ac:dyDescent="0.3">
      <c r="A373" s="1" t="str">
        <f ca="1">IFERROR(__xludf.DUMMYFUNCTION("""COMPUTED_VALUE"""),"Борисов Евгений Алексеевич")</f>
        <v>Борисов Евгений Алексеевич</v>
      </c>
      <c r="B373" s="1">
        <f ca="1">IFERROR(__xludf.DUMMYFUNCTION("""COMPUTED_VALUE"""),89823575137)</f>
        <v>89823575137</v>
      </c>
      <c r="C373" s="1" t="str">
        <f ca="1">IFERROR(__xludf.DUMMYFUNCTION("""COMPUTED_VALUE"""),"Синергия")</f>
        <v>Синергия</v>
      </c>
      <c r="D373" s="1"/>
    </row>
    <row r="374" spans="1:4" ht="13" x14ac:dyDescent="0.3">
      <c r="A374" s="1" t="str">
        <f ca="1">IFERROR(__xludf.DUMMYFUNCTION("""COMPUTED_VALUE"""),"Казакаев Айдар Иштимирович")</f>
        <v>Казакаев Айдар Иштимирович</v>
      </c>
      <c r="B374" s="1">
        <f ca="1">IFERROR(__xludf.DUMMYFUNCTION("""COMPUTED_VALUE"""),89869719012)</f>
        <v>89869719012</v>
      </c>
      <c r="C374" s="1" t="str">
        <f ca="1">IFERROR(__xludf.DUMMYFUNCTION("""COMPUTED_VALUE"""),"Синергия")</f>
        <v>Синергия</v>
      </c>
      <c r="D374" s="1"/>
    </row>
    <row r="375" spans="1:4" ht="13" x14ac:dyDescent="0.3">
      <c r="A375" s="1" t="str">
        <f ca="1">IFERROR(__xludf.DUMMYFUNCTION("""COMPUTED_VALUE"""),"Кузнецов Алексей Васильевич")</f>
        <v>Кузнецов Алексей Васильевич</v>
      </c>
      <c r="B375" s="1">
        <f ca="1">IFERROR(__xludf.DUMMYFUNCTION("""COMPUTED_VALUE"""),89995826618)</f>
        <v>89995826618</v>
      </c>
      <c r="C375" s="1" t="str">
        <f ca="1">IFERROR(__xludf.DUMMYFUNCTION("""COMPUTED_VALUE"""),"Синергия")</f>
        <v>Синергия</v>
      </c>
      <c r="D375" s="1"/>
    </row>
    <row r="376" spans="1:4" ht="13" x14ac:dyDescent="0.3">
      <c r="A376" s="1" t="str">
        <f ca="1">IFERROR(__xludf.DUMMYFUNCTION("""COMPUTED_VALUE"""),"Гиниятов Гизитдин Мирьянович")</f>
        <v>Гиниятов Гизитдин Мирьянович</v>
      </c>
      <c r="B376" s="1">
        <f ca="1">IFERROR(__xludf.DUMMYFUNCTION("""COMPUTED_VALUE"""),89000846085)</f>
        <v>89000846085</v>
      </c>
      <c r="C376" s="1" t="str">
        <f ca="1">IFERROR(__xludf.DUMMYFUNCTION("""COMPUTED_VALUE"""),"Синергия")</f>
        <v>Синергия</v>
      </c>
      <c r="D376" s="1"/>
    </row>
    <row r="377" spans="1:4" ht="13" x14ac:dyDescent="0.3">
      <c r="A377" s="1" t="str">
        <f ca="1">IFERROR(__xludf.DUMMYFUNCTION("""COMPUTED_VALUE"""),"Кустыбаев Альфир Иштимерович")</f>
        <v>Кустыбаев Альфир Иштимерович</v>
      </c>
      <c r="B377" s="1">
        <f ca="1">IFERROR(__xludf.DUMMYFUNCTION("""COMPUTED_VALUE"""),89194078059)</f>
        <v>89194078059</v>
      </c>
      <c r="C377" s="1" t="str">
        <f ca="1">IFERROR(__xludf.DUMMYFUNCTION("""COMPUTED_VALUE"""),"Синергия")</f>
        <v>Синергия</v>
      </c>
      <c r="D377" s="1"/>
    </row>
    <row r="378" spans="1:4" ht="13" x14ac:dyDescent="0.3">
      <c r="A378" s="1" t="str">
        <f ca="1">IFERROR(__xludf.DUMMYFUNCTION("""COMPUTED_VALUE"""),"Мазуха Николай Александрович")</f>
        <v>Мазуха Николай Александрович</v>
      </c>
      <c r="B378" s="1">
        <f ca="1">IFERROR(__xludf.DUMMYFUNCTION("""COMPUTED_VALUE"""),89581622823)</f>
        <v>89581622823</v>
      </c>
      <c r="C378" s="1" t="str">
        <f ca="1">IFERROR(__xludf.DUMMYFUNCTION("""COMPUTED_VALUE"""),"Синергия")</f>
        <v>Синергия</v>
      </c>
      <c r="D378" s="1"/>
    </row>
    <row r="379" spans="1:4" ht="13" x14ac:dyDescent="0.3">
      <c r="A379" s="1" t="str">
        <f ca="1">IFERROR(__xludf.DUMMYFUNCTION("""COMPUTED_VALUE"""),"Аглиулин Вакиль Минахметович")</f>
        <v>Аглиулин Вакиль Минахметович</v>
      </c>
      <c r="B379" s="1">
        <f ca="1">IFERROR(__xludf.DUMMYFUNCTION("""COMPUTED_VALUE"""),89625267939)</f>
        <v>89625267939</v>
      </c>
      <c r="C379" s="1" t="str">
        <f ca="1">IFERROR(__xludf.DUMMYFUNCTION("""COMPUTED_VALUE"""),"Синергия")</f>
        <v>Синергия</v>
      </c>
      <c r="D379" s="1"/>
    </row>
    <row r="380" spans="1:4" ht="13" x14ac:dyDescent="0.3">
      <c r="A380" s="1" t="str">
        <f ca="1">IFERROR(__xludf.DUMMYFUNCTION("""COMPUTED_VALUE"""),"Терещенко Вячеслав Артемович")</f>
        <v>Терещенко Вячеслав Артемович</v>
      </c>
      <c r="B380" s="1">
        <f ca="1">IFERROR(__xludf.DUMMYFUNCTION("""COMPUTED_VALUE"""),89823575137)</f>
        <v>89823575137</v>
      </c>
      <c r="C380" s="1" t="str">
        <f ca="1">IFERROR(__xludf.DUMMYFUNCTION("""COMPUTED_VALUE"""),"Синергия")</f>
        <v>Синергия</v>
      </c>
      <c r="D380" s="1"/>
    </row>
    <row r="381" spans="1:4" ht="13" x14ac:dyDescent="0.3">
      <c r="A381" s="1" t="str">
        <f ca="1">IFERROR(__xludf.DUMMYFUNCTION("""COMPUTED_VALUE"""),"Сынгазов Азамат Ишмухаметович")</f>
        <v>Сынгазов Азамат Ишмухаметович</v>
      </c>
      <c r="B381" s="1">
        <f ca="1">IFERROR(__xludf.DUMMYFUNCTION("""COMPUTED_VALUE"""),89378570098)</f>
        <v>89378570098</v>
      </c>
      <c r="C381" s="1" t="str">
        <f ca="1">IFERROR(__xludf.DUMMYFUNCTION("""COMPUTED_VALUE"""),"Синергия")</f>
        <v>Синергия</v>
      </c>
      <c r="D381" s="1"/>
    </row>
    <row r="382" spans="1:4" ht="13" x14ac:dyDescent="0.3">
      <c r="A382" s="1" t="str">
        <f ca="1">IFERROR(__xludf.DUMMYFUNCTION("""COMPUTED_VALUE"""),"Кульпин Александр Владимирович")</f>
        <v>Кульпин Александр Владимирович</v>
      </c>
      <c r="B382" s="1">
        <f ca="1">IFERROR(__xludf.DUMMYFUNCTION("""COMPUTED_VALUE"""),89823575137)</f>
        <v>89823575137</v>
      </c>
      <c r="C382" s="1" t="str">
        <f ca="1">IFERROR(__xludf.DUMMYFUNCTION("""COMPUTED_VALUE"""),"Синергия")</f>
        <v>Синергия</v>
      </c>
      <c r="D382" s="1"/>
    </row>
    <row r="383" spans="1:4" ht="13" x14ac:dyDescent="0.3">
      <c r="A383" s="1" t="str">
        <f ca="1">IFERROR(__xludf.DUMMYFUNCTION("""COMPUTED_VALUE"""),"Новоскольцев Евгений Анатольевич")</f>
        <v>Новоскольцев Евгений Анатольевич</v>
      </c>
      <c r="B383" s="1">
        <f ca="1">IFERROR(__xludf.DUMMYFUNCTION("""COMPUTED_VALUE"""),89514812887)</f>
        <v>89514812887</v>
      </c>
      <c r="C383" s="1" t="str">
        <f ca="1">IFERROR(__xludf.DUMMYFUNCTION("""COMPUTED_VALUE"""),"Синергия")</f>
        <v>Синергия</v>
      </c>
      <c r="D383" s="1"/>
    </row>
    <row r="384" spans="1:4" ht="13" x14ac:dyDescent="0.3">
      <c r="A384" s="1" t="str">
        <f ca="1">IFERROR(__xludf.DUMMYFUNCTION("""COMPUTED_VALUE"""),"Недоспасов Сергей Павлович")</f>
        <v>Недоспасов Сергей Павлович</v>
      </c>
      <c r="B384" s="1">
        <f ca="1">IFERROR(__xludf.DUMMYFUNCTION("""COMPUTED_VALUE"""),89995826618)</f>
        <v>89995826618</v>
      </c>
      <c r="C384" s="1" t="str">
        <f ca="1">IFERROR(__xludf.DUMMYFUNCTION("""COMPUTED_VALUE"""),"Синергия?")</f>
        <v>Синергия?</v>
      </c>
      <c r="D384" s="1"/>
    </row>
    <row r="385" spans="1:4" ht="13" x14ac:dyDescent="0.3">
      <c r="A385" s="1" t="str">
        <f ca="1">IFERROR(__xludf.DUMMYFUNCTION("""COMPUTED_VALUE"""),"Семенов Егор Анатольевич")</f>
        <v>Семенов Егор Анатольевич</v>
      </c>
      <c r="B385" s="1">
        <f ca="1">IFERROR(__xludf.DUMMYFUNCTION("""COMPUTED_VALUE"""),89193246367)</f>
        <v>89193246367</v>
      </c>
      <c r="C385" s="1" t="str">
        <f ca="1">IFERROR(__xludf.DUMMYFUNCTION("""COMPUTED_VALUE"""),"СпецСтройТранс")</f>
        <v>СпецСтройТранс</v>
      </c>
      <c r="D385" s="1"/>
    </row>
    <row r="386" spans="1:4" ht="13" x14ac:dyDescent="0.3">
      <c r="A386" s="1" t="str">
        <f ca="1">IFERROR(__xludf.DUMMYFUNCTION("""COMPUTED_VALUE"""),"Рябов Андрей Владимирович")</f>
        <v>Рябов Андрей Владимирович</v>
      </c>
      <c r="B386" s="1">
        <f ca="1">IFERROR(__xludf.DUMMYFUNCTION("""COMPUTED_VALUE"""),89193031717)</f>
        <v>89193031717</v>
      </c>
      <c r="C386" s="1" t="str">
        <f ca="1">IFERROR(__xludf.DUMMYFUNCTION("""COMPUTED_VALUE"""),"Спецтехтранс")</f>
        <v>Спецтехтранс</v>
      </c>
      <c r="D386" s="1"/>
    </row>
    <row r="387" spans="1:4" ht="13" x14ac:dyDescent="0.3">
      <c r="A387" s="1" t="str">
        <f ca="1">IFERROR(__xludf.DUMMYFUNCTION("""COMPUTED_VALUE"""),"Кулишов Сергей Владимирович")</f>
        <v>Кулишов Сергей Владимирович</v>
      </c>
      <c r="B387" s="1">
        <f ca="1">IFERROR(__xludf.DUMMYFUNCTION("""COMPUTED_VALUE"""),89028655203)</f>
        <v>89028655203</v>
      </c>
      <c r="C387" s="1" t="str">
        <f ca="1">IFERROR(__xludf.DUMMYFUNCTION("""COMPUTED_VALUE"""),"Спецтехтранс")</f>
        <v>Спецтехтранс</v>
      </c>
      <c r="D387" s="1"/>
    </row>
    <row r="388" spans="1:4" ht="13" x14ac:dyDescent="0.3">
      <c r="A388" s="1" t="str">
        <f ca="1">IFERROR(__xludf.DUMMYFUNCTION("""COMPUTED_VALUE"""),"Чучков Сергей Сергеевич")</f>
        <v>Чучков Сергей Сергеевич</v>
      </c>
      <c r="B388" s="1">
        <f ca="1">IFERROR(__xludf.DUMMYFUNCTION("""COMPUTED_VALUE"""),89821034339)</f>
        <v>89821034339</v>
      </c>
      <c r="C388" s="1" t="str">
        <f ca="1">IFERROR(__xludf.DUMMYFUNCTION("""COMPUTED_VALUE"""),"СтефаТрансАвто")</f>
        <v>СтефаТрансАвто</v>
      </c>
      <c r="D388" s="1"/>
    </row>
    <row r="389" spans="1:4" ht="13" x14ac:dyDescent="0.3">
      <c r="A389" s="1" t="str">
        <f ca="1">IFERROR(__xludf.DUMMYFUNCTION("""COMPUTED_VALUE"""),"Какорин Иван Васильевич")</f>
        <v>Какорин Иван Васильевич</v>
      </c>
      <c r="B389" s="1">
        <f ca="1">IFERROR(__xludf.DUMMYFUNCTION("""COMPUTED_VALUE"""),89822498204)</f>
        <v>89822498204</v>
      </c>
      <c r="C389" s="1" t="str">
        <f ca="1">IFERROR(__xludf.DUMMYFUNCTION("""COMPUTED_VALUE"""),"СтефаТрансАвто")</f>
        <v>СтефаТрансАвто</v>
      </c>
      <c r="D389" s="1"/>
    </row>
    <row r="390" spans="1:4" ht="13" x14ac:dyDescent="0.3">
      <c r="A390" s="1" t="str">
        <f ca="1">IFERROR(__xludf.DUMMYFUNCTION("""COMPUTED_VALUE"""),"Дашков Алексей Васильевич")</f>
        <v>Дашков Алексей Васильевич</v>
      </c>
      <c r="B390" s="1">
        <f ca="1">IFERROR(__xludf.DUMMYFUNCTION("""COMPUTED_VALUE"""),89659409549)</f>
        <v>89659409549</v>
      </c>
      <c r="C390" s="1" t="str">
        <f ca="1">IFERROR(__xludf.DUMMYFUNCTION("""COMPUTED_VALUE"""),"СтефаТрансАвто")</f>
        <v>СтефаТрансАвто</v>
      </c>
      <c r="D390" s="1"/>
    </row>
    <row r="391" spans="1:4" ht="13" x14ac:dyDescent="0.3">
      <c r="A391" s="1" t="str">
        <f ca="1">IFERROR(__xludf.DUMMYFUNCTION("""COMPUTED_VALUE"""),"Оболонкин Александр Сергеевич")</f>
        <v>Оболонкин Александр Сергеевич</v>
      </c>
      <c r="B391" s="1">
        <f ca="1">IFERROR(__xludf.DUMMYFUNCTION("""COMPUTED_VALUE"""),89003345908)</f>
        <v>89003345908</v>
      </c>
      <c r="C391" s="1" t="str">
        <f ca="1">IFERROR(__xludf.DUMMYFUNCTION("""COMPUTED_VALUE"""),"СтефаТрансАвто")</f>
        <v>СтефаТрансАвто</v>
      </c>
      <c r="D391" s="1"/>
    </row>
    <row r="392" spans="1:4" ht="13" x14ac:dyDescent="0.3">
      <c r="A392" s="1" t="str">
        <f ca="1">IFERROR(__xludf.DUMMYFUNCTION("""COMPUTED_VALUE"""),"Давыдов Денис Владимирович")</f>
        <v>Давыдов Денис Владимирович</v>
      </c>
      <c r="B392" s="1">
        <f ca="1">IFERROR(__xludf.DUMMYFUNCTION("""COMPUTED_VALUE"""),89823092560)</f>
        <v>89823092560</v>
      </c>
      <c r="C392" s="1" t="str">
        <f ca="1">IFERROR(__xludf.DUMMYFUNCTION("""COMPUTED_VALUE"""),"Строительные пески")</f>
        <v>Строительные пески</v>
      </c>
      <c r="D392" s="1"/>
    </row>
    <row r="393" spans="1:4" ht="13" x14ac:dyDescent="0.3">
      <c r="A393" s="1" t="str">
        <f ca="1">IFERROR(__xludf.DUMMYFUNCTION("""COMPUTED_VALUE"""),"Зайцев Никита Юрьевич")</f>
        <v>Зайцев Никита Юрьевич</v>
      </c>
      <c r="B393" s="1">
        <f ca="1">IFERROR(__xludf.DUMMYFUNCTION("""COMPUTED_VALUE"""),89028956934)</f>
        <v>89028956934</v>
      </c>
      <c r="C393" s="1" t="str">
        <f ca="1">IFERROR(__xludf.DUMMYFUNCTION("""COMPUTED_VALUE"""),"Строй Плюс")</f>
        <v>Строй Плюс</v>
      </c>
      <c r="D393" s="1"/>
    </row>
    <row r="394" spans="1:4" ht="13" x14ac:dyDescent="0.3">
      <c r="A394" s="1" t="str">
        <f ca="1">IFERROR(__xludf.DUMMYFUNCTION("""COMPUTED_VALUE"""),"Рюрик Алексей Михайлович")</f>
        <v>Рюрик Алексей Михайлович</v>
      </c>
      <c r="B394" s="1">
        <f ca="1">IFERROR(__xludf.DUMMYFUNCTION("""COMPUTED_VALUE"""),89127731376)</f>
        <v>89127731376</v>
      </c>
      <c r="C394" s="1" t="str">
        <f ca="1">IFERROR(__xludf.DUMMYFUNCTION("""COMPUTED_VALUE"""),"Строй Плюс")</f>
        <v>Строй Плюс</v>
      </c>
      <c r="D394" s="1"/>
    </row>
    <row r="395" spans="1:4" ht="13" x14ac:dyDescent="0.3">
      <c r="A395" s="1" t="str">
        <f ca="1">IFERROR(__xludf.DUMMYFUNCTION("""COMPUTED_VALUE"""),"Воробьев Евгений Владимирович")</f>
        <v>Воробьев Евгений Владимирович</v>
      </c>
      <c r="B395" s="1">
        <f ca="1">IFERROR(__xludf.DUMMYFUNCTION("""COMPUTED_VALUE"""),89048046371)</f>
        <v>89048046371</v>
      </c>
      <c r="C395" s="1" t="str">
        <f ca="1">IFERROR(__xludf.DUMMYFUNCTION("""COMPUTED_VALUE"""),"Строй Плюс")</f>
        <v>Строй Плюс</v>
      </c>
      <c r="D395" s="1"/>
    </row>
    <row r="396" spans="1:4" ht="13" x14ac:dyDescent="0.3">
      <c r="A396" s="1" t="str">
        <f ca="1">IFERROR(__xludf.DUMMYFUNCTION("""COMPUTED_VALUE"""),"Шакалин Степан Николаевич")</f>
        <v>Шакалин Степан Николаевич</v>
      </c>
      <c r="B396" s="1">
        <f ca="1">IFERROR(__xludf.DUMMYFUNCTION("""COMPUTED_VALUE"""),89123276511)</f>
        <v>89123276511</v>
      </c>
      <c r="C396" s="1" t="str">
        <f ca="1">IFERROR(__xludf.DUMMYFUNCTION("""COMPUTED_VALUE"""),"СтройПлюс")</f>
        <v>СтройПлюс</v>
      </c>
      <c r="D396" s="1"/>
    </row>
    <row r="397" spans="1:4" ht="13" x14ac:dyDescent="0.3">
      <c r="A397" s="1" t="str">
        <f ca="1">IFERROR(__xludf.DUMMYFUNCTION("""COMPUTED_VALUE"""),"Шукшин Егор Матвеевич")</f>
        <v>Шукшин Егор Матвеевич</v>
      </c>
      <c r="B397" s="1">
        <f ca="1">IFERROR(__xludf.DUMMYFUNCTION("""COMPUTED_VALUE"""),89525233357.8982)</f>
        <v>89525233357.898193</v>
      </c>
      <c r="C397" s="1" t="str">
        <f ca="1">IFERROR(__xludf.DUMMYFUNCTION("""COMPUTED_VALUE"""),"ТК Автомир")</f>
        <v>ТК Автомир</v>
      </c>
      <c r="D397" s="1"/>
    </row>
    <row r="398" spans="1:4" ht="13" x14ac:dyDescent="0.3">
      <c r="A398" s="1" t="str">
        <f ca="1">IFERROR(__xludf.DUMMYFUNCTION("""COMPUTED_VALUE"""),"Потеха Никита Игоревич")</f>
        <v>Потеха Никита Игоревич</v>
      </c>
      <c r="B398" s="1">
        <f ca="1">IFERROR(__xludf.DUMMYFUNCTION("""COMPUTED_VALUE"""),89995707256)</f>
        <v>89995707256</v>
      </c>
      <c r="C398" s="1" t="str">
        <f ca="1">IFERROR(__xludf.DUMMYFUNCTION("""COMPUTED_VALUE"""),"ТК Автомир")</f>
        <v>ТК Автомир</v>
      </c>
      <c r="D398" s="1"/>
    </row>
    <row r="399" spans="1:4" ht="13" x14ac:dyDescent="0.3">
      <c r="A399" s="1" t="str">
        <f ca="1">IFERROR(__xludf.DUMMYFUNCTION("""COMPUTED_VALUE"""),"Лунин Михаил Николаевич")</f>
        <v>Лунин Михаил Николаевич</v>
      </c>
      <c r="B399" s="1">
        <f ca="1">IFERROR(__xludf.DUMMYFUNCTION("""COMPUTED_VALUE"""),89026104384)</f>
        <v>89026104384</v>
      </c>
      <c r="C399" s="1" t="str">
        <f ca="1">IFERROR(__xludf.DUMMYFUNCTION("""COMPUTED_VALUE"""),"ТК Автомир")</f>
        <v>ТК Автомир</v>
      </c>
      <c r="D399" s="1"/>
    </row>
    <row r="400" spans="1:4" ht="13" x14ac:dyDescent="0.3">
      <c r="A400" s="1" t="str">
        <f ca="1">IFERROR(__xludf.DUMMYFUNCTION("""COMPUTED_VALUE"""),"Бабин Андрей Васильевич")</f>
        <v>Бабин Андрей Васильевич</v>
      </c>
      <c r="B400" s="1">
        <f ca="1">IFERROR(__xludf.DUMMYFUNCTION("""COMPUTED_VALUE"""),89227116955)</f>
        <v>89227116955</v>
      </c>
      <c r="C400" s="1" t="str">
        <f ca="1">IFERROR(__xludf.DUMMYFUNCTION("""COMPUTED_VALUE"""),"ТК Автомир")</f>
        <v>ТК Автомир</v>
      </c>
      <c r="D400" s="1"/>
    </row>
    <row r="401" spans="1:4" ht="13" x14ac:dyDescent="0.3">
      <c r="A401" s="1" t="str">
        <f ca="1">IFERROR(__xludf.DUMMYFUNCTION("""COMPUTED_VALUE"""),"Соколов Юрий Николаевич")</f>
        <v>Соколов Юрий Николаевич</v>
      </c>
      <c r="B401" s="1">
        <f ca="1">IFERROR(__xludf.DUMMYFUNCTION("""COMPUTED_VALUE"""),89995848668)</f>
        <v>89995848668</v>
      </c>
      <c r="C401" s="1" t="str">
        <f ca="1">IFERROR(__xludf.DUMMYFUNCTION("""COMPUTED_VALUE"""),"ТК Автомир")</f>
        <v>ТК Автомир</v>
      </c>
      <c r="D401" s="1"/>
    </row>
    <row r="402" spans="1:4" ht="13" x14ac:dyDescent="0.3">
      <c r="A402" s="1" t="str">
        <f ca="1">IFERROR(__xludf.DUMMYFUNCTION("""COMPUTED_VALUE"""),"Шестера Алексей Иванович")</f>
        <v>Шестера Алексей Иванович</v>
      </c>
      <c r="B402" s="1">
        <f ca="1">IFERROR(__xludf.DUMMYFUNCTION("""COMPUTED_VALUE"""),89227385752)</f>
        <v>89227385752</v>
      </c>
      <c r="C402" s="1" t="str">
        <f ca="1">IFERROR(__xludf.DUMMYFUNCTION("""COMPUTED_VALUE"""),"ТК Автомир")</f>
        <v>ТК Автомир</v>
      </c>
      <c r="D402" s="1"/>
    </row>
    <row r="403" spans="1:4" ht="13" x14ac:dyDescent="0.3">
      <c r="A403" s="1" t="str">
        <f ca="1">IFERROR(__xludf.DUMMYFUNCTION("""COMPUTED_VALUE"""),"Байкин Эдуард Николаевич")</f>
        <v>Байкин Эдуард Николаевич</v>
      </c>
      <c r="B403" s="1">
        <f ca="1">IFERROR(__xludf.DUMMYFUNCTION("""COMPUTED_VALUE"""),89525159250)</f>
        <v>89525159250</v>
      </c>
      <c r="C403" s="1" t="str">
        <f ca="1">IFERROR(__xludf.DUMMYFUNCTION("""COMPUTED_VALUE"""),"ТК Автомир")</f>
        <v>ТК Автомир</v>
      </c>
      <c r="D403" s="1"/>
    </row>
    <row r="404" spans="1:4" ht="13" x14ac:dyDescent="0.3">
      <c r="A404" s="1" t="str">
        <f ca="1">IFERROR(__xludf.DUMMYFUNCTION("""COMPUTED_VALUE"""),"Архипов Сергей Аркадьевич")</f>
        <v>Архипов Сергей Аркадьевич</v>
      </c>
      <c r="B404" s="1">
        <f ca="1">IFERROR(__xludf.DUMMYFUNCTION("""COMPUTED_VALUE"""),89048136583)</f>
        <v>89048136583</v>
      </c>
      <c r="C404" s="1" t="str">
        <f ca="1">IFERROR(__xludf.DUMMYFUNCTION("""COMPUTED_VALUE"""),"ТК Автомир")</f>
        <v>ТК Автомир</v>
      </c>
      <c r="D404" s="1"/>
    </row>
    <row r="405" spans="1:4" ht="13" x14ac:dyDescent="0.3">
      <c r="A405" s="1" t="str">
        <f ca="1">IFERROR(__xludf.DUMMYFUNCTION("""COMPUTED_VALUE"""),"Мукомел Алексей Сергеевич")</f>
        <v>Мукомел Алексей Сергеевич</v>
      </c>
      <c r="B405" s="1">
        <f ca="1">IFERROR(__xludf.DUMMYFUNCTION("""COMPUTED_VALUE"""),89080469063)</f>
        <v>89080469063</v>
      </c>
      <c r="C405" s="1" t="str">
        <f ca="1">IFERROR(__xludf.DUMMYFUNCTION("""COMPUTED_VALUE"""),"ТК Автомир")</f>
        <v>ТК Автомир</v>
      </c>
      <c r="D405" s="1"/>
    </row>
    <row r="406" spans="1:4" ht="13" x14ac:dyDescent="0.3">
      <c r="A406" s="1" t="str">
        <f ca="1">IFERROR(__xludf.DUMMYFUNCTION("""COMPUTED_VALUE"""),"Прошлецов Артем Сергеевич")</f>
        <v>Прошлецов Артем Сергеевич</v>
      </c>
      <c r="B406" s="1">
        <f ca="1">IFERROR(__xludf.DUMMYFUNCTION("""COMPUTED_VALUE"""),89123152616)</f>
        <v>89123152616</v>
      </c>
      <c r="C406" s="1" t="str">
        <f ca="1">IFERROR(__xludf.DUMMYFUNCTION("""COMPUTED_VALUE"""),"ТК Автомир")</f>
        <v>ТК Автомир</v>
      </c>
      <c r="D406" s="1"/>
    </row>
    <row r="407" spans="1:4" ht="13" x14ac:dyDescent="0.3">
      <c r="A407" s="1" t="str">
        <f ca="1">IFERROR(__xludf.DUMMYFUNCTION("""COMPUTED_VALUE"""),"Старов Алексей Валерьевич")</f>
        <v>Старов Алексей Валерьевич</v>
      </c>
      <c r="B407" s="1">
        <f ca="1">IFERROR(__xludf.DUMMYFUNCTION("""COMPUTED_VALUE"""),89220189913)</f>
        <v>89220189913</v>
      </c>
      <c r="C407" s="1" t="str">
        <f ca="1">IFERROR(__xludf.DUMMYFUNCTION("""COMPUTED_VALUE"""),"ТК Автомир")</f>
        <v>ТК Автомир</v>
      </c>
      <c r="D407" s="1"/>
    </row>
    <row r="408" spans="1:4" ht="13" x14ac:dyDescent="0.3">
      <c r="A408" s="1" t="str">
        <f ca="1">IFERROR(__xludf.DUMMYFUNCTION("""COMPUTED_VALUE"""),"Тисленков Алексей Юрьевич")</f>
        <v>Тисленков Алексей Юрьевич</v>
      </c>
      <c r="B408" s="1">
        <f ca="1">IFERROR(__xludf.DUMMYFUNCTION("""COMPUTED_VALUE"""),89507382515)</f>
        <v>89507382515</v>
      </c>
      <c r="C408" s="1" t="str">
        <f ca="1">IFERROR(__xludf.DUMMYFUNCTION("""COMPUTED_VALUE"""),"ТК Автомир")</f>
        <v>ТК Автомир</v>
      </c>
      <c r="D408" s="1"/>
    </row>
    <row r="409" spans="1:4" ht="13" x14ac:dyDescent="0.3">
      <c r="A409" s="1" t="str">
        <f ca="1">IFERROR(__xludf.DUMMYFUNCTION("""COMPUTED_VALUE"""),"Тислинков Алексей Юрьевич")</f>
        <v>Тислинков Алексей Юрьевич</v>
      </c>
      <c r="B409" s="1">
        <f ca="1">IFERROR(__xludf.DUMMYFUNCTION("""COMPUTED_VALUE"""),89507382515)</f>
        <v>89507382515</v>
      </c>
      <c r="C409" s="1" t="str">
        <f ca="1">IFERROR(__xludf.DUMMYFUNCTION("""COMPUTED_VALUE"""),"ТК Автомир")</f>
        <v>ТК Автомир</v>
      </c>
      <c r="D409" s="1"/>
    </row>
    <row r="410" spans="1:4" ht="13" x14ac:dyDescent="0.3">
      <c r="A410" s="1" t="str">
        <f ca="1">IFERROR(__xludf.DUMMYFUNCTION("""COMPUTED_VALUE"""),"Мусалимов Ринат Рашитович")</f>
        <v>Мусалимов Ринат Рашитович</v>
      </c>
      <c r="B410" s="1">
        <f ca="1">IFERROR(__xludf.DUMMYFUNCTION("""COMPUTED_VALUE"""),89514519106)</f>
        <v>89514519106</v>
      </c>
      <c r="C410" s="1" t="str">
        <f ca="1">IFERROR(__xludf.DUMMYFUNCTION("""COMPUTED_VALUE"""),"ТК Автомир")</f>
        <v>ТК Автомир</v>
      </c>
      <c r="D410" s="1"/>
    </row>
    <row r="411" spans="1:4" ht="13" x14ac:dyDescent="0.3">
      <c r="A411" s="1" t="str">
        <f ca="1">IFERROR(__xludf.DUMMYFUNCTION("""COMPUTED_VALUE"""),"Экарт Эдуард Владимирович")</f>
        <v>Экарт Эдуард Владимирович</v>
      </c>
      <c r="B411" s="1">
        <f ca="1">IFERROR(__xludf.DUMMYFUNCTION("""COMPUTED_VALUE"""),89518077677)</f>
        <v>89518077677</v>
      </c>
      <c r="C411" s="1" t="str">
        <f ca="1">IFERROR(__xludf.DUMMYFUNCTION("""COMPUTED_VALUE"""),"ТК Автомир")</f>
        <v>ТК Автомир</v>
      </c>
      <c r="D411" s="1"/>
    </row>
    <row r="412" spans="1:4" ht="13" x14ac:dyDescent="0.3">
      <c r="A412" s="1" t="str">
        <f ca="1">IFERROR(__xludf.DUMMYFUNCTION("""COMPUTED_VALUE"""),"Серков Евгений Михайлович")</f>
        <v>Серков Евгений Михайлович</v>
      </c>
      <c r="B412" s="1">
        <f ca="1">IFERROR(__xludf.DUMMYFUNCTION("""COMPUTED_VALUE"""),89525092233)</f>
        <v>89525092233</v>
      </c>
      <c r="C412" s="1" t="str">
        <f ca="1">IFERROR(__xludf.DUMMYFUNCTION("""COMPUTED_VALUE"""),"ТК Автомир")</f>
        <v>ТК Автомир</v>
      </c>
      <c r="D412" s="1"/>
    </row>
    <row r="413" spans="1:4" ht="13" x14ac:dyDescent="0.3">
      <c r="A413" s="1" t="str">
        <f ca="1">IFERROR(__xludf.DUMMYFUNCTION("""COMPUTED_VALUE"""),"Баранов Сергей Евгеньевич")</f>
        <v>Баранов Сергей Евгеньевич</v>
      </c>
      <c r="B413" s="1">
        <f ca="1">IFERROR(__xludf.DUMMYFUNCTION("""COMPUTED_VALUE"""),89822871902)</f>
        <v>89822871902</v>
      </c>
      <c r="C413" s="1" t="str">
        <f ca="1">IFERROR(__xludf.DUMMYFUNCTION("""COMPUTED_VALUE"""),"ТК Автомир")</f>
        <v>ТК Автомир</v>
      </c>
      <c r="D413" s="1"/>
    </row>
    <row r="414" spans="1:4" ht="13" x14ac:dyDescent="0.3">
      <c r="A414" s="1" t="str">
        <f ca="1">IFERROR(__xludf.DUMMYFUNCTION("""COMPUTED_VALUE"""),"Алексеев Сергей Викторович")</f>
        <v>Алексеев Сергей Викторович</v>
      </c>
      <c r="B414" s="1">
        <f ca="1">IFERROR(__xludf.DUMMYFUNCTION("""COMPUTED_VALUE"""),89026076607)</f>
        <v>89026076607</v>
      </c>
      <c r="C414" s="1" t="str">
        <f ca="1">IFERROR(__xludf.DUMMYFUNCTION("""COMPUTED_VALUE"""),"ТК Автомир")</f>
        <v>ТК Автомир</v>
      </c>
      <c r="D414" s="1"/>
    </row>
    <row r="415" spans="1:4" ht="13" x14ac:dyDescent="0.3">
      <c r="A415" s="1" t="str">
        <f ca="1">IFERROR(__xludf.DUMMYFUNCTION("""COMPUTED_VALUE"""),"Воронов Евгений Николаевич")</f>
        <v>Воронов Евгений Николаевич</v>
      </c>
      <c r="B415" s="1">
        <f ca="1">IFERROR(__xludf.DUMMYFUNCTION("""COMPUTED_VALUE"""),89080908831)</f>
        <v>89080908831</v>
      </c>
      <c r="C415" s="1" t="str">
        <f ca="1">IFERROR(__xludf.DUMMYFUNCTION("""COMPUTED_VALUE"""),"ТК Автомир")</f>
        <v>ТК Автомир</v>
      </c>
      <c r="D415" s="1"/>
    </row>
    <row r="416" spans="1:4" ht="13" x14ac:dyDescent="0.3">
      <c r="A416" s="1" t="str">
        <f ca="1">IFERROR(__xludf.DUMMYFUNCTION("""COMPUTED_VALUE"""),"Анфалов Аркадий Викторович")</f>
        <v>Анфалов Аркадий Викторович</v>
      </c>
      <c r="B416" s="1">
        <f ca="1">IFERROR(__xludf.DUMMYFUNCTION("""COMPUTED_VALUE"""),89193437942)</f>
        <v>89193437942</v>
      </c>
      <c r="C416" s="1" t="str">
        <f ca="1">IFERROR(__xludf.DUMMYFUNCTION("""COMPUTED_VALUE"""),"ТК Автомир")</f>
        <v>ТК Автомир</v>
      </c>
      <c r="D416" s="1"/>
    </row>
    <row r="417" spans="1:4" ht="13" x14ac:dyDescent="0.3">
      <c r="A417" s="1" t="str">
        <f ca="1">IFERROR(__xludf.DUMMYFUNCTION("""COMPUTED_VALUE"""),"Зацаренко Сергей Андреевич")</f>
        <v>Зацаренко Сергей Андреевич</v>
      </c>
      <c r="B417" s="1">
        <f ca="1">IFERROR(__xludf.DUMMYFUNCTION("""COMPUTED_VALUE"""),89525092233)</f>
        <v>89525092233</v>
      </c>
      <c r="C417" s="1" t="str">
        <f ca="1">IFERROR(__xludf.DUMMYFUNCTION("""COMPUTED_VALUE"""),"ТК Автомир")</f>
        <v>ТК Автомир</v>
      </c>
      <c r="D417" s="1"/>
    </row>
    <row r="418" spans="1:4" ht="13" x14ac:dyDescent="0.3">
      <c r="A418" s="1" t="str">
        <f ca="1">IFERROR(__xludf.DUMMYFUNCTION("""COMPUTED_VALUE"""),"Притуленко Алексей Юрьевич")</f>
        <v>Притуленко Алексей Юрьевич</v>
      </c>
      <c r="B418" s="1">
        <f ca="1">IFERROR(__xludf.DUMMYFUNCTION("""COMPUTED_VALUE"""),89642418091)</f>
        <v>89642418091</v>
      </c>
      <c r="C418" s="1" t="str">
        <f ca="1">IFERROR(__xludf.DUMMYFUNCTION("""COMPUTED_VALUE"""),"ТК Автомир")</f>
        <v>ТК Автомир</v>
      </c>
      <c r="D418" s="1"/>
    </row>
    <row r="419" spans="1:4" ht="13" x14ac:dyDescent="0.3">
      <c r="A419" s="1" t="str">
        <f ca="1">IFERROR(__xludf.DUMMYFUNCTION("""COMPUTED_VALUE"""),"Пушкарев Иван Владимирович")</f>
        <v>Пушкарев Иван Владимирович</v>
      </c>
      <c r="B419" s="1">
        <f ca="1">IFERROR(__xludf.DUMMYFUNCTION("""COMPUTED_VALUE"""),89925088101)</f>
        <v>89925088101</v>
      </c>
      <c r="C419" s="1" t="str">
        <f ca="1">IFERROR(__xludf.DUMMYFUNCTION("""COMPUTED_VALUE"""),"ТК Автомир")</f>
        <v>ТК Автомир</v>
      </c>
      <c r="D419" s="1"/>
    </row>
    <row r="420" spans="1:4" ht="13" x14ac:dyDescent="0.3">
      <c r="A420" s="1" t="str">
        <f ca="1">IFERROR(__xludf.DUMMYFUNCTION("""COMPUTED_VALUE"""),"Сартасов Валерий Васильевич")</f>
        <v>Сартасов Валерий Васильевич</v>
      </c>
      <c r="B420" s="1">
        <f ca="1">IFERROR(__xludf.DUMMYFUNCTION("""COMPUTED_VALUE"""),89194013187)</f>
        <v>89194013187</v>
      </c>
      <c r="C420" s="1" t="str">
        <f ca="1">IFERROR(__xludf.DUMMYFUNCTION("""COMPUTED_VALUE"""),"ТК Автомир")</f>
        <v>ТК Автомир</v>
      </c>
      <c r="D420" s="1"/>
    </row>
    <row r="421" spans="1:4" ht="13" x14ac:dyDescent="0.3">
      <c r="A421" s="1" t="str">
        <f ca="1">IFERROR(__xludf.DUMMYFUNCTION("""COMPUTED_VALUE"""),"Игуменщев Сергей Васильевич")</f>
        <v>Игуменщев Сергей Васильевич</v>
      </c>
      <c r="B421" s="1">
        <f ca="1">IFERROR(__xludf.DUMMYFUNCTION("""COMPUTED_VALUE"""),89514851662)</f>
        <v>89514851662</v>
      </c>
      <c r="C421" s="1" t="str">
        <f ca="1">IFERROR(__xludf.DUMMYFUNCTION("""COMPUTED_VALUE"""),"ТК Автомир")</f>
        <v>ТК Автомир</v>
      </c>
      <c r="D421" s="1"/>
    </row>
    <row r="422" spans="1:4" ht="13" x14ac:dyDescent="0.3">
      <c r="A422" s="1" t="str">
        <f ca="1">IFERROR(__xludf.DUMMYFUNCTION("""COMPUTED_VALUE"""),"Нурутдинов Евгений Маратович")</f>
        <v>Нурутдинов Евгений Маратович</v>
      </c>
      <c r="B422" s="1">
        <f ca="1">IFERROR(__xludf.DUMMYFUNCTION("""COMPUTED_VALUE"""),89044771840)</f>
        <v>89044771840</v>
      </c>
      <c r="C422" s="1" t="str">
        <f ca="1">IFERROR(__xludf.DUMMYFUNCTION("""COMPUTED_VALUE"""),"ТК Автомир")</f>
        <v>ТК Автомир</v>
      </c>
      <c r="D422" s="1"/>
    </row>
    <row r="423" spans="1:4" ht="13" x14ac:dyDescent="0.3">
      <c r="A423" s="1" t="str">
        <f ca="1">IFERROR(__xludf.DUMMYFUNCTION("""COMPUTED_VALUE"""),"Чеботарев Александр Иванович")</f>
        <v>Чеботарев Александр Иванович</v>
      </c>
      <c r="B423" s="1">
        <f ca="1">IFERROR(__xludf.DUMMYFUNCTION("""COMPUTED_VALUE"""),89193127499)</f>
        <v>89193127499</v>
      </c>
      <c r="C423" s="1" t="str">
        <f ca="1">IFERROR(__xludf.DUMMYFUNCTION("""COMPUTED_VALUE"""),"ТК Автомир")</f>
        <v>ТК Автомир</v>
      </c>
      <c r="D423" s="1"/>
    </row>
    <row r="424" spans="1:4" ht="13" x14ac:dyDescent="0.3">
      <c r="A424" s="1" t="str">
        <f ca="1">IFERROR(__xludf.DUMMYFUNCTION("""COMPUTED_VALUE"""),"Варешкин Сергей Владимирович")</f>
        <v>Варешкин Сергей Владимирович</v>
      </c>
      <c r="B424" s="1">
        <f ca="1">IFERROR(__xludf.DUMMYFUNCTION("""COMPUTED_VALUE"""),89292392616)</f>
        <v>89292392616</v>
      </c>
      <c r="C424" s="1" t="str">
        <f ca="1">IFERROR(__xludf.DUMMYFUNCTION("""COMPUTED_VALUE"""),"ТК Автомир")</f>
        <v>ТК Автомир</v>
      </c>
      <c r="D424" s="1"/>
    </row>
    <row r="425" spans="1:4" ht="13" x14ac:dyDescent="0.3">
      <c r="A425" s="1" t="str">
        <f ca="1">IFERROR(__xludf.DUMMYFUNCTION("""COMPUTED_VALUE"""),"Лиманский Алексей Николаевич")</f>
        <v>Лиманский Алексей Николаевич</v>
      </c>
      <c r="B425" s="1">
        <f ca="1">IFERROR(__xludf.DUMMYFUNCTION("""COMPUTED_VALUE"""),89525198040)</f>
        <v>89525198040</v>
      </c>
      <c r="C425" s="1" t="str">
        <f ca="1">IFERROR(__xludf.DUMMYFUNCTION("""COMPUTED_VALUE"""),"ТК Автомир")</f>
        <v>ТК Автомир</v>
      </c>
      <c r="D425" s="1"/>
    </row>
    <row r="426" spans="1:4" ht="13" x14ac:dyDescent="0.3">
      <c r="A426" s="1" t="str">
        <f ca="1">IFERROR(__xludf.DUMMYFUNCTION("""COMPUTED_VALUE"""),"Потысьев Николай Вячеславович")</f>
        <v>Потысьев Николай Вячеславович</v>
      </c>
      <c r="B426" s="1">
        <f ca="1">IFERROR(__xludf.DUMMYFUNCTION("""COMPUTED_VALUE"""),89000932366)</f>
        <v>89000932366</v>
      </c>
      <c r="C426" s="1" t="str">
        <f ca="1">IFERROR(__xludf.DUMMYFUNCTION("""COMPUTED_VALUE"""),"ТК Автомир")</f>
        <v>ТК Автомир</v>
      </c>
      <c r="D426" s="1"/>
    </row>
    <row r="427" spans="1:4" ht="13" x14ac:dyDescent="0.3">
      <c r="A427" s="1" t="str">
        <f ca="1">IFERROR(__xludf.DUMMYFUNCTION("""COMPUTED_VALUE"""),"Акульшин Александр Валерьевич")</f>
        <v>Акульшин Александр Валерьевич</v>
      </c>
      <c r="B427" s="1">
        <f ca="1">IFERROR(__xludf.DUMMYFUNCTION("""COMPUTED_VALUE"""),89080562860)</f>
        <v>89080562860</v>
      </c>
      <c r="C427" s="1" t="str">
        <f ca="1">IFERROR(__xludf.DUMMYFUNCTION("""COMPUTED_VALUE"""),"ТК Автомир")</f>
        <v>ТК Автомир</v>
      </c>
      <c r="D427" s="1"/>
    </row>
    <row r="428" spans="1:4" ht="13" x14ac:dyDescent="0.3">
      <c r="A428" s="1" t="str">
        <f ca="1">IFERROR(__xludf.DUMMYFUNCTION("""COMPUTED_VALUE"""),"Постников Александр Викторович")</f>
        <v>Постников Александр Викторович</v>
      </c>
      <c r="B428" s="1">
        <f ca="1">IFERROR(__xludf.DUMMYFUNCTION("""COMPUTED_VALUE"""),89028643151)</f>
        <v>89028643151</v>
      </c>
      <c r="C428" s="1" t="str">
        <f ca="1">IFERROR(__xludf.DUMMYFUNCTION("""COMPUTED_VALUE"""),"ТК Автомир")</f>
        <v>ТК Автомир</v>
      </c>
      <c r="D428" s="1"/>
    </row>
    <row r="429" spans="1:4" ht="13" x14ac:dyDescent="0.3">
      <c r="A429" s="1" t="str">
        <f ca="1">IFERROR(__xludf.DUMMYFUNCTION("""COMPUTED_VALUE"""),"Прынзин Станислав Вячеславович")</f>
        <v>Прынзин Станислав Вячеславович</v>
      </c>
      <c r="B429" s="1">
        <f ca="1">IFERROR(__xludf.DUMMYFUNCTION("""COMPUTED_VALUE"""),89080682483)</f>
        <v>89080682483</v>
      </c>
      <c r="C429" s="1" t="str">
        <f ca="1">IFERROR(__xludf.DUMMYFUNCTION("""COMPUTED_VALUE"""),"ТК Автомир")</f>
        <v>ТК Автомир</v>
      </c>
      <c r="D429" s="1"/>
    </row>
    <row r="430" spans="1:4" ht="13" x14ac:dyDescent="0.3">
      <c r="A430" s="1" t="str">
        <f ca="1">IFERROR(__xludf.DUMMYFUNCTION("""COMPUTED_VALUE"""),"Загитов Тимур Габдельгафурович")</f>
        <v>Загитов Тимур Габдельгафурович</v>
      </c>
      <c r="B430" s="1">
        <f ca="1">IFERROR(__xludf.DUMMYFUNCTION("""COMPUTED_VALUE"""),89085796381)</f>
        <v>89085796381</v>
      </c>
      <c r="C430" s="1" t="str">
        <f ca="1">IFERROR(__xludf.DUMMYFUNCTION("""COMPUTED_VALUE"""),"ТК Автомир")</f>
        <v>ТК Автомир</v>
      </c>
      <c r="D430" s="1"/>
    </row>
    <row r="431" spans="1:4" ht="13" x14ac:dyDescent="0.3">
      <c r="A431" s="1" t="str">
        <f ca="1">IFERROR(__xludf.DUMMYFUNCTION("""COMPUTED_VALUE"""),"Добровольский Сергей Сергеевич")</f>
        <v>Добровольский Сергей Сергеевич</v>
      </c>
      <c r="B431" s="1">
        <f ca="1">IFERROR(__xludf.DUMMYFUNCTION("""COMPUTED_VALUE"""),89514808799)</f>
        <v>89514808799</v>
      </c>
      <c r="C431" s="1" t="str">
        <f ca="1">IFERROR(__xludf.DUMMYFUNCTION("""COMPUTED_VALUE"""),"ТК Автомир")</f>
        <v>ТК Автомир</v>
      </c>
      <c r="D431" s="1"/>
    </row>
    <row r="432" spans="1:4" ht="13" x14ac:dyDescent="0.3">
      <c r="A432" s="1" t="str">
        <f ca="1">IFERROR(__xludf.DUMMYFUNCTION("""COMPUTED_VALUE"""),"Запорожченко Андрей Геннадьевич")</f>
        <v>Запорожченко Андрей Геннадьевич</v>
      </c>
      <c r="B432" s="1">
        <f ca="1">IFERROR(__xludf.DUMMYFUNCTION("""COMPUTED_VALUE"""),89026067755)</f>
        <v>89026067755</v>
      </c>
      <c r="C432" s="1" t="str">
        <f ca="1">IFERROR(__xludf.DUMMYFUNCTION("""COMPUTED_VALUE"""),"ТК Автомир")</f>
        <v>ТК Автомир</v>
      </c>
      <c r="D432" s="1"/>
    </row>
    <row r="433" spans="1:4" ht="13" x14ac:dyDescent="0.3">
      <c r="A433" s="1" t="str">
        <f ca="1">IFERROR(__xludf.DUMMYFUNCTION("""COMPUTED_VALUE"""),"Туравинин Владимир Владимирович")</f>
        <v>Туравинин Владимир Владимирович</v>
      </c>
      <c r="B433" s="1">
        <f ca="1">IFERROR(__xludf.DUMMYFUNCTION("""COMPUTED_VALUE"""),89123275072)</f>
        <v>89123275072</v>
      </c>
      <c r="C433" s="1" t="str">
        <f ca="1">IFERROR(__xludf.DUMMYFUNCTION("""COMPUTED_VALUE"""),"ТК Автомир")</f>
        <v>ТК Автомир</v>
      </c>
      <c r="D433" s="1"/>
    </row>
    <row r="434" spans="1:4" ht="13" x14ac:dyDescent="0.3">
      <c r="A434" s="1" t="str">
        <f ca="1">IFERROR(__xludf.DUMMYFUNCTION("""COMPUTED_VALUE"""),"Безруков Владимир Александрович")</f>
        <v>Безруков Владимир Александрович</v>
      </c>
      <c r="B434" s="1">
        <f ca="1">IFERROR(__xludf.DUMMYFUNCTION("""COMPUTED_VALUE"""),89127734584)</f>
        <v>89127734584</v>
      </c>
      <c r="C434" s="1" t="str">
        <f ca="1">IFERROR(__xludf.DUMMYFUNCTION("""COMPUTED_VALUE"""),"ТК Автомир")</f>
        <v>ТК Автомир</v>
      </c>
      <c r="D434" s="1"/>
    </row>
    <row r="435" spans="1:4" ht="13" x14ac:dyDescent="0.3">
      <c r="A435" s="1" t="str">
        <f ca="1">IFERROR(__xludf.DUMMYFUNCTION("""COMPUTED_VALUE"""),"Ахмаддуллин Салават Филинерович")</f>
        <v>Ахмаддуллин Салават Филинерович</v>
      </c>
      <c r="B435" s="1">
        <f ca="1">IFERROR(__xludf.DUMMYFUNCTION("""COMPUTED_VALUE"""),89823374393)</f>
        <v>89823374393</v>
      </c>
      <c r="C435" s="1" t="str">
        <f ca="1">IFERROR(__xludf.DUMMYFUNCTION("""COMPUTED_VALUE"""),"ТК Автомир")</f>
        <v>ТК Автомир</v>
      </c>
      <c r="D435" s="1"/>
    </row>
    <row r="436" spans="1:4" ht="13" x14ac:dyDescent="0.3">
      <c r="A436" s="1" t="str">
        <f ca="1">IFERROR(__xludf.DUMMYFUNCTION("""COMPUTED_VALUE"""),"Чечнев Александр Валерьевич")</f>
        <v>Чечнев Александр Валерьевич</v>
      </c>
      <c r="B436" s="1">
        <f ca="1">IFERROR(__xludf.DUMMYFUNCTION("""COMPUTED_VALUE"""),89051813451)</f>
        <v>89051813451</v>
      </c>
      <c r="C436" s="1" t="str">
        <f ca="1">IFERROR(__xludf.DUMMYFUNCTION("""COMPUTED_VALUE"""),"Транспорт Солюшис")</f>
        <v>Транспорт Солюшис</v>
      </c>
      <c r="D436" s="1" t="str">
        <f ca="1">IFERROR(__xludf.DUMMYFUNCTION("""COMPUTED_VALUE"""),"99 18 573888")</f>
        <v>99 18 573888</v>
      </c>
    </row>
    <row r="437" spans="1:4" ht="13" x14ac:dyDescent="0.3">
      <c r="A437" s="1" t="str">
        <f ca="1">IFERROR(__xludf.DUMMYFUNCTION("""COMPUTED_VALUE"""),"Костенок Алексей Алексеевич")</f>
        <v>Костенок Алексей Алексеевич</v>
      </c>
      <c r="B437" s="1">
        <f ca="1">IFERROR(__xludf.DUMMYFUNCTION("""COMPUTED_VALUE"""),99090942290)</f>
        <v>99090942290</v>
      </c>
      <c r="C437" s="1" t="str">
        <f ca="1">IFERROR(__xludf.DUMMYFUNCTION("""COMPUTED_VALUE"""),"Транспорт Солюшис")</f>
        <v>Транспорт Солюшис</v>
      </c>
      <c r="D437" s="1" t="str">
        <f ca="1">IFERROR(__xludf.DUMMYFUNCTION("""COMPUTED_VALUE"""),"99 25 533472")</f>
        <v>99 25 533472</v>
      </c>
    </row>
    <row r="438" spans="1:4" ht="13" x14ac:dyDescent="0.3">
      <c r="A438" s="1" t="str">
        <f ca="1">IFERROR(__xludf.DUMMYFUNCTION("""COMPUTED_VALUE"""),"Рытьков Александр Вячеславович")</f>
        <v>Рытьков Александр Вячеславович</v>
      </c>
      <c r="B438" s="1">
        <f ca="1">IFERROR(__xludf.DUMMYFUNCTION("""COMPUTED_VALUE"""),89089399560)</f>
        <v>89089399560</v>
      </c>
      <c r="C438" s="1" t="str">
        <f ca="1">IFERROR(__xludf.DUMMYFUNCTION("""COMPUTED_VALUE"""),"Транспорт Солюшис")</f>
        <v>Транспорт Солюшис</v>
      </c>
      <c r="D438" s="1" t="str">
        <f ca="1">IFERROR(__xludf.DUMMYFUNCTION("""COMPUTED_VALUE"""),"99 32 333388")</f>
        <v>99 32 333388</v>
      </c>
    </row>
    <row r="439" spans="1:4" ht="13" x14ac:dyDescent="0.3">
      <c r="A439" s="1" t="str">
        <f ca="1">IFERROR(__xludf.DUMMYFUNCTION("""COMPUTED_VALUE"""),"Сапугальцев Никита Александрович")</f>
        <v>Сапугальцев Никита Александрович</v>
      </c>
      <c r="B439" s="1">
        <f ca="1">IFERROR(__xludf.DUMMYFUNCTION("""COMPUTED_VALUE"""),89193163007)</f>
        <v>89193163007</v>
      </c>
      <c r="C439" s="1" t="str">
        <f ca="1">IFERROR(__xludf.DUMMYFUNCTION("""COMPUTED_VALUE"""),"Транспорт Солюшис")</f>
        <v>Транспорт Солюшис</v>
      </c>
      <c r="D439" s="1" t="str">
        <f ca="1">IFERROR(__xludf.DUMMYFUNCTION("""COMPUTED_VALUE"""),"9928 937085")</f>
        <v>9928 937085</v>
      </c>
    </row>
    <row r="440" spans="1:4" ht="13" x14ac:dyDescent="0.3">
      <c r="A440" s="1" t="str">
        <f ca="1">IFERROR(__xludf.DUMMYFUNCTION("""COMPUTED_VALUE"""),"Ибадуллин Роман Афлякович")</f>
        <v>Ибадуллин Роман Афлякович</v>
      </c>
      <c r="B440" s="1">
        <f ca="1">IFERROR(__xludf.DUMMYFUNCTION("""COMPUTED_VALUE"""),89995865580)</f>
        <v>89995865580</v>
      </c>
      <c r="C440" s="1" t="str">
        <f ca="1">IFERROR(__xludf.DUMMYFUNCTION("""COMPUTED_VALUE"""),"ТрансРегион")</f>
        <v>ТрансРегион</v>
      </c>
      <c r="D440" s="1" t="str">
        <f ca="1">IFERROR(__xludf.DUMMYFUNCTION("""COMPUTED_VALUE"""),"99 22 083396 ")</f>
        <v xml:space="preserve">99 22 083396 </v>
      </c>
    </row>
    <row r="441" spans="1:4" ht="13" x14ac:dyDescent="0.3">
      <c r="A441" s="1" t="str">
        <f ca="1">IFERROR(__xludf.DUMMYFUNCTION("""COMPUTED_VALUE"""),"Волков Данила Александрович")</f>
        <v>Волков Данила Александрович</v>
      </c>
      <c r="B441" s="1">
        <f ca="1">IFERROR(__xludf.DUMMYFUNCTION("""COMPUTED_VALUE"""),89226380449)</f>
        <v>89226380449</v>
      </c>
      <c r="C441" s="1" t="str">
        <f ca="1">IFERROR(__xludf.DUMMYFUNCTION("""COMPUTED_VALUE"""),"ТрансРегион")</f>
        <v>ТрансРегион</v>
      </c>
      <c r="D441" s="1"/>
    </row>
    <row r="442" spans="1:4" ht="13" x14ac:dyDescent="0.3">
      <c r="A442" s="1" t="str">
        <f ca="1">IFERROR(__xludf.DUMMYFUNCTION("""COMPUTED_VALUE"""),"Карзенков Сергей Владимирович")</f>
        <v>Карзенков Сергей Владимирович</v>
      </c>
      <c r="B442" s="1">
        <f ca="1">IFERROR(__xludf.DUMMYFUNCTION("""COMPUTED_VALUE"""),89226365795)</f>
        <v>89226365795</v>
      </c>
      <c r="C442" s="1" t="str">
        <f ca="1">IFERROR(__xludf.DUMMYFUNCTION("""COMPUTED_VALUE"""),"ТрансРегион")</f>
        <v>ТрансРегион</v>
      </c>
      <c r="D442" s="1"/>
    </row>
    <row r="443" spans="1:4" ht="13" x14ac:dyDescent="0.3">
      <c r="A443" s="1" t="str">
        <f ca="1">IFERROR(__xludf.DUMMYFUNCTION("""COMPUTED_VALUE"""),"Семериков Дмитрий Александрович")</f>
        <v>Семериков Дмитрий Александрович</v>
      </c>
      <c r="B443" s="1">
        <f ca="1">IFERROR(__xludf.DUMMYFUNCTION("""COMPUTED_VALUE"""),89320104395)</f>
        <v>89320104395</v>
      </c>
      <c r="C443" s="1" t="str">
        <f ca="1">IFERROR(__xludf.DUMMYFUNCTION("""COMPUTED_VALUE"""),"ТрансРегион")</f>
        <v>ТрансРегион</v>
      </c>
      <c r="D443" s="1"/>
    </row>
    <row r="444" spans="1:4" ht="13" x14ac:dyDescent="0.3">
      <c r="A444" s="1" t="str">
        <f ca="1">IFERROR(__xludf.DUMMYFUNCTION("""COMPUTED_VALUE"""),"Попов Михаил Анатольевич")</f>
        <v>Попов Михаил Анатольевич</v>
      </c>
      <c r="B444" s="1">
        <f ca="1">IFERROR(__xludf.DUMMYFUNCTION("""COMPUTED_VALUE"""),89193254308)</f>
        <v>89193254308</v>
      </c>
      <c r="C444" s="1" t="str">
        <f ca="1">IFERROR(__xludf.DUMMYFUNCTION("""COMPUTED_VALUE"""),"УРАЛ МАШ")</f>
        <v>УРАЛ МАШ</v>
      </c>
      <c r="D444" s="1"/>
    </row>
    <row r="445" spans="1:4" ht="13" x14ac:dyDescent="0.3">
      <c r="A445" s="1" t="str">
        <f ca="1">IFERROR(__xludf.DUMMYFUNCTION("""COMPUTED_VALUE"""),"Калинин Сергей Викторович")</f>
        <v>Калинин Сергей Викторович</v>
      </c>
      <c r="B445" s="1">
        <f ca="1">IFERROR(__xludf.DUMMYFUNCTION("""COMPUTED_VALUE"""),89085876575)</f>
        <v>89085876575</v>
      </c>
      <c r="C445" s="1" t="str">
        <f ca="1">IFERROR(__xludf.DUMMYFUNCTION("""COMPUTED_VALUE"""),"УралМетЛогистик")</f>
        <v>УралМетЛогистик</v>
      </c>
      <c r="D445" s="1"/>
    </row>
    <row r="446" spans="1:4" ht="13" x14ac:dyDescent="0.3">
      <c r="A446" s="1" t="str">
        <f ca="1">IFERROR(__xludf.DUMMYFUNCTION("""COMPUTED_VALUE"""),"Папанов Сергей Николаевич")</f>
        <v>Папанов Сергей Николаевич</v>
      </c>
      <c r="B446" s="1">
        <f ca="1">IFERROR(__xludf.DUMMYFUNCTION("""COMPUTED_VALUE"""),89825489842)</f>
        <v>89825489842</v>
      </c>
      <c r="C446" s="1" t="str">
        <f ca="1">IFERROR(__xludf.DUMMYFUNCTION("""COMPUTED_VALUE"""),"УралМетЛогистик")</f>
        <v>УралМетЛогистик</v>
      </c>
      <c r="D446" s="1" t="str">
        <f ca="1">IFERROR(__xludf.DUMMYFUNCTION("""COMPUTED_VALUE"""),"99 13 551119")</f>
        <v>99 13 551119</v>
      </c>
    </row>
    <row r="447" spans="1:4" ht="13" x14ac:dyDescent="0.3">
      <c r="A447" s="1" t="str">
        <f ca="1">IFERROR(__xludf.DUMMYFUNCTION("""COMPUTED_VALUE"""),"Лутфуллин Ильнур Ришатович")</f>
        <v>Лутфуллин Ильнур Ришатович</v>
      </c>
      <c r="B447" s="1">
        <f ca="1">IFERROR(__xludf.DUMMYFUNCTION("""COMPUTED_VALUE"""),89649643174)</f>
        <v>89649643174</v>
      </c>
      <c r="C447" s="1" t="str">
        <f ca="1">IFERROR(__xludf.DUMMYFUNCTION("""COMPUTED_VALUE"""),"УралМетЛогистик")</f>
        <v>УралМетЛогистик</v>
      </c>
      <c r="D447" s="1"/>
    </row>
    <row r="448" spans="1:4" ht="13" x14ac:dyDescent="0.3">
      <c r="A448" s="1" t="str">
        <f ca="1">IFERROR(__xludf.DUMMYFUNCTION("""COMPUTED_VALUE"""),"Минеев Александр Николаевич")</f>
        <v>Минеев Александр Николаевич</v>
      </c>
      <c r="B448" s="1">
        <f ca="1">IFERROR(__xludf.DUMMYFUNCTION("""COMPUTED_VALUE"""),79026149640)</f>
        <v>79026149640</v>
      </c>
      <c r="C448" s="1" t="str">
        <f ca="1">IFERROR(__xludf.DUMMYFUNCTION("""COMPUTED_VALUE"""),"УралМетЛогистик")</f>
        <v>УралМетЛогистик</v>
      </c>
      <c r="D448" s="1"/>
    </row>
    <row r="449" spans="1:4" ht="13" x14ac:dyDescent="0.3">
      <c r="A449" s="1" t="str">
        <f ca="1">IFERROR(__xludf.DUMMYFUNCTION("""COMPUTED_VALUE"""),"Макулбаев Ерболат Режепович")</f>
        <v>Макулбаев Ерболат Режепович</v>
      </c>
      <c r="B449" s="1">
        <f ca="1">IFERROR(__xludf.DUMMYFUNCTION("""COMPUTED_VALUE"""),89518170034)</f>
        <v>89518170034</v>
      </c>
      <c r="C449" s="1" t="str">
        <f ca="1">IFERROR(__xludf.DUMMYFUNCTION("""COMPUTED_VALUE"""),"УралМетЛогистик")</f>
        <v>УралМетЛогистик</v>
      </c>
      <c r="D449" s="1"/>
    </row>
    <row r="450" spans="1:4" ht="13" x14ac:dyDescent="0.3">
      <c r="A450" s="1" t="str">
        <f ca="1">IFERROR(__xludf.DUMMYFUNCTION("""COMPUTED_VALUE"""),"Шаповалов Алексей Николаевич")</f>
        <v>Шаповалов Алексей Николаевич</v>
      </c>
      <c r="B450" s="1">
        <f ca="1">IFERROR(__xludf.DUMMYFUNCTION("""COMPUTED_VALUE"""),89321010341)</f>
        <v>89321010341</v>
      </c>
      <c r="C450" s="1" t="str">
        <f ca="1">IFERROR(__xludf.DUMMYFUNCTION("""COMPUTED_VALUE"""),"УралМетЛогистик")</f>
        <v>УралМетЛогистик</v>
      </c>
      <c r="D450" s="1"/>
    </row>
    <row r="451" spans="1:4" ht="13" x14ac:dyDescent="0.3">
      <c r="A451" s="1" t="str">
        <f ca="1">IFERROR(__xludf.DUMMYFUNCTION("""COMPUTED_VALUE"""),"Стаценко Александр Викторович")</f>
        <v>Стаценко Александр Викторович</v>
      </c>
      <c r="B451" s="1">
        <f ca="1">IFERROR(__xludf.DUMMYFUNCTION("""COMPUTED_VALUE"""),89517884033)</f>
        <v>89517884033</v>
      </c>
      <c r="C451" s="1" t="str">
        <f ca="1">IFERROR(__xludf.DUMMYFUNCTION("""COMPUTED_VALUE"""),"УралМетЛогистик")</f>
        <v>УралМетЛогистик</v>
      </c>
      <c r="D451" s="1"/>
    </row>
    <row r="452" spans="1:4" ht="13" x14ac:dyDescent="0.3">
      <c r="A452" s="1" t="str">
        <f ca="1">IFERROR(__xludf.DUMMYFUNCTION("""COMPUTED_VALUE"""),"Ерниязов Азаман Мулдыгалеевич")</f>
        <v>Ерниязов Азаман Мулдыгалеевич</v>
      </c>
      <c r="B452" s="1">
        <f ca="1">IFERROR(__xludf.DUMMYFUNCTION("""COMPUTED_VALUE"""),89630978222)</f>
        <v>89630978222</v>
      </c>
      <c r="C452" s="1" t="str">
        <f ca="1">IFERROR(__xludf.DUMMYFUNCTION("""COMPUTED_VALUE"""),"УралМетЛогистик")</f>
        <v>УралМетЛогистик</v>
      </c>
      <c r="D452" s="1"/>
    </row>
    <row r="453" spans="1:4" ht="13" x14ac:dyDescent="0.3">
      <c r="A453" s="1" t="str">
        <f ca="1">IFERROR(__xludf.DUMMYFUNCTION("""COMPUTED_VALUE"""),"Магомедзагидов Муртазали Навузалиевич")</f>
        <v>Магомедзагидов Муртазали Навузалиевич</v>
      </c>
      <c r="B453" s="1">
        <f ca="1">IFERROR(__xludf.DUMMYFUNCTION("""COMPUTED_VALUE"""),89169214142)</f>
        <v>89169214142</v>
      </c>
      <c r="C453" s="1" t="str">
        <f ca="1">IFERROR(__xludf.DUMMYFUNCTION("""COMPUTED_VALUE"""),"УралМетЛогистик")</f>
        <v>УралМетЛогистик</v>
      </c>
      <c r="D453" s="1"/>
    </row>
    <row r="454" spans="1:4" ht="13" x14ac:dyDescent="0.3">
      <c r="A454" s="1" t="str">
        <f ca="1">IFERROR(__xludf.DUMMYFUNCTION("""COMPUTED_VALUE"""),"Ильгамов Ильнур Рависович")</f>
        <v>Ильгамов Ильнур Рависович</v>
      </c>
      <c r="B454" s="1">
        <f ca="1">IFERROR(__xludf.DUMMYFUNCTION("""COMPUTED_VALUE"""),89093501121)</f>
        <v>89093501121</v>
      </c>
      <c r="C454" s="1" t="str">
        <f ca="1">IFERROR(__xludf.DUMMYFUNCTION("""COMPUTED_VALUE"""),"ЮжУралДор")</f>
        <v>ЮжУралДор</v>
      </c>
      <c r="D454" s="1"/>
    </row>
    <row r="455" spans="1:4" ht="13" x14ac:dyDescent="0.3">
      <c r="A455" s="1" t="str">
        <f ca="1">IFERROR(__xludf.DUMMYFUNCTION("""COMPUTED_VALUE"""),"Мальцев Вячеслав Георгиевич")</f>
        <v>Мальцев Вячеслав Георгиевич</v>
      </c>
      <c r="B455" s="1" t="str">
        <f ca="1">IFERROR(__xludf.DUMMYFUNCTION("""COMPUTED_VALUE"""),"89028959001;89090906530")</f>
        <v>89028959001;89090906530</v>
      </c>
      <c r="C455" s="1" t="str">
        <f ca="1">IFERROR(__xludf.DUMMYFUNCTION("""COMPUTED_VALUE"""),"ИП Кулешов")</f>
        <v>ИП Кулешов</v>
      </c>
      <c r="D455" s="1"/>
    </row>
    <row r="456" spans="1:4" ht="13" x14ac:dyDescent="0.3">
      <c r="A456" s="1" t="str">
        <f ca="1">IFERROR(__xludf.DUMMYFUNCTION("""COMPUTED_VALUE"""),"Сенюшкин Дмитрий Сергеевич")</f>
        <v>Сенюшкин Дмитрий Сергеевич</v>
      </c>
      <c r="B456" s="1" t="str">
        <f ca="1">IFERROR(__xludf.DUMMYFUNCTION("""COMPUTED_VALUE"""),"‎89090973912;‎89956516432")</f>
        <v>‎89090973912;‎89956516432</v>
      </c>
      <c r="C456" s="1" t="str">
        <f ca="1">IFERROR(__xludf.DUMMYFUNCTION("""COMPUTED_VALUE"""),"РВ-Тариф")</f>
        <v>РВ-Тариф</v>
      </c>
      <c r="D456" s="1" t="str">
        <f ca="1">IFERROR(__xludf.DUMMYFUNCTION("""COMPUTED_VALUE"""),"9913 051994")</f>
        <v>9913 051994</v>
      </c>
    </row>
    <row r="457" spans="1:4" ht="13" x14ac:dyDescent="0.3">
      <c r="A457" s="1" t="str">
        <f ca="1">IFERROR(__xludf.DUMMYFUNCTION("""COMPUTED_VALUE"""),"Евдокимов Егор Александрович")</f>
        <v>Евдокимов Егор Александрович</v>
      </c>
      <c r="B457" s="1">
        <f ca="1">IFERROR(__xludf.DUMMYFUNCTION("""COMPUTED_VALUE"""),89127771046)</f>
        <v>89127771046</v>
      </c>
      <c r="C457" s="1" t="str">
        <f ca="1">IFERROR(__xludf.DUMMYFUNCTION("""COMPUTED_VALUE"""),"РВ-Тариф")</f>
        <v>РВ-Тариф</v>
      </c>
      <c r="D457" s="1"/>
    </row>
    <row r="458" spans="1:4" ht="13" x14ac:dyDescent="0.3">
      <c r="A458" s="1" t="str">
        <f ca="1">IFERROR(__xludf.DUMMYFUNCTION("""COMPUTED_VALUE"""),"Карнаухов Сергей Юрьевич")</f>
        <v>Карнаухов Сергей Юрьевич</v>
      </c>
      <c r="B458" s="1">
        <f ca="1">IFERROR(__xludf.DUMMYFUNCTION("""COMPUTED_VALUE"""),89049369199)</f>
        <v>89049369199</v>
      </c>
      <c r="C458" s="1" t="str">
        <f ca="1">IFERROR(__xludf.DUMMYFUNCTION("""COMPUTED_VALUE"""),"РВ-Тариф")</f>
        <v>РВ-Тариф</v>
      </c>
      <c r="D458" s="1"/>
    </row>
    <row r="459" spans="1:4" ht="13" x14ac:dyDescent="0.3">
      <c r="A459" s="1" t="str">
        <f ca="1">IFERROR(__xludf.DUMMYFUNCTION("""COMPUTED_VALUE"""),"Гарифулин Ильдар Сафаргалеевич")</f>
        <v>Гарифулин Ильдар Сафаргалеевич</v>
      </c>
      <c r="B459" s="1">
        <f ca="1">IFERROR(__xludf.DUMMYFUNCTION("""COMPUTED_VALUE"""),89659264699)</f>
        <v>89659264699</v>
      </c>
      <c r="C459" s="1" t="str">
        <f ca="1">IFERROR(__xludf.DUMMYFUNCTION("""COMPUTED_VALUE"""),"РВ-Тариф")</f>
        <v>РВ-Тариф</v>
      </c>
      <c r="D459" s="1"/>
    </row>
    <row r="460" spans="1:4" ht="13" x14ac:dyDescent="0.3">
      <c r="A460" s="1" t="str">
        <f ca="1">IFERROR(__xludf.DUMMYFUNCTION("""COMPUTED_VALUE"""),"Жеребко Андрей Александрович")</f>
        <v>Жеребко Андрей Александрович</v>
      </c>
      <c r="B460" s="1"/>
      <c r="C460" s="1" t="str">
        <f ca="1">IFERROR(__xludf.DUMMYFUNCTION("""COMPUTED_VALUE"""),"РВ-Тариф")</f>
        <v>РВ-Тариф</v>
      </c>
      <c r="D460" s="1" t="str">
        <f ca="1">IFERROR(__xludf.DUMMYFUNCTION("""COMPUTED_VALUE"""),"9920 585760")</f>
        <v>9920 585760</v>
      </c>
    </row>
    <row r="461" spans="1:4" ht="13" x14ac:dyDescent="0.3">
      <c r="A461" s="1" t="str">
        <f ca="1">IFERROR(__xludf.DUMMYFUNCTION("""COMPUTED_VALUE"""),"Коробков Сергей Александрович")</f>
        <v>Коробков Сергей Александрович</v>
      </c>
      <c r="B461" s="1">
        <f ca="1">IFERROR(__xludf.DUMMYFUNCTION("""COMPUTED_VALUE"""),89049301379)</f>
        <v>89049301379</v>
      </c>
      <c r="C461" s="1" t="str">
        <f ca="1">IFERROR(__xludf.DUMMYFUNCTION("""COMPUTED_VALUE"""),"РВ-Тариф")</f>
        <v>РВ-Тариф</v>
      </c>
      <c r="D461" s="1"/>
    </row>
    <row r="462" spans="1:4" ht="13" x14ac:dyDescent="0.3">
      <c r="A462" s="1" t="str">
        <f ca="1">IFERROR(__xludf.DUMMYFUNCTION("""COMPUTED_VALUE"""),"Руковицын Виктор Анатольевич")</f>
        <v>Руковицын Виктор Анатольевич</v>
      </c>
      <c r="B462" s="1"/>
      <c r="C462" s="1" t="str">
        <f ca="1">IFERROR(__xludf.DUMMYFUNCTION("""COMPUTED_VALUE"""),"Транспорт Солюшис")</f>
        <v>Транспорт Солюшис</v>
      </c>
      <c r="D462" s="1" t="str">
        <f ca="1">IFERROR(__xludf.DUMMYFUNCTION("""COMPUTED_VALUE"""),"99 25 534606")</f>
        <v>99 25 534606</v>
      </c>
    </row>
    <row r="463" spans="1:4" ht="13" x14ac:dyDescent="0.3">
      <c r="A463" s="1" t="str">
        <f ca="1">IFERROR(__xludf.DUMMYFUNCTION("""COMPUTED_VALUE"""),"Пузик Владимир Петрович")</f>
        <v>Пузик Владимир Петрович</v>
      </c>
      <c r="B463" s="1">
        <f ca="1">IFERROR(__xludf.DUMMYFUNCTION("""COMPUTED_VALUE"""),89325382547)</f>
        <v>89325382547</v>
      </c>
      <c r="C463" s="1" t="str">
        <f ca="1">IFERROR(__xludf.DUMMYFUNCTION("""COMPUTED_VALUE"""),"Сара Авто")</f>
        <v>Сара Авто</v>
      </c>
      <c r="D463" s="1"/>
    </row>
    <row r="464" spans="1:4" ht="13" x14ac:dyDescent="0.3">
      <c r="A464" s="1" t="str">
        <f ca="1">IFERROR(__xludf.DUMMYFUNCTION("""COMPUTED_VALUE"""),"Карамурзин Самат Арсланович")</f>
        <v>Карамурзин Самат Арсланович</v>
      </c>
      <c r="B464" s="1">
        <f ca="1">IFERROR(__xludf.DUMMYFUNCTION("""COMPUTED_VALUE"""),89877877292)</f>
        <v>89877877292</v>
      </c>
      <c r="C464" s="1" t="str">
        <f ca="1">IFERROR(__xludf.DUMMYFUNCTION("""COMPUTED_VALUE"""),"Сара Авто")</f>
        <v>Сара Авто</v>
      </c>
      <c r="D464" s="1"/>
    </row>
    <row r="465" spans="1:4" ht="13" x14ac:dyDescent="0.3">
      <c r="A465" s="1" t="str">
        <f ca="1">IFERROR(__xludf.DUMMYFUNCTION("""COMPUTED_VALUE"""),"Кабламбаев Айтуган Зайнуллович")</f>
        <v>Кабламбаев Айтуган Зайнуллович</v>
      </c>
      <c r="B465" s="1">
        <f ca="1">IFERROR(__xludf.DUMMYFUNCTION("""COMPUTED_VALUE"""),89225585458)</f>
        <v>89225585458</v>
      </c>
      <c r="C465" s="1" t="str">
        <f ca="1">IFERROR(__xludf.DUMMYFUNCTION("""COMPUTED_VALUE"""),"Сара Авто")</f>
        <v>Сара Авто</v>
      </c>
      <c r="D465" s="1"/>
    </row>
    <row r="466" spans="1:4" ht="13" x14ac:dyDescent="0.3">
      <c r="A466" s="1" t="str">
        <f ca="1">IFERROR(__xludf.DUMMYFUNCTION("""COMPUTED_VALUE"""),"Хижняк Иван Михайлович")</f>
        <v>Хижняк Иван Михайлович</v>
      </c>
      <c r="B466" s="1">
        <f ca="1">IFERROR(__xludf.DUMMYFUNCTION("""COMPUTED_VALUE"""),89068301703)</f>
        <v>89068301703</v>
      </c>
      <c r="C466" s="1" t="str">
        <f ca="1">IFERROR(__xludf.DUMMYFUNCTION("""COMPUTED_VALUE"""),"Сара Авто")</f>
        <v>Сара Авто</v>
      </c>
      <c r="D466" s="1"/>
    </row>
    <row r="467" spans="1:4" ht="13" x14ac:dyDescent="0.3">
      <c r="A467" s="1" t="str">
        <f ca="1">IFERROR(__xludf.DUMMYFUNCTION("""COMPUTED_VALUE"""),"Дегтярев Алексей Алексеевич")</f>
        <v>Дегтярев Алексей Алексеевич</v>
      </c>
      <c r="B467" s="1">
        <f ca="1">IFERROR(__xludf.DUMMYFUNCTION("""COMPUTED_VALUE"""),89228247172)</f>
        <v>89228247172</v>
      </c>
      <c r="C467" s="1" t="str">
        <f ca="1">IFERROR(__xludf.DUMMYFUNCTION("""COMPUTED_VALUE"""),"Сара Авто")</f>
        <v>Сара Авто</v>
      </c>
      <c r="D467" s="1"/>
    </row>
    <row r="468" spans="1:4" ht="13" x14ac:dyDescent="0.3">
      <c r="A468" s="1" t="str">
        <f ca="1">IFERROR(__xludf.DUMMYFUNCTION("""COMPUTED_VALUE"""),"Лойко Андрей Александрович")</f>
        <v>Лойко Андрей Александрович</v>
      </c>
      <c r="B468" s="1">
        <f ca="1">IFERROR(__xludf.DUMMYFUNCTION("""COMPUTED_VALUE"""),89619008055)</f>
        <v>89619008055</v>
      </c>
      <c r="C468" s="1" t="str">
        <f ca="1">IFERROR(__xludf.DUMMYFUNCTION("""COMPUTED_VALUE"""),"Сара Авто")</f>
        <v>Сара Авто</v>
      </c>
      <c r="D468" s="1"/>
    </row>
    <row r="469" spans="1:4" ht="13" x14ac:dyDescent="0.3">
      <c r="A469" s="1" t="str">
        <f ca="1">IFERROR(__xludf.DUMMYFUNCTION("""COMPUTED_VALUE"""),"Серпков Василий Николаевич")</f>
        <v>Серпков Василий Николаевич</v>
      </c>
      <c r="B469" s="1">
        <f ca="1">IFERROR(__xludf.DUMMYFUNCTION("""COMPUTED_VALUE"""),89227119575)</f>
        <v>89227119575</v>
      </c>
      <c r="C469" s="1" t="str">
        <f ca="1">IFERROR(__xludf.DUMMYFUNCTION("""COMPUTED_VALUE"""),"РВ-Тариф")</f>
        <v>РВ-Тариф</v>
      </c>
      <c r="D469" s="1" t="str">
        <f ca="1">IFERROR(__xludf.DUMMYFUNCTION("""COMPUTED_VALUE"""),"9919 442206")</f>
        <v>9919 442206</v>
      </c>
    </row>
    <row r="470" spans="1:4" ht="13" x14ac:dyDescent="0.3">
      <c r="A470" s="1" t="str">
        <f ca="1">IFERROR(__xludf.DUMMYFUNCTION("""COMPUTED_VALUE"""),"Овсянников Александр Сергеевич")</f>
        <v>Овсянников Александр Сергеевич</v>
      </c>
      <c r="B470" s="1"/>
      <c r="C470" s="1" t="str">
        <f ca="1">IFERROR(__xludf.DUMMYFUNCTION("""COMPUTED_VALUE"""),"Синергия")</f>
        <v>Синергия</v>
      </c>
      <c r="D470" s="1" t="str">
        <f ca="1">IFERROR(__xludf.DUMMYFUNCTION("""COMPUTED_VALUE"""),"99 28 943333")</f>
        <v>99 28 943333</v>
      </c>
    </row>
    <row r="471" spans="1:4" ht="13" x14ac:dyDescent="0.3">
      <c r="A471" s="1" t="str">
        <f ca="1">IFERROR(__xludf.DUMMYFUNCTION("""COMPUTED_VALUE"""),"Ишмурзин Ильшат Галимьянович")</f>
        <v>Ишмурзин Ильшат Галимьянович</v>
      </c>
      <c r="B471" s="1"/>
      <c r="C471" s="1" t="str">
        <f ca="1">IFERROR(__xludf.DUMMYFUNCTION("""COMPUTED_VALUE"""),"Синергия")</f>
        <v>Синергия</v>
      </c>
      <c r="D471" s="1" t="str">
        <f ca="1">IFERROR(__xludf.DUMMYFUNCTION("""COMPUTED_VALUE"""),"7410 970876")</f>
        <v>7410 970876</v>
      </c>
    </row>
    <row r="472" spans="1:4" ht="13" x14ac:dyDescent="0.3">
      <c r="A472" s="1" t="str">
        <f ca="1">IFERROR(__xludf.DUMMYFUNCTION("""COMPUTED_VALUE"""),"Арзакулов Ержан Айдарович  ")</f>
        <v xml:space="preserve">Арзакулов Ержан Айдарович  </v>
      </c>
      <c r="B472" s="1">
        <f ca="1">IFERROR(__xludf.DUMMYFUNCTION("""COMPUTED_VALUE"""),89874262688)</f>
        <v>89874262688</v>
      </c>
      <c r="C472" s="1" t="str">
        <f ca="1">IFERROR(__xludf.DUMMYFUNCTION("""COMPUTED_VALUE"""),"Синергия")</f>
        <v>Синергия</v>
      </c>
      <c r="D472" s="1"/>
    </row>
    <row r="473" spans="1:4" ht="13" x14ac:dyDescent="0.3">
      <c r="A473" s="1" t="str">
        <f ca="1">IFERROR(__xludf.DUMMYFUNCTION("""COMPUTED_VALUE"""),"Свищев Михаил Владимирович")</f>
        <v>Свищев Михаил Владимирович</v>
      </c>
      <c r="B473" s="1">
        <f ca="1">IFERROR(__xludf.DUMMYFUNCTION("""COMPUTED_VALUE"""),89000288881)</f>
        <v>89000288881</v>
      </c>
      <c r="C473" s="1" t="str">
        <f ca="1">IFERROR(__xludf.DUMMYFUNCTION("""COMPUTED_VALUE"""),"Транспорт Солюшис")</f>
        <v>Транспорт Солюшис</v>
      </c>
      <c r="D473" s="1" t="str">
        <f ca="1">IFERROR(__xludf.DUMMYFUNCTION("""COMPUTED_VALUE"""),"99 11 297491")</f>
        <v>99 11 297491</v>
      </c>
    </row>
    <row r="474" spans="1:4" ht="13" x14ac:dyDescent="0.3">
      <c r="A474" s="1" t="str">
        <f ca="1">IFERROR(__xludf.DUMMYFUNCTION("""COMPUTED_VALUE"""),"Котов Иван Эдуардович")</f>
        <v>Котов Иван Эдуардович</v>
      </c>
      <c r="B474" s="1"/>
      <c r="C474" s="1" t="str">
        <f ca="1">IFERROR(__xludf.DUMMYFUNCTION("""COMPUTED_VALUE"""),"УралМетЛогистик")</f>
        <v>УралМетЛогистик</v>
      </c>
      <c r="D474" s="1" t="str">
        <f ca="1">IFERROR(__xludf.DUMMYFUNCTION("""COMPUTED_VALUE"""),"74 32 419897")</f>
        <v>74 32 419897</v>
      </c>
    </row>
    <row r="475" spans="1:4" ht="13" x14ac:dyDescent="0.3">
      <c r="A475" s="1" t="str">
        <f ca="1">IFERROR(__xludf.DUMMYFUNCTION("""COMPUTED_VALUE"""),"Ефремов Сергей Михайлович")</f>
        <v>Ефремов Сергей Михайлович</v>
      </c>
      <c r="B475" s="1"/>
      <c r="C475" s="1" t="str">
        <f ca="1">IFERROR(__xludf.DUMMYFUNCTION("""COMPUTED_VALUE"""),"УралМетЛогистик")</f>
        <v>УралМетЛогистик</v>
      </c>
      <c r="D475" s="1" t="str">
        <f ca="1">IFERROR(__xludf.DUMMYFUNCTION("""COMPUTED_VALUE"""),"74 35 446146")</f>
        <v>74 35 446146</v>
      </c>
    </row>
    <row r="476" spans="1:4" ht="13" x14ac:dyDescent="0.3">
      <c r="A476" s="1" t="str">
        <f ca="1">IFERROR(__xludf.DUMMYFUNCTION("""COMPUTED_VALUE"""),"Мариничев Петр Николаевич")</f>
        <v>Мариничев Петр Николаевич</v>
      </c>
      <c r="B476" s="1"/>
      <c r="C476" s="1" t="str">
        <f ca="1">IFERROR(__xludf.DUMMYFUNCTION("""COMPUTED_VALUE"""),"Синергия")</f>
        <v>Синергия</v>
      </c>
      <c r="D476" s="1" t="str">
        <f ca="1">IFERROR(__xludf.DUMMYFUNCTION("""COMPUTED_VALUE"""),"74 25 381451")</f>
        <v>74 25 381451</v>
      </c>
    </row>
    <row r="477" spans="1:4" ht="13" x14ac:dyDescent="0.3">
      <c r="A477" s="1" t="str">
        <f ca="1">IFERROR(__xludf.DUMMYFUNCTION("""COMPUTED_VALUE"""),"Мухамадеев Замир Салихович")</f>
        <v>Мухамадеев Замир Салихович</v>
      </c>
      <c r="B477" s="1"/>
      <c r="C477" s="1" t="str">
        <f ca="1">IFERROR(__xludf.DUMMYFUNCTION("""COMPUTED_VALUE"""),"Синергия")</f>
        <v>Синергия</v>
      </c>
      <c r="D477" s="1" t="str">
        <f ca="1">IFERROR(__xludf.DUMMYFUNCTION("""COMPUTED_VALUE"""),"99 15 394063")</f>
        <v>99 15 394063</v>
      </c>
    </row>
    <row r="478" spans="1:4" ht="13" x14ac:dyDescent="0.3">
      <c r="A478" s="1" t="str">
        <f ca="1">IFERROR(__xludf.DUMMYFUNCTION("""COMPUTED_VALUE"""),"Кунаккулов Наиль Насибуллович")</f>
        <v>Кунаккулов Наиль Насибуллович</v>
      </c>
      <c r="B478" s="1"/>
      <c r="C478" s="1" t="str">
        <f ca="1">IFERROR(__xludf.DUMMYFUNCTION("""COMPUTED_VALUE"""),"Синергия")</f>
        <v>Синергия</v>
      </c>
      <c r="D478" s="1" t="str">
        <f ca="1">IFERROR(__xludf.DUMMYFUNCTION("""COMPUTED_VALUE"""),"02 27 850906 ")</f>
        <v xml:space="preserve">02 27 850906 </v>
      </c>
    </row>
    <row r="479" spans="1:4" ht="13" x14ac:dyDescent="0.3">
      <c r="A479" s="1" t="str">
        <f ca="1">IFERROR(__xludf.DUMMYFUNCTION("""COMPUTED_VALUE"""),"Ершов Дмитрий Андреевич")</f>
        <v>Ершов Дмитрий Андреевич</v>
      </c>
      <c r="B479" s="1"/>
      <c r="C479" s="1" t="str">
        <f ca="1">IFERROR(__xludf.DUMMYFUNCTION("""COMPUTED_VALUE"""),"Синергия")</f>
        <v>Синергия</v>
      </c>
      <c r="D479" s="1" t="str">
        <f ca="1">IFERROR(__xludf.DUMMYFUNCTION("""COMPUTED_VALUE"""),"99 28 949441")</f>
        <v>99 28 949441</v>
      </c>
    </row>
    <row r="480" spans="1:4" ht="13" x14ac:dyDescent="0.3">
      <c r="A480" s="1" t="str">
        <f ca="1">IFERROR(__xludf.DUMMYFUNCTION("""COMPUTED_VALUE"""),"Михеев Алексей Витальевич")</f>
        <v>Михеев Алексей Витальевич</v>
      </c>
      <c r="B480" s="1"/>
      <c r="C480" s="1" t="str">
        <f ca="1">IFERROR(__xludf.DUMMYFUNCTION("""COMPUTED_VALUE"""),"Сара Авто")</f>
        <v>Сара Авто</v>
      </c>
      <c r="D480" s="1"/>
    </row>
    <row r="481" spans="1:4" ht="13" x14ac:dyDescent="0.3">
      <c r="A481" s="1" t="str">
        <f ca="1">IFERROR(__xludf.DUMMYFUNCTION("""COMPUTED_VALUE"""),"Хамитов Рустам Расымович")</f>
        <v>Хамитов Рустам Расымович</v>
      </c>
      <c r="B481" s="1"/>
      <c r="C481" s="1" t="str">
        <f ca="1">IFERROR(__xludf.DUMMYFUNCTION("""COMPUTED_VALUE"""),"Сара Авто")</f>
        <v>Сара Авто</v>
      </c>
      <c r="D481" s="1"/>
    </row>
    <row r="482" spans="1:4" ht="13" x14ac:dyDescent="0.3">
      <c r="A482" s="1" t="str">
        <f ca="1">IFERROR(__xludf.DUMMYFUNCTION("""COMPUTED_VALUE"""),"Петривский Юрий Антонович")</f>
        <v>Петривский Юрий Антонович</v>
      </c>
      <c r="B482" s="1">
        <f ca="1">IFERROR(__xludf.DUMMYFUNCTION("""COMPUTED_VALUE"""),89226288412)</f>
        <v>89226288412</v>
      </c>
      <c r="C482" s="1" t="str">
        <f ca="1">IFERROR(__xludf.DUMMYFUNCTION("""COMPUTED_VALUE"""),"Сара Авто")</f>
        <v>Сара Авто</v>
      </c>
      <c r="D482" s="1"/>
    </row>
    <row r="483" spans="1:4" ht="13" x14ac:dyDescent="0.3">
      <c r="A483" s="1" t="str">
        <f ca="1">IFERROR(__xludf.DUMMYFUNCTION("""COMPUTED_VALUE"""),"Тингаев Алексей Николаевич")</f>
        <v>Тингаев Алексей Николаевич</v>
      </c>
      <c r="B483" s="1">
        <f ca="1">IFERROR(__xludf.DUMMYFUNCTION("""COMPUTED_VALUE"""),89226288412)</f>
        <v>89226288412</v>
      </c>
      <c r="C483" s="1" t="str">
        <f ca="1">IFERROR(__xludf.DUMMYFUNCTION("""COMPUTED_VALUE"""),"Сара Авто")</f>
        <v>Сара Авто</v>
      </c>
      <c r="D483" s="1"/>
    </row>
    <row r="484" spans="1:4" ht="13" x14ac:dyDescent="0.3">
      <c r="A484" s="1" t="str">
        <f ca="1">IFERROR(__xludf.DUMMYFUNCTION("""COMPUTED_VALUE"""),"Семенов Александр Николаевич")</f>
        <v>Семенов Александр Николаевич</v>
      </c>
      <c r="B484" s="1">
        <f ca="1">IFERROR(__xludf.DUMMYFUNCTION("""COMPUTED_VALUE"""),89619236736)</f>
        <v>89619236736</v>
      </c>
      <c r="C484" s="1" t="str">
        <f ca="1">IFERROR(__xludf.DUMMYFUNCTION("""COMPUTED_VALUE"""),"Сара Авто")</f>
        <v>Сара Авто</v>
      </c>
      <c r="D484" s="1"/>
    </row>
    <row r="485" spans="1:4" ht="13" x14ac:dyDescent="0.3">
      <c r="A485" s="1" t="str">
        <f ca="1">IFERROR(__xludf.DUMMYFUNCTION("""COMPUTED_VALUE"""),"Козлов Никита Валерьевич")</f>
        <v>Козлов Никита Валерьевич</v>
      </c>
      <c r="B485" s="1"/>
      <c r="C485" s="1" t="str">
        <f ca="1">IFERROR(__xludf.DUMMYFUNCTION("""COMPUTED_VALUE"""),"Синергия")</f>
        <v>Синергия</v>
      </c>
      <c r="D485" s="1" t="str">
        <f ca="1">IFERROR(__xludf.DUMMYFUNCTION("""COMPUTED_VALUE"""),"99 28 935051")</f>
        <v>99 28 935051</v>
      </c>
    </row>
    <row r="486" spans="1:4" ht="13" x14ac:dyDescent="0.3">
      <c r="A486" s="1" t="str">
        <f ca="1">IFERROR(__xludf.DUMMYFUNCTION("""COMPUTED_VALUE"""),"Соколов Максим Сергеевич")</f>
        <v>Соколов Максим Сергеевич</v>
      </c>
      <c r="B486" s="1">
        <f ca="1">IFERROR(__xludf.DUMMYFUNCTION("""COMPUTED_VALUE"""),89194075015)</f>
        <v>89194075015</v>
      </c>
      <c r="C486" s="1" t="str">
        <f ca="1">IFERROR(__xludf.DUMMYFUNCTION("""COMPUTED_VALUE"""),"Синергия")</f>
        <v>Синергия</v>
      </c>
      <c r="D486" s="1" t="str">
        <f ca="1">IFERROR(__xludf.DUMMYFUNCTION("""COMPUTED_VALUE"""),"74 22 004823")</f>
        <v>74 22 004823</v>
      </c>
    </row>
    <row r="487" spans="1:4" ht="13" x14ac:dyDescent="0.3">
      <c r="A487" s="1" t="str">
        <f ca="1">IFERROR(__xludf.DUMMYFUNCTION("""COMPUTED_VALUE"""),"Айкильбаев Жанабай Асильевич")</f>
        <v>Айкильбаев Жанабай Асильевич</v>
      </c>
      <c r="B487" s="1">
        <f ca="1">IFERROR(__xludf.DUMMYFUNCTION("""COMPUTED_VALUE"""),89128046379)</f>
        <v>89128046379</v>
      </c>
      <c r="C487" s="1" t="str">
        <f ca="1">IFERROR(__xludf.DUMMYFUNCTION("""COMPUTED_VALUE"""),"Синергия")</f>
        <v>Синергия</v>
      </c>
      <c r="D487" s="1" t="str">
        <f ca="1">IFERROR(__xludf.DUMMYFUNCTION("""COMPUTED_VALUE"""),"99 25 858207")</f>
        <v>99 25 858207</v>
      </c>
    </row>
    <row r="488" spans="1:4" ht="13" x14ac:dyDescent="0.3">
      <c r="A488" s="1" t="str">
        <f ca="1">IFERROR(__xludf.DUMMYFUNCTION("""COMPUTED_VALUE"""),"Вовк Илья Владимирович")</f>
        <v>Вовк Илья Владимирович</v>
      </c>
      <c r="B488" s="1">
        <f ca="1">IFERROR(__xludf.DUMMYFUNCTION("""COMPUTED_VALUE"""),89323025577)</f>
        <v>89323025577</v>
      </c>
      <c r="C488" s="1" t="str">
        <f ca="1">IFERROR(__xludf.DUMMYFUNCTION("""COMPUTED_VALUE"""),"Синергия")</f>
        <v>Синергия</v>
      </c>
      <c r="D488" s="1" t="str">
        <f ca="1">IFERROR(__xludf.DUMMYFUNCTION("""COMPUTED_VALUE"""),"99 25 519380")</f>
        <v>99 25 519380</v>
      </c>
    </row>
    <row r="489" spans="1:4" ht="13" x14ac:dyDescent="0.3">
      <c r="A489" s="1" t="str">
        <f ca="1">IFERROR(__xludf.DUMMYFUNCTION("""COMPUTED_VALUE"""),"Иткулов Фуат Булатович")</f>
        <v>Иткулов Фуат Булатович</v>
      </c>
      <c r="B489" s="1">
        <f ca="1">IFERROR(__xludf.DUMMYFUNCTION("""COMPUTED_VALUE"""),89292364215)</f>
        <v>89292364215</v>
      </c>
      <c r="C489" s="1" t="str">
        <f ca="1">IFERROR(__xludf.DUMMYFUNCTION("""COMPUTED_VALUE"""),"Синергия")</f>
        <v>Синергия</v>
      </c>
      <c r="D489" s="1" t="str">
        <f ca="1">IFERROR(__xludf.DUMMYFUNCTION("""COMPUTED_VALUE"""),"99 24 054897")</f>
        <v>99 24 054897</v>
      </c>
    </row>
    <row r="490" spans="1:4" ht="13" x14ac:dyDescent="0.3">
      <c r="A490" s="1" t="str">
        <f ca="1">IFERROR(__xludf.DUMMYFUNCTION("""COMPUTED_VALUE"""),"Карабандин Айытбай Ражапович")</f>
        <v>Карабандин Айытбай Ражапович</v>
      </c>
      <c r="B490" s="1">
        <f ca="1">IFERROR(__xludf.DUMMYFUNCTION("""COMPUTED_VALUE"""),89638937196)</f>
        <v>89638937196</v>
      </c>
      <c r="C490" s="1" t="str">
        <f ca="1">IFERROR(__xludf.DUMMYFUNCTION("""COMPUTED_VALUE"""),"Синергия")</f>
        <v>Синергия</v>
      </c>
      <c r="D490" s="1" t="str">
        <f ca="1">IFERROR(__xludf.DUMMYFUNCTION("""COMPUTED_VALUE"""),"99 17 743907 ")</f>
        <v xml:space="preserve">99 17 743907 </v>
      </c>
    </row>
    <row r="491" spans="1:4" ht="13" x14ac:dyDescent="0.3">
      <c r="A491" s="1" t="str">
        <f ca="1">IFERROR(__xludf.DUMMYFUNCTION("""COMPUTED_VALUE"""),"Нагимов Рияз Ахиярович")</f>
        <v>Нагимов Рияз Ахиярович</v>
      </c>
      <c r="B491" s="1">
        <f ca="1">IFERROR(__xludf.DUMMYFUNCTION("""COMPUTED_VALUE"""),89093515161)</f>
        <v>89093515161</v>
      </c>
      <c r="C491" s="1" t="str">
        <f ca="1">IFERROR(__xludf.DUMMYFUNCTION("""COMPUTED_VALUE"""),"Синергия")</f>
        <v>Синергия</v>
      </c>
      <c r="D491" s="1" t="str">
        <f ca="1">IFERROR(__xludf.DUMMYFUNCTION("""COMPUTED_VALUE"""),"99 09 363966 ")</f>
        <v xml:space="preserve">99 09 363966 </v>
      </c>
    </row>
    <row r="492" spans="1:4" ht="13" x14ac:dyDescent="0.3">
      <c r="A492" s="1" t="str">
        <f ca="1">IFERROR(__xludf.DUMMYFUNCTION("""COMPUTED_VALUE"""),"Попов Павел Сергеевич")</f>
        <v>Попов Павел Сергеевич</v>
      </c>
      <c r="B492" s="1">
        <f ca="1">IFERROR(__xludf.DUMMYFUNCTION("""COMPUTED_VALUE"""),89097493424)</f>
        <v>89097493424</v>
      </c>
      <c r="C492" s="1" t="str">
        <f ca="1">IFERROR(__xludf.DUMMYFUNCTION("""COMPUTED_VALUE"""),"Синергия")</f>
        <v>Синергия</v>
      </c>
      <c r="D492" s="1" t="str">
        <f ca="1">IFERROR(__xludf.DUMMYFUNCTION("""COMPUTED_VALUE"""),"99 00 328798")</f>
        <v>99 00 328798</v>
      </c>
    </row>
    <row r="493" spans="1:4" ht="13" x14ac:dyDescent="0.3">
      <c r="A493" s="1" t="str">
        <f ca="1">IFERROR(__xludf.DUMMYFUNCTION("""COMPUTED_VALUE"""),"Асадуллин Даян Мазалиевич")</f>
        <v>Асадуллин Даян Мазалиевич</v>
      </c>
      <c r="B493" s="1">
        <f ca="1">IFERROR(__xludf.DUMMYFUNCTION("""COMPUTED_VALUE"""),89613581165)</f>
        <v>89613581165</v>
      </c>
      <c r="C493" s="1" t="str">
        <f ca="1">IFERROR(__xludf.DUMMYFUNCTION("""COMPUTED_VALUE"""),"Синергия")</f>
        <v>Синергия</v>
      </c>
      <c r="D493" s="1" t="str">
        <f ca="1">IFERROR(__xludf.DUMMYFUNCTION("""COMPUTED_VALUE"""),"99 12 537701")</f>
        <v>99 12 537701</v>
      </c>
    </row>
    <row r="494" spans="1:4" ht="13" x14ac:dyDescent="0.3">
      <c r="A494" s="1" t="str">
        <f ca="1">IFERROR(__xludf.DUMMYFUNCTION("""COMPUTED_VALUE"""),"Бажаков Аян Исенгалеевич")</f>
        <v>Бажаков Аян Исенгалеевич</v>
      </c>
      <c r="B494" s="1">
        <f ca="1">IFERROR(__xludf.DUMMYFUNCTION("""COMPUTED_VALUE"""),89514863511)</f>
        <v>89514863511</v>
      </c>
      <c r="C494" s="1" t="str">
        <f ca="1">IFERROR(__xludf.DUMMYFUNCTION("""COMPUTED_VALUE"""),"Синергия")</f>
        <v>Синергия</v>
      </c>
      <c r="D494" s="1" t="str">
        <f ca="1">IFERROR(__xludf.DUMMYFUNCTION("""COMPUTED_VALUE"""),"99 17 624887")</f>
        <v>99 17 624887</v>
      </c>
    </row>
    <row r="495" spans="1:4" ht="13" x14ac:dyDescent="0.3">
      <c r="A495" s="1" t="str">
        <f ca="1">IFERROR(__xludf.DUMMYFUNCTION("""COMPUTED_VALUE"""),"Варганов Алексей владимирович")</f>
        <v>Варганов Алексей владимирович</v>
      </c>
      <c r="B495" s="1">
        <f ca="1">IFERROR(__xludf.DUMMYFUNCTION("""COMPUTED_VALUE"""),89823006858)</f>
        <v>89823006858</v>
      </c>
      <c r="C495" s="1" t="str">
        <f ca="1">IFERROR(__xludf.DUMMYFUNCTION("""COMPUTED_VALUE"""),"Синергия")</f>
        <v>Синергия</v>
      </c>
      <c r="D495" s="1" t="str">
        <f ca="1">IFERROR(__xludf.DUMMYFUNCTION("""COMPUTED_VALUE"""),"99 08 501138")</f>
        <v>99 08 501138</v>
      </c>
    </row>
    <row r="496" spans="1:4" ht="13" x14ac:dyDescent="0.3">
      <c r="A496" s="1" t="str">
        <f ca="1">IFERROR(__xludf.DUMMYFUNCTION("""COMPUTED_VALUE"""),"Ващенко Дмитрий Николаевич")</f>
        <v>Ващенко Дмитрий Николаевич</v>
      </c>
      <c r="B496" s="1">
        <f ca="1">IFERROR(__xludf.DUMMYFUNCTION("""COMPUTED_VALUE"""),89823127617)</f>
        <v>89823127617</v>
      </c>
      <c r="C496" s="1" t="str">
        <f ca="1">IFERROR(__xludf.DUMMYFUNCTION("""COMPUTED_VALUE"""),"Синергия")</f>
        <v>Синергия</v>
      </c>
      <c r="D496" s="1" t="str">
        <f ca="1">IFERROR(__xludf.DUMMYFUNCTION("""COMPUTED_VALUE"""),"74 16 699248")</f>
        <v>74 16 699248</v>
      </c>
    </row>
    <row r="497" spans="1:4" ht="13" x14ac:dyDescent="0.3">
      <c r="A497" s="1" t="str">
        <f ca="1">IFERROR(__xludf.DUMMYFUNCTION("""COMPUTED_VALUE"""),"Исмаилов Канат Серикович")</f>
        <v>Исмаилов Канат Серикович</v>
      </c>
      <c r="B497" s="1">
        <f ca="1">IFERROR(__xludf.DUMMYFUNCTION("""COMPUTED_VALUE"""),89966905465)</f>
        <v>89966905465</v>
      </c>
      <c r="C497" s="1" t="str">
        <f ca="1">IFERROR(__xludf.DUMMYFUNCTION("""COMPUTED_VALUE"""),"Синергия")</f>
        <v>Синергия</v>
      </c>
      <c r="D497" s="1" t="str">
        <f ca="1">IFERROR(__xludf.DUMMYFUNCTION("""COMPUTED_VALUE"""),"02 29 217935")</f>
        <v>02 29 217935</v>
      </c>
    </row>
    <row r="498" spans="1:4" ht="13" x14ac:dyDescent="0.3">
      <c r="A498" s="1" t="str">
        <f ca="1">IFERROR(__xludf.DUMMYFUNCTION("""COMPUTED_VALUE"""),"Картушов Валерий Викторович")</f>
        <v>Картушов Валерий Викторович</v>
      </c>
      <c r="B498" s="1" t="str">
        <f ca="1">IFERROR(__xludf.DUMMYFUNCTION("""COMPUTED_VALUE"""),"89124057986 89517874847")</f>
        <v>89124057986 89517874847</v>
      </c>
      <c r="C498" s="1" t="str">
        <f ca="1">IFERROR(__xludf.DUMMYFUNCTION("""COMPUTED_VALUE"""),"Синергия")</f>
        <v>Синергия</v>
      </c>
      <c r="D498" s="1" t="str">
        <f ca="1">IFERROR(__xludf.DUMMYFUNCTION("""COMPUTED_VALUE"""),"99 20 589246")</f>
        <v>99 20 589246</v>
      </c>
    </row>
    <row r="499" spans="1:4" ht="13" x14ac:dyDescent="0.3">
      <c r="A499" s="1" t="str">
        <f ca="1">IFERROR(__xludf.DUMMYFUNCTION("""COMPUTED_VALUE"""),"Кузнецов Кирилл Васильевич")</f>
        <v>Кузнецов Кирилл Васильевич</v>
      </c>
      <c r="B499" s="1">
        <f ca="1">IFERROR(__xludf.DUMMYFUNCTION("""COMPUTED_VALUE"""),89000826968)</f>
        <v>89000826968</v>
      </c>
      <c r="C499" s="1" t="str">
        <f ca="1">IFERROR(__xludf.DUMMYFUNCTION("""COMPUTED_VALUE"""),"Синергия")</f>
        <v>Синергия</v>
      </c>
      <c r="D499" s="1" t="str">
        <f ca="1">IFERROR(__xludf.DUMMYFUNCTION("""COMPUTED_VALUE"""),"99 17 624564")</f>
        <v>99 17 624564</v>
      </c>
    </row>
    <row r="500" spans="1:4" ht="13" x14ac:dyDescent="0.3">
      <c r="A500" s="1" t="str">
        <f ca="1">IFERROR(__xludf.DUMMYFUNCTION("""COMPUTED_VALUE"""),"Муравьев Сергей Александрович")</f>
        <v>Муравьев Сергей Александрович</v>
      </c>
      <c r="B500" s="1">
        <f ca="1">IFERROR(__xludf.DUMMYFUNCTION("""COMPUTED_VALUE"""),89128077063)</f>
        <v>89128077063</v>
      </c>
      <c r="C500" s="1" t="str">
        <f ca="1">IFERROR(__xludf.DUMMYFUNCTION("""COMPUTED_VALUE"""),"Синергия")</f>
        <v>Синергия</v>
      </c>
      <c r="D500" s="1" t="str">
        <f ca="1">IFERROR(__xludf.DUMMYFUNCTION("""COMPUTED_VALUE"""),"74 29 112816")</f>
        <v>74 29 112816</v>
      </c>
    </row>
    <row r="501" spans="1:4" ht="13" x14ac:dyDescent="0.3">
      <c r="A501" s="1" t="str">
        <f ca="1">IFERROR(__xludf.DUMMYFUNCTION("""COMPUTED_VALUE"""),"Муратшин Гайса Гаязович")</f>
        <v>Муратшин Гайса Гаязович</v>
      </c>
      <c r="B501" s="1">
        <f ca="1">IFERROR(__xludf.DUMMYFUNCTION("""COMPUTED_VALUE"""),89525217724)</f>
        <v>89525217724</v>
      </c>
      <c r="C501" s="1" t="str">
        <f ca="1">IFERROR(__xludf.DUMMYFUNCTION("""COMPUTED_VALUE"""),"Синергия")</f>
        <v>Синергия</v>
      </c>
      <c r="D501" s="1" t="str">
        <f ca="1">IFERROR(__xludf.DUMMYFUNCTION("""COMPUTED_VALUE"""),"99 23 800845")</f>
        <v>99 23 800845</v>
      </c>
    </row>
    <row r="502" spans="1:4" ht="13" x14ac:dyDescent="0.3">
      <c r="A502" s="1" t="str">
        <f ca="1">IFERROR(__xludf.DUMMYFUNCTION("""COMPUTED_VALUE"""),"Миняйлов Валерий Николаевич")</f>
        <v>Миняйлов Валерий Николаевич</v>
      </c>
      <c r="B502" s="1">
        <f ca="1">IFERROR(__xludf.DUMMYFUNCTION("""COMPUTED_VALUE"""),89191285390)</f>
        <v>89191285390</v>
      </c>
      <c r="C502" s="1" t="str">
        <f ca="1">IFERROR(__xludf.DUMMYFUNCTION("""COMPUTED_VALUE"""),"Синергия")</f>
        <v>Синергия</v>
      </c>
      <c r="D502" s="1" t="str">
        <f ca="1">IFERROR(__xludf.DUMMYFUNCTION("""COMPUTED_VALUE"""),"99 09 363469")</f>
        <v>99 09 363469</v>
      </c>
    </row>
    <row r="503" spans="1:4" ht="13" x14ac:dyDescent="0.3">
      <c r="A503" s="1" t="str">
        <f ca="1">IFERROR(__xludf.DUMMYFUNCTION("""COMPUTED_VALUE"""),"Нагуманов Адельхан Казбекович")</f>
        <v>Нагуманов Адельхан Казбекович</v>
      </c>
      <c r="B503" s="1">
        <f ca="1">IFERROR(__xludf.DUMMYFUNCTION("""COMPUTED_VALUE"""),89127772674)</f>
        <v>89127772674</v>
      </c>
      <c r="C503" s="1" t="str">
        <f ca="1">IFERROR(__xludf.DUMMYFUNCTION("""COMPUTED_VALUE"""),"Синергия")</f>
        <v>Синергия</v>
      </c>
      <c r="D503" s="1" t="str">
        <f ca="1">IFERROR(__xludf.DUMMYFUNCTION("""COMPUTED_VALUE"""),"74 17 269105")</f>
        <v>74 17 269105</v>
      </c>
    </row>
    <row r="504" spans="1:4" ht="13" x14ac:dyDescent="0.3">
      <c r="A504" s="1" t="str">
        <f ca="1">IFERROR(__xludf.DUMMYFUNCTION("""COMPUTED_VALUE"""),"Окунев Антон Олегович")</f>
        <v>Окунев Антон Олегович</v>
      </c>
      <c r="B504" s="1">
        <f ca="1">IFERROR(__xludf.DUMMYFUNCTION("""COMPUTED_VALUE"""),89525299980)</f>
        <v>89525299980</v>
      </c>
      <c r="C504" s="1" t="str">
        <f ca="1">IFERROR(__xludf.DUMMYFUNCTION("""COMPUTED_VALUE"""),"Синергия")</f>
        <v>Синергия</v>
      </c>
      <c r="D504" s="1" t="str">
        <f ca="1">IFERROR(__xludf.DUMMYFUNCTION("""COMPUTED_VALUE"""),"99 22 095177")</f>
        <v>99 22 095177</v>
      </c>
    </row>
    <row r="505" spans="1:4" ht="13" x14ac:dyDescent="0.3">
      <c r="A505" s="1" t="str">
        <f ca="1">IFERROR(__xludf.DUMMYFUNCTION("""COMPUTED_VALUE"""),"Панин Максим Юрьевич")</f>
        <v>Панин Максим Юрьевич</v>
      </c>
      <c r="B505" s="1">
        <f ca="1">IFERROR(__xludf.DUMMYFUNCTION("""COMPUTED_VALUE"""),89030911531)</f>
        <v>89030911531</v>
      </c>
      <c r="C505" s="1" t="str">
        <f ca="1">IFERROR(__xludf.DUMMYFUNCTION("""COMPUTED_VALUE"""),"Синергия")</f>
        <v>Синергия</v>
      </c>
      <c r="D505" s="1" t="str">
        <f ca="1">IFERROR(__xludf.DUMMYFUNCTION("""COMPUTED_VALUE"""),"99 11 295588")</f>
        <v>99 11 295588</v>
      </c>
    </row>
    <row r="506" spans="1:4" ht="13" x14ac:dyDescent="0.3">
      <c r="A506" s="1" t="str">
        <f ca="1">IFERROR(__xludf.DUMMYFUNCTION("""COMPUTED_VALUE"""),"Платонов Николай Владимирович")</f>
        <v>Платонов Николай Владимирович</v>
      </c>
      <c r="B506" s="1">
        <f ca="1">IFERROR(__xludf.DUMMYFUNCTION("""COMPUTED_VALUE"""),89821136983)</f>
        <v>89821136983</v>
      </c>
      <c r="C506" s="1" t="str">
        <f ca="1">IFERROR(__xludf.DUMMYFUNCTION("""COMPUTED_VALUE"""),"Синергия")</f>
        <v>Синергия</v>
      </c>
      <c r="D506" s="1" t="str">
        <f ca="1">IFERROR(__xludf.DUMMYFUNCTION("""COMPUTED_VALUE"""),"99 14 383680")</f>
        <v>99 14 383680</v>
      </c>
    </row>
    <row r="507" spans="1:4" ht="13" x14ac:dyDescent="0.3">
      <c r="A507" s="1" t="str">
        <f ca="1">IFERROR(__xludf.DUMMYFUNCTION("""COMPUTED_VALUE"""),"Сафиулин Салават Анурович")</f>
        <v>Сафиулин Салават Анурович</v>
      </c>
      <c r="B507" s="1">
        <f ca="1">IFERROR(__xludf.DUMMYFUNCTION("""COMPUTED_VALUE"""),89631312601)</f>
        <v>89631312601</v>
      </c>
      <c r="C507" s="1" t="str">
        <f ca="1">IFERROR(__xludf.DUMMYFUNCTION("""COMPUTED_VALUE"""),"Синергия")</f>
        <v>Синергия</v>
      </c>
      <c r="D507" s="1" t="str">
        <f ca="1">IFERROR(__xludf.DUMMYFUNCTION("""COMPUTED_VALUE"""),"99 02 959718")</f>
        <v>99 02 959718</v>
      </c>
    </row>
    <row r="508" spans="1:4" ht="13" x14ac:dyDescent="0.3">
      <c r="A508" s="1" t="str">
        <f ca="1">IFERROR(__xludf.DUMMYFUNCTION("""COMPUTED_VALUE"""),"Ткачук Алексей Вячеславович")</f>
        <v>Ткачук Алексей Вячеславович</v>
      </c>
      <c r="B508" s="1">
        <f ca="1">IFERROR(__xludf.DUMMYFUNCTION("""COMPUTED_VALUE"""),89193040176)</f>
        <v>89193040176</v>
      </c>
      <c r="C508" s="1" t="str">
        <f ca="1">IFERROR(__xludf.DUMMYFUNCTION("""COMPUTED_VALUE"""),"Синергия")</f>
        <v>Синергия</v>
      </c>
      <c r="D508" s="1" t="str">
        <f ca="1">IFERROR(__xludf.DUMMYFUNCTION("""COMPUTED_VALUE"""),"99 22 076528")</f>
        <v>99 22 076528</v>
      </c>
    </row>
    <row r="509" spans="1:4" ht="13" x14ac:dyDescent="0.3">
      <c r="A509" s="1" t="str">
        <f ca="1">IFERROR(__xludf.DUMMYFUNCTION("""COMPUTED_VALUE"""),"Уланов Алексей Николаевич")</f>
        <v>Уланов Алексей Николаевич</v>
      </c>
      <c r="B509" s="1">
        <f ca="1">IFERROR(__xludf.DUMMYFUNCTION("""COMPUTED_VALUE"""),89821039374)</f>
        <v>89821039374</v>
      </c>
      <c r="C509" s="1" t="str">
        <f ca="1">IFERROR(__xludf.DUMMYFUNCTION("""COMPUTED_VALUE"""),"Синергия")</f>
        <v>Синергия</v>
      </c>
      <c r="D509" s="1" t="str">
        <f ca="1">IFERROR(__xludf.DUMMYFUNCTION("""COMPUTED_VALUE"""),"99 28 949938")</f>
        <v>99 28 949938</v>
      </c>
    </row>
    <row r="510" spans="1:4" ht="13" x14ac:dyDescent="0.3">
      <c r="A510" s="1" t="str">
        <f ca="1">IFERROR(__xludf.DUMMYFUNCTION("""COMPUTED_VALUE"""),"Хусаинов Батыр Хамитович")</f>
        <v>Хусаинов Батыр Хамитович</v>
      </c>
      <c r="B510" s="1">
        <f ca="1">IFERROR(__xludf.DUMMYFUNCTION("""COMPUTED_VALUE"""),89678677631)</f>
        <v>89678677631</v>
      </c>
      <c r="C510" s="1" t="str">
        <f ca="1">IFERROR(__xludf.DUMMYFUNCTION("""COMPUTED_VALUE"""),"Синергия")</f>
        <v>Синергия</v>
      </c>
      <c r="D510" s="1" t="str">
        <f ca="1">IFERROR(__xludf.DUMMYFUNCTION("""COMPUTED_VALUE"""),"99 22 074087")</f>
        <v>99 22 074087</v>
      </c>
    </row>
    <row r="511" spans="1:4" ht="13" x14ac:dyDescent="0.3">
      <c r="A511" s="1" t="str">
        <f ca="1">IFERROR(__xludf.DUMMYFUNCTION("""COMPUTED_VALUE"""),"Чуванькин Николай Викторович
")</f>
        <v xml:space="preserve">Чуванькин Николай Викторович
</v>
      </c>
      <c r="B511" s="1">
        <f ca="1">IFERROR(__xludf.DUMMYFUNCTION("""COMPUTED_VALUE"""),89511127800)</f>
        <v>89511127800</v>
      </c>
      <c r="C511" s="1" t="str">
        <f ca="1">IFERROR(__xludf.DUMMYFUNCTION("""COMPUTED_VALUE"""),"Синергия")</f>
        <v>Синергия</v>
      </c>
      <c r="D511" s="1" t="str">
        <f ca="1">IFERROR(__xludf.DUMMYFUNCTION("""COMPUTED_VALUE"""),"99 19 456859")</f>
        <v>99 19 456859</v>
      </c>
    </row>
    <row r="512" spans="1:4" ht="13" x14ac:dyDescent="0.3">
      <c r="A512" s="1" t="str">
        <f ca="1">IFERROR(__xludf.DUMMYFUNCTION("""COMPUTED_VALUE"""),"Шакиров Юлай Мухамедьянович
")</f>
        <v xml:space="preserve">Шакиров Юлай Мухамедьянович
</v>
      </c>
      <c r="B512" s="1">
        <f ca="1">IFERROR(__xludf.DUMMYFUNCTION("""COMPUTED_VALUE"""),89324734037)</f>
        <v>89324734037</v>
      </c>
      <c r="C512" s="1" t="str">
        <f ca="1">IFERROR(__xludf.DUMMYFUNCTION("""COMPUTED_VALUE"""),"Синергия")</f>
        <v>Синергия</v>
      </c>
      <c r="D512" s="1" t="str">
        <f ca="1">IFERROR(__xludf.DUMMYFUNCTION("""COMPUTED_VALUE"""),"99 17 743836")</f>
        <v>99 17 743836</v>
      </c>
    </row>
    <row r="513" spans="1:4" ht="13" x14ac:dyDescent="0.3">
      <c r="A513" s="1" t="str">
        <f ca="1">IFERROR(__xludf.DUMMYFUNCTION("""COMPUTED_VALUE"""),"Мосур Сергей Александрович")</f>
        <v>Мосур Сергей Александрович</v>
      </c>
      <c r="B513" s="1"/>
      <c r="C513" s="1" t="str">
        <f ca="1">IFERROR(__xludf.DUMMYFUNCTION("""COMPUTED_VALUE"""),"УралМетЛогистик")</f>
        <v>УралМетЛогистик</v>
      </c>
      <c r="D513" s="1" t="str">
        <f ca="1">IFERROR(__xludf.DUMMYFUNCTION("""COMPUTED_VALUE"""),"99 28 935954")</f>
        <v>99 28 935954</v>
      </c>
    </row>
    <row r="514" spans="1:4" ht="13" x14ac:dyDescent="0.3">
      <c r="A514" s="1" t="str">
        <f ca="1">IFERROR(__xludf.DUMMYFUNCTION("""COMPUTED_VALUE"""),"Лебедев Игорь Андреевич")</f>
        <v>Лебедев Игорь Андреевич</v>
      </c>
      <c r="B514" s="1"/>
      <c r="C514" s="1" t="str">
        <f ca="1">IFERROR(__xludf.DUMMYFUNCTION("""COMPUTED_VALUE"""),"УралМетЛогистик")</f>
        <v>УралМетЛогистик</v>
      </c>
      <c r="D514" s="1"/>
    </row>
    <row r="515" spans="1:4" ht="13" x14ac:dyDescent="0.3">
      <c r="A515" s="1" t="str">
        <f ca="1">IFERROR(__xludf.DUMMYFUNCTION("""COMPUTED_VALUE"""),"Мамашев Момунжан Сабиржанович")</f>
        <v>Мамашев Момунжан Сабиржанович</v>
      </c>
      <c r="B515" s="1">
        <f ca="1">IFERROR(__xludf.DUMMYFUNCTION("""COMPUTED_VALUE"""),89080733858)</f>
        <v>89080733858</v>
      </c>
      <c r="C515" s="1" t="str">
        <f ca="1">IFERROR(__xludf.DUMMYFUNCTION("""COMPUTED_VALUE"""),"Транспорт Солюшис")</f>
        <v>Транспорт Солюшис</v>
      </c>
      <c r="D515" s="1" t="str">
        <f ca="1">IFERROR(__xludf.DUMMYFUNCTION("""COMPUTED_VALUE"""),"99 28 937665")</f>
        <v>99 28 937665</v>
      </c>
    </row>
    <row r="516" spans="1:4" ht="13" x14ac:dyDescent="0.3">
      <c r="A516" s="1" t="str">
        <f ca="1">IFERROR(__xludf.DUMMYFUNCTION("""COMPUTED_VALUE"""),"Бурмак Сергей Александрович")</f>
        <v>Бурмак Сергей Александрович</v>
      </c>
      <c r="B516" s="1">
        <f ca="1">IFERROR(__xludf.DUMMYFUNCTION("""COMPUTED_VALUE"""),89193083693)</f>
        <v>89193083693</v>
      </c>
      <c r="C516" s="1" t="str">
        <f ca="1">IFERROR(__xludf.DUMMYFUNCTION("""COMPUTED_VALUE"""),"Транспорт Солюшис")</f>
        <v>Транспорт Солюшис</v>
      </c>
      <c r="D516" s="1" t="str">
        <f ca="1">IFERROR(__xludf.DUMMYFUNCTION("""COMPUTED_VALUE"""),"99 34 038563")</f>
        <v>99 34 038563</v>
      </c>
    </row>
    <row r="517" spans="1:4" ht="13" x14ac:dyDescent="0.3">
      <c r="A517" s="1" t="str">
        <f ca="1">IFERROR(__xludf.DUMMYFUNCTION("""COMPUTED_VALUE"""),"Николаев Виталий Николаевич")</f>
        <v>Николаев Виталий Николаевич</v>
      </c>
      <c r="B517" s="1">
        <f ca="1">IFERROR(__xludf.DUMMYFUNCTION("""COMPUTED_VALUE"""),89198670839)</f>
        <v>89198670839</v>
      </c>
      <c r="C517" s="1" t="str">
        <f ca="1">IFERROR(__xludf.DUMMYFUNCTION("""COMPUTED_VALUE"""),"Сара Авто")</f>
        <v>Сара Авто</v>
      </c>
      <c r="D517" s="1"/>
    </row>
    <row r="518" spans="1:4" ht="13" x14ac:dyDescent="0.3">
      <c r="A518" s="1" t="str">
        <f ca="1">IFERROR(__xludf.DUMMYFUNCTION("""COMPUTED_VALUE"""),"Атаман Кирилл Анатольевич")</f>
        <v>Атаман Кирилл Анатольевич</v>
      </c>
      <c r="B518" s="1"/>
      <c r="C518" s="1" t="str">
        <f ca="1">IFERROR(__xludf.DUMMYFUNCTION("""COMPUTED_VALUE"""),"Транспорт Солюшис")</f>
        <v>Транспорт Солюшис</v>
      </c>
      <c r="D518" s="1" t="str">
        <f ca="1">IFERROR(__xludf.DUMMYFUNCTION("""COMPUTED_VALUE"""),"9906 115445")</f>
        <v>9906 115445</v>
      </c>
    </row>
    <row r="519" spans="1:4" ht="13" x14ac:dyDescent="0.3">
      <c r="A519" s="1" t="str">
        <f ca="1">IFERROR(__xludf.DUMMYFUNCTION("""COMPUTED_VALUE"""),"Добижа Алексей Васильевич")</f>
        <v>Добижа Алексей Васильевич</v>
      </c>
      <c r="B519" s="1"/>
      <c r="C519" s="1" t="str">
        <f ca="1">IFERROR(__xludf.DUMMYFUNCTION("""COMPUTED_VALUE"""),"РВ-Тариф")</f>
        <v>РВ-Тариф</v>
      </c>
      <c r="D519" s="1" t="str">
        <f ca="1">IFERROR(__xludf.DUMMYFUNCTION("""COMPUTED_VALUE"""),"9932 335119")</f>
        <v>9932 335119</v>
      </c>
    </row>
    <row r="520" spans="1:4" ht="13" x14ac:dyDescent="0.3">
      <c r="A520" s="1" t="str">
        <f ca="1">IFERROR(__xludf.DUMMYFUNCTION("""COMPUTED_VALUE"""),"Зарафутдинов Радис Шамгунович")</f>
        <v>Зарафутдинов Радис Шамгунович</v>
      </c>
      <c r="B520" s="1"/>
      <c r="C520" s="1" t="str">
        <f ca="1">IFERROR(__xludf.DUMMYFUNCTION("""COMPUTED_VALUE"""),"РВ-Тариф")</f>
        <v>РВ-Тариф</v>
      </c>
      <c r="D520" s="1" t="str">
        <f ca="1">IFERROR(__xludf.DUMMYFUNCTION("""COMPUTED_VALUE"""),"0215 044720")</f>
        <v>0215 044720</v>
      </c>
    </row>
    <row r="521" spans="1:4" ht="13" x14ac:dyDescent="0.3">
      <c r="A521" s="1" t="str">
        <f ca="1">IFERROR(__xludf.DUMMYFUNCTION("""COMPUTED_VALUE"""),"Осипов Юрий Михайлович")</f>
        <v>Осипов Юрий Михайлович</v>
      </c>
      <c r="B521" s="1">
        <f ca="1">IFERROR(__xludf.DUMMYFUNCTION("""COMPUTED_VALUE"""),89677441966)</f>
        <v>89677441966</v>
      </c>
      <c r="C521" s="1" t="str">
        <f ca="1">IFERROR(__xludf.DUMMYFUNCTION("""COMPUTED_VALUE"""),"РВ-Тариф")</f>
        <v>РВ-Тариф</v>
      </c>
      <c r="D521" s="1" t="str">
        <f ca="1">IFERROR(__xludf.DUMMYFUNCTION("""COMPUTED_VALUE"""),"0218 024682")</f>
        <v>0218 024682</v>
      </c>
    </row>
    <row r="522" spans="1:4" ht="13" x14ac:dyDescent="0.3">
      <c r="A522" s="1" t="str">
        <f ca="1">IFERROR(__xludf.DUMMYFUNCTION("""COMPUTED_VALUE"""),"Платонов Николай Павлович")</f>
        <v>Платонов Николай Павлович</v>
      </c>
      <c r="B522" s="1"/>
      <c r="C522" s="1" t="str">
        <f ca="1">IFERROR(__xludf.DUMMYFUNCTION("""COMPUTED_VALUE"""),"РВ-Тариф")</f>
        <v>РВ-Тариф</v>
      </c>
      <c r="D522" s="1" t="str">
        <f ca="1">IFERROR(__xludf.DUMMYFUNCTION("""COMPUTED_VALUE"""),"0224 174823")</f>
        <v>0224 174823</v>
      </c>
    </row>
    <row r="523" spans="1:4" ht="13" x14ac:dyDescent="0.3">
      <c r="A523" s="1" t="str">
        <f ca="1">IFERROR(__xludf.DUMMYFUNCTION("""COMPUTED_VALUE"""),"Слащилин Иван Леонидович")</f>
        <v>Слащилин Иван Леонидович</v>
      </c>
      <c r="B523" s="1"/>
      <c r="C523" s="1" t="str">
        <f ca="1">IFERROR(__xludf.DUMMYFUNCTION("""COMPUTED_VALUE"""),"РВ-Тариф")</f>
        <v>РВ-Тариф</v>
      </c>
      <c r="D523" s="1" t="str">
        <f ca="1">IFERROR(__xludf.DUMMYFUNCTION("""COMPUTED_VALUE"""),"7429 115666")</f>
        <v>7429 115666</v>
      </c>
    </row>
    <row r="524" spans="1:4" ht="13" x14ac:dyDescent="0.3">
      <c r="A524" s="1" t="str">
        <f ca="1">IFERROR(__xludf.DUMMYFUNCTION("""COMPUTED_VALUE"""),"Хусаинов Расуль Рашитович")</f>
        <v>Хусаинов Расуль Рашитович</v>
      </c>
      <c r="B524" s="1">
        <f ca="1">IFERROR(__xludf.DUMMYFUNCTION("""COMPUTED_VALUE"""),89273488864)</f>
        <v>89273488864</v>
      </c>
      <c r="C524" s="1" t="str">
        <f ca="1">IFERROR(__xludf.DUMMYFUNCTION("""COMPUTED_VALUE"""),"РВ-Тариф")</f>
        <v>РВ-Тариф</v>
      </c>
      <c r="D524" s="1" t="str">
        <f ca="1">IFERROR(__xludf.DUMMYFUNCTION("""COMPUTED_VALUE"""),"9900 431709")</f>
        <v>9900 431709</v>
      </c>
    </row>
    <row r="525" spans="1:4" ht="13" x14ac:dyDescent="0.3">
      <c r="A525" s="1" t="str">
        <f ca="1">IFERROR(__xludf.DUMMYFUNCTION("""COMPUTED_VALUE"""),"Ялмурзин Ильгиз Ягафарович")</f>
        <v>Ялмурзин Ильгиз Ягафарович</v>
      </c>
      <c r="B525" s="1">
        <f ca="1">IFERROR(__xludf.DUMMYFUNCTION("""COMPUTED_VALUE"""),89279232318)</f>
        <v>89279232318</v>
      </c>
      <c r="C525" s="1" t="str">
        <f ca="1">IFERROR(__xludf.DUMMYFUNCTION("""COMPUTED_VALUE"""),"РВ-Тариф")</f>
        <v>РВ-Тариф</v>
      </c>
      <c r="D525" s="1" t="str">
        <f ca="1">IFERROR(__xludf.DUMMYFUNCTION("""COMPUTED_VALUE"""),"9921 610519")</f>
        <v>9921 610519</v>
      </c>
    </row>
    <row r="526" spans="1:4" ht="13" x14ac:dyDescent="0.3">
      <c r="A526" s="1" t="str">
        <f ca="1">IFERROR(__xludf.DUMMYFUNCTION("""COMPUTED_VALUE"""),"Ефремов Владимир Николаевич")</f>
        <v>Ефремов Владимир Николаевич</v>
      </c>
      <c r="B526" s="1"/>
      <c r="C526" s="1" t="str">
        <f ca="1">IFERROR(__xludf.DUMMYFUNCTION("""COMPUTED_VALUE"""),"НПП Дельта")</f>
        <v>НПП Дельта</v>
      </c>
      <c r="D526" s="1" t="str">
        <f ca="1">IFERROR(__xludf.DUMMYFUNCTION("""COMPUTED_VALUE"""),"9925 548284")</f>
        <v>9925 548284</v>
      </c>
    </row>
    <row r="527" spans="1:4" ht="13" x14ac:dyDescent="0.3">
      <c r="A527" s="1" t="str">
        <f ca="1">IFERROR(__xludf.DUMMYFUNCTION("""COMPUTED_VALUE"""),"Панфилов Вячеслав Александрович")</f>
        <v>Панфилов Вячеслав Александрович</v>
      </c>
      <c r="B527" s="1"/>
      <c r="C527" s="1" t="str">
        <f ca="1">IFERROR(__xludf.DUMMYFUNCTION("""COMPUTED_VALUE"""),"Синергия")</f>
        <v>Синергия</v>
      </c>
      <c r="D527" s="1"/>
    </row>
    <row r="528" spans="1:4" ht="13" x14ac:dyDescent="0.3">
      <c r="A528" s="1" t="str">
        <f ca="1">IFERROR(__xludf.DUMMYFUNCTION("""COMPUTED_VALUE"""),"Медведев Олег Александрович")</f>
        <v>Медведев Олег Александрович</v>
      </c>
      <c r="B528" s="1">
        <f ca="1">IFERROR(__xludf.DUMMYFUNCTION("""COMPUTED_VALUE"""),89823271540)</f>
        <v>89823271540</v>
      </c>
      <c r="C528" s="1" t="str">
        <f ca="1">IFERROR(__xludf.DUMMYFUNCTION("""COMPUTED_VALUE"""),"РВ-Тариф")</f>
        <v>РВ-Тариф</v>
      </c>
      <c r="D528" s="1" t="str">
        <f ca="1">IFERROR(__xludf.DUMMYFUNCTION("""COMPUTED_VALUE"""),"7404 858265")</f>
        <v>7404 858265</v>
      </c>
    </row>
    <row r="529" spans="1:4" ht="13" x14ac:dyDescent="0.3">
      <c r="A529" s="1" t="str">
        <f ca="1">IFERROR(__xludf.DUMMYFUNCTION("""COMPUTED_VALUE"""),"Беркумбаев Алмаз Тулепович")</f>
        <v>Беркумбаев Алмаз Тулепович</v>
      </c>
      <c r="B529" s="1">
        <f ca="1">IFERROR(__xludf.DUMMYFUNCTION("""COMPUTED_VALUE"""),89822981670)</f>
        <v>89822981670</v>
      </c>
      <c r="C529" s="1" t="str">
        <f ca="1">IFERROR(__xludf.DUMMYFUNCTION("""COMPUTED_VALUE"""),"Синергия")</f>
        <v>Синергия</v>
      </c>
      <c r="D529" s="1" t="str">
        <f ca="1">IFERROR(__xludf.DUMMYFUNCTION("""COMPUTED_VALUE"""),"74 10 946206 ")</f>
        <v xml:space="preserve">74 10 946206 </v>
      </c>
    </row>
    <row r="530" spans="1:4" ht="13" x14ac:dyDescent="0.3">
      <c r="A530" s="1" t="str">
        <f ca="1">IFERROR(__xludf.DUMMYFUNCTION("""COMPUTED_VALUE"""),"Беркумбаев Алмаз Тулепович")</f>
        <v>Беркумбаев Алмаз Тулепович</v>
      </c>
      <c r="B530" s="1">
        <f ca="1">IFERROR(__xludf.DUMMYFUNCTION("""COMPUTED_VALUE"""),89822981670)</f>
        <v>89822981670</v>
      </c>
      <c r="C530" s="1" t="str">
        <f ca="1">IFERROR(__xludf.DUMMYFUNCTION("""COMPUTED_VALUE"""),"Синергия")</f>
        <v>Синергия</v>
      </c>
      <c r="D530" s="1" t="str">
        <f ca="1">IFERROR(__xludf.DUMMYFUNCTION("""COMPUTED_VALUE"""),"74 10 946206 ")</f>
        <v xml:space="preserve">74 10 946206 </v>
      </c>
    </row>
    <row r="531" spans="1:4" ht="13" x14ac:dyDescent="0.3">
      <c r="A531" s="1" t="str">
        <f ca="1">IFERROR(__xludf.DUMMYFUNCTION("""COMPUTED_VALUE"""),"Шевяков Максим Николаевич")</f>
        <v>Шевяков Максим Николаевич</v>
      </c>
      <c r="B531" s="1">
        <f ca="1">IFERROR(__xludf.DUMMYFUNCTION("""COMPUTED_VALUE"""),89823050869)</f>
        <v>89823050869</v>
      </c>
      <c r="C531" s="1" t="str">
        <f ca="1">IFERROR(__xludf.DUMMYFUNCTION("""COMPUTED_VALUE"""),"Синергия")</f>
        <v>Синергия</v>
      </c>
      <c r="D531" s="1" t="str">
        <f ca="1">IFERROR(__xludf.DUMMYFUNCTION("""COMPUTED_VALUE"""),"74 21 996920 ")</f>
        <v xml:space="preserve">74 21 996920 </v>
      </c>
    </row>
    <row r="532" spans="1:4" ht="13" x14ac:dyDescent="0.3">
      <c r="A532" s="1" t="str">
        <f ca="1">IFERROR(__xludf.DUMMYFUNCTION("""COMPUTED_VALUE"""),"Батурин Николай Алексеевич")</f>
        <v>Батурин Николай Алексеевич</v>
      </c>
      <c r="B532" s="1" t="str">
        <f ca="1">IFERROR(__xludf.DUMMYFUNCTION("""COMPUTED_VALUE"""),"‎89523537505")</f>
        <v>‎89523537505</v>
      </c>
      <c r="C532" s="1" t="str">
        <f ca="1">IFERROR(__xludf.DUMMYFUNCTION("""COMPUTED_VALUE"""),"РВ-Тариф")</f>
        <v>РВ-Тариф</v>
      </c>
      <c r="D532" s="1" t="str">
        <f ca="1">IFERROR(__xludf.DUMMYFUNCTION("""COMPUTED_VALUE"""),"9934 038425 ")</f>
        <v xml:space="preserve">9934 038425 </v>
      </c>
    </row>
    <row r="533" spans="1:4" ht="13" x14ac:dyDescent="0.3">
      <c r="A533" s="1" t="str">
        <f ca="1">IFERROR(__xludf.DUMMYFUNCTION("""COMPUTED_VALUE"""),"Медведев Олег Александрович")</f>
        <v>Медведев Олег Александрович</v>
      </c>
      <c r="B533" s="1">
        <f ca="1">IFERROR(__xludf.DUMMYFUNCTION("""COMPUTED_VALUE"""),89823271540)</f>
        <v>89823271540</v>
      </c>
      <c r="C533" s="1" t="str">
        <f ca="1">IFERROR(__xludf.DUMMYFUNCTION("""COMPUTED_VALUE"""),"РВ-Тариф")</f>
        <v>РВ-Тариф</v>
      </c>
      <c r="D533" s="1" t="str">
        <f ca="1">IFERROR(__xludf.DUMMYFUNCTION("""COMPUTED_VALUE"""),"7404 858265")</f>
        <v>7404 858265</v>
      </c>
    </row>
    <row r="534" spans="1:4" ht="13" x14ac:dyDescent="0.3">
      <c r="A534" s="1" t="str">
        <f ca="1">IFERROR(__xludf.DUMMYFUNCTION("""COMPUTED_VALUE"""),"Аверин Роман Викторович")</f>
        <v>Аверин Роман Викторович</v>
      </c>
      <c r="B534" s="1" t="str">
        <f ca="1">IFERROR(__xludf.DUMMYFUNCTION("""COMPUTED_VALUE"""),"‎89511216822")</f>
        <v>‎89511216822</v>
      </c>
      <c r="C534" s="1" t="str">
        <f ca="1">IFERROR(__xludf.DUMMYFUNCTION("""COMPUTED_VALUE"""),"РВ-Тариф")</f>
        <v>РВ-Тариф</v>
      </c>
      <c r="D534" s="1" t="str">
        <f ca="1">IFERROR(__xludf.DUMMYFUNCTION("""COMPUTED_VALUE"""),"9912 227971 ")</f>
        <v xml:space="preserve">9912 227971 </v>
      </c>
    </row>
    <row r="535" spans="1:4" ht="13" x14ac:dyDescent="0.3">
      <c r="A535" s="1" t="str">
        <f ca="1">IFERROR(__xludf.DUMMYFUNCTION("""COMPUTED_VALUE"""),"Бобров Александр Игоревич")</f>
        <v>Бобров Александр Игоревич</v>
      </c>
      <c r="B535" s="1" t="str">
        <f ca="1">IFERROR(__xludf.DUMMYFUNCTION("""COMPUTED_VALUE"""),"8 982 110 98 22")</f>
        <v>8 982 110 98 22</v>
      </c>
      <c r="C535" s="1" t="str">
        <f ca="1">IFERROR(__xludf.DUMMYFUNCTION("""COMPUTED_VALUE"""),"Трансавто")</f>
        <v>Трансавто</v>
      </c>
      <c r="D535" s="1">
        <f ca="1">IFERROR(__xludf.DUMMYFUNCTION("""COMPUTED_VALUE"""),7410969164)</f>
        <v>7410969164</v>
      </c>
    </row>
    <row r="536" spans="1:4" ht="13" x14ac:dyDescent="0.3">
      <c r="A536" s="1" t="str">
        <f ca="1">IFERROR(__xludf.DUMMYFUNCTION("""COMPUTED_VALUE"""),"Костенко Евгений Михайлович")</f>
        <v>Костенко Евгений Михайлович</v>
      </c>
      <c r="B536" s="1" t="str">
        <f ca="1">IFERROR(__xludf.DUMMYFUNCTION("""COMPUTED_VALUE"""),"8 982 112 83 38")</f>
        <v>8 982 112 83 38</v>
      </c>
      <c r="C536" s="1" t="str">
        <f ca="1">IFERROR(__xludf.DUMMYFUNCTION("""COMPUTED_VALUE"""),"Трансавто")</f>
        <v>Трансавто</v>
      </c>
      <c r="D536" s="1">
        <f ca="1">IFERROR(__xludf.DUMMYFUNCTION("""COMPUTED_VALUE"""),7415501974)</f>
        <v>7415501974</v>
      </c>
    </row>
    <row r="537" spans="1:4" ht="13" x14ac:dyDescent="0.3">
      <c r="A537" s="1" t="str">
        <f ca="1">IFERROR(__xludf.DUMMYFUNCTION("""COMPUTED_VALUE"""),"Заварухин Евгений Владимирович")</f>
        <v>Заварухин Евгений Владимирович</v>
      </c>
      <c r="B537" s="1" t="str">
        <f ca="1">IFERROR(__xludf.DUMMYFUNCTION("""COMPUTED_VALUE"""),"8 951 482 77 05")</f>
        <v>8 951 482 77 05</v>
      </c>
      <c r="C537" s="1" t="str">
        <f ca="1">IFERROR(__xludf.DUMMYFUNCTION("""COMPUTED_VALUE"""),"Трансавто")</f>
        <v>Трансавто</v>
      </c>
      <c r="D537" s="1">
        <f ca="1">IFERROR(__xludf.DUMMYFUNCTION("""COMPUTED_VALUE"""),7411993392)</f>
        <v>7411993392</v>
      </c>
    </row>
    <row r="538" spans="1:4" ht="13" x14ac:dyDescent="0.3">
      <c r="A538" s="1" t="str">
        <f ca="1">IFERROR(__xludf.DUMMYFUNCTION("""COMPUTED_VALUE"""),"Хисматуллин Иршат Салаватович")</f>
        <v>Хисматуллин Иршат Салаватович</v>
      </c>
      <c r="B538" s="1">
        <f ca="1">IFERROR(__xludf.DUMMYFUNCTION("""COMPUTED_VALUE"""),89965827439)</f>
        <v>89965827439</v>
      </c>
      <c r="C538" s="1" t="str">
        <f ca="1">IFERROR(__xludf.DUMMYFUNCTION("""COMPUTED_VALUE"""),"Трансавто")</f>
        <v>Трансавто</v>
      </c>
      <c r="D538" s="1">
        <f ca="1">IFERROR(__xludf.DUMMYFUNCTION("""COMPUTED_VALUE"""),9918579128)</f>
        <v>9918579128</v>
      </c>
    </row>
    <row r="539" spans="1:4" ht="13" x14ac:dyDescent="0.3">
      <c r="A539" s="1" t="str">
        <f ca="1">IFERROR(__xludf.DUMMYFUNCTION("""COMPUTED_VALUE"""),"Карепанов Игорь Александрович")</f>
        <v>Карепанов Игорь Александрович</v>
      </c>
      <c r="B539" s="1" t="str">
        <f ca="1">IFERROR(__xludf.DUMMYFUNCTION("""COMPUTED_VALUE"""),"8 951 482 45 73")</f>
        <v>8 951 482 45 73</v>
      </c>
      <c r="C539" s="1" t="str">
        <f ca="1">IFERROR(__xludf.DUMMYFUNCTION("""COMPUTED_VALUE"""),"Трансавто")</f>
        <v>Трансавто</v>
      </c>
      <c r="D539" s="1" t="str">
        <f ca="1">IFERROR(__xludf.DUMMYFUNCTION("""COMPUTED_VALUE"""),"7429 102613")</f>
        <v>7429 102613</v>
      </c>
    </row>
    <row r="540" spans="1:4" ht="13" x14ac:dyDescent="0.3">
      <c r="A540" s="1" t="str">
        <f ca="1">IFERROR(__xludf.DUMMYFUNCTION("""COMPUTED_VALUE"""),"Кишкин Сергей Александрович")</f>
        <v>Кишкин Сергей Александрович</v>
      </c>
      <c r="B540" s="1" t="str">
        <f ca="1">IFERROR(__xludf.DUMMYFUNCTION("""COMPUTED_VALUE"""),"8 962 529 21 71")</f>
        <v>8 962 529 21 71</v>
      </c>
      <c r="C540" s="1" t="str">
        <f ca="1">IFERROR(__xludf.DUMMYFUNCTION("""COMPUTED_VALUE"""),"Трансавто")</f>
        <v>Трансавто</v>
      </c>
      <c r="D540" s="1" t="str">
        <f ca="1">IFERROR(__xludf.DUMMYFUNCTION("""COMPUTED_VALUE"""),"0215 000848")</f>
        <v>0215 000848</v>
      </c>
    </row>
    <row r="541" spans="1:4" ht="13" x14ac:dyDescent="0.3">
      <c r="A541" s="1" t="str">
        <f ca="1">IFERROR(__xludf.DUMMYFUNCTION("""COMPUTED_VALUE"""),"Уткин Александр Александрович")</f>
        <v>Уткин Александр Александрович</v>
      </c>
      <c r="B541" s="1"/>
      <c r="C541" s="1" t="str">
        <f ca="1">IFERROR(__xludf.DUMMYFUNCTION("""COMPUTED_VALUE"""),"Меридиан")</f>
        <v>Меридиан</v>
      </c>
      <c r="D541" s="1" t="str">
        <f ca="1">IFERROR(__xludf.DUMMYFUNCTION("""COMPUTED_VALUE"""),"99 17 065975")</f>
        <v>99 17 065975</v>
      </c>
    </row>
    <row r="542" spans="1:4" ht="13" x14ac:dyDescent="0.3">
      <c r="A542" s="1" t="str">
        <f ca="1">IFERROR(__xludf.DUMMYFUNCTION("""COMPUTED_VALUE"""),"Ишпахтин Вадим Ринатович")</f>
        <v>Ишпахтин Вадим Ринатович</v>
      </c>
      <c r="B542" s="1" t="str">
        <f ca="1">IFERROR(__xludf.DUMMYFUNCTION("""COMPUTED_VALUE"""),"8 996 103 00 13")</f>
        <v>8 996 103 00 13</v>
      </c>
      <c r="C542" s="1" t="str">
        <f ca="1">IFERROR(__xludf.DUMMYFUNCTION("""COMPUTED_VALUE"""),"Трансавто")</f>
        <v>Трансавто</v>
      </c>
      <c r="D542" s="1">
        <f ca="1">IFERROR(__xludf.DUMMYFUNCTION("""COMPUTED_VALUE"""),9929214229)</f>
        <v>9929214229</v>
      </c>
    </row>
    <row r="543" spans="1:4" ht="13" x14ac:dyDescent="0.3">
      <c r="A543" s="1" t="str">
        <f ca="1">IFERROR(__xludf.DUMMYFUNCTION("""COMPUTED_VALUE"""),"Туленков Сергей Викторович")</f>
        <v>Туленков Сергей Викторович</v>
      </c>
      <c r="B543" s="1">
        <f ca="1">IFERROR(__xludf.DUMMYFUNCTION("""COMPUTED_VALUE"""),89698235500)</f>
        <v>89698235500</v>
      </c>
      <c r="C543" s="1" t="str">
        <f ca="1">IFERROR(__xludf.DUMMYFUNCTION("""COMPUTED_VALUE"""),"ИП Ренев")</f>
        <v>ИП Ренев</v>
      </c>
      <c r="D543" s="1" t="str">
        <f ca="1">IFERROR(__xludf.DUMMYFUNCTION("""COMPUTED_VALUE"""),"9 909 363 050")</f>
        <v>9 909 363 050</v>
      </c>
    </row>
    <row r="544" spans="1:4" ht="13" x14ac:dyDescent="0.3">
      <c r="A544" s="1" t="str">
        <f ca="1">IFERROR(__xludf.DUMMYFUNCTION("""COMPUTED_VALUE"""),"Зайцев Олег Владимирович")</f>
        <v>Зайцев Олег Владимирович</v>
      </c>
      <c r="B544" s="1" t="str">
        <f ca="1">IFERROR(__xludf.DUMMYFUNCTION("""COMPUTED_VALUE"""),"8-908-068-59-60; 8-996-236-38-09")</f>
        <v>8-908-068-59-60; 8-996-236-38-09</v>
      </c>
      <c r="C544" s="1" t="str">
        <f ca="1">IFERROR(__xludf.DUMMYFUNCTION("""COMPUTED_VALUE"""),"РВ-Тариф")</f>
        <v>РВ-Тариф</v>
      </c>
      <c r="D544" s="1" t="str">
        <f ca="1">IFERROR(__xludf.DUMMYFUNCTION("""COMPUTED_VALUE"""),"9909 363957")</f>
        <v>9909 363957</v>
      </c>
    </row>
    <row r="545" spans="1:4" ht="13" x14ac:dyDescent="0.3">
      <c r="A545" s="1" t="str">
        <f ca="1">IFERROR(__xludf.DUMMYFUNCTION("""COMPUTED_VALUE"""),"Буляков Альберт Сальманович")</f>
        <v>Буляков Альберт Сальманович</v>
      </c>
      <c r="B545" s="1" t="str">
        <f ca="1">IFERROR(__xludf.DUMMYFUNCTION("""COMPUTED_VALUE"""),"‎89373495181")</f>
        <v>‎89373495181</v>
      </c>
      <c r="C545" s="1" t="str">
        <f ca="1">IFERROR(__xludf.DUMMYFUNCTION("""COMPUTED_VALUE"""),"РВ-Тариф")</f>
        <v>РВ-Тариф</v>
      </c>
      <c r="D545" s="1" t="str">
        <f ca="1">IFERROR(__xludf.DUMMYFUNCTION("""COMPUTED_VALUE"""),"9912 885406 ")</f>
        <v xml:space="preserve">9912 885406 </v>
      </c>
    </row>
    <row r="546" spans="1:4" ht="13" x14ac:dyDescent="0.3">
      <c r="A546" s="1" t="str">
        <f ca="1">IFERROR(__xludf.DUMMYFUNCTION("""COMPUTED_VALUE"""),"Байгужин Фаниль Джамалович")</f>
        <v>Байгужин Фаниль Джамалович</v>
      </c>
      <c r="B546" s="1" t="str">
        <f ca="1">IFERROR(__xludf.DUMMYFUNCTION("""COMPUTED_VALUE"""),"‎8 927 948-19-87")</f>
        <v>‎8 927 948-19-87</v>
      </c>
      <c r="C546" s="1" t="str">
        <f ca="1">IFERROR(__xludf.DUMMYFUNCTION("""COMPUTED_VALUE"""),"РВ-Тариф")</f>
        <v>РВ-Тариф</v>
      </c>
      <c r="D546" s="1" t="str">
        <f ca="1">IFERROR(__xludf.DUMMYFUNCTION("""COMPUTED_VALUE"""),"0229 217520 ")</f>
        <v xml:space="preserve">0229 217520 </v>
      </c>
    </row>
    <row r="547" spans="1:4" ht="13" x14ac:dyDescent="0.3">
      <c r="A547" s="1" t="str">
        <f ca="1">IFERROR(__xludf.DUMMYFUNCTION("""COMPUTED_VALUE"""),"Баландин Александр Александрович")</f>
        <v>Баландин Александр Александрович</v>
      </c>
      <c r="B547" s="1">
        <f ca="1">IFERROR(__xludf.DUMMYFUNCTION("""COMPUTED_VALUE"""),89191185779)</f>
        <v>89191185779</v>
      </c>
      <c r="C547" s="1" t="str">
        <f ca="1">IFERROR(__xludf.DUMMYFUNCTION("""COMPUTED_VALUE"""),"РВ-Тариф")</f>
        <v>РВ-Тариф</v>
      </c>
      <c r="D547" s="1" t="str">
        <f ca="1">IFERROR(__xludf.DUMMYFUNCTION("""COMPUTED_VALUE"""),"7434 503765 ")</f>
        <v xml:space="preserve">7434 503765 </v>
      </c>
    </row>
    <row r="548" spans="1:4" ht="13" x14ac:dyDescent="0.3">
      <c r="A548" s="1" t="str">
        <f ca="1">IFERROR(__xludf.DUMMYFUNCTION("""COMPUTED_VALUE"""),"Свистунов Никита Владимирович")</f>
        <v>Свистунов Никита Владимирович</v>
      </c>
      <c r="B548" s="1"/>
      <c r="C548" s="1" t="str">
        <f ca="1">IFERROR(__xludf.DUMMYFUNCTION("""COMPUTED_VALUE"""),"ИП Ахмедов")</f>
        <v>ИП Ахмедов</v>
      </c>
      <c r="D548" s="1"/>
    </row>
    <row r="549" spans="1:4" ht="13" x14ac:dyDescent="0.3">
      <c r="A549" s="1" t="str">
        <f ca="1">IFERROR(__xludf.DUMMYFUNCTION("""COMPUTED_VALUE"""),"Степкин Евгений Николаевич")</f>
        <v>Степкин Евгений Николаевич</v>
      </c>
      <c r="B549" s="1"/>
      <c r="C549" s="1" t="str">
        <f ca="1">IFERROR(__xludf.DUMMYFUNCTION("""COMPUTED_VALUE"""),"ИП Ахмедов")</f>
        <v>ИП Ахмедов</v>
      </c>
      <c r="D549" s="1"/>
    </row>
    <row r="550" spans="1:4" ht="13" x14ac:dyDescent="0.3">
      <c r="A550" s="1" t="str">
        <f ca="1">IFERROR(__xludf.DUMMYFUNCTION("""COMPUTED_VALUE"""),"Кугашев Карим Гумерович")</f>
        <v>Кугашев Карим Гумерович</v>
      </c>
      <c r="B550" s="1">
        <f ca="1">IFERROR(__xludf.DUMMYFUNCTION("""COMPUTED_VALUE"""),89961064516)</f>
        <v>89961064516</v>
      </c>
      <c r="C550" s="1" t="str">
        <f ca="1">IFERROR(__xludf.DUMMYFUNCTION("""COMPUTED_VALUE"""),"РВ-Тариф")</f>
        <v>РВ-Тариф</v>
      </c>
      <c r="D550" s="1" t="str">
        <f ca="1">IFERROR(__xludf.DUMMYFUNCTION("""COMPUTED_VALUE"""),"9911 496055")</f>
        <v>9911 496055</v>
      </c>
    </row>
    <row r="551" spans="1:4" ht="13" x14ac:dyDescent="0.3">
      <c r="A551" s="1" t="str">
        <f ca="1">IFERROR(__xludf.DUMMYFUNCTION("""COMPUTED_VALUE"""),"Мангалов Алексей Юрьевич")</f>
        <v>Мангалов Алексей Юрьевич</v>
      </c>
      <c r="B551" s="1">
        <f ca="1">IFERROR(__xludf.DUMMYFUNCTION("""COMPUTED_VALUE"""),89049434723)</f>
        <v>89049434723</v>
      </c>
      <c r="C551" s="1" t="str">
        <f ca="1">IFERROR(__xludf.DUMMYFUNCTION("""COMPUTED_VALUE"""),"РВ-Тариф")</f>
        <v>РВ-Тариф</v>
      </c>
      <c r="D551" s="1" t="str">
        <f ca="1">IFERROR(__xludf.DUMMYFUNCTION("""COMPUTED_VALUE"""),"9927 938120")</f>
        <v>9927 938120</v>
      </c>
    </row>
    <row r="552" spans="1:4" ht="13" x14ac:dyDescent="0.3">
      <c r="A552" s="1" t="str">
        <f ca="1">IFERROR(__xludf.DUMMYFUNCTION("""COMPUTED_VALUE"""),"Николаев Никита Алексеевич")</f>
        <v>Николаев Никита Алексеевич</v>
      </c>
      <c r="B552" s="1"/>
      <c r="C552" s="1" t="str">
        <f ca="1">IFERROR(__xludf.DUMMYFUNCTION("""COMPUTED_VALUE"""),"Трансавто")</f>
        <v>Трансавто</v>
      </c>
      <c r="D552" s="1" t="str">
        <f ca="1">IFERROR(__xludf.DUMMYFUNCTION("""COMPUTED_VALUE"""),"9923 800351")</f>
        <v>9923 800351</v>
      </c>
    </row>
    <row r="553" spans="1:4" ht="13" x14ac:dyDescent="0.3">
      <c r="A553" s="1" t="str">
        <f ca="1">IFERROR(__xludf.DUMMYFUNCTION("""COMPUTED_VALUE"""),"Скирпичников Сергей Владимирович")</f>
        <v>Скирпичников Сергей Владимирович</v>
      </c>
      <c r="B553" s="1"/>
      <c r="C553" s="1" t="str">
        <f ca="1">IFERROR(__xludf.DUMMYFUNCTION("""COMPUTED_VALUE"""),"Трансавто")</f>
        <v>Трансавто</v>
      </c>
      <c r="D553" s="1" t="str">
        <f ca="1">IFERROR(__xludf.DUMMYFUNCTION("""COMPUTED_VALUE"""),"9920 584441")</f>
        <v>9920 584441</v>
      </c>
    </row>
    <row r="554" spans="1:4" ht="13" x14ac:dyDescent="0.3">
      <c r="A554" s="1" t="str">
        <f ca="1">IFERROR(__xludf.DUMMYFUNCTION("""COMPUTED_VALUE"""),"Баймуратов Ренат Гаффанович")</f>
        <v>Баймуратов Ренат Гаффанович</v>
      </c>
      <c r="B554" s="1" t="str">
        <f ca="1">IFERROR(__xludf.DUMMYFUNCTION("""COMPUTED_VALUE"""),"8-937-342-42-87")</f>
        <v>8-937-342-42-87</v>
      </c>
      <c r="C554" s="1" t="str">
        <f ca="1">IFERROR(__xludf.DUMMYFUNCTION("""COMPUTED_VALUE"""),"РВ-Тариф")</f>
        <v>РВ-Тариф</v>
      </c>
      <c r="D554" s="1" t="str">
        <f ca="1">IFERROR(__xludf.DUMMYFUNCTION("""COMPUTED_VALUE"""),"8220 849042")</f>
        <v>8220 849042</v>
      </c>
    </row>
    <row r="555" spans="1:4" ht="13" x14ac:dyDescent="0.3">
      <c r="A555" s="1" t="str">
        <f ca="1">IFERROR(__xludf.DUMMYFUNCTION("""COMPUTED_VALUE"""),"Гадельшин Руслан Сабирьянович")</f>
        <v>Гадельшин Руслан Сабирьянович</v>
      </c>
      <c r="B555" s="1"/>
      <c r="C555" s="1" t="str">
        <f ca="1">IFERROR(__xludf.DUMMYFUNCTION("""COMPUTED_VALUE"""),"Горстрой")</f>
        <v>Горстрой</v>
      </c>
      <c r="D555" s="1" t="str">
        <f ca="1">IFERROR(__xludf.DUMMYFUNCTION("""COMPUTED_VALUE"""),"9914 093316")</f>
        <v>9914 093316</v>
      </c>
    </row>
    <row r="556" spans="1:4" ht="13" x14ac:dyDescent="0.3">
      <c r="A556" s="1" t="str">
        <f ca="1">IFERROR(__xludf.DUMMYFUNCTION("""COMPUTED_VALUE"""),"Мамашев Момунжан Сабиржанович")</f>
        <v>Мамашев Момунжан Сабиржанович</v>
      </c>
      <c r="B556" s="1"/>
      <c r="C556" s="1" t="str">
        <f ca="1">IFERROR(__xludf.DUMMYFUNCTION("""COMPUTED_VALUE"""),"Горстрой")</f>
        <v>Горстрой</v>
      </c>
      <c r="D556" s="1" t="str">
        <f ca="1">IFERROR(__xludf.DUMMYFUNCTION("""COMPUTED_VALUE"""),"99 28 937665")</f>
        <v>99 28 937665</v>
      </c>
    </row>
    <row r="557" spans="1:4" ht="13" x14ac:dyDescent="0.3">
      <c r="A557" s="1" t="str">
        <f ca="1">IFERROR(__xludf.DUMMYFUNCTION("""COMPUTED_VALUE"""),"Бражников Евгений Андреевич")</f>
        <v>Бражников Евгений Андреевич</v>
      </c>
      <c r="B557" s="1"/>
      <c r="C557" s="1" t="str">
        <f ca="1">IFERROR(__xludf.DUMMYFUNCTION("""COMPUTED_VALUE"""),"УралМетЛогистик")</f>
        <v>УралМетЛогистик</v>
      </c>
      <c r="D557" s="1" t="str">
        <f ca="1">IFERROR(__xludf.DUMMYFUNCTION("""COMPUTED_VALUE"""),"99 07 191446 от 29.08.2019")</f>
        <v>99 07 191446 от 29.08.2019</v>
      </c>
    </row>
    <row r="558" spans="1:4" ht="13" x14ac:dyDescent="0.3">
      <c r="A558" s="1" t="str">
        <f ca="1">IFERROR(__xludf.DUMMYFUNCTION("""COMPUTED_VALUE"""),"Муравьев Сергей Александрович")</f>
        <v>Муравьев Сергей Александрович</v>
      </c>
      <c r="B558" s="1"/>
      <c r="C558" s="1" t="str">
        <f ca="1">IFERROR(__xludf.DUMMYFUNCTION("""COMPUTED_VALUE"""),"Логист")</f>
        <v>Логист</v>
      </c>
      <c r="D558" s="1">
        <f ca="1">IFERROR(__xludf.DUMMYFUNCTION("""COMPUTED_VALUE"""),7429112816)</f>
        <v>7429112816</v>
      </c>
    </row>
    <row r="559" spans="1:4" ht="13" x14ac:dyDescent="0.3">
      <c r="A559" s="1" t="str">
        <f ca="1">IFERROR(__xludf.DUMMYFUNCTION("""COMPUTED_VALUE"""),"Мухаметшин Виктор Рашитович")</f>
        <v>Мухаметшин Виктор Рашитович</v>
      </c>
      <c r="B559" s="1">
        <f ca="1">IFERROR(__xludf.DUMMYFUNCTION("""COMPUTED_VALUE"""),89033930816)</f>
        <v>89033930816</v>
      </c>
      <c r="C559" s="1" t="str">
        <f ca="1">IFERROR(__xludf.DUMMYFUNCTION("""COMPUTED_VALUE"""),"Сара Авто")</f>
        <v>Сара Авто</v>
      </c>
      <c r="D559" s="1"/>
    </row>
    <row r="560" spans="1:4" ht="13" x14ac:dyDescent="0.3">
      <c r="A560" s="1" t="str">
        <f ca="1">IFERROR(__xludf.DUMMYFUNCTION("""COMPUTED_VALUE"""),"Молодцов Алексей Викторович")</f>
        <v>Молодцов Алексей Викторович</v>
      </c>
      <c r="B560" s="1">
        <f ca="1">IFERROR(__xludf.DUMMYFUNCTION("""COMPUTED_VALUE"""),89096014081)</f>
        <v>89096014081</v>
      </c>
      <c r="C560" s="1" t="str">
        <f ca="1">IFERROR(__xludf.DUMMYFUNCTION("""COMPUTED_VALUE"""),"Сара Авто")</f>
        <v>Сара Авто</v>
      </c>
      <c r="D560" s="1"/>
    </row>
    <row r="561" spans="1:4" ht="13" x14ac:dyDescent="0.3">
      <c r="A561" s="1" t="str">
        <f ca="1">IFERROR(__xludf.DUMMYFUNCTION("""COMPUTED_VALUE"""),"Асфандияров Алег Маратович")</f>
        <v>Асфандияров Алег Маратович</v>
      </c>
      <c r="B561" s="1"/>
      <c r="C561" s="1" t="str">
        <f ca="1">IFERROR(__xludf.DUMMYFUNCTION("""COMPUTED_VALUE"""),"РВ-Тариф")</f>
        <v>РВ-Тариф</v>
      </c>
      <c r="D561" s="1"/>
    </row>
    <row r="562" spans="1:4" ht="13" x14ac:dyDescent="0.3">
      <c r="A562" s="1" t="str">
        <f ca="1">IFERROR(__xludf.DUMMYFUNCTION("""COMPUTED_VALUE"""),"Гребенюков Андрей Петрович")</f>
        <v>Гребенюков Андрей Петрович</v>
      </c>
      <c r="B562" s="1">
        <f ca="1">IFERROR(__xludf.DUMMYFUNCTION("""COMPUTED_VALUE"""),89000897556)</f>
        <v>89000897556</v>
      </c>
      <c r="C562" s="1" t="str">
        <f ca="1">IFERROR(__xludf.DUMMYFUNCTION("""COMPUTED_VALUE"""),"Синергия")</f>
        <v>Синергия</v>
      </c>
      <c r="D562" s="1" t="str">
        <f ca="1">IFERROR(__xludf.DUMMYFUNCTION("""COMPUTED_VALUE"""),"99 05 604604")</f>
        <v>99 05 604604</v>
      </c>
    </row>
    <row r="563" spans="1:4" ht="13" x14ac:dyDescent="0.3">
      <c r="A563" s="1" t="str">
        <f ca="1">IFERROR(__xludf.DUMMYFUNCTION("""COMPUTED_VALUE"""),"Шакиров Артур Азатович")</f>
        <v>Шакиров Артур Азатович</v>
      </c>
      <c r="B563" s="1"/>
      <c r="C563" s="1" t="str">
        <f ca="1">IFERROR(__xludf.DUMMYFUNCTION("""COMPUTED_VALUE"""),"ИП Ахмедов")</f>
        <v>ИП Ахмедов</v>
      </c>
      <c r="D563" s="1"/>
    </row>
    <row r="564" spans="1:4" ht="13" x14ac:dyDescent="0.3">
      <c r="A564" s="1" t="str">
        <f ca="1">IFERROR(__xludf.DUMMYFUNCTION("""COMPUTED_VALUE"""),"Мухаметдинов Ильшат Иштимерович")</f>
        <v>Мухаметдинов Ильшат Иштимерович</v>
      </c>
      <c r="B564" s="1"/>
      <c r="C564" s="1" t="str">
        <f ca="1">IFERROR(__xludf.DUMMYFUNCTION("""COMPUTED_VALUE"""),"ИП Ахмедов")</f>
        <v>ИП Ахмедов</v>
      </c>
      <c r="D564" s="1"/>
    </row>
    <row r="565" spans="1:4" ht="13" x14ac:dyDescent="0.3">
      <c r="A565" s="1" t="str">
        <f ca="1">IFERROR(__xludf.DUMMYFUNCTION("""COMPUTED_VALUE"""),"Гараев Бабек Рамис Оглы")</f>
        <v>Гараев Бабек Рамис Оглы</v>
      </c>
      <c r="B565" s="1"/>
      <c r="C565" s="1" t="str">
        <f ca="1">IFERROR(__xludf.DUMMYFUNCTION("""COMPUTED_VALUE"""),"Транспорт Солюшис")</f>
        <v>Транспорт Солюшис</v>
      </c>
      <c r="D565" s="1"/>
    </row>
    <row r="566" spans="1:4" ht="13" x14ac:dyDescent="0.3">
      <c r="A566" s="1" t="str">
        <f ca="1">IFERROR(__xludf.DUMMYFUNCTION("""COMPUTED_VALUE"""),"Петухов Дмитрий Анатольевич")</f>
        <v>Петухов Дмитрий Анатольевич</v>
      </c>
      <c r="B566" s="1"/>
      <c r="C566" s="1" t="str">
        <f ca="1">IFERROR(__xludf.DUMMYFUNCTION("""COMPUTED_VALUE"""),"МегаИнвест")</f>
        <v>МегаИнвест</v>
      </c>
      <c r="D566" s="1" t="str">
        <f ca="1">IFERROR(__xludf.DUMMYFUNCTION("""COMPUTED_VALUE"""),"9923 799449")</f>
        <v>9923 799449</v>
      </c>
    </row>
    <row r="567" spans="1:4" ht="13" x14ac:dyDescent="0.3">
      <c r="A567" s="1" t="str">
        <f ca="1">IFERROR(__xludf.DUMMYFUNCTION("""COMPUTED_VALUE"""),"Доронов Алексей Николаевич")</f>
        <v>Доронов Алексей Николаевич</v>
      </c>
      <c r="B567" s="1"/>
      <c r="C567" s="1" t="str">
        <f ca="1">IFERROR(__xludf.DUMMYFUNCTION("""COMPUTED_VALUE"""),"МегаИнвест")</f>
        <v>МегаИнвест</v>
      </c>
      <c r="D567" s="1" t="str">
        <f ca="1">IFERROR(__xludf.DUMMYFUNCTION("""COMPUTED_VALUE"""),"9928 937657")</f>
        <v>9928 937657</v>
      </c>
    </row>
    <row r="568" spans="1:4" ht="13" x14ac:dyDescent="0.3">
      <c r="A568" s="1" t="str">
        <f ca="1">IFERROR(__xludf.DUMMYFUNCTION("""COMPUTED_VALUE"""),"Цюман Евгений Владимирович")</f>
        <v>Цюман Евгений Владимирович</v>
      </c>
      <c r="B568" s="1"/>
      <c r="C568" s="1" t="str">
        <f ca="1">IFERROR(__xludf.DUMMYFUNCTION("""COMPUTED_VALUE"""),"МегаИнвест")</f>
        <v>МегаИнвест</v>
      </c>
      <c r="D568" s="1" t="str">
        <f ca="1">IFERROR(__xludf.DUMMYFUNCTION("""COMPUTED_VALUE"""),"7435 468709")</f>
        <v>7435 468709</v>
      </c>
    </row>
    <row r="569" spans="1:4" ht="13" x14ac:dyDescent="0.3">
      <c r="A569" s="1" t="str">
        <f ca="1">IFERROR(__xludf.DUMMYFUNCTION("""COMPUTED_VALUE"""),"Сычев Василий Владимирович")</f>
        <v>Сычев Василий Владимирович</v>
      </c>
      <c r="B569" s="1"/>
      <c r="C569" s="1" t="str">
        <f ca="1">IFERROR(__xludf.DUMMYFUNCTION("""COMPUTED_VALUE"""),"МегаИнвест")</f>
        <v>МегаИнвест</v>
      </c>
      <c r="D569" s="1" t="str">
        <f ca="1">IFERROR(__xludf.DUMMYFUNCTION("""COMPUTED_VALUE"""),"7430 987670")</f>
        <v>7430 987670</v>
      </c>
    </row>
    <row r="570" spans="1:4" ht="13" x14ac:dyDescent="0.3">
      <c r="A570" s="1" t="str">
        <f ca="1">IFERROR(__xludf.DUMMYFUNCTION("""COMPUTED_VALUE"""),"Сорокин Николай Петрович")</f>
        <v>Сорокин Николай Петрович</v>
      </c>
      <c r="B570" s="1"/>
      <c r="C570" s="1" t="str">
        <f ca="1">IFERROR(__xludf.DUMMYFUNCTION("""COMPUTED_VALUE"""),"УралМетЛогистик")</f>
        <v>УралМетЛогистик</v>
      </c>
      <c r="D570" s="1" t="str">
        <f ca="1">IFERROR(__xludf.DUMMYFUNCTION("""COMPUTED_VALUE"""),"7411 957161 от 29.12.2022")</f>
        <v>7411 957161 от 29.12.2022</v>
      </c>
    </row>
    <row r="571" spans="1:4" ht="13" x14ac:dyDescent="0.3">
      <c r="A571" s="1" t="str">
        <f ca="1">IFERROR(__xludf.DUMMYFUNCTION("""COMPUTED_VALUE"""),"Гибадатов Ильфат Ринатович")</f>
        <v>Гибадатов Ильфат Ринатович</v>
      </c>
      <c r="B571" s="1">
        <f ca="1">IFERROR(__xludf.DUMMYFUNCTION("""COMPUTED_VALUE"""),89659344862)</f>
        <v>89659344862</v>
      </c>
      <c r="C571" s="1" t="str">
        <f ca="1">IFERROR(__xludf.DUMMYFUNCTION("""COMPUTED_VALUE"""),"РВ-Тариф")</f>
        <v>РВ-Тариф</v>
      </c>
      <c r="D571" s="1" t="str">
        <f ca="1">IFERROR(__xludf.DUMMYFUNCTION("""COMPUTED_VALUE"""),"99 28 937782 от 18.07.2023 ГИБДД 7402")</f>
        <v>99 28 937782 от 18.07.2023 ГИБДД 7402</v>
      </c>
    </row>
    <row r="572" spans="1:4" ht="13" x14ac:dyDescent="0.3">
      <c r="A572" s="1" t="str">
        <f ca="1">IFERROR(__xludf.DUMMYFUNCTION("""COMPUTED_VALUE"""),"Альтяпов Рустам Ильмирович")</f>
        <v>Альтяпов Рустам Ильмирович</v>
      </c>
      <c r="B572" s="1"/>
      <c r="C572" s="1" t="str">
        <f ca="1">IFERROR(__xludf.DUMMYFUNCTION("""COMPUTED_VALUE"""),"Синергия")</f>
        <v>Синергия</v>
      </c>
      <c r="D572" s="1" t="str">
        <f ca="1">IFERROR(__xludf.DUMMYFUNCTION("""COMPUTED_VALUE"""),"99 12 949740 от 09.12.2019")</f>
        <v>99 12 949740 от 09.12.2019</v>
      </c>
    </row>
    <row r="573" spans="1:4" ht="13" x14ac:dyDescent="0.3">
      <c r="A573" s="1" t="str">
        <f ca="1">IFERROR(__xludf.DUMMYFUNCTION("""COMPUTED_VALUE"""),"Гибадуллин Амур Хибатович")</f>
        <v>Гибадуллин Амур Хибатович</v>
      </c>
      <c r="B573" s="1">
        <f ca="1">IFERROR(__xludf.DUMMYFUNCTION("""COMPUTED_VALUE"""),89962285798)</f>
        <v>89962285798</v>
      </c>
      <c r="C573" s="1" t="str">
        <f ca="1">IFERROR(__xludf.DUMMYFUNCTION("""COMPUTED_VALUE"""),"РВ-Тариф")</f>
        <v>РВ-Тариф</v>
      </c>
      <c r="D573" s="1" t="str">
        <f ca="1">IFERROR(__xludf.DUMMYFUNCTION("""COMPUTED_VALUE"""),"9909 989851 от 21.05.2019 ГИБДД0275")</f>
        <v>9909 989851 от 21.05.2019 ГИБДД0275</v>
      </c>
    </row>
    <row r="574" spans="1:4" ht="13" x14ac:dyDescent="0.3">
      <c r="A574" s="1" t="str">
        <f ca="1">IFERROR(__xludf.DUMMYFUNCTION("""COMPUTED_VALUE"""),"Каримов Рамиль Рамазанович")</f>
        <v>Каримов Рамиль Рамазанович</v>
      </c>
      <c r="B574" s="1"/>
      <c r="C574" s="1" t="str">
        <f ca="1">IFERROR(__xludf.DUMMYFUNCTION("""COMPUTED_VALUE"""),"РВ-Тариф")</f>
        <v>РВ-Тариф</v>
      </c>
      <c r="D574" s="1" t="str">
        <f ca="1">IFERROR(__xludf.DUMMYFUNCTION("""COMPUTED_VALUE"""),"7424 002346 от 23.07.2015 ГИБДД 7402")</f>
        <v>7424 002346 от 23.07.2015 ГИБДД 7402</v>
      </c>
    </row>
    <row r="575" spans="1:4" ht="13" x14ac:dyDescent="0.3">
      <c r="A575" s="1" t="str">
        <f ca="1">IFERROR(__xludf.DUMMYFUNCTION("""COMPUTED_VALUE"""),"Нацук Иван Викторович")</f>
        <v>Нацук Иван Викторович</v>
      </c>
      <c r="B575" s="1">
        <f ca="1">IFERROR(__xludf.DUMMYFUNCTION("""COMPUTED_VALUE"""),89525137078)</f>
        <v>89525137078</v>
      </c>
      <c r="C575" s="1" t="str">
        <f ca="1">IFERROR(__xludf.DUMMYFUNCTION("""COMPUTED_VALUE"""),"РВ-Тариф")</f>
        <v>РВ-Тариф</v>
      </c>
      <c r="D575" s="1"/>
    </row>
    <row r="576" spans="1:4" ht="13" x14ac:dyDescent="0.3">
      <c r="A576" s="1" t="str">
        <f ca="1">IFERROR(__xludf.DUMMYFUNCTION("""COMPUTED_VALUE"""),"Туголуков Максим Александрович")</f>
        <v>Туголуков Максим Александрович</v>
      </c>
      <c r="B576" s="1">
        <f ca="1">IFERROR(__xludf.DUMMYFUNCTION("""COMPUTED_VALUE"""),89514768787)</f>
        <v>89514768787</v>
      </c>
      <c r="C576" s="1" t="str">
        <f ca="1">IFERROR(__xludf.DUMMYFUNCTION("""COMPUTED_VALUE"""),"ИП Ренев")</f>
        <v>ИП Ренев</v>
      </c>
      <c r="D576" s="1" t="str">
        <f ca="1">IFERROR(__xludf.DUMMYFUNCTION("""COMPUTED_VALUE"""),"9 933 597 303")</f>
        <v>9 933 597 303</v>
      </c>
    </row>
    <row r="577" spans="1:4" ht="13" x14ac:dyDescent="0.3">
      <c r="A577" s="1" t="str">
        <f ca="1">IFERROR(__xludf.DUMMYFUNCTION("""COMPUTED_VALUE"""),"Бахарев Константин Владимирович")</f>
        <v>Бахарев Константин Владимирович</v>
      </c>
      <c r="B577" s="1"/>
      <c r="C577" s="1" t="str">
        <f ca="1">IFERROR(__xludf.DUMMYFUNCTION("""COMPUTED_VALUE"""),"УралМетЛогистик")</f>
        <v>УралМетЛогистик</v>
      </c>
      <c r="D577" s="1"/>
    </row>
    <row r="578" spans="1:4" ht="13" x14ac:dyDescent="0.3">
      <c r="A578" s="1" t="str">
        <f ca="1">IFERROR(__xludf.DUMMYFUNCTION("""COMPUTED_VALUE"""),"Рюрик Вадим Сергеевич")</f>
        <v>Рюрик Вадим Сергеевич</v>
      </c>
      <c r="B578" s="1"/>
      <c r="C578" s="1" t="str">
        <f ca="1">IFERROR(__xludf.DUMMYFUNCTION("""COMPUTED_VALUE"""),"УралМетЛогистик")</f>
        <v>УралМетЛогистик</v>
      </c>
      <c r="D578" s="1"/>
    </row>
    <row r="579" spans="1:4" ht="13" x14ac:dyDescent="0.3">
      <c r="A579" s="1" t="str">
        <f ca="1">IFERROR(__xludf.DUMMYFUNCTION("""COMPUTED_VALUE"""),"Ишимов Павел Геннадьевич")</f>
        <v>Ишимов Павел Геннадьевич</v>
      </c>
      <c r="B579" s="1"/>
      <c r="C579" s="1" t="str">
        <f ca="1">IFERROR(__xludf.DUMMYFUNCTION("""COMPUTED_VALUE"""),"УралМетЛогистик")</f>
        <v>УралМетЛогистик</v>
      </c>
      <c r="D579" s="1"/>
    </row>
    <row r="580" spans="1:4" ht="13" x14ac:dyDescent="0.3">
      <c r="A580" s="1" t="str">
        <f ca="1">IFERROR(__xludf.DUMMYFUNCTION("""COMPUTED_VALUE"""),"Абдукахаров Абрарбек Алтынбекович")</f>
        <v>Абдукахаров Абрарбек Алтынбекович</v>
      </c>
      <c r="B580" s="1"/>
      <c r="C580" s="1" t="str">
        <f ca="1">IFERROR(__xludf.DUMMYFUNCTION("""COMPUTED_VALUE"""),"УралМетЛогистик")</f>
        <v>УралМетЛогистик</v>
      </c>
      <c r="D580" s="1"/>
    </row>
    <row r="581" spans="1:4" ht="13" x14ac:dyDescent="0.3">
      <c r="A581" s="1" t="str">
        <f ca="1">IFERROR(__xludf.DUMMYFUNCTION("""COMPUTED_VALUE"""),"Бакиров Ренат Вакилевич")</f>
        <v>Бакиров Ренат Вакилевич</v>
      </c>
      <c r="B581" s="1"/>
      <c r="C581" s="1" t="str">
        <f ca="1">IFERROR(__xludf.DUMMYFUNCTION("""COMPUTED_VALUE"""),"УралМетЛогистик")</f>
        <v>УралМетЛогистик</v>
      </c>
      <c r="D581" s="1"/>
    </row>
    <row r="582" spans="1:4" ht="13" x14ac:dyDescent="0.3">
      <c r="A582" s="1" t="str">
        <f ca="1">IFERROR(__xludf.DUMMYFUNCTION("""COMPUTED_VALUE"""),"Нерезенко дмитрий Игоревич")</f>
        <v>Нерезенко дмитрий Игоревич</v>
      </c>
      <c r="B582" s="1"/>
      <c r="C582" s="1" t="str">
        <f ca="1">IFERROR(__xludf.DUMMYFUNCTION("""COMPUTED_VALUE"""),"УралМетЛогистик")</f>
        <v>УралМетЛогистик</v>
      </c>
      <c r="D582" s="1"/>
    </row>
    <row r="583" spans="1:4" ht="13" x14ac:dyDescent="0.3">
      <c r="A583" s="1" t="str">
        <f ca="1">IFERROR(__xludf.DUMMYFUNCTION("""COMPUTED_VALUE"""),"Фирсов Сергей Юрьевич")</f>
        <v>Фирсов Сергей Юрьевич</v>
      </c>
      <c r="B583" s="1"/>
      <c r="C583" s="1" t="str">
        <f ca="1">IFERROR(__xludf.DUMMYFUNCTION("""COMPUTED_VALUE"""),"Сара Авто")</f>
        <v>Сара Авто</v>
      </c>
      <c r="D583" s="1"/>
    </row>
    <row r="584" spans="1:4" ht="13" x14ac:dyDescent="0.3">
      <c r="A584" s="1" t="str">
        <f ca="1">IFERROR(__xludf.DUMMYFUNCTION("""COMPUTED_VALUE"""),"Ильясов Ильнур Ильфатович")</f>
        <v>Ильясов Ильнур Ильфатович</v>
      </c>
      <c r="B584" s="1"/>
      <c r="C584" s="1" t="str">
        <f ca="1">IFERROR(__xludf.DUMMYFUNCTION("""COMPUTED_VALUE"""),"Сара Авто")</f>
        <v>Сара Авто</v>
      </c>
      <c r="D584" s="1"/>
    </row>
    <row r="585" spans="1:4" ht="13" x14ac:dyDescent="0.3">
      <c r="A585" s="1" t="str">
        <f ca="1">IFERROR(__xludf.DUMMYFUNCTION("""COMPUTED_VALUE"""),"Захаров Владимир Геннадьевич")</f>
        <v>Захаров Владимир Геннадьевич</v>
      </c>
      <c r="B585" s="1">
        <f ca="1">IFERROR(__xludf.DUMMYFUNCTION("""COMPUTED_VALUE"""),89279370208)</f>
        <v>89279370208</v>
      </c>
      <c r="C585" s="1" t="str">
        <f ca="1">IFERROR(__xludf.DUMMYFUNCTION("""COMPUTED_VALUE"""),"РВ-Тариф")</f>
        <v>РВ-Тариф</v>
      </c>
      <c r="D585" s="1" t="str">
        <f ca="1">IFERROR(__xludf.DUMMYFUNCTION("""COMPUTED_VALUE"""),"9905 731448 от 06.02.2019")</f>
        <v>9905 731448 от 06.02.2019</v>
      </c>
    </row>
    <row r="586" spans="1:4" ht="13" x14ac:dyDescent="0.3">
      <c r="A586" s="1" t="str">
        <f ca="1">IFERROR(__xludf.DUMMYFUNCTION("""COMPUTED_VALUE"""),"Стародубцев Алексей Владимирович")</f>
        <v>Стародубцев Алексей Владимирович</v>
      </c>
      <c r="B586" s="1">
        <f ca="1">IFERROR(__xludf.DUMMYFUNCTION("""COMPUTED_VALUE"""),89123172854)</f>
        <v>89123172854</v>
      </c>
      <c r="C586" s="1" t="str">
        <f ca="1">IFERROR(__xludf.DUMMYFUNCTION("""COMPUTED_VALUE"""),"РВ-Тариф")</f>
        <v>РВ-Тариф</v>
      </c>
      <c r="D586" s="1" t="str">
        <f ca="1">IFERROR(__xludf.DUMMYFUNCTION("""COMPUTED_VALUE"""),"7414 332012от 16.11.2013 ГИБДД 7402")</f>
        <v>7414 332012от 16.11.2013 ГИБДД 7402</v>
      </c>
    </row>
    <row r="587" spans="1:4" ht="13" x14ac:dyDescent="0.3">
      <c r="A587" s="1"/>
      <c r="B587" s="1"/>
      <c r="C587" s="1"/>
      <c r="D587" s="1"/>
    </row>
    <row r="588" spans="1:4" ht="13" x14ac:dyDescent="0.3">
      <c r="A588" s="1"/>
      <c r="B588" s="1"/>
      <c r="C588" s="1"/>
      <c r="D588" s="1"/>
    </row>
    <row r="589" spans="1:4" ht="13" x14ac:dyDescent="0.3">
      <c r="A589" s="1"/>
      <c r="B589" s="1"/>
      <c r="C589" s="1"/>
      <c r="D589" s="1"/>
    </row>
    <row r="590" spans="1:4" ht="13" x14ac:dyDescent="0.3">
      <c r="A590" s="1"/>
      <c r="B590" s="1"/>
      <c r="C590" s="1"/>
      <c r="D590" s="1"/>
    </row>
    <row r="591" spans="1:4" ht="13" x14ac:dyDescent="0.3">
      <c r="A591" s="1"/>
      <c r="B591" s="1"/>
      <c r="C591" s="1"/>
      <c r="D591" s="1"/>
    </row>
    <row r="592" spans="1:4" ht="13" x14ac:dyDescent="0.3">
      <c r="A592" s="1"/>
      <c r="B592" s="1"/>
      <c r="C592" s="1"/>
      <c r="D592" s="1"/>
    </row>
    <row r="593" spans="1:4" ht="13" x14ac:dyDescent="0.3">
      <c r="A593" s="1"/>
      <c r="B593" s="1"/>
      <c r="C593" s="1"/>
      <c r="D593" s="1"/>
    </row>
    <row r="594" spans="1:4" ht="13" x14ac:dyDescent="0.3">
      <c r="A594" s="1"/>
      <c r="B594" s="1"/>
      <c r="C594" s="1"/>
      <c r="D594" s="1"/>
    </row>
    <row r="595" spans="1:4" ht="13" x14ac:dyDescent="0.3">
      <c r="A595" s="1"/>
      <c r="B595" s="1"/>
      <c r="C595" s="1"/>
      <c r="D595" s="1"/>
    </row>
    <row r="596" spans="1:4" ht="13" x14ac:dyDescent="0.3">
      <c r="A596" s="1"/>
      <c r="B596" s="1"/>
      <c r="C596" s="1"/>
      <c r="D596" s="1"/>
    </row>
    <row r="597" spans="1:4" ht="13" x14ac:dyDescent="0.3">
      <c r="A597" s="1"/>
      <c r="B597" s="1"/>
      <c r="C597" s="1"/>
      <c r="D597" s="1"/>
    </row>
    <row r="598" spans="1:4" ht="13" x14ac:dyDescent="0.3">
      <c r="A598" s="1"/>
      <c r="B598" s="1"/>
      <c r="C598" s="1"/>
      <c r="D598" s="1"/>
    </row>
    <row r="599" spans="1:4" ht="13" x14ac:dyDescent="0.3">
      <c r="A599" s="1"/>
      <c r="B599" s="1"/>
      <c r="C599" s="1"/>
      <c r="D599" s="1"/>
    </row>
    <row r="600" spans="1:4" ht="13" x14ac:dyDescent="0.3">
      <c r="A600" s="1"/>
      <c r="B600" s="1"/>
      <c r="C600" s="1"/>
      <c r="D600" s="1"/>
    </row>
    <row r="601" spans="1:4" ht="13" x14ac:dyDescent="0.3">
      <c r="A601" s="1"/>
      <c r="B601" s="1"/>
      <c r="C601" s="1"/>
      <c r="D601" s="1"/>
    </row>
    <row r="602" spans="1:4" ht="13" x14ac:dyDescent="0.3">
      <c r="A602" s="1"/>
      <c r="B602" s="1"/>
      <c r="C602" s="1"/>
      <c r="D602" s="1"/>
    </row>
    <row r="603" spans="1:4" ht="13" x14ac:dyDescent="0.3">
      <c r="A603" s="1"/>
      <c r="B603" s="1"/>
      <c r="C603" s="1"/>
      <c r="D603" s="1"/>
    </row>
    <row r="604" spans="1:4" ht="13" x14ac:dyDescent="0.3">
      <c r="A604" s="1"/>
      <c r="B604" s="1"/>
      <c r="C604" s="1"/>
      <c r="D604" s="1"/>
    </row>
    <row r="605" spans="1:4" ht="13" x14ac:dyDescent="0.3">
      <c r="A605" s="1"/>
      <c r="B605" s="1"/>
      <c r="C605" s="1"/>
      <c r="D605" s="1"/>
    </row>
    <row r="606" spans="1:4" ht="13" x14ac:dyDescent="0.3">
      <c r="A606" s="1"/>
      <c r="B606" s="1"/>
      <c r="C606" s="1"/>
      <c r="D606" s="1"/>
    </row>
    <row r="607" spans="1:4" ht="13" x14ac:dyDescent="0.3">
      <c r="A607" s="1"/>
      <c r="B607" s="1"/>
      <c r="C607" s="1"/>
      <c r="D607" s="1"/>
    </row>
    <row r="608" spans="1:4" ht="13" x14ac:dyDescent="0.3">
      <c r="A608" s="1"/>
      <c r="B608" s="1"/>
      <c r="C608" s="1"/>
      <c r="D608" s="1"/>
    </row>
    <row r="609" spans="1:4" ht="13" x14ac:dyDescent="0.3">
      <c r="A609" s="1"/>
      <c r="B609" s="1"/>
      <c r="C609" s="1"/>
      <c r="D609" s="1"/>
    </row>
    <row r="610" spans="1:4" ht="13" x14ac:dyDescent="0.3">
      <c r="A610" s="1"/>
      <c r="B610" s="1"/>
      <c r="C610" s="1"/>
      <c r="D610" s="1"/>
    </row>
    <row r="611" spans="1:4" ht="13" x14ac:dyDescent="0.3">
      <c r="A611" s="1"/>
      <c r="B611" s="1"/>
      <c r="C611" s="1"/>
      <c r="D611" s="1"/>
    </row>
    <row r="612" spans="1:4" ht="13" x14ac:dyDescent="0.3">
      <c r="A612" s="1"/>
      <c r="B612" s="1"/>
      <c r="C612" s="1"/>
      <c r="D612" s="1"/>
    </row>
    <row r="613" spans="1:4" ht="13" x14ac:dyDescent="0.3">
      <c r="A613" s="1"/>
      <c r="B613" s="1"/>
      <c r="C613" s="1"/>
      <c r="D613" s="1"/>
    </row>
    <row r="614" spans="1:4" ht="13" x14ac:dyDescent="0.3">
      <c r="A614" s="1"/>
      <c r="B614" s="1"/>
      <c r="C614" s="1"/>
      <c r="D614" s="1"/>
    </row>
    <row r="615" spans="1:4" ht="13" x14ac:dyDescent="0.3">
      <c r="A615" s="1"/>
      <c r="B615" s="1"/>
      <c r="C615" s="1"/>
      <c r="D615" s="1"/>
    </row>
    <row r="616" spans="1:4" ht="13" x14ac:dyDescent="0.3">
      <c r="A616" s="1"/>
      <c r="B616" s="1"/>
      <c r="C616" s="1"/>
      <c r="D616" s="1"/>
    </row>
    <row r="617" spans="1:4" ht="13" x14ac:dyDescent="0.3">
      <c r="A617" s="1"/>
      <c r="B617" s="1"/>
      <c r="C617" s="1"/>
      <c r="D617" s="1"/>
    </row>
    <row r="618" spans="1:4" ht="13" x14ac:dyDescent="0.3">
      <c r="A618" s="1"/>
      <c r="B618" s="1"/>
      <c r="C618" s="1"/>
      <c r="D618" s="1"/>
    </row>
    <row r="619" spans="1:4" ht="13" x14ac:dyDescent="0.3">
      <c r="A619" s="1"/>
      <c r="B619" s="1"/>
      <c r="C619" s="1"/>
      <c r="D619" s="1"/>
    </row>
    <row r="620" spans="1:4" ht="13" x14ac:dyDescent="0.3">
      <c r="A620" s="1"/>
      <c r="B620" s="1"/>
      <c r="C620" s="1"/>
      <c r="D620" s="1"/>
    </row>
    <row r="621" spans="1:4" ht="13" x14ac:dyDescent="0.3">
      <c r="A621" s="1"/>
      <c r="B621" s="1"/>
      <c r="C621" s="1"/>
      <c r="D621" s="1"/>
    </row>
    <row r="622" spans="1:4" ht="13" x14ac:dyDescent="0.3">
      <c r="A622" s="1"/>
      <c r="B622" s="1"/>
      <c r="C622" s="1"/>
      <c r="D622" s="1"/>
    </row>
    <row r="623" spans="1:4" ht="13" x14ac:dyDescent="0.3">
      <c r="A623" s="1"/>
      <c r="B623" s="1"/>
      <c r="C623" s="1"/>
      <c r="D623" s="1"/>
    </row>
    <row r="624" spans="1:4" ht="13" x14ac:dyDescent="0.3">
      <c r="A624" s="1"/>
      <c r="B624" s="1"/>
      <c r="C624" s="1"/>
      <c r="D624" s="1"/>
    </row>
    <row r="625" spans="1:4" ht="13" x14ac:dyDescent="0.3">
      <c r="A625" s="1"/>
      <c r="B625" s="1"/>
      <c r="C625" s="1"/>
      <c r="D625" s="1"/>
    </row>
    <row r="626" spans="1:4" ht="13" x14ac:dyDescent="0.3">
      <c r="A626" s="1"/>
      <c r="B626" s="1"/>
      <c r="C626" s="1"/>
      <c r="D626" s="1"/>
    </row>
    <row r="627" spans="1:4" ht="13" x14ac:dyDescent="0.3">
      <c r="A627" s="1"/>
      <c r="B627" s="1"/>
      <c r="C627" s="1"/>
      <c r="D627" s="1"/>
    </row>
    <row r="628" spans="1:4" ht="13" x14ac:dyDescent="0.3">
      <c r="A628" s="1"/>
      <c r="B628" s="1"/>
      <c r="C628" s="1"/>
      <c r="D628" s="1"/>
    </row>
    <row r="629" spans="1:4" ht="13" x14ac:dyDescent="0.3">
      <c r="A629" s="1"/>
      <c r="B629" s="1"/>
      <c r="C629" s="1"/>
      <c r="D629" s="1"/>
    </row>
    <row r="630" spans="1:4" ht="13" x14ac:dyDescent="0.3">
      <c r="A630" s="1"/>
      <c r="B630" s="1"/>
      <c r="C630" s="1"/>
      <c r="D630" s="1"/>
    </row>
    <row r="631" spans="1:4" ht="13" x14ac:dyDescent="0.3">
      <c r="A631" s="1"/>
      <c r="B631" s="1"/>
      <c r="C631" s="1"/>
      <c r="D631" s="1"/>
    </row>
    <row r="632" spans="1:4" ht="13" x14ac:dyDescent="0.3">
      <c r="A632" s="1"/>
      <c r="B632" s="1"/>
      <c r="C632" s="1"/>
      <c r="D632" s="1"/>
    </row>
    <row r="633" spans="1:4" ht="13" x14ac:dyDescent="0.3">
      <c r="A633" s="1"/>
      <c r="B633" s="1"/>
      <c r="C633" s="1"/>
      <c r="D633" s="1"/>
    </row>
    <row r="634" spans="1:4" ht="13" x14ac:dyDescent="0.3">
      <c r="A634" s="1"/>
      <c r="B634" s="1"/>
      <c r="C634" s="1"/>
      <c r="D634" s="1"/>
    </row>
    <row r="635" spans="1:4" ht="13" x14ac:dyDescent="0.3">
      <c r="A635" s="1"/>
      <c r="B635" s="1"/>
      <c r="C635" s="1"/>
      <c r="D635" s="1"/>
    </row>
    <row r="636" spans="1:4" ht="13" x14ac:dyDescent="0.3">
      <c r="A636" s="1"/>
      <c r="B636" s="1"/>
      <c r="C636" s="1"/>
      <c r="D636" s="1"/>
    </row>
    <row r="637" spans="1:4" ht="13" x14ac:dyDescent="0.3">
      <c r="A637" s="1"/>
      <c r="B637" s="1"/>
      <c r="C637" s="1"/>
      <c r="D637" s="1"/>
    </row>
    <row r="638" spans="1:4" ht="13" x14ac:dyDescent="0.3">
      <c r="A638" s="1"/>
      <c r="B638" s="1"/>
      <c r="C638" s="1"/>
      <c r="D638" s="1"/>
    </row>
    <row r="639" spans="1:4" ht="13" x14ac:dyDescent="0.3">
      <c r="A639" s="1"/>
      <c r="B639" s="1"/>
      <c r="C639" s="1"/>
      <c r="D639" s="1"/>
    </row>
    <row r="640" spans="1:4" ht="13" x14ac:dyDescent="0.3">
      <c r="A640" s="1"/>
      <c r="B640" s="1"/>
      <c r="C640" s="1"/>
      <c r="D640" s="1"/>
    </row>
    <row r="641" spans="1:4" ht="13" x14ac:dyDescent="0.3">
      <c r="A641" s="1"/>
      <c r="B641" s="1"/>
      <c r="C641" s="1"/>
      <c r="D641" s="1"/>
    </row>
    <row r="642" spans="1:4" ht="13" x14ac:dyDescent="0.3">
      <c r="A642" s="1"/>
      <c r="B642" s="1"/>
      <c r="C642" s="1"/>
      <c r="D642" s="1"/>
    </row>
    <row r="643" spans="1:4" ht="13" x14ac:dyDescent="0.3">
      <c r="A643" s="1"/>
      <c r="B643" s="1"/>
      <c r="C643" s="1"/>
      <c r="D643" s="1"/>
    </row>
    <row r="644" spans="1:4" ht="13" x14ac:dyDescent="0.3">
      <c r="A644" s="1"/>
      <c r="B644" s="1"/>
      <c r="C644" s="1"/>
      <c r="D644" s="1"/>
    </row>
    <row r="645" spans="1:4" ht="13" x14ac:dyDescent="0.3">
      <c r="A645" s="1"/>
      <c r="B645" s="1"/>
      <c r="C645" s="1"/>
      <c r="D645" s="1"/>
    </row>
    <row r="646" spans="1:4" ht="13" x14ac:dyDescent="0.3">
      <c r="A646" s="1"/>
      <c r="B646" s="1"/>
      <c r="C646" s="1"/>
      <c r="D646" s="1"/>
    </row>
    <row r="647" spans="1:4" ht="13" x14ac:dyDescent="0.3">
      <c r="A647" s="1"/>
      <c r="B647" s="1"/>
      <c r="C647" s="1"/>
      <c r="D647" s="1"/>
    </row>
    <row r="648" spans="1:4" ht="13" x14ac:dyDescent="0.3">
      <c r="A648" s="1"/>
      <c r="B648" s="1"/>
      <c r="C648" s="1"/>
      <c r="D648" s="1"/>
    </row>
    <row r="649" spans="1:4" ht="13" x14ac:dyDescent="0.3">
      <c r="A649" s="1"/>
      <c r="B649" s="1"/>
      <c r="C649" s="1"/>
      <c r="D649" s="1"/>
    </row>
    <row r="650" spans="1:4" ht="13" x14ac:dyDescent="0.3">
      <c r="A650" s="1"/>
      <c r="B650" s="1"/>
      <c r="C650" s="1"/>
      <c r="D650" s="1"/>
    </row>
    <row r="651" spans="1:4" ht="13" x14ac:dyDescent="0.3">
      <c r="A651" s="1"/>
      <c r="B651" s="1"/>
      <c r="C651" s="1"/>
      <c r="D651" s="1"/>
    </row>
    <row r="652" spans="1:4" ht="13" x14ac:dyDescent="0.3">
      <c r="A652" s="1"/>
      <c r="B652" s="1"/>
      <c r="C652" s="1"/>
      <c r="D652" s="1"/>
    </row>
    <row r="653" spans="1:4" ht="13" x14ac:dyDescent="0.3">
      <c r="A653" s="1"/>
      <c r="B653" s="1"/>
      <c r="C653" s="1"/>
      <c r="D653" s="1"/>
    </row>
    <row r="654" spans="1:4" ht="13" x14ac:dyDescent="0.3">
      <c r="A654" s="1"/>
      <c r="B654" s="1"/>
      <c r="C654" s="1"/>
      <c r="D654" s="1"/>
    </row>
    <row r="655" spans="1:4" ht="13" x14ac:dyDescent="0.3">
      <c r="A655" s="1"/>
      <c r="B655" s="1"/>
      <c r="C655" s="1"/>
      <c r="D655" s="1"/>
    </row>
    <row r="656" spans="1:4" ht="13" x14ac:dyDescent="0.3">
      <c r="A656" s="1"/>
      <c r="B656" s="1"/>
      <c r="C656" s="1"/>
      <c r="D656" s="1"/>
    </row>
    <row r="657" spans="1:4" ht="13" x14ac:dyDescent="0.3">
      <c r="A657" s="1"/>
      <c r="B657" s="1"/>
      <c r="C657" s="1"/>
      <c r="D657" s="1"/>
    </row>
    <row r="658" spans="1:4" ht="13" x14ac:dyDescent="0.3">
      <c r="A658" s="1"/>
      <c r="B658" s="1"/>
      <c r="C658" s="1"/>
      <c r="D658" s="1"/>
    </row>
    <row r="659" spans="1:4" ht="13" x14ac:dyDescent="0.3">
      <c r="A659" s="1"/>
      <c r="B659" s="1"/>
      <c r="C659" s="1"/>
      <c r="D659" s="1"/>
    </row>
    <row r="660" spans="1:4" ht="13" x14ac:dyDescent="0.3">
      <c r="A660" s="1"/>
      <c r="B660" s="1"/>
      <c r="C660" s="1"/>
      <c r="D660" s="1"/>
    </row>
    <row r="661" spans="1:4" ht="13" x14ac:dyDescent="0.3">
      <c r="A661" s="1"/>
      <c r="B661" s="1"/>
      <c r="C661" s="1"/>
      <c r="D661" s="1"/>
    </row>
    <row r="662" spans="1:4" ht="13" x14ac:dyDescent="0.3">
      <c r="A662" s="1"/>
      <c r="B662" s="1"/>
      <c r="C662" s="1"/>
      <c r="D662" s="1"/>
    </row>
    <row r="663" spans="1:4" ht="13" x14ac:dyDescent="0.3">
      <c r="A663" s="1"/>
      <c r="B663" s="1"/>
      <c r="C663" s="1"/>
      <c r="D663" s="1"/>
    </row>
    <row r="664" spans="1:4" ht="13" x14ac:dyDescent="0.3">
      <c r="A664" s="1"/>
      <c r="B664" s="1"/>
      <c r="C664" s="1"/>
      <c r="D664" s="1"/>
    </row>
    <row r="665" spans="1:4" ht="13" x14ac:dyDescent="0.3">
      <c r="A665" s="1"/>
      <c r="B665" s="1"/>
      <c r="C665" s="1"/>
      <c r="D665" s="1"/>
    </row>
    <row r="666" spans="1:4" ht="13" x14ac:dyDescent="0.3">
      <c r="A666" s="1"/>
      <c r="B666" s="1"/>
      <c r="C666" s="1"/>
      <c r="D666" s="1"/>
    </row>
    <row r="667" spans="1:4" ht="13" x14ac:dyDescent="0.3">
      <c r="A667" s="1"/>
      <c r="B667" s="1"/>
      <c r="C667" s="1"/>
      <c r="D667" s="1"/>
    </row>
    <row r="668" spans="1:4" ht="13" x14ac:dyDescent="0.3">
      <c r="A668" s="1"/>
      <c r="B668" s="1"/>
      <c r="C668" s="1"/>
      <c r="D668" s="1"/>
    </row>
    <row r="669" spans="1:4" ht="13" x14ac:dyDescent="0.3">
      <c r="A669" s="1"/>
      <c r="B669" s="1"/>
      <c r="C669" s="1"/>
      <c r="D669" s="1"/>
    </row>
    <row r="670" spans="1:4" ht="13" x14ac:dyDescent="0.3">
      <c r="A670" s="1"/>
      <c r="B670" s="1"/>
      <c r="C670" s="1"/>
      <c r="D670" s="1"/>
    </row>
    <row r="671" spans="1:4" ht="13" x14ac:dyDescent="0.3">
      <c r="A671" s="1"/>
      <c r="B671" s="1"/>
      <c r="C671" s="1"/>
      <c r="D671" s="1"/>
    </row>
    <row r="672" spans="1:4" ht="13" x14ac:dyDescent="0.3">
      <c r="A672" s="1"/>
      <c r="B672" s="1"/>
      <c r="C672" s="1"/>
      <c r="D672" s="1"/>
    </row>
    <row r="673" spans="1:4" ht="13" x14ac:dyDescent="0.3">
      <c r="A673" s="1"/>
      <c r="B673" s="1"/>
      <c r="C673" s="1"/>
      <c r="D673" s="1"/>
    </row>
    <row r="674" spans="1:4" ht="13" x14ac:dyDescent="0.3">
      <c r="A674" s="1"/>
      <c r="B674" s="1"/>
      <c r="C674" s="1"/>
      <c r="D674" s="1"/>
    </row>
    <row r="675" spans="1:4" ht="13" x14ac:dyDescent="0.3">
      <c r="A675" s="1"/>
      <c r="B675" s="1"/>
      <c r="C675" s="1"/>
      <c r="D675" s="1"/>
    </row>
    <row r="676" spans="1:4" ht="13" x14ac:dyDescent="0.3">
      <c r="A676" s="1"/>
      <c r="B676" s="1"/>
      <c r="C676" s="1"/>
      <c r="D676" s="1"/>
    </row>
    <row r="677" spans="1:4" ht="13" x14ac:dyDescent="0.3">
      <c r="A677" s="1"/>
      <c r="B677" s="1"/>
      <c r="C677" s="1"/>
      <c r="D677" s="1"/>
    </row>
    <row r="678" spans="1:4" ht="13" x14ac:dyDescent="0.3">
      <c r="A678" s="1"/>
      <c r="B678" s="1"/>
      <c r="C678" s="1"/>
      <c r="D678" s="1"/>
    </row>
    <row r="679" spans="1:4" ht="13" x14ac:dyDescent="0.3">
      <c r="A679" s="1"/>
      <c r="B679" s="1"/>
      <c r="C679" s="1"/>
      <c r="D679" s="1"/>
    </row>
    <row r="680" spans="1:4" ht="13" x14ac:dyDescent="0.3">
      <c r="A680" s="1"/>
      <c r="B680" s="1"/>
      <c r="C680" s="1"/>
      <c r="D680" s="1"/>
    </row>
    <row r="681" spans="1:4" ht="13" x14ac:dyDescent="0.3">
      <c r="A681" s="1"/>
      <c r="B681" s="1"/>
      <c r="C681" s="1"/>
      <c r="D681" s="1"/>
    </row>
    <row r="682" spans="1:4" ht="13" x14ac:dyDescent="0.3">
      <c r="A682" s="1"/>
      <c r="B682" s="1"/>
      <c r="C682" s="1"/>
      <c r="D682" s="1"/>
    </row>
    <row r="683" spans="1:4" ht="13" x14ac:dyDescent="0.3">
      <c r="A683" s="1"/>
      <c r="B683" s="1"/>
      <c r="C683" s="1"/>
      <c r="D683" s="1"/>
    </row>
    <row r="684" spans="1:4" ht="13" x14ac:dyDescent="0.3">
      <c r="A684" s="1"/>
      <c r="B684" s="1"/>
      <c r="C684" s="1"/>
      <c r="D684" s="1"/>
    </row>
    <row r="685" spans="1:4" ht="13" x14ac:dyDescent="0.3">
      <c r="A685" s="1"/>
      <c r="B685" s="1"/>
      <c r="C685" s="1"/>
      <c r="D685" s="1"/>
    </row>
    <row r="686" spans="1:4" ht="13" x14ac:dyDescent="0.3">
      <c r="A686" s="1"/>
      <c r="B686" s="1"/>
      <c r="C686" s="1"/>
      <c r="D686" s="1"/>
    </row>
    <row r="687" spans="1:4" ht="13" x14ac:dyDescent="0.3">
      <c r="A687" s="1"/>
      <c r="B687" s="1"/>
      <c r="C687" s="1"/>
      <c r="D687" s="1"/>
    </row>
    <row r="688" spans="1:4" ht="13" x14ac:dyDescent="0.3">
      <c r="A688" s="1"/>
      <c r="B688" s="1"/>
      <c r="C688" s="1"/>
      <c r="D688" s="1"/>
    </row>
    <row r="689" spans="1:4" ht="13" x14ac:dyDescent="0.3">
      <c r="A689" s="1"/>
      <c r="B689" s="1"/>
      <c r="C689" s="1"/>
      <c r="D689" s="1"/>
    </row>
    <row r="690" spans="1:4" ht="13" x14ac:dyDescent="0.3">
      <c r="A690" s="1"/>
      <c r="B690" s="1"/>
      <c r="C690" s="1"/>
      <c r="D690" s="1"/>
    </row>
    <row r="691" spans="1:4" ht="13" x14ac:dyDescent="0.3">
      <c r="A691" s="1"/>
      <c r="B691" s="1"/>
      <c r="C691" s="1"/>
      <c r="D691" s="1"/>
    </row>
    <row r="692" spans="1:4" ht="13" x14ac:dyDescent="0.3">
      <c r="A692" s="1"/>
      <c r="B692" s="1"/>
      <c r="C692" s="1"/>
      <c r="D692" s="1"/>
    </row>
    <row r="693" spans="1:4" ht="13" x14ac:dyDescent="0.3">
      <c r="A693" s="1"/>
      <c r="B693" s="1"/>
      <c r="C693" s="1"/>
      <c r="D693" s="1"/>
    </row>
    <row r="694" spans="1:4" ht="13" x14ac:dyDescent="0.3">
      <c r="A694" s="1"/>
      <c r="B694" s="1"/>
      <c r="C694" s="1"/>
      <c r="D694" s="1"/>
    </row>
    <row r="695" spans="1:4" ht="13" x14ac:dyDescent="0.3">
      <c r="A695" s="1"/>
      <c r="B695" s="1"/>
      <c r="C695" s="1"/>
      <c r="D695" s="1"/>
    </row>
    <row r="696" spans="1:4" ht="13" x14ac:dyDescent="0.3">
      <c r="A696" s="1"/>
      <c r="B696" s="1"/>
      <c r="C696" s="1"/>
      <c r="D696" s="1"/>
    </row>
    <row r="697" spans="1:4" ht="13" x14ac:dyDescent="0.3">
      <c r="A697" s="1"/>
      <c r="B697" s="1"/>
      <c r="C697" s="1"/>
      <c r="D697" s="1"/>
    </row>
    <row r="698" spans="1:4" ht="13" x14ac:dyDescent="0.3">
      <c r="A698" s="1"/>
      <c r="B698" s="1"/>
      <c r="C698" s="1"/>
      <c r="D698" s="1"/>
    </row>
    <row r="699" spans="1:4" ht="13" x14ac:dyDescent="0.3">
      <c r="A699" s="1"/>
      <c r="B699" s="1"/>
      <c r="C699" s="1"/>
      <c r="D699" s="1"/>
    </row>
    <row r="700" spans="1:4" ht="13" x14ac:dyDescent="0.3">
      <c r="A700" s="1"/>
      <c r="B700" s="1"/>
      <c r="C700" s="1"/>
      <c r="D700" s="1"/>
    </row>
    <row r="701" spans="1:4" ht="13" x14ac:dyDescent="0.3">
      <c r="A701" s="1"/>
      <c r="B701" s="1"/>
      <c r="C701" s="1"/>
      <c r="D701" s="1"/>
    </row>
    <row r="702" spans="1:4" ht="13" x14ac:dyDescent="0.3">
      <c r="A702" s="1"/>
      <c r="B702" s="1"/>
      <c r="C702" s="1"/>
      <c r="D702" s="1"/>
    </row>
    <row r="703" spans="1:4" ht="13" x14ac:dyDescent="0.3">
      <c r="A703" s="1"/>
      <c r="B703" s="1"/>
      <c r="C703" s="1"/>
      <c r="D703" s="1"/>
    </row>
    <row r="704" spans="1:4" ht="13" x14ac:dyDescent="0.3">
      <c r="A704" s="1"/>
      <c r="B704" s="1"/>
      <c r="C704" s="1"/>
      <c r="D704" s="1"/>
    </row>
    <row r="705" spans="1:4" ht="13" x14ac:dyDescent="0.3">
      <c r="A705" s="1"/>
      <c r="B705" s="1"/>
      <c r="C705" s="1"/>
      <c r="D705" s="1"/>
    </row>
    <row r="706" spans="1:4" ht="13" x14ac:dyDescent="0.3">
      <c r="A706" s="1"/>
      <c r="B706" s="1"/>
      <c r="C706" s="1"/>
      <c r="D706" s="1"/>
    </row>
    <row r="707" spans="1:4" ht="13" x14ac:dyDescent="0.3">
      <c r="A707" s="1"/>
      <c r="B707" s="1"/>
      <c r="C707" s="1"/>
      <c r="D707" s="1"/>
    </row>
    <row r="708" spans="1:4" ht="13" x14ac:dyDescent="0.3">
      <c r="A708" s="1"/>
      <c r="B708" s="1"/>
      <c r="C708" s="1"/>
      <c r="D708" s="1"/>
    </row>
    <row r="709" spans="1:4" ht="13" x14ac:dyDescent="0.3">
      <c r="A709" s="1"/>
      <c r="B709" s="1"/>
      <c r="C709" s="1"/>
      <c r="D709" s="1"/>
    </row>
    <row r="710" spans="1:4" ht="13" x14ac:dyDescent="0.3">
      <c r="A710" s="1"/>
      <c r="B710" s="1"/>
      <c r="C710" s="1"/>
      <c r="D710" s="1"/>
    </row>
    <row r="711" spans="1:4" ht="13" x14ac:dyDescent="0.3">
      <c r="A711" s="1"/>
      <c r="B711" s="1"/>
      <c r="C711" s="1"/>
      <c r="D711" s="1"/>
    </row>
    <row r="712" spans="1:4" ht="13" x14ac:dyDescent="0.3">
      <c r="A712" s="1"/>
      <c r="B712" s="1"/>
      <c r="C712" s="1"/>
      <c r="D712" s="1"/>
    </row>
    <row r="713" spans="1:4" ht="13" x14ac:dyDescent="0.3">
      <c r="A713" s="1"/>
      <c r="B713" s="1"/>
      <c r="C713" s="1"/>
      <c r="D713" s="1"/>
    </row>
    <row r="714" spans="1:4" ht="13" x14ac:dyDescent="0.3">
      <c r="A714" s="1"/>
      <c r="B714" s="1"/>
      <c r="C714" s="1"/>
      <c r="D714" s="1"/>
    </row>
    <row r="715" spans="1:4" ht="13" x14ac:dyDescent="0.3">
      <c r="A715" s="1"/>
      <c r="B715" s="1"/>
      <c r="C715" s="1"/>
      <c r="D715" s="1"/>
    </row>
    <row r="716" spans="1:4" ht="13" x14ac:dyDescent="0.3">
      <c r="A716" s="1"/>
      <c r="B716" s="1"/>
      <c r="C716" s="1"/>
      <c r="D716" s="1"/>
    </row>
    <row r="717" spans="1:4" ht="13" x14ac:dyDescent="0.3">
      <c r="A717" s="1"/>
      <c r="B717" s="1"/>
      <c r="C717" s="1"/>
      <c r="D717" s="1"/>
    </row>
    <row r="718" spans="1:4" ht="13" x14ac:dyDescent="0.3">
      <c r="A718" s="1"/>
      <c r="B718" s="1"/>
      <c r="C718" s="1"/>
      <c r="D718" s="1"/>
    </row>
    <row r="719" spans="1:4" ht="13" x14ac:dyDescent="0.3">
      <c r="A719" s="1"/>
      <c r="B719" s="1"/>
      <c r="C719" s="1"/>
      <c r="D719" s="1"/>
    </row>
    <row r="720" spans="1:4" ht="13" x14ac:dyDescent="0.3">
      <c r="A720" s="1"/>
      <c r="B720" s="1"/>
      <c r="C720" s="1"/>
      <c r="D720" s="1"/>
    </row>
    <row r="721" spans="1:4" ht="13" x14ac:dyDescent="0.3">
      <c r="A721" s="1"/>
      <c r="B721" s="1"/>
      <c r="C721" s="1"/>
      <c r="D721" s="1"/>
    </row>
    <row r="722" spans="1:4" ht="13" x14ac:dyDescent="0.3">
      <c r="A722" s="1"/>
      <c r="B722" s="1"/>
      <c r="C722" s="1"/>
      <c r="D722" s="1"/>
    </row>
    <row r="723" spans="1:4" ht="13" x14ac:dyDescent="0.3">
      <c r="A723" s="1"/>
      <c r="B723" s="1"/>
      <c r="C723" s="1"/>
      <c r="D723" s="1"/>
    </row>
    <row r="724" spans="1:4" ht="13" x14ac:dyDescent="0.3">
      <c r="A724" s="1"/>
      <c r="B724" s="1"/>
      <c r="C724" s="1"/>
      <c r="D724" s="1"/>
    </row>
    <row r="725" spans="1:4" ht="13" x14ac:dyDescent="0.3">
      <c r="A725" s="1"/>
      <c r="B725" s="1"/>
      <c r="C725" s="1"/>
      <c r="D725" s="1"/>
    </row>
    <row r="726" spans="1:4" ht="13" x14ac:dyDescent="0.3">
      <c r="A726" s="1"/>
      <c r="B726" s="1"/>
      <c r="C726" s="1"/>
      <c r="D726" s="1"/>
    </row>
    <row r="727" spans="1:4" ht="13" x14ac:dyDescent="0.3">
      <c r="A727" s="1"/>
      <c r="B727" s="1"/>
      <c r="C727" s="1"/>
      <c r="D727" s="1"/>
    </row>
    <row r="728" spans="1:4" ht="13" x14ac:dyDescent="0.3">
      <c r="A728" s="1"/>
      <c r="B728" s="1"/>
      <c r="C728" s="1"/>
      <c r="D728" s="1"/>
    </row>
    <row r="729" spans="1:4" ht="13" x14ac:dyDescent="0.3">
      <c r="A729" s="1"/>
      <c r="B729" s="1"/>
      <c r="C729" s="1"/>
      <c r="D729" s="1"/>
    </row>
    <row r="730" spans="1:4" ht="13" x14ac:dyDescent="0.3">
      <c r="A730" s="1"/>
      <c r="B730" s="1"/>
      <c r="C730" s="1"/>
      <c r="D730" s="1"/>
    </row>
    <row r="731" spans="1:4" ht="13" x14ac:dyDescent="0.3">
      <c r="A731" s="1"/>
      <c r="B731" s="1"/>
      <c r="C731" s="1"/>
      <c r="D731" s="1"/>
    </row>
    <row r="732" spans="1:4" ht="13" x14ac:dyDescent="0.3">
      <c r="A732" s="1"/>
      <c r="B732" s="1"/>
      <c r="C732" s="1"/>
      <c r="D732" s="1"/>
    </row>
    <row r="733" spans="1:4" ht="13" x14ac:dyDescent="0.3">
      <c r="A733" s="1"/>
      <c r="B733" s="1"/>
      <c r="C733" s="1"/>
      <c r="D733" s="1"/>
    </row>
    <row r="734" spans="1:4" ht="13" x14ac:dyDescent="0.3">
      <c r="A734" s="1"/>
      <c r="B734" s="1"/>
      <c r="C734" s="1"/>
      <c r="D734" s="1"/>
    </row>
    <row r="735" spans="1:4" ht="13" x14ac:dyDescent="0.3">
      <c r="A735" s="1"/>
      <c r="B735" s="1"/>
      <c r="C735" s="1"/>
      <c r="D735" s="1"/>
    </row>
    <row r="736" spans="1:4" ht="13" x14ac:dyDescent="0.3">
      <c r="A736" s="1"/>
      <c r="B736" s="1"/>
      <c r="C736" s="1"/>
      <c r="D736" s="1"/>
    </row>
    <row r="737" spans="1:4" ht="13" x14ac:dyDescent="0.3">
      <c r="A737" s="1"/>
      <c r="B737" s="1"/>
      <c r="C737" s="1"/>
      <c r="D737" s="1"/>
    </row>
    <row r="738" spans="1:4" ht="13" x14ac:dyDescent="0.3">
      <c r="A738" s="1"/>
      <c r="B738" s="1"/>
      <c r="C738" s="1"/>
      <c r="D738" s="1"/>
    </row>
    <row r="739" spans="1:4" ht="13" x14ac:dyDescent="0.3">
      <c r="A739" s="1"/>
      <c r="B739" s="1"/>
      <c r="C739" s="1"/>
      <c r="D739" s="1"/>
    </row>
    <row r="740" spans="1:4" ht="13" x14ac:dyDescent="0.3">
      <c r="A740" s="1"/>
      <c r="B740" s="1"/>
      <c r="C740" s="1"/>
      <c r="D740" s="1"/>
    </row>
    <row r="741" spans="1:4" ht="13" x14ac:dyDescent="0.3">
      <c r="A741" s="1"/>
      <c r="B741" s="1"/>
      <c r="C741" s="1"/>
      <c r="D741" s="1"/>
    </row>
    <row r="742" spans="1:4" ht="13" x14ac:dyDescent="0.3">
      <c r="A742" s="1"/>
      <c r="B742" s="1"/>
      <c r="C742" s="1"/>
      <c r="D742" s="1"/>
    </row>
    <row r="743" spans="1:4" ht="13" x14ac:dyDescent="0.3">
      <c r="A743" s="1"/>
      <c r="B743" s="1"/>
      <c r="C743" s="1"/>
      <c r="D743" s="1"/>
    </row>
    <row r="744" spans="1:4" ht="13" x14ac:dyDescent="0.3">
      <c r="A744" s="1"/>
      <c r="B744" s="1"/>
      <c r="C744" s="1"/>
      <c r="D744" s="1"/>
    </row>
    <row r="745" spans="1:4" ht="13" x14ac:dyDescent="0.3">
      <c r="A745" s="1"/>
      <c r="B745" s="1"/>
      <c r="C745" s="1"/>
      <c r="D745" s="1"/>
    </row>
    <row r="746" spans="1:4" ht="13" x14ac:dyDescent="0.3">
      <c r="A746" s="1"/>
      <c r="B746" s="1"/>
      <c r="C746" s="1"/>
      <c r="D746" s="1"/>
    </row>
    <row r="747" spans="1:4" ht="13" x14ac:dyDescent="0.3">
      <c r="A747" s="1"/>
      <c r="B747" s="1"/>
      <c r="C747" s="1"/>
      <c r="D747" s="1"/>
    </row>
    <row r="748" spans="1:4" ht="13" x14ac:dyDescent="0.3">
      <c r="A748" s="1"/>
      <c r="B748" s="1"/>
      <c r="C748" s="1"/>
      <c r="D748" s="1"/>
    </row>
    <row r="749" spans="1:4" ht="13" x14ac:dyDescent="0.3">
      <c r="A749" s="1"/>
      <c r="B749" s="1"/>
      <c r="C749" s="1"/>
      <c r="D749" s="1"/>
    </row>
    <row r="750" spans="1:4" ht="13" x14ac:dyDescent="0.3">
      <c r="A750" s="1"/>
      <c r="B750" s="1"/>
      <c r="C750" s="1"/>
      <c r="D750" s="1"/>
    </row>
    <row r="751" spans="1:4" ht="13" x14ac:dyDescent="0.3">
      <c r="A751" s="1"/>
      <c r="B751" s="1"/>
      <c r="C751" s="1"/>
      <c r="D751" s="1"/>
    </row>
    <row r="752" spans="1:4" ht="13" x14ac:dyDescent="0.3">
      <c r="A752" s="1"/>
      <c r="B752" s="1"/>
      <c r="C752" s="1"/>
      <c r="D752" s="1"/>
    </row>
    <row r="753" spans="1:4" ht="13" x14ac:dyDescent="0.3">
      <c r="A753" s="1"/>
      <c r="B753" s="1"/>
      <c r="C753" s="1"/>
      <c r="D753" s="1"/>
    </row>
    <row r="754" spans="1:4" ht="13" x14ac:dyDescent="0.3">
      <c r="A754" s="1"/>
      <c r="B754" s="1"/>
      <c r="C754" s="1"/>
      <c r="D754" s="1"/>
    </row>
    <row r="755" spans="1:4" ht="13" x14ac:dyDescent="0.3">
      <c r="A755" s="1"/>
      <c r="B755" s="1"/>
      <c r="C755" s="1"/>
      <c r="D755" s="1"/>
    </row>
    <row r="756" spans="1:4" ht="13" x14ac:dyDescent="0.3">
      <c r="A756" s="1"/>
      <c r="B756" s="1"/>
      <c r="C756" s="1"/>
      <c r="D756" s="1"/>
    </row>
    <row r="757" spans="1:4" ht="13" x14ac:dyDescent="0.3">
      <c r="A757" s="1"/>
      <c r="B757" s="1"/>
      <c r="C757" s="1"/>
      <c r="D757" s="1"/>
    </row>
    <row r="758" spans="1:4" ht="13" x14ac:dyDescent="0.3">
      <c r="A758" s="1"/>
      <c r="B758" s="1"/>
      <c r="C758" s="1"/>
      <c r="D758" s="1"/>
    </row>
    <row r="759" spans="1:4" ht="13" x14ac:dyDescent="0.3">
      <c r="A759" s="1"/>
      <c r="B759" s="1"/>
      <c r="C759" s="1"/>
      <c r="D759" s="1"/>
    </row>
    <row r="760" spans="1:4" ht="13" x14ac:dyDescent="0.3">
      <c r="A760" s="1"/>
      <c r="B760" s="1"/>
      <c r="C760" s="1"/>
      <c r="D760" s="1"/>
    </row>
    <row r="761" spans="1:4" ht="13" x14ac:dyDescent="0.3">
      <c r="A761" s="1"/>
      <c r="B761" s="1"/>
      <c r="C761" s="1"/>
      <c r="D761" s="1"/>
    </row>
    <row r="762" spans="1:4" ht="13" x14ac:dyDescent="0.3">
      <c r="A762" s="1"/>
      <c r="B762" s="1"/>
      <c r="C762" s="1"/>
      <c r="D762" s="1"/>
    </row>
    <row r="763" spans="1:4" ht="13" x14ac:dyDescent="0.3">
      <c r="A763" s="1"/>
      <c r="B763" s="1"/>
      <c r="C763" s="1"/>
      <c r="D763" s="1"/>
    </row>
    <row r="764" spans="1:4" ht="13" x14ac:dyDescent="0.3">
      <c r="A764" s="1"/>
      <c r="B764" s="1"/>
      <c r="C764" s="1"/>
      <c r="D764" s="1"/>
    </row>
    <row r="765" spans="1:4" ht="13" x14ac:dyDescent="0.3">
      <c r="A765" s="1"/>
      <c r="B765" s="1"/>
      <c r="C765" s="1"/>
      <c r="D765" s="1"/>
    </row>
    <row r="766" spans="1:4" ht="13" x14ac:dyDescent="0.3">
      <c r="A766" s="1"/>
      <c r="B766" s="1"/>
      <c r="C766" s="1"/>
      <c r="D766" s="1"/>
    </row>
    <row r="767" spans="1:4" ht="13" x14ac:dyDescent="0.3">
      <c r="A767" s="1"/>
      <c r="B767" s="1"/>
      <c r="C767" s="1"/>
      <c r="D767" s="1"/>
    </row>
    <row r="768" spans="1:4" ht="13" x14ac:dyDescent="0.3">
      <c r="A768" s="1"/>
      <c r="B768" s="1"/>
      <c r="C768" s="1"/>
      <c r="D768" s="1"/>
    </row>
    <row r="769" spans="1:4" ht="13" x14ac:dyDescent="0.3">
      <c r="A769" s="1"/>
      <c r="B769" s="1"/>
      <c r="C769" s="1"/>
      <c r="D769" s="1"/>
    </row>
    <row r="770" spans="1:4" ht="13" x14ac:dyDescent="0.3">
      <c r="A770" s="1"/>
      <c r="B770" s="1"/>
      <c r="C770" s="1"/>
      <c r="D770" s="1"/>
    </row>
    <row r="771" spans="1:4" ht="13" x14ac:dyDescent="0.3">
      <c r="A771" s="1"/>
      <c r="B771" s="1"/>
      <c r="C771" s="1"/>
      <c r="D771" s="1"/>
    </row>
    <row r="772" spans="1:4" ht="13" x14ac:dyDescent="0.3">
      <c r="A772" s="1"/>
      <c r="B772" s="1"/>
      <c r="C772" s="1"/>
      <c r="D772" s="1"/>
    </row>
    <row r="773" spans="1:4" ht="13" x14ac:dyDescent="0.3">
      <c r="A773" s="1"/>
      <c r="B773" s="1"/>
      <c r="C773" s="1"/>
      <c r="D773" s="1"/>
    </row>
    <row r="774" spans="1:4" ht="13" x14ac:dyDescent="0.3">
      <c r="A774" s="1"/>
      <c r="B774" s="1"/>
      <c r="C774" s="1"/>
      <c r="D774" s="1"/>
    </row>
    <row r="775" spans="1:4" ht="13" x14ac:dyDescent="0.3">
      <c r="A775" s="1"/>
      <c r="B775" s="1"/>
      <c r="C775" s="1"/>
      <c r="D775" s="1"/>
    </row>
    <row r="776" spans="1:4" ht="13" x14ac:dyDescent="0.3">
      <c r="A776" s="1"/>
      <c r="B776" s="1"/>
      <c r="C776" s="1"/>
      <c r="D776" s="1"/>
    </row>
    <row r="777" spans="1:4" ht="13" x14ac:dyDescent="0.3">
      <c r="A777" s="1"/>
      <c r="B777" s="1"/>
      <c r="C777" s="1"/>
      <c r="D777" s="1"/>
    </row>
    <row r="778" spans="1:4" ht="13" x14ac:dyDescent="0.3">
      <c r="A778" s="1"/>
      <c r="B778" s="1"/>
      <c r="C778" s="1"/>
      <c r="D778" s="1"/>
    </row>
    <row r="779" spans="1:4" ht="13" x14ac:dyDescent="0.3">
      <c r="A779" s="1"/>
      <c r="B779" s="1"/>
      <c r="C779" s="1"/>
      <c r="D779" s="1"/>
    </row>
    <row r="780" spans="1:4" ht="13" x14ac:dyDescent="0.3">
      <c r="A780" s="1"/>
      <c r="B780" s="1"/>
      <c r="C780" s="1"/>
      <c r="D780" s="1"/>
    </row>
    <row r="781" spans="1:4" ht="13" x14ac:dyDescent="0.3">
      <c r="A781" s="1"/>
      <c r="B781" s="1"/>
      <c r="C781" s="1"/>
      <c r="D781" s="1"/>
    </row>
    <row r="782" spans="1:4" ht="13" x14ac:dyDescent="0.3">
      <c r="A782" s="1"/>
      <c r="B782" s="1"/>
      <c r="C782" s="1"/>
      <c r="D782" s="1"/>
    </row>
    <row r="783" spans="1:4" ht="13" x14ac:dyDescent="0.3">
      <c r="A783" s="1"/>
      <c r="B783" s="1"/>
      <c r="C783" s="1"/>
      <c r="D783" s="1"/>
    </row>
    <row r="784" spans="1:4" ht="13" x14ac:dyDescent="0.3">
      <c r="A784" s="1"/>
      <c r="B784" s="1"/>
      <c r="C784" s="1"/>
      <c r="D784" s="1"/>
    </row>
    <row r="785" spans="1:4" ht="13" x14ac:dyDescent="0.3">
      <c r="A785" s="1"/>
      <c r="B785" s="1"/>
      <c r="C785" s="1"/>
      <c r="D785" s="1"/>
    </row>
    <row r="786" spans="1:4" ht="13" x14ac:dyDescent="0.3">
      <c r="A786" s="1"/>
      <c r="B786" s="1"/>
      <c r="C786" s="1"/>
      <c r="D786" s="1"/>
    </row>
    <row r="787" spans="1:4" ht="13" x14ac:dyDescent="0.3">
      <c r="A787" s="1"/>
      <c r="B787" s="1"/>
      <c r="C787" s="1"/>
      <c r="D787" s="1"/>
    </row>
    <row r="788" spans="1:4" ht="13" x14ac:dyDescent="0.3">
      <c r="A788" s="1"/>
      <c r="B788" s="1"/>
      <c r="C788" s="1"/>
      <c r="D788" s="1"/>
    </row>
    <row r="789" spans="1:4" ht="13" x14ac:dyDescent="0.3">
      <c r="A789" s="1"/>
      <c r="B789" s="1"/>
      <c r="C789" s="1"/>
      <c r="D789" s="1"/>
    </row>
    <row r="790" spans="1:4" ht="13" x14ac:dyDescent="0.3">
      <c r="A790" s="1"/>
      <c r="B790" s="1"/>
      <c r="C790" s="1"/>
      <c r="D790" s="1"/>
    </row>
    <row r="791" spans="1:4" ht="13" x14ac:dyDescent="0.3">
      <c r="A791" s="1"/>
      <c r="B791" s="1"/>
      <c r="C791" s="1"/>
      <c r="D791" s="1"/>
    </row>
    <row r="792" spans="1:4" ht="13" x14ac:dyDescent="0.3">
      <c r="A792" s="1"/>
      <c r="B792" s="1"/>
      <c r="C792" s="1"/>
      <c r="D792" s="1"/>
    </row>
    <row r="793" spans="1:4" ht="13" x14ac:dyDescent="0.3">
      <c r="A793" s="1"/>
      <c r="B793" s="1"/>
      <c r="C793" s="1"/>
      <c r="D793" s="1"/>
    </row>
    <row r="794" spans="1:4" ht="13" x14ac:dyDescent="0.3">
      <c r="A794" s="1"/>
      <c r="B794" s="1"/>
      <c r="C794" s="1"/>
      <c r="D794" s="1"/>
    </row>
    <row r="795" spans="1:4" ht="13" x14ac:dyDescent="0.3">
      <c r="A795" s="1"/>
      <c r="B795" s="1"/>
      <c r="C795" s="1"/>
      <c r="D795" s="1"/>
    </row>
    <row r="796" spans="1:4" ht="13" x14ac:dyDescent="0.3">
      <c r="A796" s="1"/>
      <c r="B796" s="1"/>
      <c r="C796" s="1"/>
      <c r="D796" s="1"/>
    </row>
    <row r="797" spans="1:4" ht="13" x14ac:dyDescent="0.3">
      <c r="A797" s="1"/>
      <c r="B797" s="1"/>
      <c r="C797" s="1"/>
      <c r="D797" s="1"/>
    </row>
    <row r="798" spans="1:4" ht="13" x14ac:dyDescent="0.3">
      <c r="A798" s="1"/>
      <c r="B798" s="1"/>
      <c r="C798" s="1"/>
      <c r="D798" s="1"/>
    </row>
    <row r="799" spans="1:4" ht="13" x14ac:dyDescent="0.3">
      <c r="A799" s="1"/>
      <c r="B799" s="1"/>
      <c r="C799" s="1"/>
      <c r="D799" s="1"/>
    </row>
    <row r="800" spans="1:4" ht="13" x14ac:dyDescent="0.3">
      <c r="A800" s="1"/>
      <c r="B800" s="1"/>
      <c r="C800" s="1"/>
      <c r="D800" s="1"/>
    </row>
    <row r="801" spans="1:4" ht="13" x14ac:dyDescent="0.3">
      <c r="A801" s="1"/>
      <c r="B801" s="1"/>
      <c r="C801" s="1"/>
      <c r="D801" s="1"/>
    </row>
    <row r="802" spans="1:4" ht="13" x14ac:dyDescent="0.3">
      <c r="A802" s="1"/>
      <c r="B802" s="1"/>
      <c r="C802" s="1"/>
      <c r="D802" s="1"/>
    </row>
    <row r="803" spans="1:4" ht="13" x14ac:dyDescent="0.3">
      <c r="A803" s="1"/>
      <c r="B803" s="1"/>
      <c r="C803" s="1"/>
      <c r="D803" s="1"/>
    </row>
    <row r="804" spans="1:4" ht="13" x14ac:dyDescent="0.3">
      <c r="A804" s="1"/>
      <c r="B804" s="1"/>
      <c r="C804" s="1"/>
      <c r="D804" s="1"/>
    </row>
    <row r="805" spans="1:4" ht="13" x14ac:dyDescent="0.3">
      <c r="A805" s="1"/>
      <c r="B805" s="1"/>
      <c r="C805" s="1"/>
      <c r="D805" s="1"/>
    </row>
    <row r="806" spans="1:4" ht="13" x14ac:dyDescent="0.3">
      <c r="A806" s="1"/>
      <c r="B806" s="1"/>
      <c r="C806" s="1"/>
      <c r="D806" s="1"/>
    </row>
    <row r="807" spans="1:4" ht="13" x14ac:dyDescent="0.3">
      <c r="A807" s="1"/>
      <c r="B807" s="1"/>
      <c r="C807" s="1"/>
      <c r="D807" s="1"/>
    </row>
    <row r="808" spans="1:4" ht="13" x14ac:dyDescent="0.3">
      <c r="A808" s="1"/>
      <c r="B808" s="1"/>
      <c r="C808" s="1"/>
      <c r="D808" s="1"/>
    </row>
    <row r="809" spans="1:4" ht="13" x14ac:dyDescent="0.3">
      <c r="A809" s="1"/>
      <c r="B809" s="1"/>
      <c r="C809" s="1"/>
      <c r="D809" s="1"/>
    </row>
    <row r="810" spans="1:4" ht="13" x14ac:dyDescent="0.3">
      <c r="A810" s="1"/>
      <c r="B810" s="1"/>
      <c r="C810" s="1"/>
      <c r="D810" s="1"/>
    </row>
    <row r="811" spans="1:4" ht="13" x14ac:dyDescent="0.3">
      <c r="A811" s="1"/>
      <c r="B811" s="1"/>
      <c r="C811" s="1"/>
      <c r="D811" s="1"/>
    </row>
    <row r="812" spans="1:4" ht="13" x14ac:dyDescent="0.3">
      <c r="A812" s="1"/>
      <c r="B812" s="1"/>
      <c r="C812" s="1"/>
      <c r="D812" s="1"/>
    </row>
    <row r="813" spans="1:4" ht="13" x14ac:dyDescent="0.3">
      <c r="A813" s="1"/>
      <c r="B813" s="1"/>
      <c r="C813" s="1"/>
      <c r="D813" s="1"/>
    </row>
    <row r="814" spans="1:4" ht="13" x14ac:dyDescent="0.3">
      <c r="A814" s="1"/>
      <c r="B814" s="1"/>
      <c r="C814" s="1"/>
      <c r="D814" s="1"/>
    </row>
    <row r="815" spans="1:4" ht="13" x14ac:dyDescent="0.3">
      <c r="A815" s="1"/>
      <c r="B815" s="1"/>
      <c r="C815" s="1"/>
      <c r="D815" s="1"/>
    </row>
    <row r="816" spans="1:4" ht="13" x14ac:dyDescent="0.3">
      <c r="A816" s="1"/>
      <c r="B816" s="1"/>
      <c r="C816" s="1"/>
      <c r="D816" s="1"/>
    </row>
    <row r="817" spans="1:4" ht="13" x14ac:dyDescent="0.3">
      <c r="A817" s="1"/>
      <c r="B817" s="1"/>
      <c r="C817" s="1"/>
      <c r="D817" s="1"/>
    </row>
    <row r="818" spans="1:4" ht="13" x14ac:dyDescent="0.3">
      <c r="A818" s="1"/>
      <c r="B818" s="1"/>
      <c r="C818" s="1"/>
      <c r="D818" s="1"/>
    </row>
    <row r="819" spans="1:4" ht="13" x14ac:dyDescent="0.3">
      <c r="A819" s="1"/>
      <c r="B819" s="1"/>
      <c r="C819" s="1"/>
      <c r="D819" s="1"/>
    </row>
    <row r="820" spans="1:4" ht="13" x14ac:dyDescent="0.3">
      <c r="A820" s="1"/>
      <c r="B820" s="1"/>
      <c r="C820" s="1"/>
      <c r="D820" s="1"/>
    </row>
    <row r="821" spans="1:4" ht="13" x14ac:dyDescent="0.3">
      <c r="A821" s="1"/>
      <c r="B821" s="1"/>
      <c r="C821" s="1"/>
      <c r="D821" s="1"/>
    </row>
    <row r="822" spans="1:4" ht="13" x14ac:dyDescent="0.3">
      <c r="A822" s="1"/>
      <c r="B822" s="1"/>
      <c r="C822" s="1"/>
      <c r="D822" s="1"/>
    </row>
    <row r="823" spans="1:4" ht="13" x14ac:dyDescent="0.3">
      <c r="A823" s="1"/>
      <c r="B823" s="1"/>
      <c r="C823" s="1"/>
      <c r="D823" s="1"/>
    </row>
    <row r="824" spans="1:4" ht="13" x14ac:dyDescent="0.3">
      <c r="A824" s="1"/>
      <c r="B824" s="1"/>
      <c r="C824" s="1"/>
      <c r="D824" s="1"/>
    </row>
    <row r="825" spans="1:4" ht="13" x14ac:dyDescent="0.3">
      <c r="A825" s="1"/>
      <c r="B825" s="1"/>
      <c r="C825" s="1"/>
      <c r="D825" s="1"/>
    </row>
    <row r="826" spans="1:4" ht="13" x14ac:dyDescent="0.3">
      <c r="A826" s="1"/>
      <c r="B826" s="1"/>
      <c r="C826" s="1"/>
      <c r="D826" s="1"/>
    </row>
    <row r="827" spans="1:4" ht="13" x14ac:dyDescent="0.3">
      <c r="A827" s="1"/>
      <c r="B827" s="1"/>
      <c r="C827" s="1"/>
      <c r="D827" s="1"/>
    </row>
    <row r="828" spans="1:4" ht="13" x14ac:dyDescent="0.3">
      <c r="A828" s="1"/>
      <c r="B828" s="1"/>
      <c r="C828" s="1"/>
      <c r="D828" s="1"/>
    </row>
    <row r="829" spans="1:4" ht="13" x14ac:dyDescent="0.3">
      <c r="A829" s="1"/>
      <c r="B829" s="1"/>
      <c r="C829" s="1"/>
      <c r="D829" s="1"/>
    </row>
    <row r="830" spans="1:4" ht="13" x14ac:dyDescent="0.3">
      <c r="A830" s="1"/>
      <c r="B830" s="1"/>
      <c r="C830" s="1"/>
      <c r="D830" s="1"/>
    </row>
    <row r="831" spans="1:4" ht="13" x14ac:dyDescent="0.3">
      <c r="A831" s="1"/>
      <c r="B831" s="1"/>
      <c r="C831" s="1"/>
      <c r="D831" s="1"/>
    </row>
    <row r="832" spans="1:4" ht="13" x14ac:dyDescent="0.3">
      <c r="A832" s="1"/>
      <c r="B832" s="1"/>
      <c r="C832" s="1"/>
      <c r="D832" s="1"/>
    </row>
    <row r="833" spans="1:4" ht="13" x14ac:dyDescent="0.3">
      <c r="A833" s="1"/>
      <c r="B833" s="1"/>
      <c r="C833" s="1"/>
      <c r="D833" s="1"/>
    </row>
    <row r="834" spans="1:4" ht="13" x14ac:dyDescent="0.3">
      <c r="A834" s="1"/>
      <c r="B834" s="1"/>
      <c r="C834" s="1"/>
      <c r="D834" s="1"/>
    </row>
    <row r="835" spans="1:4" ht="13" x14ac:dyDescent="0.3">
      <c r="A835" s="1"/>
      <c r="B835" s="1"/>
      <c r="C835" s="1"/>
      <c r="D835" s="1"/>
    </row>
    <row r="836" spans="1:4" ht="13" x14ac:dyDescent="0.3">
      <c r="A836" s="1"/>
      <c r="B836" s="1"/>
      <c r="C836" s="1"/>
      <c r="D836" s="1"/>
    </row>
    <row r="837" spans="1:4" ht="13" x14ac:dyDescent="0.3">
      <c r="A837" s="1"/>
      <c r="B837" s="1"/>
      <c r="C837" s="1"/>
      <c r="D837" s="1"/>
    </row>
    <row r="838" spans="1:4" ht="13" x14ac:dyDescent="0.3">
      <c r="A838" s="1"/>
      <c r="B838" s="1"/>
      <c r="C838" s="1"/>
      <c r="D838" s="1"/>
    </row>
    <row r="839" spans="1:4" ht="13" x14ac:dyDescent="0.3">
      <c r="A839" s="1"/>
      <c r="B839" s="1"/>
      <c r="C839" s="1"/>
      <c r="D839" s="1"/>
    </row>
    <row r="840" spans="1:4" ht="13" x14ac:dyDescent="0.3">
      <c r="A840" s="1"/>
      <c r="B840" s="1"/>
      <c r="C840" s="1"/>
      <c r="D840" s="1"/>
    </row>
    <row r="841" spans="1:4" ht="13" x14ac:dyDescent="0.3">
      <c r="A841" s="1"/>
      <c r="B841" s="1"/>
      <c r="C841" s="1"/>
      <c r="D841" s="1"/>
    </row>
    <row r="842" spans="1:4" ht="13" x14ac:dyDescent="0.3">
      <c r="A842" s="1"/>
      <c r="B842" s="1"/>
      <c r="C842" s="1"/>
      <c r="D842" s="1"/>
    </row>
    <row r="843" spans="1:4" ht="13" x14ac:dyDescent="0.3">
      <c r="A843" s="1"/>
      <c r="B843" s="1"/>
      <c r="C843" s="1"/>
      <c r="D843" s="1"/>
    </row>
    <row r="844" spans="1:4" ht="13" x14ac:dyDescent="0.3">
      <c r="A844" s="1"/>
      <c r="B844" s="1"/>
      <c r="C844" s="1"/>
      <c r="D844" s="1"/>
    </row>
    <row r="845" spans="1:4" ht="13" x14ac:dyDescent="0.3">
      <c r="A845" s="1"/>
      <c r="B845" s="1"/>
      <c r="C845" s="1"/>
      <c r="D845" s="1"/>
    </row>
    <row r="846" spans="1:4" ht="13" x14ac:dyDescent="0.3">
      <c r="A846" s="1"/>
      <c r="B846" s="1"/>
      <c r="C846" s="1"/>
      <c r="D846" s="1"/>
    </row>
    <row r="847" spans="1:4" ht="13" x14ac:dyDescent="0.3">
      <c r="A847" s="1"/>
      <c r="B847" s="1"/>
      <c r="C847" s="1"/>
      <c r="D847" s="1"/>
    </row>
    <row r="848" spans="1:4" ht="13" x14ac:dyDescent="0.3">
      <c r="A848" s="1"/>
      <c r="B848" s="1"/>
      <c r="C848" s="1"/>
      <c r="D848" s="1"/>
    </row>
    <row r="849" spans="1:4" ht="13" x14ac:dyDescent="0.3">
      <c r="A849" s="1"/>
      <c r="B849" s="1"/>
      <c r="C849" s="1"/>
      <c r="D849" s="1"/>
    </row>
    <row r="850" spans="1:4" ht="13" x14ac:dyDescent="0.3">
      <c r="A850" s="1"/>
      <c r="B850" s="1"/>
      <c r="C850" s="1"/>
      <c r="D850" s="1"/>
    </row>
    <row r="851" spans="1:4" ht="13" x14ac:dyDescent="0.3">
      <c r="A851" s="1"/>
      <c r="B851" s="1"/>
      <c r="C851" s="1"/>
      <c r="D851" s="1"/>
    </row>
    <row r="852" spans="1:4" ht="13" x14ac:dyDescent="0.3">
      <c r="A852" s="1"/>
      <c r="B852" s="1"/>
      <c r="C852" s="1"/>
      <c r="D852" s="1"/>
    </row>
    <row r="853" spans="1:4" ht="13" x14ac:dyDescent="0.3">
      <c r="A853" s="1"/>
      <c r="B853" s="1"/>
      <c r="C853" s="1"/>
      <c r="D853" s="1"/>
    </row>
    <row r="854" spans="1:4" ht="13" x14ac:dyDescent="0.3">
      <c r="A854" s="1"/>
      <c r="B854" s="1"/>
      <c r="C854" s="1"/>
      <c r="D854" s="1"/>
    </row>
    <row r="855" spans="1:4" ht="13" x14ac:dyDescent="0.3">
      <c r="A855" s="1"/>
      <c r="B855" s="1"/>
      <c r="C855" s="1"/>
      <c r="D855" s="1"/>
    </row>
    <row r="856" spans="1:4" ht="13" x14ac:dyDescent="0.3">
      <c r="A856" s="1"/>
      <c r="B856" s="1"/>
      <c r="C856" s="1"/>
      <c r="D856" s="1"/>
    </row>
    <row r="857" spans="1:4" ht="13" x14ac:dyDescent="0.3">
      <c r="A857" s="1"/>
      <c r="B857" s="1"/>
      <c r="C857" s="1"/>
      <c r="D857" s="1"/>
    </row>
    <row r="858" spans="1:4" ht="13" x14ac:dyDescent="0.3">
      <c r="A858" s="1"/>
      <c r="B858" s="1"/>
      <c r="C858" s="1"/>
      <c r="D858" s="1"/>
    </row>
    <row r="859" spans="1:4" ht="13" x14ac:dyDescent="0.3">
      <c r="A859" s="1"/>
      <c r="B859" s="1"/>
      <c r="C859" s="1"/>
      <c r="D859" s="1"/>
    </row>
    <row r="860" spans="1:4" ht="13" x14ac:dyDescent="0.3">
      <c r="A860" s="1"/>
      <c r="B860" s="1"/>
      <c r="C860" s="1"/>
      <c r="D860" s="1"/>
    </row>
    <row r="861" spans="1:4" ht="13" x14ac:dyDescent="0.3">
      <c r="A861" s="1"/>
      <c r="B861" s="1"/>
      <c r="C861" s="1"/>
      <c r="D861" s="1"/>
    </row>
    <row r="862" spans="1:4" ht="13" x14ac:dyDescent="0.3">
      <c r="A862" s="1"/>
      <c r="B862" s="1"/>
      <c r="C862" s="1"/>
      <c r="D862" s="1"/>
    </row>
    <row r="863" spans="1:4" ht="13" x14ac:dyDescent="0.3">
      <c r="A863" s="1"/>
      <c r="B863" s="1"/>
      <c r="C863" s="1"/>
      <c r="D863" s="1"/>
    </row>
    <row r="864" spans="1:4" ht="13" x14ac:dyDescent="0.3">
      <c r="A864" s="1"/>
      <c r="B864" s="1"/>
      <c r="C864" s="1"/>
      <c r="D864" s="1"/>
    </row>
    <row r="865" spans="1:4" ht="13" x14ac:dyDescent="0.3">
      <c r="A865" s="1"/>
      <c r="B865" s="1"/>
      <c r="C865" s="1"/>
      <c r="D865" s="1"/>
    </row>
    <row r="866" spans="1:4" ht="13" x14ac:dyDescent="0.3">
      <c r="A866" s="1"/>
      <c r="B866" s="1"/>
      <c r="C866" s="1"/>
      <c r="D866" s="1"/>
    </row>
    <row r="867" spans="1:4" ht="13" x14ac:dyDescent="0.3">
      <c r="A867" s="1"/>
      <c r="B867" s="1"/>
      <c r="C867" s="1"/>
      <c r="D867" s="1"/>
    </row>
    <row r="868" spans="1:4" ht="13" x14ac:dyDescent="0.3">
      <c r="A868" s="1"/>
      <c r="B868" s="1"/>
      <c r="C868" s="1"/>
      <c r="D868" s="1"/>
    </row>
    <row r="869" spans="1:4" ht="13" x14ac:dyDescent="0.3">
      <c r="A869" s="1"/>
      <c r="B869" s="1"/>
      <c r="C869" s="1"/>
      <c r="D869" s="1"/>
    </row>
    <row r="870" spans="1:4" ht="13" x14ac:dyDescent="0.3">
      <c r="A870" s="1"/>
      <c r="B870" s="1"/>
      <c r="C870" s="1"/>
      <c r="D870" s="1"/>
    </row>
    <row r="871" spans="1:4" ht="13" x14ac:dyDescent="0.3">
      <c r="A871" s="1"/>
      <c r="B871" s="1"/>
      <c r="C871" s="1"/>
      <c r="D871" s="1"/>
    </row>
    <row r="872" spans="1:4" ht="13" x14ac:dyDescent="0.3">
      <c r="A872" s="1"/>
      <c r="B872" s="1"/>
      <c r="C872" s="1"/>
      <c r="D872" s="1"/>
    </row>
    <row r="873" spans="1:4" ht="13" x14ac:dyDescent="0.3">
      <c r="A873" s="1"/>
      <c r="B873" s="1"/>
      <c r="C873" s="1"/>
      <c r="D873" s="1"/>
    </row>
    <row r="874" spans="1:4" ht="13" x14ac:dyDescent="0.3">
      <c r="A874" s="1"/>
      <c r="B874" s="1"/>
      <c r="C874" s="1"/>
      <c r="D874" s="1"/>
    </row>
    <row r="875" spans="1:4" ht="13" x14ac:dyDescent="0.3">
      <c r="A875" s="1"/>
      <c r="B875" s="1"/>
      <c r="C875" s="1"/>
      <c r="D875" s="1"/>
    </row>
    <row r="876" spans="1:4" ht="13" x14ac:dyDescent="0.3">
      <c r="A876" s="1"/>
      <c r="B876" s="1"/>
      <c r="C876" s="1"/>
      <c r="D876" s="1"/>
    </row>
    <row r="877" spans="1:4" ht="13" x14ac:dyDescent="0.3">
      <c r="A877" s="1"/>
      <c r="B877" s="1"/>
      <c r="C877" s="1"/>
      <c r="D877" s="1"/>
    </row>
    <row r="878" spans="1:4" ht="13" x14ac:dyDescent="0.3">
      <c r="A878" s="1"/>
      <c r="B878" s="1"/>
      <c r="C878" s="1"/>
      <c r="D878" s="1"/>
    </row>
    <row r="879" spans="1:4" ht="13" x14ac:dyDescent="0.3">
      <c r="A879" s="1"/>
      <c r="B879" s="1"/>
      <c r="C879" s="1"/>
      <c r="D879" s="1"/>
    </row>
    <row r="880" spans="1:4" ht="13" x14ac:dyDescent="0.3">
      <c r="A880" s="1"/>
      <c r="B880" s="1"/>
      <c r="C880" s="1"/>
      <c r="D880" s="1"/>
    </row>
    <row r="881" spans="1:4" ht="13" x14ac:dyDescent="0.3">
      <c r="A881" s="1"/>
      <c r="B881" s="1"/>
      <c r="C881" s="1"/>
      <c r="D881" s="1"/>
    </row>
    <row r="882" spans="1:4" ht="13" x14ac:dyDescent="0.3">
      <c r="A882" s="1"/>
      <c r="B882" s="1"/>
      <c r="C882" s="1"/>
      <c r="D882" s="1"/>
    </row>
    <row r="883" spans="1:4" ht="13" x14ac:dyDescent="0.3">
      <c r="A883" s="1"/>
      <c r="B883" s="1"/>
      <c r="C883" s="1"/>
      <c r="D883" s="1"/>
    </row>
    <row r="884" spans="1:4" ht="13" x14ac:dyDescent="0.3">
      <c r="A884" s="1"/>
      <c r="B884" s="1"/>
      <c r="C884" s="1"/>
      <c r="D884" s="1"/>
    </row>
    <row r="885" spans="1:4" ht="13" x14ac:dyDescent="0.3">
      <c r="A885" s="1"/>
      <c r="B885" s="1"/>
      <c r="C885" s="1"/>
      <c r="D885" s="1"/>
    </row>
    <row r="886" spans="1:4" ht="13" x14ac:dyDescent="0.3">
      <c r="A886" s="1"/>
      <c r="B886" s="1"/>
      <c r="C886" s="1"/>
      <c r="D886" s="1"/>
    </row>
    <row r="887" spans="1:4" ht="13" x14ac:dyDescent="0.3">
      <c r="A887" s="1"/>
      <c r="B887" s="1"/>
      <c r="C887" s="1"/>
      <c r="D887" s="1"/>
    </row>
    <row r="888" spans="1:4" ht="13" x14ac:dyDescent="0.3">
      <c r="A888" s="1"/>
      <c r="B888" s="1"/>
      <c r="C888" s="1"/>
      <c r="D888" s="1"/>
    </row>
    <row r="889" spans="1:4" ht="13" x14ac:dyDescent="0.3">
      <c r="A889" s="1"/>
      <c r="B889" s="1"/>
      <c r="C889" s="1"/>
      <c r="D889" s="1"/>
    </row>
    <row r="890" spans="1:4" ht="13" x14ac:dyDescent="0.3">
      <c r="A890" s="1"/>
      <c r="B890" s="1"/>
      <c r="C890" s="1"/>
      <c r="D890" s="1"/>
    </row>
    <row r="891" spans="1:4" ht="13" x14ac:dyDescent="0.3">
      <c r="A891" s="1"/>
      <c r="B891" s="1"/>
      <c r="C891" s="1"/>
      <c r="D891" s="1"/>
    </row>
    <row r="892" spans="1:4" ht="13" x14ac:dyDescent="0.3">
      <c r="A892" s="1"/>
      <c r="B892" s="1"/>
      <c r="C892" s="1"/>
      <c r="D892" s="1"/>
    </row>
    <row r="893" spans="1:4" ht="13" x14ac:dyDescent="0.3">
      <c r="A893" s="1"/>
      <c r="B893" s="1"/>
      <c r="C893" s="1"/>
      <c r="D893" s="1"/>
    </row>
    <row r="894" spans="1:4" ht="13" x14ac:dyDescent="0.3">
      <c r="A894" s="1"/>
      <c r="B894" s="1"/>
      <c r="C894" s="1"/>
      <c r="D894" s="1"/>
    </row>
    <row r="895" spans="1:4" ht="13" x14ac:dyDescent="0.3">
      <c r="A895" s="1"/>
      <c r="B895" s="1"/>
      <c r="C895" s="1"/>
      <c r="D895" s="1"/>
    </row>
    <row r="896" spans="1:4" ht="13" x14ac:dyDescent="0.3">
      <c r="A896" s="1"/>
      <c r="B896" s="1"/>
      <c r="C896" s="1"/>
      <c r="D896" s="1"/>
    </row>
    <row r="897" spans="1:4" ht="13" x14ac:dyDescent="0.3">
      <c r="A897" s="1"/>
      <c r="B897" s="1"/>
      <c r="C897" s="1"/>
      <c r="D897" s="1"/>
    </row>
    <row r="898" spans="1:4" ht="13" x14ac:dyDescent="0.3">
      <c r="A898" s="1"/>
      <c r="B898" s="1"/>
      <c r="C898" s="1"/>
      <c r="D898" s="1"/>
    </row>
    <row r="899" spans="1:4" ht="13" x14ac:dyDescent="0.3">
      <c r="A899" s="1"/>
      <c r="B899" s="1"/>
      <c r="C899" s="1"/>
      <c r="D899" s="1"/>
    </row>
    <row r="900" spans="1:4" ht="13" x14ac:dyDescent="0.3">
      <c r="A900" s="1"/>
      <c r="B900" s="1"/>
      <c r="C900" s="1"/>
      <c r="D900" s="1"/>
    </row>
    <row r="901" spans="1:4" ht="13" x14ac:dyDescent="0.3">
      <c r="A901" s="1"/>
      <c r="B901" s="1"/>
      <c r="C901" s="1"/>
      <c r="D901" s="1"/>
    </row>
    <row r="902" spans="1:4" ht="13" x14ac:dyDescent="0.3">
      <c r="A902" s="1"/>
      <c r="B902" s="1"/>
      <c r="C902" s="1"/>
      <c r="D902" s="1"/>
    </row>
    <row r="903" spans="1:4" ht="13" x14ac:dyDescent="0.3">
      <c r="A903" s="1"/>
      <c r="B903" s="1"/>
      <c r="C903" s="1"/>
      <c r="D903" s="1"/>
    </row>
    <row r="904" spans="1:4" ht="13" x14ac:dyDescent="0.3">
      <c r="A904" s="1"/>
      <c r="B904" s="1"/>
      <c r="C904" s="1"/>
      <c r="D904" s="1"/>
    </row>
    <row r="905" spans="1:4" ht="13" x14ac:dyDescent="0.3">
      <c r="A905" s="1"/>
      <c r="B905" s="1"/>
      <c r="C905" s="1"/>
      <c r="D905" s="1"/>
    </row>
    <row r="906" spans="1:4" ht="13" x14ac:dyDescent="0.3">
      <c r="A906" s="1"/>
      <c r="B906" s="1"/>
      <c r="C906" s="1"/>
      <c r="D906" s="1"/>
    </row>
    <row r="907" spans="1:4" ht="13" x14ac:dyDescent="0.3">
      <c r="A907" s="1"/>
      <c r="B907" s="1"/>
      <c r="C907" s="1"/>
      <c r="D907" s="1"/>
    </row>
    <row r="908" spans="1:4" ht="13" x14ac:dyDescent="0.3">
      <c r="A908" s="1"/>
      <c r="B908" s="1"/>
      <c r="C908" s="1"/>
      <c r="D908" s="1"/>
    </row>
    <row r="909" spans="1:4" ht="13" x14ac:dyDescent="0.3">
      <c r="A909" s="1"/>
      <c r="B909" s="1"/>
      <c r="C909" s="1"/>
      <c r="D909" s="1"/>
    </row>
    <row r="910" spans="1:4" ht="13" x14ac:dyDescent="0.3">
      <c r="A910" s="1"/>
      <c r="B910" s="1"/>
      <c r="C910" s="1"/>
      <c r="D910" s="1"/>
    </row>
    <row r="911" spans="1:4" ht="13" x14ac:dyDescent="0.3">
      <c r="A911" s="1"/>
      <c r="B911" s="1"/>
      <c r="C911" s="1"/>
      <c r="D911" s="1"/>
    </row>
    <row r="912" spans="1:4" ht="13" x14ac:dyDescent="0.3">
      <c r="A912" s="1"/>
      <c r="B912" s="1"/>
      <c r="C912" s="1"/>
      <c r="D912" s="1"/>
    </row>
    <row r="913" spans="1:4" ht="13" x14ac:dyDescent="0.3">
      <c r="A913" s="1"/>
      <c r="B913" s="1"/>
      <c r="C913" s="1"/>
      <c r="D913" s="1"/>
    </row>
    <row r="914" spans="1:4" ht="13" x14ac:dyDescent="0.3">
      <c r="A914" s="1"/>
      <c r="B914" s="1"/>
      <c r="C914" s="1"/>
      <c r="D914" s="1"/>
    </row>
    <row r="915" spans="1:4" ht="13" x14ac:dyDescent="0.3">
      <c r="A915" s="1"/>
      <c r="B915" s="1"/>
      <c r="C915" s="1"/>
      <c r="D915" s="1"/>
    </row>
    <row r="916" spans="1:4" ht="13" x14ac:dyDescent="0.3">
      <c r="A916" s="1"/>
      <c r="B916" s="1"/>
      <c r="C916" s="1"/>
      <c r="D916" s="1"/>
    </row>
    <row r="917" spans="1:4" ht="13" x14ac:dyDescent="0.3">
      <c r="A917" s="1"/>
      <c r="B917" s="1"/>
      <c r="C917" s="1"/>
      <c r="D917" s="1"/>
    </row>
    <row r="918" spans="1:4" ht="13" x14ac:dyDescent="0.3">
      <c r="A918" s="1"/>
      <c r="B918" s="1"/>
      <c r="C918" s="1"/>
      <c r="D918" s="1"/>
    </row>
    <row r="919" spans="1:4" ht="13" x14ac:dyDescent="0.3">
      <c r="A919" s="1"/>
      <c r="B919" s="1"/>
      <c r="C919" s="1"/>
      <c r="D919" s="1"/>
    </row>
    <row r="920" spans="1:4" ht="13" x14ac:dyDescent="0.3">
      <c r="A920" s="1"/>
      <c r="B920" s="1"/>
      <c r="C920" s="1"/>
      <c r="D920" s="1"/>
    </row>
    <row r="921" spans="1:4" ht="13" x14ac:dyDescent="0.3">
      <c r="A921" s="1"/>
      <c r="B921" s="1"/>
      <c r="C921" s="1"/>
      <c r="D921" s="1"/>
    </row>
    <row r="922" spans="1:4" ht="13" x14ac:dyDescent="0.3">
      <c r="A922" s="1"/>
      <c r="B922" s="1"/>
      <c r="C922" s="1"/>
      <c r="D922" s="1"/>
    </row>
    <row r="923" spans="1:4" ht="13" x14ac:dyDescent="0.3">
      <c r="A923" s="1"/>
      <c r="B923" s="1"/>
      <c r="C923" s="1"/>
      <c r="D923" s="1"/>
    </row>
    <row r="924" spans="1:4" ht="13" x14ac:dyDescent="0.3">
      <c r="A924" s="1"/>
      <c r="B924" s="1"/>
      <c r="C924" s="1"/>
      <c r="D924" s="1"/>
    </row>
    <row r="925" spans="1:4" ht="13" x14ac:dyDescent="0.3">
      <c r="A925" s="1"/>
      <c r="B925" s="1"/>
      <c r="C925" s="1"/>
      <c r="D925" s="1"/>
    </row>
    <row r="926" spans="1:4" ht="13" x14ac:dyDescent="0.3">
      <c r="A926" s="1"/>
      <c r="B926" s="1"/>
      <c r="C926" s="1"/>
      <c r="D926" s="1"/>
    </row>
    <row r="927" spans="1:4" ht="13" x14ac:dyDescent="0.3">
      <c r="A927" s="1"/>
      <c r="B927" s="1"/>
      <c r="C927" s="1"/>
      <c r="D927" s="1"/>
    </row>
    <row r="928" spans="1:4" ht="13" x14ac:dyDescent="0.3">
      <c r="A928" s="1"/>
      <c r="B928" s="1"/>
      <c r="C928" s="1"/>
      <c r="D928" s="1"/>
    </row>
    <row r="929" spans="1:4" ht="13" x14ac:dyDescent="0.3">
      <c r="A929" s="1"/>
      <c r="B929" s="1"/>
      <c r="C929" s="1"/>
      <c r="D929" s="1"/>
    </row>
    <row r="930" spans="1:4" ht="13" x14ac:dyDescent="0.3">
      <c r="A930" s="1"/>
      <c r="B930" s="1"/>
      <c r="C930" s="1"/>
      <c r="D930" s="1"/>
    </row>
    <row r="931" spans="1:4" ht="13" x14ac:dyDescent="0.3">
      <c r="A931" s="1"/>
      <c r="B931" s="1"/>
      <c r="C931" s="1"/>
      <c r="D931" s="1"/>
    </row>
    <row r="932" spans="1:4" ht="13" x14ac:dyDescent="0.3">
      <c r="A932" s="1"/>
      <c r="B932" s="1"/>
      <c r="C932" s="1"/>
      <c r="D932" s="1"/>
    </row>
    <row r="933" spans="1:4" ht="13" x14ac:dyDescent="0.3">
      <c r="A933" s="1"/>
      <c r="B933" s="1"/>
      <c r="C933" s="1"/>
      <c r="D933" s="1"/>
    </row>
    <row r="934" spans="1:4" ht="13" x14ac:dyDescent="0.3">
      <c r="A934" s="1"/>
      <c r="B934" s="1"/>
      <c r="C934" s="1"/>
      <c r="D934" s="1"/>
    </row>
    <row r="935" spans="1:4" ht="13" x14ac:dyDescent="0.3">
      <c r="A935" s="1"/>
      <c r="B935" s="1"/>
      <c r="C935" s="1"/>
      <c r="D935" s="1"/>
    </row>
    <row r="936" spans="1:4" ht="13" x14ac:dyDescent="0.3">
      <c r="A936" s="1"/>
      <c r="B936" s="1"/>
      <c r="C936" s="1"/>
      <c r="D936" s="1"/>
    </row>
    <row r="937" spans="1:4" ht="13" x14ac:dyDescent="0.3">
      <c r="A937" s="1"/>
      <c r="B937" s="1"/>
      <c r="C937" s="1"/>
      <c r="D937" s="1"/>
    </row>
    <row r="938" spans="1:4" ht="13" x14ac:dyDescent="0.3">
      <c r="A938" s="1"/>
      <c r="B938" s="1"/>
      <c r="C938" s="1"/>
      <c r="D938" s="1"/>
    </row>
    <row r="939" spans="1:4" ht="13" x14ac:dyDescent="0.3">
      <c r="A939" s="1"/>
      <c r="B939" s="1"/>
      <c r="C939" s="1"/>
      <c r="D939" s="1"/>
    </row>
    <row r="940" spans="1:4" ht="13" x14ac:dyDescent="0.3">
      <c r="A940" s="1"/>
      <c r="B940" s="1"/>
      <c r="C940" s="1"/>
      <c r="D940" s="1"/>
    </row>
    <row r="941" spans="1:4" ht="13" x14ac:dyDescent="0.3">
      <c r="A941" s="1"/>
      <c r="B941" s="1"/>
      <c r="C941" s="1"/>
      <c r="D941" s="1"/>
    </row>
    <row r="942" spans="1:4" ht="13" x14ac:dyDescent="0.3">
      <c r="A942" s="1"/>
      <c r="B942" s="1"/>
      <c r="C942" s="1"/>
      <c r="D942" s="1"/>
    </row>
    <row r="943" spans="1:4" ht="13" x14ac:dyDescent="0.3">
      <c r="A943" s="1"/>
      <c r="B943" s="1"/>
      <c r="C943" s="1"/>
      <c r="D943" s="1"/>
    </row>
    <row r="944" spans="1:4" ht="13" x14ac:dyDescent="0.3">
      <c r="A944" s="1"/>
      <c r="B944" s="1"/>
      <c r="C944" s="1"/>
      <c r="D944" s="1"/>
    </row>
    <row r="945" spans="1:4" ht="13" x14ac:dyDescent="0.3">
      <c r="A945" s="1"/>
      <c r="B945" s="1"/>
      <c r="C945" s="1"/>
      <c r="D945" s="1"/>
    </row>
    <row r="946" spans="1:4" ht="13" x14ac:dyDescent="0.3">
      <c r="A946" s="1"/>
      <c r="B946" s="1"/>
      <c r="C946" s="1"/>
      <c r="D946" s="1"/>
    </row>
    <row r="947" spans="1:4" ht="13" x14ac:dyDescent="0.3">
      <c r="A947" s="1"/>
      <c r="B947" s="1"/>
      <c r="C947" s="1"/>
      <c r="D947" s="1"/>
    </row>
    <row r="948" spans="1:4" ht="13" x14ac:dyDescent="0.3">
      <c r="A948" s="1"/>
      <c r="B948" s="1"/>
      <c r="C948" s="1"/>
      <c r="D948" s="1"/>
    </row>
    <row r="949" spans="1:4" ht="13" x14ac:dyDescent="0.3">
      <c r="A949" s="1"/>
      <c r="B949" s="1"/>
      <c r="C949" s="1"/>
      <c r="D949" s="1"/>
    </row>
    <row r="950" spans="1:4" ht="13" x14ac:dyDescent="0.3">
      <c r="A950" s="1"/>
      <c r="B950" s="1"/>
      <c r="C950" s="1"/>
      <c r="D950" s="1"/>
    </row>
    <row r="951" spans="1:4" ht="13" x14ac:dyDescent="0.3">
      <c r="A951" s="1"/>
      <c r="B951" s="1"/>
      <c r="C951" s="1"/>
      <c r="D951" s="1"/>
    </row>
    <row r="952" spans="1:4" ht="13" x14ac:dyDescent="0.3">
      <c r="A952" s="1"/>
      <c r="B952" s="1"/>
      <c r="C952" s="1"/>
      <c r="D952" s="1"/>
    </row>
    <row r="953" spans="1:4" ht="13" x14ac:dyDescent="0.3">
      <c r="A953" s="1"/>
      <c r="B953" s="1"/>
      <c r="C953" s="1"/>
      <c r="D953" s="1"/>
    </row>
    <row r="954" spans="1:4" ht="13" x14ac:dyDescent="0.3">
      <c r="A954" s="1"/>
      <c r="B954" s="1"/>
      <c r="C954" s="1"/>
      <c r="D954" s="1"/>
    </row>
    <row r="955" spans="1:4" ht="13" x14ac:dyDescent="0.3">
      <c r="A955" s="1"/>
      <c r="B955" s="1"/>
      <c r="C955" s="1"/>
      <c r="D955" s="1"/>
    </row>
    <row r="956" spans="1:4" ht="13" x14ac:dyDescent="0.3">
      <c r="A956" s="1"/>
      <c r="B956" s="1"/>
      <c r="C956" s="1"/>
      <c r="D956" s="1"/>
    </row>
    <row r="957" spans="1:4" ht="13" x14ac:dyDescent="0.3">
      <c r="A957" s="1"/>
      <c r="B957" s="1"/>
      <c r="C957" s="1"/>
      <c r="D957" s="1"/>
    </row>
    <row r="958" spans="1:4" ht="13" x14ac:dyDescent="0.3">
      <c r="A958" s="1"/>
      <c r="B958" s="1"/>
      <c r="C958" s="1"/>
      <c r="D958" s="1"/>
    </row>
    <row r="959" spans="1:4" ht="13" x14ac:dyDescent="0.3">
      <c r="A959" s="1"/>
      <c r="B959" s="1"/>
      <c r="C959" s="1"/>
      <c r="D959" s="1"/>
    </row>
    <row r="960" spans="1:4" ht="13" x14ac:dyDescent="0.3">
      <c r="A960" s="1"/>
      <c r="B960" s="1"/>
      <c r="C960" s="1"/>
      <c r="D960" s="1"/>
    </row>
    <row r="961" spans="1:4" ht="13" x14ac:dyDescent="0.3">
      <c r="A961" s="1"/>
      <c r="B961" s="1"/>
      <c r="C961" s="1"/>
      <c r="D961" s="1"/>
    </row>
    <row r="962" spans="1:4" ht="13" x14ac:dyDescent="0.3">
      <c r="A962" s="1"/>
      <c r="B962" s="1"/>
      <c r="C962" s="1"/>
      <c r="D962" s="1"/>
    </row>
    <row r="963" spans="1:4" ht="13" x14ac:dyDescent="0.3">
      <c r="A963" s="1"/>
      <c r="B963" s="1"/>
      <c r="C963" s="1"/>
      <c r="D963" s="1"/>
    </row>
    <row r="964" spans="1:4" ht="13" x14ac:dyDescent="0.3">
      <c r="A964" s="1"/>
      <c r="B964" s="1"/>
      <c r="C964" s="1"/>
      <c r="D964" s="1"/>
    </row>
    <row r="965" spans="1:4" ht="13" x14ac:dyDescent="0.3">
      <c r="A965" s="1"/>
      <c r="B965" s="1"/>
      <c r="C965" s="1"/>
      <c r="D965" s="1"/>
    </row>
    <row r="966" spans="1:4" ht="13" x14ac:dyDescent="0.3">
      <c r="A966" s="1"/>
      <c r="B966" s="1"/>
      <c r="C966" s="1"/>
      <c r="D966" s="1"/>
    </row>
    <row r="967" spans="1:4" ht="13" x14ac:dyDescent="0.3">
      <c r="A967" s="1"/>
      <c r="B967" s="1"/>
      <c r="C967" s="1"/>
      <c r="D967" s="1"/>
    </row>
    <row r="968" spans="1:4" ht="13" x14ac:dyDescent="0.3">
      <c r="A968" s="1"/>
      <c r="B968" s="1"/>
      <c r="C968" s="1"/>
      <c r="D968" s="1"/>
    </row>
    <row r="969" spans="1:4" ht="13" x14ac:dyDescent="0.3">
      <c r="A969" s="1"/>
      <c r="B969" s="1"/>
      <c r="C969" s="1"/>
      <c r="D969" s="1"/>
    </row>
    <row r="970" spans="1:4" ht="13" x14ac:dyDescent="0.3">
      <c r="A970" s="1"/>
      <c r="B970" s="1"/>
      <c r="C970" s="1"/>
      <c r="D970" s="1"/>
    </row>
    <row r="971" spans="1:4" ht="13" x14ac:dyDescent="0.3">
      <c r="A971" s="1"/>
      <c r="B971" s="1"/>
      <c r="C971" s="1"/>
      <c r="D971" s="1"/>
    </row>
    <row r="972" spans="1:4" ht="13" x14ac:dyDescent="0.3">
      <c r="A972" s="1"/>
      <c r="B972" s="1"/>
      <c r="C972" s="1"/>
      <c r="D972" s="1"/>
    </row>
    <row r="973" spans="1:4" ht="13" x14ac:dyDescent="0.3">
      <c r="A973" s="1"/>
      <c r="B973" s="1"/>
      <c r="C973" s="1"/>
      <c r="D973" s="1"/>
    </row>
    <row r="974" spans="1:4" ht="13" x14ac:dyDescent="0.3">
      <c r="A974" s="1"/>
      <c r="B974" s="1"/>
      <c r="C974" s="1"/>
      <c r="D974" s="1"/>
    </row>
    <row r="975" spans="1:4" ht="13" x14ac:dyDescent="0.3">
      <c r="A975" s="1"/>
      <c r="B975" s="1"/>
      <c r="C975" s="1"/>
      <c r="D975" s="1"/>
    </row>
    <row r="976" spans="1:4" ht="13" x14ac:dyDescent="0.3">
      <c r="A976" s="1"/>
      <c r="B976" s="1"/>
      <c r="C976" s="1"/>
      <c r="D976" s="1"/>
    </row>
    <row r="977" spans="1:4" ht="13" x14ac:dyDescent="0.3">
      <c r="A977" s="1"/>
      <c r="B977" s="1"/>
      <c r="C977" s="1"/>
      <c r="D977" s="1"/>
    </row>
    <row r="978" spans="1:4" ht="13" x14ac:dyDescent="0.3">
      <c r="A978" s="1"/>
      <c r="B978" s="1"/>
      <c r="C978" s="1"/>
      <c r="D978" s="1"/>
    </row>
    <row r="979" spans="1:4" ht="13" x14ac:dyDescent="0.3">
      <c r="A979" s="1"/>
      <c r="B979" s="1"/>
      <c r="C979" s="1"/>
      <c r="D979" s="1"/>
    </row>
    <row r="980" spans="1:4" ht="13" x14ac:dyDescent="0.3">
      <c r="A980" s="1"/>
      <c r="B980" s="1"/>
      <c r="C980" s="1"/>
      <c r="D980" s="1"/>
    </row>
    <row r="981" spans="1:4" ht="13" x14ac:dyDescent="0.3">
      <c r="A981" s="1"/>
      <c r="B981" s="1"/>
      <c r="C981" s="1"/>
      <c r="D981" s="1"/>
    </row>
    <row r="982" spans="1:4" ht="13" x14ac:dyDescent="0.3">
      <c r="A982" s="1"/>
      <c r="B982" s="1"/>
      <c r="C982" s="1"/>
      <c r="D982" s="1"/>
    </row>
    <row r="983" spans="1:4" ht="13" x14ac:dyDescent="0.3">
      <c r="A983" s="1"/>
      <c r="B983" s="1"/>
      <c r="C983" s="1"/>
      <c r="D983" s="1"/>
    </row>
    <row r="984" spans="1:4" ht="13" x14ac:dyDescent="0.3">
      <c r="A984" s="1"/>
      <c r="B984" s="1"/>
      <c r="C984" s="1"/>
      <c r="D984" s="1"/>
    </row>
    <row r="985" spans="1:4" ht="13" x14ac:dyDescent="0.3">
      <c r="A985" s="1"/>
      <c r="B985" s="1"/>
      <c r="C985" s="1"/>
      <c r="D985" s="1"/>
    </row>
    <row r="986" spans="1:4" ht="13" x14ac:dyDescent="0.3">
      <c r="A986" s="1"/>
      <c r="B986" s="1"/>
      <c r="C986" s="1"/>
      <c r="D986" s="1"/>
    </row>
    <row r="987" spans="1:4" ht="13" x14ac:dyDescent="0.3">
      <c r="A987" s="1"/>
      <c r="B987" s="1"/>
      <c r="C987" s="1"/>
      <c r="D987" s="1"/>
    </row>
    <row r="988" spans="1:4" ht="13" x14ac:dyDescent="0.3">
      <c r="A988" s="1"/>
      <c r="B988" s="1"/>
      <c r="C988" s="1"/>
      <c r="D988" s="1"/>
    </row>
    <row r="989" spans="1:4" ht="13" x14ac:dyDescent="0.3">
      <c r="A989" s="1"/>
      <c r="B989" s="1"/>
      <c r="C989" s="1"/>
      <c r="D989" s="1"/>
    </row>
    <row r="990" spans="1:4" ht="13" x14ac:dyDescent="0.3">
      <c r="A990" s="1"/>
      <c r="B990" s="1"/>
      <c r="C990" s="1"/>
      <c r="D990" s="1"/>
    </row>
    <row r="991" spans="1:4" ht="13" x14ac:dyDescent="0.3">
      <c r="A991" s="1"/>
      <c r="B991" s="1"/>
      <c r="C991" s="1"/>
      <c r="D991" s="1"/>
    </row>
    <row r="992" spans="1:4" ht="13" x14ac:dyDescent="0.3">
      <c r="A992" s="1"/>
      <c r="B992" s="1"/>
      <c r="C992" s="1"/>
      <c r="D992" s="1"/>
    </row>
    <row r="993" spans="1:4" ht="13" x14ac:dyDescent="0.3">
      <c r="A993" s="1"/>
      <c r="B993" s="1"/>
      <c r="C993" s="1"/>
      <c r="D993" s="1"/>
    </row>
    <row r="994" spans="1:4" ht="13" x14ac:dyDescent="0.3">
      <c r="A994" s="1"/>
      <c r="B994" s="1"/>
      <c r="C994" s="1"/>
      <c r="D994" s="1"/>
    </row>
    <row r="995" spans="1:4" ht="13" x14ac:dyDescent="0.3">
      <c r="A995" s="1"/>
      <c r="B995" s="1"/>
      <c r="C995" s="1"/>
      <c r="D995" s="1"/>
    </row>
    <row r="996" spans="1:4" ht="13" x14ac:dyDescent="0.3">
      <c r="A996" s="1"/>
      <c r="B996" s="1"/>
      <c r="C996" s="1"/>
      <c r="D996" s="1"/>
    </row>
    <row r="997" spans="1:4" ht="13" x14ac:dyDescent="0.3">
      <c r="A997" s="1"/>
      <c r="B997" s="1"/>
      <c r="C997" s="1"/>
      <c r="D997" s="1"/>
    </row>
    <row r="998" spans="1:4" ht="13" x14ac:dyDescent="0.3">
      <c r="A998" s="1"/>
      <c r="B998" s="1"/>
      <c r="C998" s="1"/>
      <c r="D998" s="1"/>
    </row>
    <row r="999" spans="1:4" ht="13" x14ac:dyDescent="0.3">
      <c r="A999" s="1"/>
      <c r="B999" s="1"/>
      <c r="C999" s="1"/>
      <c r="D999" s="1"/>
    </row>
    <row r="1000" spans="1:4" ht="13" x14ac:dyDescent="0.3">
      <c r="A1000" s="1"/>
      <c r="B1000" s="1"/>
      <c r="C1000" s="1"/>
      <c r="D1000" s="1"/>
    </row>
    <row r="1001" spans="1:4" ht="13" x14ac:dyDescent="0.3">
      <c r="A1001" s="1"/>
      <c r="B1001" s="1"/>
      <c r="C1001" s="1"/>
      <c r="D1001" s="1"/>
    </row>
    <row r="1002" spans="1:4" ht="13" x14ac:dyDescent="0.3">
      <c r="A1002" s="1"/>
      <c r="B1002" s="1"/>
      <c r="C1002" s="1"/>
      <c r="D1002" s="1"/>
    </row>
    <row r="1003" spans="1:4" ht="13" x14ac:dyDescent="0.3">
      <c r="A1003" s="1"/>
      <c r="B1003" s="1"/>
      <c r="C1003" s="1"/>
      <c r="D1003" s="1"/>
    </row>
    <row r="1004" spans="1:4" ht="13" x14ac:dyDescent="0.3">
      <c r="A1004" s="1"/>
      <c r="B1004" s="1"/>
      <c r="C1004" s="1"/>
      <c r="D1004" s="1"/>
    </row>
    <row r="1005" spans="1:4" ht="13" x14ac:dyDescent="0.3">
      <c r="A1005" s="1"/>
      <c r="B1005" s="1"/>
      <c r="C1005" s="1"/>
      <c r="D1005" s="1"/>
    </row>
    <row r="1006" spans="1:4" ht="13" x14ac:dyDescent="0.3">
      <c r="A1006" s="1"/>
      <c r="B1006" s="1"/>
      <c r="C1006" s="1"/>
      <c r="D1006" s="1"/>
    </row>
    <row r="1007" spans="1:4" ht="13" x14ac:dyDescent="0.3">
      <c r="A1007" s="1"/>
      <c r="B1007" s="1"/>
      <c r="C1007" s="1"/>
      <c r="D1007" s="1"/>
    </row>
    <row r="1008" spans="1:4" ht="13" x14ac:dyDescent="0.3">
      <c r="A1008" s="1"/>
      <c r="B1008" s="1"/>
      <c r="C1008" s="1"/>
      <c r="D1008" s="1"/>
    </row>
    <row r="1009" spans="1:4" ht="13" x14ac:dyDescent="0.3">
      <c r="A1009" s="1"/>
      <c r="B1009" s="1"/>
      <c r="C1009" s="1"/>
      <c r="D1009" s="1"/>
    </row>
    <row r="1010" spans="1:4" ht="13" x14ac:dyDescent="0.3">
      <c r="A1010" s="1"/>
      <c r="B1010" s="1"/>
      <c r="C1010" s="1"/>
      <c r="D1010" s="1"/>
    </row>
    <row r="1011" spans="1:4" ht="13" x14ac:dyDescent="0.3">
      <c r="A1011" s="1"/>
      <c r="B1011" s="1"/>
      <c r="C1011" s="1"/>
      <c r="D1011" s="1"/>
    </row>
    <row r="1012" spans="1:4" ht="13" x14ac:dyDescent="0.3">
      <c r="A1012" s="1"/>
      <c r="B1012" s="1"/>
      <c r="C1012" s="1"/>
      <c r="D1012" s="1"/>
    </row>
    <row r="1013" spans="1:4" ht="13" x14ac:dyDescent="0.3">
      <c r="A1013" s="1"/>
      <c r="B1013" s="1"/>
      <c r="C1013" s="1"/>
      <c r="D1013" s="1"/>
    </row>
    <row r="1014" spans="1:4" ht="13" x14ac:dyDescent="0.3">
      <c r="A1014" s="1"/>
      <c r="B1014" s="1"/>
      <c r="C1014" s="1"/>
      <c r="D1014" s="1"/>
    </row>
    <row r="1015" spans="1:4" ht="13" x14ac:dyDescent="0.3">
      <c r="A1015" s="1"/>
      <c r="B1015" s="1"/>
      <c r="C1015" s="1"/>
      <c r="D1015" s="1"/>
    </row>
    <row r="1016" spans="1:4" ht="13" x14ac:dyDescent="0.3">
      <c r="A1016" s="1"/>
      <c r="B1016" s="1"/>
      <c r="C1016" s="1"/>
      <c r="D1016" s="1"/>
    </row>
    <row r="1017" spans="1:4" ht="13" x14ac:dyDescent="0.3">
      <c r="A1017" s="1"/>
      <c r="B1017" s="1"/>
      <c r="C1017" s="1"/>
      <c r="D1017" s="1"/>
    </row>
    <row r="1018" spans="1:4" ht="13" x14ac:dyDescent="0.3">
      <c r="A1018" s="1"/>
      <c r="B1018" s="1"/>
      <c r="C1018" s="1"/>
      <c r="D1018" s="1"/>
    </row>
    <row r="1019" spans="1:4" ht="13" x14ac:dyDescent="0.3">
      <c r="A1019" s="1"/>
      <c r="B1019" s="1"/>
      <c r="C1019" s="1"/>
      <c r="D1019" s="1"/>
    </row>
    <row r="1020" spans="1:4" ht="13" x14ac:dyDescent="0.3">
      <c r="A1020" s="1"/>
      <c r="B1020" s="1"/>
      <c r="C1020" s="1"/>
      <c r="D1020" s="1"/>
    </row>
    <row r="1021" spans="1:4" ht="13" x14ac:dyDescent="0.3">
      <c r="A1021" s="1"/>
      <c r="B1021" s="1"/>
      <c r="C1021" s="1"/>
      <c r="D1021" s="1"/>
    </row>
    <row r="1022" spans="1:4" ht="13" x14ac:dyDescent="0.3">
      <c r="A1022" s="1"/>
      <c r="B1022" s="1"/>
      <c r="C1022" s="1"/>
      <c r="D1022" s="1"/>
    </row>
    <row r="1023" spans="1:4" ht="13" x14ac:dyDescent="0.3">
      <c r="A1023" s="1"/>
      <c r="B1023" s="1"/>
      <c r="C1023" s="1"/>
      <c r="D1023" s="1"/>
    </row>
    <row r="1024" spans="1:4" ht="13" x14ac:dyDescent="0.3">
      <c r="A1024" s="1"/>
      <c r="B1024" s="1"/>
      <c r="C1024" s="1"/>
      <c r="D1024" s="1"/>
    </row>
    <row r="1025" spans="1:4" ht="13" x14ac:dyDescent="0.3">
      <c r="A1025" s="1"/>
      <c r="B1025" s="1"/>
      <c r="C1025" s="1"/>
      <c r="D1025" s="1"/>
    </row>
    <row r="1026" spans="1:4" ht="13" x14ac:dyDescent="0.3">
      <c r="A1026" s="1"/>
      <c r="B1026" s="1"/>
      <c r="C1026" s="1"/>
      <c r="D1026" s="1"/>
    </row>
    <row r="1027" spans="1:4" ht="13" x14ac:dyDescent="0.3">
      <c r="A1027" s="1"/>
      <c r="B1027" s="1"/>
      <c r="C1027" s="1"/>
      <c r="D1027" s="1"/>
    </row>
    <row r="1028" spans="1:4" ht="13" x14ac:dyDescent="0.3">
      <c r="A1028" s="1"/>
      <c r="B1028" s="1"/>
      <c r="C1028" s="1"/>
      <c r="D1028" s="1"/>
    </row>
    <row r="1029" spans="1:4" ht="13" x14ac:dyDescent="0.3">
      <c r="A1029" s="1"/>
      <c r="B1029" s="1"/>
      <c r="C1029" s="1"/>
      <c r="D1029" s="1"/>
    </row>
    <row r="1030" spans="1:4" ht="13" x14ac:dyDescent="0.3">
      <c r="A1030" s="1"/>
      <c r="B1030" s="1"/>
      <c r="C1030" s="1"/>
      <c r="D1030" s="1"/>
    </row>
    <row r="1031" spans="1:4" ht="13" x14ac:dyDescent="0.3">
      <c r="A1031" s="1"/>
      <c r="B1031" s="1"/>
      <c r="C1031" s="1"/>
      <c r="D1031" s="1"/>
    </row>
    <row r="1032" spans="1:4" ht="13" x14ac:dyDescent="0.3">
      <c r="A1032" s="1"/>
      <c r="B1032" s="1"/>
      <c r="C1032" s="1"/>
      <c r="D1032" s="1"/>
    </row>
    <row r="1033" spans="1:4" ht="13" x14ac:dyDescent="0.3">
      <c r="A1033" s="1"/>
      <c r="B1033" s="1"/>
      <c r="C1033" s="1"/>
      <c r="D1033" s="1"/>
    </row>
    <row r="1034" spans="1:4" ht="13" x14ac:dyDescent="0.3">
      <c r="A1034" s="1"/>
      <c r="B1034" s="1"/>
      <c r="C1034" s="1"/>
      <c r="D1034" s="1"/>
    </row>
    <row r="1035" spans="1:4" ht="13" x14ac:dyDescent="0.3">
      <c r="A1035" s="1"/>
      <c r="B1035" s="1"/>
      <c r="C1035" s="1"/>
      <c r="D1035" s="1"/>
    </row>
    <row r="1036" spans="1:4" ht="13" x14ac:dyDescent="0.3">
      <c r="A1036" s="1"/>
      <c r="B1036" s="1"/>
      <c r="C1036" s="1"/>
      <c r="D1036" s="1"/>
    </row>
    <row r="1037" spans="1:4" ht="13" x14ac:dyDescent="0.3">
      <c r="A1037" s="1"/>
      <c r="B1037" s="1"/>
      <c r="C1037" s="1"/>
      <c r="D1037" s="1"/>
    </row>
    <row r="1038" spans="1:4" ht="13" x14ac:dyDescent="0.3">
      <c r="A1038" s="1"/>
      <c r="B1038" s="1"/>
      <c r="C1038" s="1"/>
      <c r="D1038" s="1"/>
    </row>
    <row r="1039" spans="1:4" ht="13" x14ac:dyDescent="0.3">
      <c r="A1039" s="1"/>
      <c r="B1039" s="1"/>
      <c r="C1039" s="1"/>
      <c r="D1039" s="1"/>
    </row>
    <row r="1040" spans="1:4" ht="13" x14ac:dyDescent="0.3">
      <c r="A1040" s="1"/>
      <c r="B1040" s="1"/>
      <c r="C1040" s="1"/>
      <c r="D1040" s="1"/>
    </row>
    <row r="1041" spans="1:4" ht="13" x14ac:dyDescent="0.3">
      <c r="A1041" s="1"/>
      <c r="B1041" s="1"/>
      <c r="C1041" s="1"/>
      <c r="D1041" s="1"/>
    </row>
    <row r="1042" spans="1:4" ht="13" x14ac:dyDescent="0.3">
      <c r="A1042" s="1"/>
      <c r="B1042" s="1"/>
      <c r="C1042" s="1"/>
      <c r="D1042" s="1"/>
    </row>
    <row r="1043" spans="1:4" ht="13" x14ac:dyDescent="0.3">
      <c r="A1043" s="1"/>
      <c r="B1043" s="1"/>
      <c r="C1043" s="1"/>
      <c r="D1043" s="1"/>
    </row>
    <row r="1044" spans="1:4" ht="13" x14ac:dyDescent="0.3">
      <c r="A1044" s="1"/>
      <c r="B1044" s="1"/>
      <c r="C1044" s="1"/>
      <c r="D1044" s="1"/>
    </row>
    <row r="1045" spans="1:4" ht="13" x14ac:dyDescent="0.3">
      <c r="A1045" s="1"/>
      <c r="B1045" s="1"/>
      <c r="C1045" s="1"/>
      <c r="D1045" s="1"/>
    </row>
    <row r="1046" spans="1:4" ht="13" x14ac:dyDescent="0.3">
      <c r="A1046" s="1"/>
      <c r="B1046" s="1"/>
      <c r="C1046" s="1"/>
      <c r="D1046" s="1"/>
    </row>
    <row r="1047" spans="1:4" ht="13" x14ac:dyDescent="0.3">
      <c r="A1047" s="1"/>
      <c r="B1047" s="1"/>
      <c r="C1047" s="1"/>
      <c r="D1047" s="1"/>
    </row>
    <row r="1048" spans="1:4" ht="13" x14ac:dyDescent="0.3">
      <c r="A1048" s="1"/>
      <c r="B1048" s="1"/>
      <c r="C1048" s="1"/>
      <c r="D1048" s="1"/>
    </row>
    <row r="1049" spans="1:4" ht="13" x14ac:dyDescent="0.3">
      <c r="A1049" s="1"/>
      <c r="B1049" s="1"/>
      <c r="C1049" s="1"/>
      <c r="D1049" s="1"/>
    </row>
    <row r="1050" spans="1:4" ht="13" x14ac:dyDescent="0.3">
      <c r="A1050" s="1"/>
      <c r="B1050" s="1"/>
      <c r="C1050" s="1"/>
      <c r="D1050" s="1"/>
    </row>
    <row r="1051" spans="1:4" ht="13" x14ac:dyDescent="0.3">
      <c r="A1051" s="1"/>
      <c r="B1051" s="1"/>
      <c r="C1051" s="1"/>
      <c r="D1051" s="1"/>
    </row>
    <row r="1052" spans="1:4" ht="13" x14ac:dyDescent="0.3">
      <c r="A1052" s="1"/>
      <c r="B1052" s="1"/>
      <c r="C1052" s="1"/>
      <c r="D1052" s="1"/>
    </row>
    <row r="1053" spans="1:4" ht="13" x14ac:dyDescent="0.3">
      <c r="A1053" s="1"/>
      <c r="B1053" s="1"/>
      <c r="C1053" s="1"/>
      <c r="D1053" s="1"/>
    </row>
    <row r="1054" spans="1:4" ht="13" x14ac:dyDescent="0.3">
      <c r="A1054" s="1"/>
      <c r="B1054" s="1"/>
      <c r="C1054" s="1"/>
      <c r="D1054" s="1"/>
    </row>
    <row r="1055" spans="1:4" ht="13" x14ac:dyDescent="0.3">
      <c r="A1055" s="1"/>
      <c r="B1055" s="1"/>
      <c r="C1055" s="1"/>
      <c r="D1055" s="1"/>
    </row>
    <row r="1056" spans="1:4" ht="13" x14ac:dyDescent="0.3">
      <c r="A1056" s="1"/>
      <c r="B1056" s="1"/>
      <c r="C1056" s="1"/>
      <c r="D1056" s="1"/>
    </row>
    <row r="1057" spans="1:4" ht="13" x14ac:dyDescent="0.3">
      <c r="A1057" s="1"/>
      <c r="B1057" s="1"/>
      <c r="C1057" s="1"/>
      <c r="D1057" s="1"/>
    </row>
    <row r="1058" spans="1:4" ht="13" x14ac:dyDescent="0.3">
      <c r="A1058" s="1"/>
      <c r="B1058" s="1"/>
      <c r="C1058" s="1"/>
      <c r="D1058" s="1"/>
    </row>
    <row r="1059" spans="1:4" ht="13" x14ac:dyDescent="0.3">
      <c r="A1059" s="1"/>
      <c r="B1059" s="1"/>
      <c r="C1059" s="1"/>
      <c r="D1059" s="1"/>
    </row>
    <row r="1060" spans="1:4" ht="13" x14ac:dyDescent="0.3">
      <c r="A1060" s="1"/>
      <c r="B1060" s="1"/>
      <c r="C1060" s="1"/>
      <c r="D1060" s="1"/>
    </row>
    <row r="1061" spans="1:4" ht="13" x14ac:dyDescent="0.3">
      <c r="A1061" s="1"/>
      <c r="B1061" s="1"/>
      <c r="C1061" s="1"/>
      <c r="D1061" s="1"/>
    </row>
    <row r="1062" spans="1:4" ht="13" x14ac:dyDescent="0.3">
      <c r="A1062" s="1"/>
      <c r="B1062" s="1"/>
      <c r="C1062" s="1"/>
      <c r="D1062" s="1"/>
    </row>
    <row r="1063" spans="1:4" ht="13" x14ac:dyDescent="0.3">
      <c r="A1063" s="1"/>
      <c r="B1063" s="1"/>
      <c r="C1063" s="1"/>
      <c r="D1063" s="1"/>
    </row>
    <row r="1064" spans="1:4" ht="13" x14ac:dyDescent="0.3">
      <c r="A1064" s="1"/>
      <c r="B1064" s="1"/>
      <c r="C1064" s="1"/>
      <c r="D1064" s="1"/>
    </row>
    <row r="1065" spans="1:4" ht="13" x14ac:dyDescent="0.3">
      <c r="A1065" s="1"/>
      <c r="B1065" s="1"/>
      <c r="C1065" s="1"/>
      <c r="D1065" s="1"/>
    </row>
    <row r="1066" spans="1:4" ht="13" x14ac:dyDescent="0.3">
      <c r="A1066" s="1"/>
      <c r="B1066" s="1"/>
      <c r="C1066" s="1"/>
      <c r="D1066" s="1"/>
    </row>
    <row r="1067" spans="1:4" ht="13" x14ac:dyDescent="0.3">
      <c r="A1067" s="1"/>
      <c r="B1067" s="1"/>
      <c r="C1067" s="1"/>
      <c r="D1067" s="1"/>
    </row>
    <row r="1068" spans="1:4" ht="13" x14ac:dyDescent="0.3">
      <c r="A1068" s="1"/>
      <c r="B1068" s="1"/>
      <c r="C1068" s="1"/>
      <c r="D1068" s="1"/>
    </row>
    <row r="1069" spans="1:4" ht="13" x14ac:dyDescent="0.3">
      <c r="A1069" s="1"/>
      <c r="B1069" s="1"/>
      <c r="C1069" s="1"/>
      <c r="D1069" s="1"/>
    </row>
    <row r="1070" spans="1:4" ht="13" x14ac:dyDescent="0.3">
      <c r="A1070" s="1"/>
      <c r="B1070" s="1"/>
      <c r="C1070" s="1"/>
      <c r="D1070" s="1"/>
    </row>
    <row r="1071" spans="1:4" ht="13" x14ac:dyDescent="0.3">
      <c r="A1071" s="1"/>
      <c r="B1071" s="1"/>
      <c r="C1071" s="1"/>
      <c r="D1071" s="1"/>
    </row>
    <row r="1072" spans="1:4" ht="13" x14ac:dyDescent="0.3">
      <c r="A1072" s="1"/>
      <c r="B1072" s="1"/>
      <c r="C1072" s="1"/>
      <c r="D1072" s="1"/>
    </row>
    <row r="1073" spans="1:4" ht="13" x14ac:dyDescent="0.3">
      <c r="A1073" s="1"/>
      <c r="B1073" s="1"/>
      <c r="C1073" s="1"/>
      <c r="D1073" s="1"/>
    </row>
    <row r="1074" spans="1:4" ht="13" x14ac:dyDescent="0.3">
      <c r="A1074" s="1"/>
      <c r="B1074" s="1"/>
      <c r="C1074" s="1"/>
      <c r="D1074" s="1"/>
    </row>
    <row r="1075" spans="1:4" ht="13" x14ac:dyDescent="0.3">
      <c r="A1075" s="1"/>
      <c r="B1075" s="1"/>
      <c r="C1075" s="1"/>
      <c r="D1075" s="1"/>
    </row>
    <row r="1076" spans="1:4" ht="13" x14ac:dyDescent="0.3">
      <c r="A1076" s="1"/>
      <c r="B1076" s="1"/>
      <c r="C1076" s="1"/>
      <c r="D1076" s="1"/>
    </row>
    <row r="1077" spans="1:4" ht="13" x14ac:dyDescent="0.3">
      <c r="A1077" s="1"/>
      <c r="B1077" s="1"/>
      <c r="C1077" s="1"/>
      <c r="D1077" s="1"/>
    </row>
    <row r="1078" spans="1:4" ht="13" x14ac:dyDescent="0.3">
      <c r="A1078" s="1"/>
      <c r="B1078" s="1"/>
      <c r="C1078" s="1"/>
      <c r="D1078" s="1"/>
    </row>
    <row r="1079" spans="1:4" ht="13" x14ac:dyDescent="0.3">
      <c r="A1079" s="1"/>
      <c r="B1079" s="1"/>
      <c r="C1079" s="1"/>
      <c r="D1079" s="1"/>
    </row>
    <row r="1080" spans="1:4" ht="13" x14ac:dyDescent="0.3">
      <c r="A1080" s="1"/>
      <c r="B1080" s="1"/>
      <c r="C1080" s="1"/>
      <c r="D1080" s="1"/>
    </row>
    <row r="1081" spans="1:4" ht="13" x14ac:dyDescent="0.3">
      <c r="A1081" s="1"/>
      <c r="B1081" s="1"/>
      <c r="C1081" s="1"/>
      <c r="D1081" s="1"/>
    </row>
    <row r="1082" spans="1:4" ht="13" x14ac:dyDescent="0.3">
      <c r="A1082" s="1"/>
      <c r="B1082" s="1"/>
      <c r="C1082" s="1"/>
      <c r="D1082" s="1"/>
    </row>
    <row r="1083" spans="1:4" ht="13" x14ac:dyDescent="0.3">
      <c r="A1083" s="1"/>
      <c r="B1083" s="1"/>
      <c r="C1083" s="1"/>
      <c r="D1083" s="1"/>
    </row>
    <row r="1084" spans="1:4" ht="13" x14ac:dyDescent="0.3">
      <c r="A1084" s="1"/>
      <c r="B1084" s="1"/>
      <c r="C1084" s="1"/>
      <c r="D1084" s="1"/>
    </row>
    <row r="1085" spans="1:4" ht="13" x14ac:dyDescent="0.3">
      <c r="A1085" s="1"/>
      <c r="B1085" s="1"/>
      <c r="C1085" s="1"/>
      <c r="D1085" s="1"/>
    </row>
    <row r="1086" spans="1:4" ht="13" x14ac:dyDescent="0.3">
      <c r="A1086" s="1"/>
      <c r="B1086" s="1"/>
      <c r="C1086" s="1"/>
      <c r="D1086" s="1"/>
    </row>
    <row r="1087" spans="1:4" ht="13" x14ac:dyDescent="0.3">
      <c r="A1087" s="1"/>
      <c r="B1087" s="1"/>
      <c r="C1087" s="1"/>
      <c r="D1087" s="1"/>
    </row>
    <row r="1088" spans="1:4" ht="13" x14ac:dyDescent="0.3">
      <c r="A1088" s="1"/>
      <c r="B1088" s="1"/>
      <c r="C1088" s="1"/>
      <c r="D1088" s="1"/>
    </row>
    <row r="1089" spans="1:4" ht="13" x14ac:dyDescent="0.3">
      <c r="A1089" s="1"/>
      <c r="B1089" s="1"/>
      <c r="C1089" s="1"/>
      <c r="D1089" s="1"/>
    </row>
    <row r="1090" spans="1:4" ht="13" x14ac:dyDescent="0.3">
      <c r="A1090" s="1"/>
      <c r="B1090" s="1"/>
      <c r="C1090" s="1"/>
      <c r="D1090" s="1"/>
    </row>
    <row r="1091" spans="1:4" ht="13" x14ac:dyDescent="0.3">
      <c r="A1091" s="1"/>
      <c r="B1091" s="1"/>
      <c r="C1091" s="1"/>
      <c r="D1091" s="1"/>
    </row>
    <row r="1092" spans="1:4" ht="13" x14ac:dyDescent="0.3">
      <c r="A1092" s="1"/>
      <c r="B1092" s="1"/>
      <c r="C1092" s="1"/>
      <c r="D1092" s="1"/>
    </row>
    <row r="1093" spans="1:4" ht="13" x14ac:dyDescent="0.3">
      <c r="A1093" s="1"/>
      <c r="B1093" s="1"/>
      <c r="C1093" s="1"/>
      <c r="D1093" s="1"/>
    </row>
    <row r="1094" spans="1:4" ht="13" x14ac:dyDescent="0.3">
      <c r="A1094" s="1"/>
      <c r="B1094" s="1"/>
      <c r="C1094" s="1"/>
      <c r="D1094" s="1"/>
    </row>
    <row r="1095" spans="1:4" ht="13" x14ac:dyDescent="0.3">
      <c r="A1095" s="1"/>
      <c r="B1095" s="1"/>
      <c r="C1095" s="1"/>
      <c r="D1095" s="1"/>
    </row>
    <row r="1096" spans="1:4" ht="13" x14ac:dyDescent="0.3">
      <c r="A1096" s="1"/>
      <c r="B1096" s="1"/>
      <c r="C1096" s="1"/>
      <c r="D1096" s="1"/>
    </row>
    <row r="1097" spans="1:4" ht="13" x14ac:dyDescent="0.3">
      <c r="A1097" s="1"/>
      <c r="B1097" s="1"/>
      <c r="C1097" s="1"/>
      <c r="D1097" s="1"/>
    </row>
    <row r="1098" spans="1:4" ht="13" x14ac:dyDescent="0.3">
      <c r="A1098" s="1"/>
      <c r="B1098" s="1"/>
      <c r="C1098" s="1"/>
      <c r="D1098" s="1"/>
    </row>
    <row r="1099" spans="1:4" ht="13" x14ac:dyDescent="0.3">
      <c r="A1099" s="1"/>
      <c r="B1099" s="1"/>
      <c r="C1099" s="1"/>
      <c r="D1099" s="1"/>
    </row>
    <row r="1100" spans="1:4" ht="13" x14ac:dyDescent="0.3">
      <c r="A1100" s="1"/>
      <c r="B1100" s="1"/>
      <c r="C1100" s="1"/>
      <c r="D1100" s="1"/>
    </row>
    <row r="1101" spans="1:4" ht="13" x14ac:dyDescent="0.3">
      <c r="A1101" s="1"/>
      <c r="B1101" s="1"/>
      <c r="C1101" s="1"/>
      <c r="D1101" s="1"/>
    </row>
    <row r="1102" spans="1:4" ht="13" x14ac:dyDescent="0.3">
      <c r="A1102" s="1"/>
      <c r="B1102" s="1"/>
      <c r="C1102" s="1"/>
      <c r="D1102" s="1"/>
    </row>
    <row r="1103" spans="1:4" ht="13" x14ac:dyDescent="0.3">
      <c r="A1103" s="1"/>
      <c r="B1103" s="1"/>
      <c r="C1103" s="1"/>
      <c r="D1103" s="1"/>
    </row>
    <row r="1104" spans="1:4" ht="13" x14ac:dyDescent="0.3">
      <c r="A1104" s="1"/>
      <c r="B1104" s="1"/>
      <c r="C1104" s="1"/>
      <c r="D1104" s="1"/>
    </row>
    <row r="1105" spans="1:4" ht="13" x14ac:dyDescent="0.3">
      <c r="A1105" s="1"/>
      <c r="B1105" s="1"/>
      <c r="C1105" s="1"/>
      <c r="D1105" s="1"/>
    </row>
    <row r="1106" spans="1:4" ht="13" x14ac:dyDescent="0.3">
      <c r="A1106" s="1"/>
      <c r="B1106" s="1"/>
      <c r="C1106" s="1"/>
      <c r="D1106" s="1"/>
    </row>
    <row r="1107" spans="1:4" ht="13" x14ac:dyDescent="0.3">
      <c r="A1107" s="1"/>
      <c r="B1107" s="1"/>
      <c r="C1107" s="1"/>
      <c r="D1107" s="1"/>
    </row>
    <row r="1108" spans="1:4" ht="13" x14ac:dyDescent="0.3">
      <c r="A1108" s="1"/>
      <c r="B1108" s="1"/>
      <c r="C1108" s="1"/>
      <c r="D1108" s="1"/>
    </row>
    <row r="1109" spans="1:4" ht="13" x14ac:dyDescent="0.3">
      <c r="A1109" s="1"/>
      <c r="B1109" s="1"/>
      <c r="C1109" s="1"/>
      <c r="D1109" s="1"/>
    </row>
    <row r="1110" spans="1:4" ht="13" x14ac:dyDescent="0.3">
      <c r="A1110" s="1"/>
      <c r="B1110" s="1"/>
      <c r="C1110" s="1"/>
      <c r="D1110" s="1"/>
    </row>
    <row r="1111" spans="1:4" ht="13" x14ac:dyDescent="0.3">
      <c r="A1111" s="1"/>
      <c r="B1111" s="1"/>
      <c r="C1111" s="1"/>
      <c r="D1111" s="1"/>
    </row>
    <row r="1112" spans="1:4" ht="13" x14ac:dyDescent="0.3">
      <c r="A1112" s="1"/>
      <c r="B1112" s="1"/>
      <c r="C1112" s="1"/>
      <c r="D1112" s="1"/>
    </row>
    <row r="1113" spans="1:4" ht="13" x14ac:dyDescent="0.3">
      <c r="A1113" s="1"/>
      <c r="B1113" s="1"/>
      <c r="C1113" s="1"/>
      <c r="D1113" s="1"/>
    </row>
    <row r="1114" spans="1:4" ht="13" x14ac:dyDescent="0.3">
      <c r="A1114" s="1"/>
      <c r="B1114" s="1"/>
      <c r="C1114" s="1"/>
      <c r="D1114" s="1"/>
    </row>
    <row r="1115" spans="1:4" ht="13" x14ac:dyDescent="0.3">
      <c r="A1115" s="1"/>
      <c r="B1115" s="1"/>
      <c r="C1115" s="1"/>
      <c r="D1115" s="1"/>
    </row>
    <row r="1116" spans="1:4" ht="13" x14ac:dyDescent="0.3">
      <c r="A1116" s="1"/>
      <c r="B1116" s="1"/>
      <c r="C1116" s="1"/>
      <c r="D1116" s="1"/>
    </row>
    <row r="1117" spans="1:4" ht="13" x14ac:dyDescent="0.3">
      <c r="A1117" s="1"/>
      <c r="B1117" s="1"/>
      <c r="C1117" s="1"/>
      <c r="D1117" s="1"/>
    </row>
    <row r="1118" spans="1:4" ht="13" x14ac:dyDescent="0.3">
      <c r="A1118" s="1"/>
      <c r="B1118" s="1"/>
      <c r="C1118" s="1"/>
      <c r="D1118" s="1"/>
    </row>
    <row r="1119" spans="1:4" ht="13" x14ac:dyDescent="0.3">
      <c r="A1119" s="1"/>
      <c r="B1119" s="1"/>
      <c r="C1119" s="1"/>
      <c r="D1119" s="1"/>
    </row>
    <row r="1120" spans="1:4" ht="13" x14ac:dyDescent="0.3">
      <c r="A1120" s="1"/>
      <c r="B1120" s="1"/>
      <c r="C1120" s="1"/>
      <c r="D1120" s="1"/>
    </row>
    <row r="1121" spans="1:4" ht="13" x14ac:dyDescent="0.3">
      <c r="A1121" s="1"/>
      <c r="B1121" s="1"/>
      <c r="C1121" s="1"/>
      <c r="D1121" s="1"/>
    </row>
    <row r="1122" spans="1:4" ht="13" x14ac:dyDescent="0.3">
      <c r="A1122" s="1"/>
      <c r="B1122" s="1"/>
      <c r="C1122" s="1"/>
      <c r="D1122" s="1"/>
    </row>
    <row r="1123" spans="1:4" ht="13" x14ac:dyDescent="0.3">
      <c r="A1123" s="1"/>
      <c r="B1123" s="1"/>
      <c r="C1123" s="1"/>
      <c r="D1123" s="1"/>
    </row>
    <row r="1124" spans="1:4" ht="13" x14ac:dyDescent="0.3">
      <c r="A1124" s="1"/>
      <c r="B1124" s="1"/>
      <c r="C1124" s="1"/>
      <c r="D1124" s="1"/>
    </row>
    <row r="1125" spans="1:4" ht="13" x14ac:dyDescent="0.3">
      <c r="A1125" s="1"/>
      <c r="B1125" s="1"/>
      <c r="C1125" s="1"/>
      <c r="D1125" s="1"/>
    </row>
    <row r="1126" spans="1:4" ht="13" x14ac:dyDescent="0.3">
      <c r="A1126" s="1"/>
      <c r="B1126" s="1"/>
      <c r="C1126" s="1"/>
      <c r="D1126" s="1"/>
    </row>
    <row r="1127" spans="1:4" ht="13" x14ac:dyDescent="0.3">
      <c r="A1127" s="1"/>
      <c r="B1127" s="1"/>
      <c r="C1127" s="1"/>
      <c r="D1127" s="1"/>
    </row>
    <row r="1128" spans="1:4" ht="13" x14ac:dyDescent="0.3">
      <c r="A1128" s="1"/>
      <c r="B1128" s="1"/>
      <c r="C1128" s="1"/>
      <c r="D1128" s="1"/>
    </row>
    <row r="1129" spans="1:4" ht="13" x14ac:dyDescent="0.3">
      <c r="A1129" s="1"/>
      <c r="B1129" s="1"/>
      <c r="C1129" s="1"/>
      <c r="D1129" s="1"/>
    </row>
    <row r="1130" spans="1:4" ht="13" x14ac:dyDescent="0.3">
      <c r="A1130" s="1"/>
      <c r="B1130" s="1"/>
      <c r="C1130" s="1"/>
      <c r="D1130" s="1"/>
    </row>
    <row r="1131" spans="1:4" ht="13" x14ac:dyDescent="0.3">
      <c r="A1131" s="1"/>
      <c r="B1131" s="1"/>
      <c r="C1131" s="1"/>
      <c r="D1131" s="1"/>
    </row>
    <row r="1132" spans="1:4" ht="13" x14ac:dyDescent="0.3">
      <c r="A1132" s="1"/>
      <c r="B1132" s="1"/>
      <c r="C1132" s="1"/>
      <c r="D1132" s="1"/>
    </row>
    <row r="1133" spans="1:4" ht="13" x14ac:dyDescent="0.3">
      <c r="A1133" s="1"/>
      <c r="B1133" s="1"/>
      <c r="C1133" s="1"/>
      <c r="D1133" s="1"/>
    </row>
    <row r="1134" spans="1:4" ht="13" x14ac:dyDescent="0.3">
      <c r="A1134" s="1"/>
      <c r="B1134" s="1"/>
      <c r="C1134" s="1"/>
      <c r="D1134" s="1"/>
    </row>
    <row r="1135" spans="1:4" ht="13" x14ac:dyDescent="0.3">
      <c r="A1135" s="1"/>
      <c r="B1135" s="1"/>
      <c r="C1135" s="1"/>
      <c r="D1135" s="1"/>
    </row>
    <row r="1136" spans="1:4" ht="13" x14ac:dyDescent="0.3">
      <c r="A1136" s="1"/>
      <c r="B1136" s="1"/>
      <c r="C1136" s="1"/>
      <c r="D1136" s="1"/>
    </row>
    <row r="1137" spans="1:4" ht="13" x14ac:dyDescent="0.3">
      <c r="A1137" s="1"/>
      <c r="B1137" s="1"/>
      <c r="C1137" s="1"/>
      <c r="D1137" s="1"/>
    </row>
    <row r="1138" spans="1:4" ht="13" x14ac:dyDescent="0.3">
      <c r="A1138" s="1"/>
      <c r="B1138" s="1"/>
      <c r="C1138" s="1"/>
      <c r="D1138" s="1"/>
    </row>
    <row r="1139" spans="1:4" ht="13" x14ac:dyDescent="0.3">
      <c r="A1139" s="1"/>
      <c r="B1139" s="1"/>
      <c r="C1139" s="1"/>
      <c r="D1139" s="1"/>
    </row>
    <row r="1140" spans="1:4" ht="13" x14ac:dyDescent="0.3">
      <c r="A1140" s="1"/>
      <c r="B1140" s="1"/>
      <c r="C1140" s="1"/>
      <c r="D1140" s="1"/>
    </row>
    <row r="1141" spans="1:4" ht="13" x14ac:dyDescent="0.3">
      <c r="A1141" s="1"/>
      <c r="B1141" s="1"/>
      <c r="C1141" s="1"/>
      <c r="D1141" s="1"/>
    </row>
    <row r="1142" spans="1:4" ht="13" x14ac:dyDescent="0.3">
      <c r="A1142" s="1"/>
      <c r="B1142" s="1"/>
      <c r="C1142" s="1"/>
      <c r="D1142" s="1"/>
    </row>
    <row r="1143" spans="1:4" ht="13" x14ac:dyDescent="0.3">
      <c r="A1143" s="1"/>
      <c r="B1143" s="1"/>
      <c r="C1143" s="1"/>
      <c r="D1143" s="1"/>
    </row>
    <row r="1144" spans="1:4" ht="13" x14ac:dyDescent="0.3">
      <c r="A1144" s="1"/>
      <c r="B1144" s="1"/>
      <c r="C1144" s="1"/>
      <c r="D1144" s="1"/>
    </row>
    <row r="1145" spans="1:4" ht="13" x14ac:dyDescent="0.3">
      <c r="A1145" s="1"/>
      <c r="B1145" s="1"/>
      <c r="C1145" s="1"/>
      <c r="D1145" s="1"/>
    </row>
    <row r="1146" spans="1:4" ht="13" x14ac:dyDescent="0.3">
      <c r="A1146" s="1"/>
      <c r="B1146" s="1"/>
      <c r="C1146" s="1"/>
      <c r="D1146" s="1"/>
    </row>
    <row r="1147" spans="1:4" ht="13" x14ac:dyDescent="0.3">
      <c r="A1147" s="1"/>
      <c r="B1147" s="1"/>
      <c r="C1147" s="1"/>
      <c r="D1147" s="1"/>
    </row>
    <row r="1148" spans="1:4" ht="13" x14ac:dyDescent="0.3">
      <c r="A1148" s="1"/>
      <c r="B1148" s="1"/>
      <c r="C1148" s="1"/>
      <c r="D1148" s="1"/>
    </row>
    <row r="1149" spans="1:4" ht="13" x14ac:dyDescent="0.3">
      <c r="A1149" s="1"/>
      <c r="B1149" s="1"/>
      <c r="C1149" s="1"/>
      <c r="D1149" s="1"/>
    </row>
    <row r="1150" spans="1:4" ht="13" x14ac:dyDescent="0.3">
      <c r="A1150" s="1"/>
      <c r="B1150" s="1"/>
      <c r="C1150" s="1"/>
      <c r="D1150" s="1"/>
    </row>
    <row r="1151" spans="1:4" ht="13" x14ac:dyDescent="0.3">
      <c r="A1151" s="1"/>
      <c r="B1151" s="1"/>
      <c r="C1151" s="1"/>
      <c r="D1151" s="1"/>
    </row>
    <row r="1152" spans="1:4" ht="13" x14ac:dyDescent="0.3">
      <c r="A1152" s="1"/>
      <c r="B1152" s="1"/>
      <c r="C1152" s="1"/>
      <c r="D1152" s="1"/>
    </row>
    <row r="1153" spans="1:4" ht="13" x14ac:dyDescent="0.3">
      <c r="A1153" s="1"/>
      <c r="B1153" s="1"/>
      <c r="C1153" s="1"/>
      <c r="D1153" s="1"/>
    </row>
    <row r="1154" spans="1:4" ht="13" x14ac:dyDescent="0.3">
      <c r="A1154" s="1"/>
      <c r="B1154" s="1"/>
      <c r="C1154" s="1"/>
      <c r="D1154" s="1"/>
    </row>
    <row r="1155" spans="1:4" ht="13" x14ac:dyDescent="0.3">
      <c r="A1155" s="1"/>
      <c r="B1155" s="1"/>
      <c r="C1155" s="1"/>
      <c r="D1155" s="1"/>
    </row>
    <row r="1156" spans="1:4" ht="13" x14ac:dyDescent="0.3">
      <c r="A1156" s="1"/>
      <c r="B1156" s="1"/>
      <c r="C1156" s="1"/>
      <c r="D1156" s="1"/>
    </row>
    <row r="1157" spans="1:4" ht="13" x14ac:dyDescent="0.3">
      <c r="A1157" s="1"/>
      <c r="B1157" s="1"/>
      <c r="C1157" s="1"/>
      <c r="D1157" s="1"/>
    </row>
    <row r="1158" spans="1:4" ht="13" x14ac:dyDescent="0.3">
      <c r="A1158" s="1"/>
      <c r="B1158" s="1"/>
      <c r="C1158" s="1"/>
      <c r="D1158" s="1"/>
    </row>
    <row r="1159" spans="1:4" ht="13" x14ac:dyDescent="0.3">
      <c r="A1159" s="1"/>
      <c r="B1159" s="1"/>
      <c r="C1159" s="1"/>
      <c r="D1159" s="1"/>
    </row>
    <row r="1160" spans="1:4" ht="13" x14ac:dyDescent="0.3">
      <c r="A1160" s="1"/>
      <c r="B1160" s="1"/>
      <c r="C1160" s="1"/>
      <c r="D1160" s="1"/>
    </row>
    <row r="1161" spans="1:4" ht="13" x14ac:dyDescent="0.3">
      <c r="A1161" s="1"/>
      <c r="B1161" s="1"/>
      <c r="C1161" s="1"/>
      <c r="D1161" s="1"/>
    </row>
    <row r="1162" spans="1:4" ht="13" x14ac:dyDescent="0.3">
      <c r="A1162" s="1"/>
      <c r="B1162" s="1"/>
      <c r="C1162" s="1"/>
      <c r="D1162" s="1"/>
    </row>
    <row r="1163" spans="1:4" ht="13" x14ac:dyDescent="0.3">
      <c r="A1163" s="1"/>
      <c r="B1163" s="1"/>
      <c r="C1163" s="1"/>
      <c r="D1163" s="1"/>
    </row>
    <row r="1164" spans="1:4" ht="13" x14ac:dyDescent="0.3">
      <c r="A1164" s="1"/>
      <c r="B1164" s="1"/>
      <c r="C1164" s="1"/>
      <c r="D1164" s="1"/>
    </row>
    <row r="1165" spans="1:4" ht="13" x14ac:dyDescent="0.3">
      <c r="A1165" s="1"/>
      <c r="B1165" s="1"/>
      <c r="C1165" s="1"/>
      <c r="D1165" s="1"/>
    </row>
    <row r="1166" spans="1:4" ht="13" x14ac:dyDescent="0.3">
      <c r="A1166" s="1"/>
      <c r="B1166" s="1"/>
      <c r="C1166" s="1"/>
      <c r="D1166" s="1"/>
    </row>
    <row r="1167" spans="1:4" ht="13" x14ac:dyDescent="0.3">
      <c r="A1167" s="1"/>
      <c r="B1167" s="1"/>
      <c r="C1167" s="1"/>
      <c r="D1167" s="1"/>
    </row>
    <row r="1168" spans="1:4" ht="13" x14ac:dyDescent="0.3">
      <c r="A1168" s="1"/>
      <c r="B1168" s="1"/>
      <c r="C1168" s="1"/>
      <c r="D1168" s="1"/>
    </row>
    <row r="1169" spans="1:4" ht="13" x14ac:dyDescent="0.3">
      <c r="A1169" s="1"/>
      <c r="B1169" s="1"/>
      <c r="C1169" s="1"/>
      <c r="D1169" s="1"/>
    </row>
    <row r="1170" spans="1:4" ht="13" x14ac:dyDescent="0.3">
      <c r="A1170" s="1"/>
      <c r="B1170" s="1"/>
      <c r="C1170" s="1"/>
      <c r="D1170" s="1"/>
    </row>
    <row r="1171" spans="1:4" ht="13" x14ac:dyDescent="0.3">
      <c r="A1171" s="1"/>
      <c r="B1171" s="1"/>
      <c r="C1171" s="1"/>
      <c r="D1171" s="1"/>
    </row>
    <row r="1172" spans="1:4" ht="13" x14ac:dyDescent="0.3">
      <c r="A1172" s="1"/>
      <c r="B1172" s="1"/>
      <c r="C1172" s="1"/>
      <c r="D1172" s="1"/>
    </row>
    <row r="1173" spans="1:4" ht="13" x14ac:dyDescent="0.3">
      <c r="A1173" s="1"/>
      <c r="B1173" s="1"/>
      <c r="C1173" s="1"/>
      <c r="D1173" s="1"/>
    </row>
    <row r="1174" spans="1:4" ht="13" x14ac:dyDescent="0.3">
      <c r="A1174" s="1"/>
      <c r="B1174" s="1"/>
      <c r="C1174" s="1"/>
      <c r="D1174" s="1"/>
    </row>
    <row r="1175" spans="1:4" ht="13" x14ac:dyDescent="0.3">
      <c r="A1175" s="1"/>
      <c r="B1175" s="1"/>
      <c r="C1175" s="1"/>
      <c r="D1175" s="1"/>
    </row>
    <row r="1176" spans="1:4" ht="13" x14ac:dyDescent="0.3">
      <c r="A1176" s="1"/>
      <c r="B1176" s="1"/>
      <c r="C1176" s="1"/>
      <c r="D1176" s="1"/>
    </row>
    <row r="1177" spans="1:4" ht="13" x14ac:dyDescent="0.3">
      <c r="A1177" s="1"/>
      <c r="B1177" s="1"/>
      <c r="C1177" s="1"/>
      <c r="D1177" s="1"/>
    </row>
    <row r="1178" spans="1:4" ht="13" x14ac:dyDescent="0.3">
      <c r="A1178" s="1"/>
      <c r="B1178" s="1"/>
      <c r="C1178" s="1"/>
      <c r="D1178" s="1"/>
    </row>
    <row r="1179" spans="1:4" ht="13" x14ac:dyDescent="0.3">
      <c r="A1179" s="1"/>
      <c r="B1179" s="1"/>
      <c r="C1179" s="1"/>
      <c r="D1179" s="1"/>
    </row>
    <row r="1180" spans="1:4" ht="13" x14ac:dyDescent="0.3">
      <c r="A1180" s="1"/>
      <c r="B1180" s="1"/>
      <c r="C1180" s="1"/>
      <c r="D1180" s="1"/>
    </row>
    <row r="1181" spans="1:4" ht="13" x14ac:dyDescent="0.3">
      <c r="A1181" s="1"/>
      <c r="B1181" s="1"/>
      <c r="C1181" s="1"/>
      <c r="D1181" s="1"/>
    </row>
    <row r="1182" spans="1:4" ht="13" x14ac:dyDescent="0.3">
      <c r="A1182" s="1"/>
      <c r="B1182" s="1"/>
      <c r="C1182" s="1"/>
      <c r="D1182" s="1"/>
    </row>
    <row r="1183" spans="1:4" ht="13" x14ac:dyDescent="0.3">
      <c r="A1183" s="1"/>
      <c r="B1183" s="1"/>
      <c r="C1183" s="1"/>
      <c r="D1183" s="1"/>
    </row>
    <row r="1184" spans="1:4" ht="13" x14ac:dyDescent="0.3">
      <c r="A1184" s="1"/>
      <c r="B1184" s="1"/>
      <c r="C1184" s="1"/>
      <c r="D1184" s="1"/>
    </row>
    <row r="1185" spans="1:4" ht="13" x14ac:dyDescent="0.3">
      <c r="A1185" s="1"/>
      <c r="B1185" s="1"/>
      <c r="C1185" s="1"/>
      <c r="D1185" s="1"/>
    </row>
    <row r="1186" spans="1:4" ht="13" x14ac:dyDescent="0.3">
      <c r="A1186" s="1"/>
      <c r="B1186" s="1"/>
      <c r="C1186" s="1"/>
      <c r="D1186" s="1"/>
    </row>
    <row r="1187" spans="1:4" ht="13" x14ac:dyDescent="0.3">
      <c r="A1187" s="1"/>
      <c r="B1187" s="1"/>
      <c r="C1187" s="1"/>
      <c r="D1187" s="1"/>
    </row>
    <row r="1188" spans="1:4" ht="13" x14ac:dyDescent="0.3">
      <c r="A1188" s="1"/>
      <c r="B1188" s="1"/>
      <c r="C1188" s="1"/>
      <c r="D1188" s="1"/>
    </row>
    <row r="1189" spans="1:4" ht="13" x14ac:dyDescent="0.3">
      <c r="A1189" s="1"/>
      <c r="B1189" s="1"/>
      <c r="C1189" s="1"/>
      <c r="D1189" s="1"/>
    </row>
    <row r="1190" spans="1:4" ht="13" x14ac:dyDescent="0.3">
      <c r="A1190" s="1"/>
      <c r="B1190" s="1"/>
      <c r="C1190" s="1"/>
      <c r="D1190" s="1"/>
    </row>
    <row r="1191" spans="1:4" ht="13" x14ac:dyDescent="0.3">
      <c r="A1191" s="1"/>
      <c r="B1191" s="1"/>
      <c r="C1191" s="1"/>
      <c r="D1191" s="1"/>
    </row>
    <row r="1192" spans="1:4" ht="13" x14ac:dyDescent="0.3">
      <c r="A1192" s="1"/>
      <c r="B1192" s="1"/>
      <c r="C1192" s="1"/>
      <c r="D1192" s="1"/>
    </row>
    <row r="1193" spans="1:4" ht="13" x14ac:dyDescent="0.3">
      <c r="A1193" s="1"/>
      <c r="B1193" s="1"/>
      <c r="C1193" s="1"/>
      <c r="D1193" s="1"/>
    </row>
    <row r="1194" spans="1:4" ht="13" x14ac:dyDescent="0.3">
      <c r="A1194" s="1"/>
      <c r="B1194" s="1"/>
      <c r="C1194" s="1"/>
      <c r="D1194" s="1"/>
    </row>
    <row r="1195" spans="1:4" ht="13" x14ac:dyDescent="0.3">
      <c r="A1195" s="1"/>
      <c r="B1195" s="1"/>
      <c r="C1195" s="1"/>
      <c r="D1195" s="1"/>
    </row>
    <row r="1196" spans="1:4" ht="13" x14ac:dyDescent="0.3">
      <c r="A1196" s="1"/>
      <c r="B1196" s="1"/>
      <c r="C1196" s="1"/>
      <c r="D1196" s="1"/>
    </row>
    <row r="1197" spans="1:4" ht="13" x14ac:dyDescent="0.3">
      <c r="A1197" s="1"/>
      <c r="B1197" s="1"/>
      <c r="C1197" s="1"/>
      <c r="D1197" s="1"/>
    </row>
    <row r="1198" spans="1:4" ht="13" x14ac:dyDescent="0.3">
      <c r="A1198" s="1"/>
      <c r="B1198" s="1"/>
      <c r="C1198" s="1"/>
      <c r="D1198" s="1"/>
    </row>
    <row r="1199" spans="1:4" ht="13" x14ac:dyDescent="0.3">
      <c r="A1199" s="1"/>
      <c r="B1199" s="1"/>
      <c r="C1199" s="1"/>
      <c r="D1199" s="1"/>
    </row>
    <row r="1200" spans="1:4" ht="13" x14ac:dyDescent="0.3">
      <c r="A1200" s="1"/>
      <c r="B1200" s="1"/>
      <c r="C1200" s="1"/>
      <c r="D1200" s="1"/>
    </row>
    <row r="1201" spans="1:4" ht="13" x14ac:dyDescent="0.3">
      <c r="A1201" s="1"/>
      <c r="B1201" s="1"/>
      <c r="C1201" s="1"/>
      <c r="D1201" s="1"/>
    </row>
    <row r="1202" spans="1:4" ht="13" x14ac:dyDescent="0.3">
      <c r="A1202" s="1"/>
      <c r="B1202" s="1"/>
      <c r="C1202" s="1"/>
      <c r="D1202" s="1"/>
    </row>
    <row r="1203" spans="1:4" ht="13" x14ac:dyDescent="0.3">
      <c r="A1203" s="1"/>
      <c r="B1203" s="1"/>
      <c r="C1203" s="1"/>
      <c r="D1203" s="1"/>
    </row>
    <row r="1204" spans="1:4" ht="13" x14ac:dyDescent="0.3">
      <c r="A1204" s="1"/>
      <c r="B1204" s="1"/>
      <c r="C1204" s="1"/>
      <c r="D1204" s="1"/>
    </row>
    <row r="1205" spans="1:4" ht="13" x14ac:dyDescent="0.3">
      <c r="A1205" s="1"/>
      <c r="B1205" s="1"/>
      <c r="C1205" s="1"/>
      <c r="D1205" s="1"/>
    </row>
    <row r="1206" spans="1:4" ht="13" x14ac:dyDescent="0.3">
      <c r="A1206" s="1"/>
      <c r="B1206" s="1"/>
      <c r="C1206" s="1"/>
      <c r="D1206" s="1"/>
    </row>
    <row r="1207" spans="1:4" ht="13" x14ac:dyDescent="0.3">
      <c r="A1207" s="1"/>
      <c r="B1207" s="1"/>
      <c r="C1207" s="1"/>
      <c r="D1207" s="1"/>
    </row>
    <row r="1208" spans="1:4" ht="13" x14ac:dyDescent="0.3">
      <c r="A1208" s="1"/>
      <c r="B1208" s="1"/>
      <c r="C1208" s="1"/>
      <c r="D1208" s="1"/>
    </row>
    <row r="1209" spans="1:4" ht="13" x14ac:dyDescent="0.3">
      <c r="A1209" s="1"/>
      <c r="B1209" s="1"/>
      <c r="C1209" s="1"/>
      <c r="D1209" s="1"/>
    </row>
    <row r="1210" spans="1:4" ht="13" x14ac:dyDescent="0.3">
      <c r="A1210" s="1"/>
      <c r="B1210" s="1"/>
      <c r="C1210" s="1"/>
      <c r="D1210" s="1"/>
    </row>
    <row r="1211" spans="1:4" ht="13" x14ac:dyDescent="0.3">
      <c r="A1211" s="1"/>
      <c r="B1211" s="1"/>
      <c r="C1211" s="1"/>
      <c r="D1211" s="1"/>
    </row>
    <row r="1212" spans="1:4" ht="13" x14ac:dyDescent="0.3">
      <c r="A1212" s="1"/>
      <c r="B1212" s="1"/>
      <c r="C1212" s="1"/>
      <c r="D1212" s="1"/>
    </row>
    <row r="1213" spans="1:4" ht="13" x14ac:dyDescent="0.3">
      <c r="A1213" s="1"/>
      <c r="B1213" s="1"/>
      <c r="C1213" s="1"/>
      <c r="D1213" s="1"/>
    </row>
    <row r="1214" spans="1:4" ht="13" x14ac:dyDescent="0.3">
      <c r="A1214" s="1"/>
      <c r="B1214" s="1"/>
      <c r="C1214" s="1"/>
      <c r="D1214" s="1"/>
    </row>
    <row r="1215" spans="1:4" ht="13" x14ac:dyDescent="0.3">
      <c r="A1215" s="1"/>
      <c r="B1215" s="1"/>
      <c r="C1215" s="1"/>
      <c r="D1215" s="1"/>
    </row>
    <row r="1216" spans="1:4" ht="13" x14ac:dyDescent="0.3">
      <c r="A1216" s="1"/>
      <c r="B1216" s="1"/>
      <c r="C1216" s="1"/>
      <c r="D1216" s="1"/>
    </row>
    <row r="1217" spans="1:4" ht="13" x14ac:dyDescent="0.3">
      <c r="A1217" s="1"/>
      <c r="B1217" s="1"/>
      <c r="C1217" s="1"/>
      <c r="D1217" s="1"/>
    </row>
    <row r="1218" spans="1:4" ht="13" x14ac:dyDescent="0.3">
      <c r="A1218" s="1"/>
      <c r="B1218" s="1"/>
      <c r="C1218" s="1"/>
      <c r="D1218" s="1"/>
    </row>
    <row r="1219" spans="1:4" ht="13" x14ac:dyDescent="0.3">
      <c r="A1219" s="1"/>
      <c r="B1219" s="1"/>
      <c r="C1219" s="1"/>
      <c r="D1219" s="1"/>
    </row>
    <row r="1220" spans="1:4" ht="13" x14ac:dyDescent="0.3">
      <c r="A1220" s="1"/>
      <c r="B1220" s="1"/>
      <c r="C1220" s="1"/>
      <c r="D1220" s="1"/>
    </row>
    <row r="1221" spans="1:4" ht="13" x14ac:dyDescent="0.3">
      <c r="A1221" s="1"/>
      <c r="B1221" s="1"/>
      <c r="C1221" s="1"/>
      <c r="D1221" s="1"/>
    </row>
    <row r="1222" spans="1:4" ht="13" x14ac:dyDescent="0.3">
      <c r="A1222" s="1"/>
      <c r="B1222" s="1"/>
      <c r="C1222" s="1"/>
      <c r="D1222" s="1"/>
    </row>
    <row r="1223" spans="1:4" ht="13" x14ac:dyDescent="0.3">
      <c r="A1223" s="1"/>
      <c r="B1223" s="1"/>
      <c r="C1223" s="1"/>
      <c r="D1223" s="1"/>
    </row>
    <row r="1224" spans="1:4" ht="13" x14ac:dyDescent="0.3">
      <c r="A1224" s="1"/>
      <c r="B1224" s="1"/>
      <c r="C1224" s="1"/>
      <c r="D1224" s="1"/>
    </row>
    <row r="1225" spans="1:4" ht="13" x14ac:dyDescent="0.3">
      <c r="A1225" s="1"/>
      <c r="B1225" s="1"/>
      <c r="C1225" s="1"/>
      <c r="D1225" s="1"/>
    </row>
    <row r="1226" spans="1:4" ht="13" x14ac:dyDescent="0.3">
      <c r="A1226" s="1"/>
      <c r="B1226" s="1"/>
      <c r="C1226" s="1"/>
      <c r="D1226" s="1"/>
    </row>
    <row r="1227" spans="1:4" ht="13" x14ac:dyDescent="0.3">
      <c r="A1227" s="1"/>
      <c r="B1227" s="1"/>
      <c r="C1227" s="1"/>
      <c r="D1227" s="1"/>
    </row>
    <row r="1228" spans="1:4" ht="13" x14ac:dyDescent="0.3">
      <c r="A1228" s="1"/>
      <c r="B1228" s="1"/>
      <c r="C1228" s="1"/>
      <c r="D1228" s="1"/>
    </row>
    <row r="1229" spans="1:4" ht="13" x14ac:dyDescent="0.3">
      <c r="A1229" s="1"/>
      <c r="B1229" s="1"/>
      <c r="C1229" s="1"/>
      <c r="D1229" s="1"/>
    </row>
    <row r="1230" spans="1:4" ht="13" x14ac:dyDescent="0.3">
      <c r="A1230" s="1"/>
      <c r="B1230" s="1"/>
      <c r="C1230" s="1"/>
      <c r="D1230" s="1"/>
    </row>
    <row r="1231" spans="1:4" ht="13" x14ac:dyDescent="0.3">
      <c r="A1231" s="1"/>
      <c r="B1231" s="1"/>
      <c r="C1231" s="1"/>
      <c r="D1231" s="1"/>
    </row>
    <row r="1232" spans="1:4" ht="13" x14ac:dyDescent="0.3">
      <c r="A1232" s="1"/>
      <c r="B1232" s="1"/>
      <c r="C1232" s="1"/>
      <c r="D1232" s="1"/>
    </row>
    <row r="1233" spans="1:4" ht="13" x14ac:dyDescent="0.3">
      <c r="A1233" s="1"/>
      <c r="B1233" s="1"/>
      <c r="C1233" s="1"/>
      <c r="D1233" s="1"/>
    </row>
    <row r="1234" spans="1:4" ht="13" x14ac:dyDescent="0.3">
      <c r="A1234" s="1"/>
      <c r="B1234" s="1"/>
      <c r="C1234" s="1"/>
      <c r="D1234" s="1"/>
    </row>
    <row r="1235" spans="1:4" ht="13" x14ac:dyDescent="0.3">
      <c r="A1235" s="1"/>
      <c r="B1235" s="1"/>
      <c r="C1235" s="1"/>
      <c r="D1235" s="1"/>
    </row>
    <row r="1236" spans="1:4" ht="13" x14ac:dyDescent="0.3">
      <c r="A1236" s="1"/>
      <c r="B1236" s="1"/>
      <c r="C1236" s="1"/>
      <c r="D1236" s="1"/>
    </row>
    <row r="1237" spans="1:4" ht="13" x14ac:dyDescent="0.3">
      <c r="A1237" s="1"/>
      <c r="B1237" s="1"/>
      <c r="C1237" s="1"/>
      <c r="D1237" s="1"/>
    </row>
    <row r="1238" spans="1:4" ht="13" x14ac:dyDescent="0.3">
      <c r="A1238" s="1"/>
      <c r="B1238" s="1"/>
      <c r="C1238" s="1"/>
      <c r="D1238" s="1"/>
    </row>
    <row r="1239" spans="1:4" ht="13" x14ac:dyDescent="0.3">
      <c r="A1239" s="1"/>
      <c r="B1239" s="1"/>
      <c r="C1239" s="1"/>
      <c r="D1239" s="1"/>
    </row>
    <row r="1240" spans="1:4" ht="13" x14ac:dyDescent="0.3">
      <c r="A1240" s="1"/>
      <c r="B1240" s="1"/>
      <c r="C1240" s="1"/>
      <c r="D1240" s="1"/>
    </row>
    <row r="1241" spans="1:4" ht="13" x14ac:dyDescent="0.3">
      <c r="A1241" s="1"/>
      <c r="B1241" s="1"/>
      <c r="C1241" s="1"/>
      <c r="D1241" s="1"/>
    </row>
    <row r="1242" spans="1:4" ht="13" x14ac:dyDescent="0.3">
      <c r="A1242" s="1"/>
      <c r="B1242" s="1"/>
      <c r="C1242" s="1"/>
      <c r="D1242" s="1"/>
    </row>
    <row r="1243" spans="1:4" ht="13" x14ac:dyDescent="0.3">
      <c r="A1243" s="1"/>
      <c r="B1243" s="1"/>
      <c r="C1243" s="1"/>
      <c r="D1243" s="1"/>
    </row>
    <row r="1244" spans="1:4" ht="13" x14ac:dyDescent="0.3">
      <c r="A1244" s="1"/>
      <c r="B1244" s="1"/>
      <c r="C1244" s="1"/>
      <c r="D1244" s="1"/>
    </row>
    <row r="1245" spans="1:4" ht="13" x14ac:dyDescent="0.3">
      <c r="A1245" s="1"/>
      <c r="B1245" s="1"/>
      <c r="C1245" s="1"/>
      <c r="D1245" s="1"/>
    </row>
    <row r="1246" spans="1:4" ht="13" x14ac:dyDescent="0.3">
      <c r="A1246" s="1"/>
      <c r="B1246" s="1"/>
      <c r="C1246" s="1"/>
      <c r="D1246" s="1"/>
    </row>
    <row r="1247" spans="1:4" ht="13" x14ac:dyDescent="0.3">
      <c r="A1247" s="1"/>
      <c r="B1247" s="1"/>
      <c r="C1247" s="1"/>
      <c r="D1247" s="1"/>
    </row>
    <row r="1248" spans="1:4" ht="13" x14ac:dyDescent="0.3">
      <c r="A1248" s="1"/>
      <c r="B1248" s="1"/>
      <c r="C1248" s="1"/>
      <c r="D1248" s="1"/>
    </row>
    <row r="1249" spans="1:4" ht="13" x14ac:dyDescent="0.3">
      <c r="A1249" s="1"/>
      <c r="B1249" s="1"/>
      <c r="C1249" s="1"/>
      <c r="D1249" s="1"/>
    </row>
    <row r="1250" spans="1:4" ht="13" x14ac:dyDescent="0.3">
      <c r="A1250" s="1"/>
      <c r="B1250" s="1"/>
      <c r="C1250" s="1"/>
      <c r="D1250" s="1"/>
    </row>
    <row r="1251" spans="1:4" ht="13" x14ac:dyDescent="0.3">
      <c r="A1251" s="1"/>
      <c r="B1251" s="1"/>
      <c r="C1251" s="1"/>
      <c r="D1251" s="1"/>
    </row>
    <row r="1252" spans="1:4" ht="13" x14ac:dyDescent="0.3">
      <c r="A1252" s="1"/>
      <c r="B1252" s="1"/>
      <c r="C1252" s="1"/>
      <c r="D1252" s="1"/>
    </row>
    <row r="1253" spans="1:4" ht="13" x14ac:dyDescent="0.3">
      <c r="A1253" s="1"/>
      <c r="B1253" s="1"/>
      <c r="C1253" s="1"/>
      <c r="D1253" s="1"/>
    </row>
    <row r="1254" spans="1:4" ht="13" x14ac:dyDescent="0.3">
      <c r="A1254" s="1"/>
      <c r="B1254" s="1"/>
      <c r="C1254" s="1"/>
      <c r="D1254" s="1"/>
    </row>
    <row r="1255" spans="1:4" ht="13" x14ac:dyDescent="0.3">
      <c r="A1255" s="1"/>
      <c r="B1255" s="1"/>
      <c r="C1255" s="1"/>
      <c r="D1255" s="1"/>
    </row>
    <row r="1256" spans="1:4" ht="13" x14ac:dyDescent="0.3">
      <c r="A1256" s="1"/>
      <c r="B1256" s="1"/>
      <c r="C1256" s="1"/>
      <c r="D1256" s="1"/>
    </row>
    <row r="1257" spans="1:4" ht="13" x14ac:dyDescent="0.3">
      <c r="A1257" s="1"/>
      <c r="B1257" s="1"/>
      <c r="C1257" s="1"/>
      <c r="D1257" s="1"/>
    </row>
    <row r="1258" spans="1:4" ht="13" x14ac:dyDescent="0.3">
      <c r="A1258" s="1"/>
      <c r="B1258" s="1"/>
      <c r="C1258" s="1"/>
      <c r="D1258" s="1"/>
    </row>
    <row r="1259" spans="1:4" ht="13" x14ac:dyDescent="0.3">
      <c r="A1259" s="1"/>
      <c r="B1259" s="1"/>
      <c r="C1259" s="1"/>
      <c r="D1259" s="1"/>
    </row>
    <row r="1260" spans="1:4" ht="13" x14ac:dyDescent="0.3">
      <c r="A1260" s="1"/>
      <c r="B1260" s="1"/>
      <c r="C1260" s="1"/>
      <c r="D1260" s="1"/>
    </row>
    <row r="1261" spans="1:4" ht="13" x14ac:dyDescent="0.3">
      <c r="A1261" s="1"/>
      <c r="B1261" s="1"/>
      <c r="C1261" s="1"/>
      <c r="D1261" s="1"/>
    </row>
    <row r="1262" spans="1:4" ht="13" x14ac:dyDescent="0.3">
      <c r="A1262" s="1"/>
      <c r="B1262" s="1"/>
      <c r="C1262" s="1"/>
      <c r="D1262" s="1"/>
    </row>
    <row r="1263" spans="1:4" ht="13" x14ac:dyDescent="0.3">
      <c r="A1263" s="1"/>
      <c r="B1263" s="1"/>
      <c r="C1263" s="1"/>
      <c r="D1263" s="1"/>
    </row>
    <row r="1264" spans="1:4" ht="13" x14ac:dyDescent="0.3">
      <c r="A1264" s="1"/>
      <c r="B1264" s="1"/>
      <c r="C1264" s="1"/>
      <c r="D1264" s="1"/>
    </row>
    <row r="1265" spans="1:4" ht="13" x14ac:dyDescent="0.3">
      <c r="A1265" s="1"/>
      <c r="B1265" s="1"/>
      <c r="C1265" s="1"/>
      <c r="D1265" s="1"/>
    </row>
    <row r="1266" spans="1:4" ht="13" x14ac:dyDescent="0.3">
      <c r="A1266" s="1"/>
      <c r="B1266" s="1"/>
      <c r="C1266" s="1"/>
      <c r="D1266" s="1"/>
    </row>
    <row r="1267" spans="1:4" ht="13" x14ac:dyDescent="0.3">
      <c r="A1267" s="1"/>
      <c r="B1267" s="1"/>
      <c r="C1267" s="1"/>
      <c r="D1267" s="1"/>
    </row>
    <row r="1268" spans="1:4" ht="13" x14ac:dyDescent="0.3">
      <c r="A1268" s="1"/>
      <c r="B1268" s="1"/>
      <c r="C1268" s="1"/>
      <c r="D1268" s="1"/>
    </row>
    <row r="1269" spans="1:4" ht="13" x14ac:dyDescent="0.3">
      <c r="A1269" s="1"/>
      <c r="B1269" s="1"/>
      <c r="C1269" s="1"/>
      <c r="D1269" s="1"/>
    </row>
    <row r="1270" spans="1:4" ht="13" x14ac:dyDescent="0.3">
      <c r="A1270" s="1"/>
      <c r="B1270" s="1"/>
      <c r="C1270" s="1"/>
      <c r="D1270" s="1"/>
    </row>
    <row r="1271" spans="1:4" ht="13" x14ac:dyDescent="0.3">
      <c r="A1271" s="1"/>
      <c r="B1271" s="1"/>
      <c r="C1271" s="1"/>
      <c r="D1271" s="1"/>
    </row>
    <row r="1272" spans="1:4" ht="13" x14ac:dyDescent="0.3">
      <c r="A1272" s="1"/>
      <c r="B1272" s="1"/>
      <c r="C1272" s="1"/>
      <c r="D1272" s="1"/>
    </row>
    <row r="1273" spans="1:4" ht="13" x14ac:dyDescent="0.3">
      <c r="A1273" s="1"/>
      <c r="B1273" s="1"/>
      <c r="C1273" s="1"/>
      <c r="D1273" s="1"/>
    </row>
    <row r="1274" spans="1:4" ht="13" x14ac:dyDescent="0.3">
      <c r="A1274" s="1"/>
      <c r="B1274" s="1"/>
      <c r="C1274" s="1"/>
      <c r="D1274" s="1"/>
    </row>
    <row r="1275" spans="1:4" ht="13" x14ac:dyDescent="0.3">
      <c r="A1275" s="1"/>
      <c r="B1275" s="1"/>
      <c r="C1275" s="1"/>
      <c r="D1275" s="1"/>
    </row>
    <row r="1276" spans="1:4" ht="13" x14ac:dyDescent="0.3">
      <c r="A1276" s="1"/>
      <c r="B1276" s="1"/>
      <c r="C1276" s="1"/>
      <c r="D1276" s="1"/>
    </row>
    <row r="1277" spans="1:4" ht="13" x14ac:dyDescent="0.3">
      <c r="A1277" s="1"/>
      <c r="B1277" s="1"/>
      <c r="C1277" s="1"/>
      <c r="D1277" s="1"/>
    </row>
    <row r="1278" spans="1:4" ht="13" x14ac:dyDescent="0.3">
      <c r="A1278" s="1"/>
      <c r="B1278" s="1"/>
      <c r="C1278" s="1"/>
      <c r="D1278" s="1"/>
    </row>
    <row r="1279" spans="1:4" ht="13" x14ac:dyDescent="0.3">
      <c r="A1279" s="1"/>
      <c r="B1279" s="1"/>
      <c r="C1279" s="1"/>
      <c r="D1279" s="1"/>
    </row>
    <row r="1280" spans="1:4" ht="13" x14ac:dyDescent="0.3">
      <c r="A1280" s="1"/>
      <c r="B1280" s="1"/>
      <c r="C1280" s="1"/>
      <c r="D1280" s="1"/>
    </row>
    <row r="1281" spans="1:4" ht="13" x14ac:dyDescent="0.3">
      <c r="A1281" s="1"/>
      <c r="B1281" s="1"/>
      <c r="C1281" s="1"/>
      <c r="D1281" s="1"/>
    </row>
    <row r="1282" spans="1:4" ht="13" x14ac:dyDescent="0.3">
      <c r="A1282" s="1"/>
      <c r="B1282" s="1"/>
      <c r="C1282" s="1"/>
      <c r="D1282" s="1"/>
    </row>
    <row r="1283" spans="1:4" ht="13" x14ac:dyDescent="0.3">
      <c r="A1283" s="1"/>
      <c r="B1283" s="1"/>
      <c r="C1283" s="1"/>
      <c r="D1283" s="1"/>
    </row>
    <row r="1284" spans="1:4" ht="13" x14ac:dyDescent="0.3">
      <c r="A1284" s="1"/>
      <c r="B1284" s="1"/>
      <c r="C1284" s="1"/>
      <c r="D1284" s="1"/>
    </row>
    <row r="1285" spans="1:4" ht="13" x14ac:dyDescent="0.3">
      <c r="A1285" s="1"/>
      <c r="B1285" s="1"/>
      <c r="C1285" s="1"/>
      <c r="D1285" s="1"/>
    </row>
    <row r="1286" spans="1:4" ht="13" x14ac:dyDescent="0.3">
      <c r="A1286" s="1"/>
      <c r="B1286" s="1"/>
      <c r="C1286" s="1"/>
      <c r="D1286" s="1"/>
    </row>
    <row r="1287" spans="1:4" ht="13" x14ac:dyDescent="0.3">
      <c r="A1287" s="1"/>
      <c r="B1287" s="1"/>
      <c r="C1287" s="1"/>
      <c r="D1287" s="1"/>
    </row>
    <row r="1288" spans="1:4" ht="13" x14ac:dyDescent="0.3">
      <c r="A1288" s="1"/>
      <c r="B1288" s="1"/>
      <c r="C1288" s="1"/>
      <c r="D1288" s="1"/>
    </row>
    <row r="1289" spans="1:4" ht="13" x14ac:dyDescent="0.3">
      <c r="A1289" s="1"/>
      <c r="B1289" s="1"/>
      <c r="C1289" s="1"/>
      <c r="D1289" s="1"/>
    </row>
    <row r="1290" spans="1:4" ht="13" x14ac:dyDescent="0.3">
      <c r="A1290" s="1"/>
      <c r="B1290" s="1"/>
      <c r="C1290" s="1"/>
      <c r="D1290" s="1"/>
    </row>
    <row r="1291" spans="1:4" ht="13" x14ac:dyDescent="0.3">
      <c r="A1291" s="1"/>
      <c r="B1291" s="1"/>
      <c r="C1291" s="1"/>
      <c r="D1291" s="1"/>
    </row>
    <row r="1292" spans="1:4" ht="13" x14ac:dyDescent="0.3">
      <c r="A1292" s="1"/>
      <c r="B1292" s="1"/>
      <c r="C1292" s="1"/>
      <c r="D1292" s="1"/>
    </row>
    <row r="1293" spans="1:4" ht="13" x14ac:dyDescent="0.3">
      <c r="A1293" s="1"/>
      <c r="B1293" s="1"/>
      <c r="C1293" s="1"/>
      <c r="D1293" s="1"/>
    </row>
    <row r="1294" spans="1:4" ht="13" x14ac:dyDescent="0.3">
      <c r="A1294" s="1"/>
      <c r="B1294" s="1"/>
      <c r="C1294" s="1"/>
      <c r="D1294" s="1"/>
    </row>
    <row r="1295" spans="1:4" ht="13" x14ac:dyDescent="0.3">
      <c r="A1295" s="1"/>
      <c r="B1295" s="1"/>
      <c r="C1295" s="1"/>
      <c r="D1295" s="1"/>
    </row>
    <row r="1296" spans="1:4" ht="13" x14ac:dyDescent="0.3">
      <c r="A1296" s="1"/>
      <c r="B1296" s="1"/>
      <c r="C1296" s="1"/>
      <c r="D1296" s="1"/>
    </row>
    <row r="1297" spans="1:4" ht="13" x14ac:dyDescent="0.3">
      <c r="A1297" s="1"/>
      <c r="B1297" s="1"/>
      <c r="C1297" s="1"/>
      <c r="D1297" s="1"/>
    </row>
    <row r="1298" spans="1:4" ht="13" x14ac:dyDescent="0.3">
      <c r="A1298" s="1"/>
      <c r="B1298" s="1"/>
      <c r="C1298" s="1"/>
      <c r="D1298" s="1"/>
    </row>
    <row r="1299" spans="1:4" ht="13" x14ac:dyDescent="0.3">
      <c r="A1299" s="1"/>
      <c r="B1299" s="1"/>
      <c r="C1299" s="1"/>
      <c r="D1299" s="1"/>
    </row>
    <row r="1300" spans="1:4" ht="13" x14ac:dyDescent="0.3">
      <c r="A1300" s="1"/>
      <c r="B1300" s="1"/>
      <c r="C1300" s="1"/>
      <c r="D1300" s="1"/>
    </row>
    <row r="1301" spans="1:4" ht="13" x14ac:dyDescent="0.3">
      <c r="A1301" s="1"/>
      <c r="B1301" s="1"/>
      <c r="C1301" s="1"/>
      <c r="D1301" s="1"/>
    </row>
    <row r="1302" spans="1:4" ht="13" x14ac:dyDescent="0.3">
      <c r="A1302" s="1"/>
      <c r="B1302" s="1"/>
      <c r="C1302" s="1"/>
      <c r="D1302" s="1"/>
    </row>
    <row r="1303" spans="1:4" ht="13" x14ac:dyDescent="0.3">
      <c r="A1303" s="1"/>
      <c r="B1303" s="1"/>
      <c r="C1303" s="1"/>
      <c r="D1303" s="1"/>
    </row>
    <row r="1304" spans="1:4" ht="13" x14ac:dyDescent="0.3">
      <c r="A1304" s="1"/>
      <c r="B1304" s="1"/>
      <c r="C1304" s="1"/>
      <c r="D1304" s="1"/>
    </row>
    <row r="1305" spans="1:4" ht="13" x14ac:dyDescent="0.3">
      <c r="A1305" s="1"/>
      <c r="B1305" s="1"/>
      <c r="C1305" s="1"/>
      <c r="D1305" s="1"/>
    </row>
    <row r="1306" spans="1:4" ht="13" x14ac:dyDescent="0.3">
      <c r="A1306" s="1"/>
      <c r="B1306" s="1"/>
      <c r="C1306" s="1"/>
      <c r="D1306" s="1"/>
    </row>
    <row r="1307" spans="1:4" ht="13" x14ac:dyDescent="0.3">
      <c r="A1307" s="1"/>
      <c r="B1307" s="1"/>
      <c r="C1307" s="1"/>
      <c r="D1307" s="1"/>
    </row>
    <row r="1308" spans="1:4" ht="13" x14ac:dyDescent="0.3">
      <c r="A1308" s="1"/>
      <c r="B1308" s="1"/>
      <c r="C1308" s="1"/>
      <c r="D1308" s="1"/>
    </row>
    <row r="1309" spans="1:4" ht="13" x14ac:dyDescent="0.3">
      <c r="A1309" s="1"/>
      <c r="B1309" s="1"/>
      <c r="C1309" s="1"/>
      <c r="D1309" s="1"/>
    </row>
    <row r="1310" spans="1:4" ht="13" x14ac:dyDescent="0.3">
      <c r="A1310" s="1"/>
      <c r="B1310" s="1"/>
      <c r="C1310" s="1"/>
      <c r="D1310" s="1"/>
    </row>
    <row r="1311" spans="1:4" ht="13" x14ac:dyDescent="0.3">
      <c r="A1311" s="1"/>
      <c r="B1311" s="1"/>
      <c r="C1311" s="1"/>
      <c r="D1311" s="1"/>
    </row>
    <row r="1312" spans="1:4" ht="13" x14ac:dyDescent="0.3">
      <c r="A1312" s="1"/>
      <c r="B1312" s="1"/>
      <c r="C1312" s="1"/>
      <c r="D1312" s="1"/>
    </row>
    <row r="1313" spans="1:4" ht="13" x14ac:dyDescent="0.3">
      <c r="A1313" s="1"/>
      <c r="B1313" s="1"/>
      <c r="C1313" s="1"/>
      <c r="D1313" s="1"/>
    </row>
    <row r="1314" spans="1:4" ht="13" x14ac:dyDescent="0.3">
      <c r="A1314" s="1"/>
      <c r="B1314" s="1"/>
      <c r="C1314" s="1"/>
      <c r="D1314" s="1"/>
    </row>
    <row r="1315" spans="1:4" ht="13" x14ac:dyDescent="0.3">
      <c r="A1315" s="1"/>
      <c r="B1315" s="1"/>
      <c r="C1315" s="1"/>
      <c r="D1315" s="1"/>
    </row>
    <row r="1316" spans="1:4" ht="13" x14ac:dyDescent="0.3">
      <c r="A1316" s="1"/>
      <c r="B1316" s="1"/>
      <c r="C1316" s="1"/>
      <c r="D1316" s="1"/>
    </row>
    <row r="1317" spans="1:4" ht="13" x14ac:dyDescent="0.3">
      <c r="A1317" s="1"/>
      <c r="B1317" s="1"/>
      <c r="C1317" s="1"/>
      <c r="D1317" s="1"/>
    </row>
    <row r="1318" spans="1:4" ht="13" x14ac:dyDescent="0.3">
      <c r="A1318" s="1"/>
      <c r="B1318" s="1"/>
      <c r="C1318" s="1"/>
      <c r="D1318" s="1"/>
    </row>
    <row r="1319" spans="1:4" ht="13" x14ac:dyDescent="0.3">
      <c r="A1319" s="1"/>
      <c r="B1319" s="1"/>
      <c r="C1319" s="1"/>
      <c r="D1319" s="1"/>
    </row>
    <row r="1320" spans="1:4" ht="13" x14ac:dyDescent="0.3">
      <c r="A1320" s="1"/>
      <c r="B1320" s="1"/>
      <c r="C1320" s="1"/>
      <c r="D1320" s="1"/>
    </row>
    <row r="1321" spans="1:4" ht="13" x14ac:dyDescent="0.3">
      <c r="A1321" s="1"/>
      <c r="B1321" s="1"/>
      <c r="C1321" s="1"/>
      <c r="D1321" s="1"/>
    </row>
    <row r="1322" spans="1:4" ht="13" x14ac:dyDescent="0.3">
      <c r="A1322" s="1"/>
      <c r="B1322" s="1"/>
      <c r="C1322" s="1"/>
      <c r="D1322" s="1"/>
    </row>
    <row r="1323" spans="1:4" ht="13" x14ac:dyDescent="0.3">
      <c r="A1323" s="1"/>
      <c r="B1323" s="1"/>
      <c r="C1323" s="1"/>
      <c r="D1323" s="1"/>
    </row>
    <row r="1324" spans="1:4" ht="13" x14ac:dyDescent="0.3">
      <c r="A1324" s="1"/>
      <c r="B1324" s="1"/>
      <c r="C1324" s="1"/>
      <c r="D1324" s="1"/>
    </row>
    <row r="1325" spans="1:4" ht="13" x14ac:dyDescent="0.3">
      <c r="A1325" s="1"/>
      <c r="B1325" s="1"/>
      <c r="C1325" s="1"/>
      <c r="D1325" s="1"/>
    </row>
    <row r="1326" spans="1:4" ht="13" x14ac:dyDescent="0.3">
      <c r="A1326" s="1"/>
      <c r="B1326" s="1"/>
      <c r="C1326" s="1"/>
      <c r="D1326" s="1"/>
    </row>
    <row r="1327" spans="1:4" ht="13" x14ac:dyDescent="0.3">
      <c r="A1327" s="1"/>
      <c r="B1327" s="1"/>
      <c r="C1327" s="1"/>
      <c r="D1327" s="1"/>
    </row>
    <row r="1328" spans="1:4" ht="13" x14ac:dyDescent="0.3">
      <c r="A1328" s="1"/>
      <c r="B1328" s="1"/>
      <c r="C1328" s="1"/>
      <c r="D1328" s="1"/>
    </row>
    <row r="1329" spans="1:4" ht="13" x14ac:dyDescent="0.3">
      <c r="A1329" s="1"/>
      <c r="B1329" s="1"/>
      <c r="C1329" s="1"/>
      <c r="D1329" s="1"/>
    </row>
    <row r="1330" spans="1:4" ht="13" x14ac:dyDescent="0.3">
      <c r="A1330" s="1"/>
      <c r="B1330" s="1"/>
      <c r="C1330" s="1"/>
      <c r="D1330" s="1"/>
    </row>
    <row r="1331" spans="1:4" ht="13" x14ac:dyDescent="0.3">
      <c r="A1331" s="1"/>
      <c r="B1331" s="1"/>
      <c r="C1331" s="1"/>
      <c r="D1331" s="1"/>
    </row>
    <row r="1332" spans="1:4" ht="13" x14ac:dyDescent="0.3">
      <c r="A1332" s="1"/>
      <c r="B1332" s="1"/>
      <c r="C1332" s="1"/>
      <c r="D1332" s="1"/>
    </row>
    <row r="1333" spans="1:4" ht="13" x14ac:dyDescent="0.3">
      <c r="A1333" s="1"/>
      <c r="B1333" s="1"/>
      <c r="C1333" s="1"/>
      <c r="D1333" s="1"/>
    </row>
    <row r="1334" spans="1:4" ht="13" x14ac:dyDescent="0.3">
      <c r="A1334" s="1"/>
      <c r="B1334" s="1"/>
      <c r="C1334" s="1"/>
      <c r="D1334" s="1"/>
    </row>
    <row r="1335" spans="1:4" ht="13" x14ac:dyDescent="0.3">
      <c r="A1335" s="1"/>
      <c r="B1335" s="1"/>
      <c r="C1335" s="1"/>
      <c r="D1335" s="1"/>
    </row>
    <row r="1336" spans="1:4" ht="13" x14ac:dyDescent="0.3">
      <c r="A1336" s="1"/>
      <c r="B1336" s="1"/>
      <c r="C1336" s="1"/>
      <c r="D1336" s="1"/>
    </row>
    <row r="1337" spans="1:4" ht="13" x14ac:dyDescent="0.3">
      <c r="A1337" s="1"/>
      <c r="B1337" s="1"/>
      <c r="C1337" s="1"/>
      <c r="D1337" s="1"/>
    </row>
    <row r="1338" spans="1:4" ht="13" x14ac:dyDescent="0.3">
      <c r="A1338" s="1"/>
      <c r="B1338" s="1"/>
      <c r="C1338" s="1"/>
      <c r="D1338" s="1"/>
    </row>
    <row r="1339" spans="1:4" ht="13" x14ac:dyDescent="0.3">
      <c r="A1339" s="1"/>
      <c r="B1339" s="1"/>
      <c r="C1339" s="1"/>
      <c r="D1339" s="1"/>
    </row>
    <row r="1340" spans="1:4" ht="13" x14ac:dyDescent="0.3">
      <c r="A1340" s="1"/>
      <c r="B1340" s="1"/>
      <c r="C1340" s="1"/>
      <c r="D1340" s="1"/>
    </row>
    <row r="1341" spans="1:4" ht="13" x14ac:dyDescent="0.3">
      <c r="A1341" s="1"/>
      <c r="B1341" s="1"/>
      <c r="C1341" s="1"/>
      <c r="D1341" s="1"/>
    </row>
    <row r="1342" spans="1:4" ht="13" x14ac:dyDescent="0.3">
      <c r="A1342" s="1"/>
      <c r="B1342" s="1"/>
      <c r="C1342" s="1"/>
      <c r="D1342" s="1"/>
    </row>
    <row r="1343" spans="1:4" ht="13" x14ac:dyDescent="0.3">
      <c r="A1343" s="1"/>
      <c r="B1343" s="1"/>
      <c r="C1343" s="1"/>
      <c r="D1343" s="1"/>
    </row>
    <row r="1344" spans="1:4" ht="13" x14ac:dyDescent="0.3">
      <c r="A1344" s="1"/>
      <c r="B1344" s="1"/>
      <c r="C1344" s="1"/>
      <c r="D1344" s="1"/>
    </row>
    <row r="1345" spans="1:4" ht="13" x14ac:dyDescent="0.3">
      <c r="A1345" s="1"/>
      <c r="B1345" s="1"/>
      <c r="C1345" s="1"/>
      <c r="D1345" s="1"/>
    </row>
    <row r="1346" spans="1:4" ht="13" x14ac:dyDescent="0.3">
      <c r="A1346" s="1"/>
      <c r="B1346" s="1"/>
      <c r="C1346" s="1"/>
      <c r="D1346" s="1"/>
    </row>
    <row r="1347" spans="1:4" ht="13" x14ac:dyDescent="0.3">
      <c r="A1347" s="1"/>
      <c r="B1347" s="1"/>
      <c r="C1347" s="1"/>
      <c r="D1347" s="1"/>
    </row>
    <row r="1348" spans="1:4" ht="13" x14ac:dyDescent="0.3">
      <c r="A1348" s="1"/>
      <c r="B1348" s="1"/>
      <c r="C1348" s="1"/>
      <c r="D1348" s="1"/>
    </row>
    <row r="1349" spans="1:4" ht="13" x14ac:dyDescent="0.3">
      <c r="A1349" s="1"/>
      <c r="B1349" s="1"/>
      <c r="C1349" s="1"/>
      <c r="D1349" s="1"/>
    </row>
    <row r="1350" spans="1:4" ht="13" x14ac:dyDescent="0.3">
      <c r="A1350" s="1"/>
      <c r="B1350" s="1"/>
      <c r="C1350" s="1"/>
      <c r="D1350" s="1"/>
    </row>
    <row r="1351" spans="1:4" ht="13" x14ac:dyDescent="0.3">
      <c r="A1351" s="1"/>
      <c r="B1351" s="1"/>
      <c r="C1351" s="1"/>
      <c r="D1351" s="1"/>
    </row>
    <row r="1352" spans="1:4" ht="13" x14ac:dyDescent="0.3">
      <c r="A1352" s="1"/>
      <c r="B1352" s="1"/>
      <c r="C1352" s="1"/>
      <c r="D1352" s="1"/>
    </row>
    <row r="1353" spans="1:4" ht="13" x14ac:dyDescent="0.3">
      <c r="A1353" s="1"/>
      <c r="B1353" s="1"/>
      <c r="C1353" s="1"/>
      <c r="D1353" s="1"/>
    </row>
    <row r="1354" spans="1:4" ht="13" x14ac:dyDescent="0.3">
      <c r="A1354" s="1"/>
      <c r="B1354" s="1"/>
      <c r="C1354" s="1"/>
      <c r="D1354" s="1"/>
    </row>
    <row r="1355" spans="1:4" ht="13" x14ac:dyDescent="0.3">
      <c r="A1355" s="1"/>
      <c r="B1355" s="1"/>
      <c r="C1355" s="1"/>
      <c r="D1355" s="1"/>
    </row>
    <row r="1356" spans="1:4" ht="13" x14ac:dyDescent="0.3">
      <c r="A1356" s="1"/>
      <c r="B1356" s="1"/>
      <c r="C1356" s="1"/>
      <c r="D1356" s="1"/>
    </row>
    <row r="1357" spans="1:4" ht="13" x14ac:dyDescent="0.3">
      <c r="A1357" s="1"/>
      <c r="B1357" s="1"/>
      <c r="C1357" s="1"/>
      <c r="D1357" s="1"/>
    </row>
    <row r="1358" spans="1:4" ht="13" x14ac:dyDescent="0.3">
      <c r="A1358" s="1"/>
      <c r="B1358" s="1"/>
      <c r="C1358" s="1"/>
      <c r="D1358" s="1"/>
    </row>
    <row r="1359" spans="1:4" ht="13" x14ac:dyDescent="0.3">
      <c r="A1359" s="1"/>
      <c r="B1359" s="1"/>
      <c r="C1359" s="1"/>
      <c r="D1359" s="1"/>
    </row>
    <row r="1360" spans="1:4" ht="13" x14ac:dyDescent="0.3">
      <c r="A1360" s="1"/>
      <c r="B1360" s="1"/>
      <c r="C1360" s="1"/>
      <c r="D1360" s="1"/>
    </row>
    <row r="1361" spans="1:4" ht="13" x14ac:dyDescent="0.3">
      <c r="A1361" s="1"/>
      <c r="B1361" s="1"/>
      <c r="C1361" s="1"/>
      <c r="D1361" s="1"/>
    </row>
    <row r="1362" spans="1:4" ht="13" x14ac:dyDescent="0.3">
      <c r="A1362" s="1"/>
      <c r="B1362" s="1"/>
      <c r="C1362" s="1"/>
      <c r="D1362" s="1"/>
    </row>
    <row r="1363" spans="1:4" ht="13" x14ac:dyDescent="0.3">
      <c r="A1363" s="1"/>
      <c r="B1363" s="1"/>
      <c r="C1363" s="1"/>
      <c r="D1363" s="1"/>
    </row>
    <row r="1364" spans="1:4" ht="13" x14ac:dyDescent="0.3">
      <c r="A1364" s="1"/>
      <c r="B1364" s="1"/>
      <c r="C1364" s="1"/>
      <c r="D1364" s="1"/>
    </row>
    <row r="1365" spans="1:4" ht="13" x14ac:dyDescent="0.3">
      <c r="A1365" s="1"/>
      <c r="B1365" s="1"/>
      <c r="C1365" s="1"/>
      <c r="D1365" s="1"/>
    </row>
    <row r="1366" spans="1:4" ht="13" x14ac:dyDescent="0.3">
      <c r="A1366" s="1"/>
      <c r="B1366" s="1"/>
      <c r="C1366" s="1"/>
      <c r="D1366" s="1"/>
    </row>
    <row r="1367" spans="1:4" ht="13" x14ac:dyDescent="0.3">
      <c r="A1367" s="1"/>
      <c r="B1367" s="1"/>
      <c r="C1367" s="1"/>
      <c r="D1367" s="1"/>
    </row>
    <row r="1368" spans="1:4" ht="13" x14ac:dyDescent="0.3">
      <c r="A1368" s="1"/>
      <c r="B1368" s="1"/>
      <c r="C1368" s="1"/>
      <c r="D1368" s="1"/>
    </row>
    <row r="1369" spans="1:4" ht="13" x14ac:dyDescent="0.3">
      <c r="A1369" s="1"/>
      <c r="B1369" s="1"/>
      <c r="C1369" s="1"/>
      <c r="D1369" s="1"/>
    </row>
    <row r="1370" spans="1:4" ht="13" x14ac:dyDescent="0.3">
      <c r="A1370" s="1"/>
      <c r="B1370" s="1"/>
      <c r="C1370" s="1"/>
      <c r="D1370" s="1"/>
    </row>
    <row r="1371" spans="1:4" ht="13" x14ac:dyDescent="0.3">
      <c r="A1371" s="1"/>
      <c r="B1371" s="1"/>
      <c r="C1371" s="1"/>
      <c r="D1371" s="1"/>
    </row>
    <row r="1372" spans="1:4" ht="13" x14ac:dyDescent="0.3">
      <c r="A1372" s="1"/>
      <c r="B1372" s="1"/>
      <c r="C1372" s="1"/>
      <c r="D1372" s="1"/>
    </row>
    <row r="1373" spans="1:4" ht="13" x14ac:dyDescent="0.3">
      <c r="A1373" s="1"/>
      <c r="B1373" s="1"/>
      <c r="C1373" s="1"/>
      <c r="D1373" s="1"/>
    </row>
    <row r="1374" spans="1:4" ht="13" x14ac:dyDescent="0.3">
      <c r="A1374" s="1"/>
      <c r="B1374" s="1"/>
      <c r="C1374" s="1"/>
      <c r="D1374" s="1"/>
    </row>
    <row r="1375" spans="1:4" ht="13" x14ac:dyDescent="0.3">
      <c r="A1375" s="1"/>
      <c r="B1375" s="1"/>
      <c r="C1375" s="1"/>
      <c r="D1375" s="1"/>
    </row>
    <row r="1376" spans="1:4" ht="13" x14ac:dyDescent="0.3">
      <c r="A1376" s="1"/>
      <c r="B1376" s="1"/>
      <c r="C1376" s="1"/>
      <c r="D1376" s="1"/>
    </row>
    <row r="1377" spans="1:4" ht="13" x14ac:dyDescent="0.3">
      <c r="A1377" s="1"/>
      <c r="B1377" s="1"/>
      <c r="C1377" s="1"/>
      <c r="D1377" s="1"/>
    </row>
    <row r="1378" spans="1:4" ht="13" x14ac:dyDescent="0.3">
      <c r="A1378" s="1"/>
      <c r="B1378" s="1"/>
      <c r="C1378" s="1"/>
      <c r="D1378" s="1"/>
    </row>
    <row r="1379" spans="1:4" ht="13" x14ac:dyDescent="0.3">
      <c r="A1379" s="1"/>
      <c r="B1379" s="1"/>
      <c r="C1379" s="1"/>
      <c r="D1379" s="1"/>
    </row>
    <row r="1380" spans="1:4" ht="13" x14ac:dyDescent="0.3">
      <c r="A1380" s="1"/>
      <c r="B1380" s="1"/>
      <c r="C1380" s="1"/>
      <c r="D1380" s="1"/>
    </row>
    <row r="1381" spans="1:4" ht="13" x14ac:dyDescent="0.3">
      <c r="A1381" s="1"/>
      <c r="B1381" s="1"/>
      <c r="C1381" s="1"/>
      <c r="D1381" s="1"/>
    </row>
    <row r="1382" spans="1:4" ht="13" x14ac:dyDescent="0.3">
      <c r="A1382" s="1"/>
      <c r="B1382" s="1"/>
      <c r="C1382" s="1"/>
      <c r="D1382" s="1"/>
    </row>
    <row r="1383" spans="1:4" ht="13" x14ac:dyDescent="0.3">
      <c r="A1383" s="1"/>
      <c r="B1383" s="1"/>
      <c r="C1383" s="1"/>
      <c r="D1383" s="1"/>
    </row>
    <row r="1384" spans="1:4" ht="13" x14ac:dyDescent="0.3">
      <c r="A1384" s="1"/>
      <c r="B1384" s="1"/>
      <c r="C1384" s="1"/>
      <c r="D1384" s="1"/>
    </row>
    <row r="1385" spans="1:4" ht="13" x14ac:dyDescent="0.3">
      <c r="A1385" s="1"/>
      <c r="B1385" s="1"/>
      <c r="C1385" s="1"/>
      <c r="D1385" s="1"/>
    </row>
    <row r="1386" spans="1:4" ht="13" x14ac:dyDescent="0.3">
      <c r="A1386" s="1"/>
      <c r="B1386" s="1"/>
      <c r="C1386" s="1"/>
      <c r="D1386" s="1"/>
    </row>
    <row r="1387" spans="1:4" ht="13" x14ac:dyDescent="0.3">
      <c r="A1387" s="1"/>
      <c r="B1387" s="1"/>
      <c r="C1387" s="1"/>
      <c r="D1387" s="1"/>
    </row>
    <row r="1388" spans="1:4" ht="13" x14ac:dyDescent="0.3">
      <c r="A1388" s="1"/>
      <c r="B1388" s="1"/>
      <c r="C1388" s="1"/>
      <c r="D1388" s="1"/>
    </row>
    <row r="1389" spans="1:4" ht="13" x14ac:dyDescent="0.3">
      <c r="A1389" s="1"/>
      <c r="B1389" s="1"/>
      <c r="C1389" s="1"/>
      <c r="D1389" s="1"/>
    </row>
    <row r="1390" spans="1:4" ht="13" x14ac:dyDescent="0.3">
      <c r="A1390" s="1"/>
      <c r="B1390" s="1"/>
      <c r="C1390" s="1"/>
      <c r="D1390" s="1"/>
    </row>
    <row r="1391" spans="1:4" ht="13" x14ac:dyDescent="0.3">
      <c r="A1391" s="1"/>
      <c r="B1391" s="1"/>
      <c r="C1391" s="1"/>
      <c r="D1391" s="1"/>
    </row>
    <row r="1392" spans="1:4" ht="13" x14ac:dyDescent="0.3">
      <c r="A1392" s="1"/>
      <c r="B1392" s="1"/>
      <c r="C1392" s="1"/>
      <c r="D1392" s="1"/>
    </row>
    <row r="1393" spans="1:4" ht="13" x14ac:dyDescent="0.3">
      <c r="A1393" s="1"/>
      <c r="B1393" s="1"/>
      <c r="C1393" s="1"/>
      <c r="D1393" s="1"/>
    </row>
    <row r="1394" spans="1:4" ht="13" x14ac:dyDescent="0.3">
      <c r="A1394" s="1"/>
      <c r="B1394" s="1"/>
      <c r="C1394" s="1"/>
      <c r="D1394" s="1"/>
    </row>
    <row r="1395" spans="1:4" ht="13" x14ac:dyDescent="0.3">
      <c r="A1395" s="1"/>
      <c r="B1395" s="1"/>
      <c r="C1395" s="1"/>
      <c r="D1395" s="1"/>
    </row>
    <row r="1396" spans="1:4" ht="13" x14ac:dyDescent="0.3">
      <c r="A1396" s="1"/>
      <c r="B1396" s="1"/>
      <c r="C1396" s="1"/>
      <c r="D1396" s="1"/>
    </row>
    <row r="1397" spans="1:4" ht="13" x14ac:dyDescent="0.3">
      <c r="A1397" s="1"/>
      <c r="B1397" s="1"/>
      <c r="C1397" s="1"/>
      <c r="D1397" s="1"/>
    </row>
    <row r="1398" spans="1:4" ht="13" x14ac:dyDescent="0.3">
      <c r="A1398" s="1"/>
      <c r="B1398" s="1"/>
      <c r="C1398" s="1"/>
      <c r="D1398" s="1"/>
    </row>
    <row r="1399" spans="1:4" ht="13" x14ac:dyDescent="0.3">
      <c r="A1399" s="1"/>
      <c r="B1399" s="1"/>
      <c r="C1399" s="1"/>
      <c r="D1399" s="1"/>
    </row>
    <row r="1400" spans="1:4" ht="13" x14ac:dyDescent="0.3">
      <c r="A1400" s="1"/>
      <c r="B1400" s="1"/>
      <c r="C1400" s="1"/>
      <c r="D1400" s="1"/>
    </row>
    <row r="1401" spans="1:4" ht="13" x14ac:dyDescent="0.3">
      <c r="A1401" s="1"/>
      <c r="B1401" s="1"/>
      <c r="C1401" s="1"/>
      <c r="D1401" s="1"/>
    </row>
    <row r="1402" spans="1:4" ht="13" x14ac:dyDescent="0.3">
      <c r="A1402" s="1"/>
      <c r="B1402" s="1"/>
      <c r="C1402" s="1"/>
      <c r="D1402" s="1"/>
    </row>
    <row r="1403" spans="1:4" ht="13" x14ac:dyDescent="0.3">
      <c r="A1403" s="1"/>
      <c r="B1403" s="1"/>
      <c r="C1403" s="1"/>
      <c r="D1403" s="1"/>
    </row>
    <row r="1404" spans="1:4" ht="13" x14ac:dyDescent="0.3">
      <c r="A1404" s="1"/>
      <c r="B1404" s="1"/>
      <c r="C1404" s="1"/>
      <c r="D1404" s="1"/>
    </row>
    <row r="1405" spans="1:4" ht="13" x14ac:dyDescent="0.3">
      <c r="A1405" s="1"/>
      <c r="B1405" s="1"/>
      <c r="C1405" s="1"/>
      <c r="D1405" s="1"/>
    </row>
    <row r="1406" spans="1:4" ht="13" x14ac:dyDescent="0.3">
      <c r="A1406" s="1"/>
      <c r="B1406" s="1"/>
      <c r="C1406" s="1"/>
      <c r="D1406" s="1"/>
    </row>
    <row r="1407" spans="1:4" ht="13" x14ac:dyDescent="0.3">
      <c r="A1407" s="1"/>
      <c r="B1407" s="1"/>
      <c r="C1407" s="1"/>
      <c r="D1407" s="1"/>
    </row>
    <row r="1408" spans="1:4" ht="13" x14ac:dyDescent="0.3">
      <c r="A1408" s="1"/>
      <c r="B1408" s="1"/>
      <c r="C1408" s="1"/>
      <c r="D1408" s="1"/>
    </row>
    <row r="1409" spans="1:4" ht="13" x14ac:dyDescent="0.3">
      <c r="A1409" s="1"/>
      <c r="B1409" s="1"/>
      <c r="C1409" s="1"/>
      <c r="D1409" s="1"/>
    </row>
    <row r="1410" spans="1:4" ht="13" x14ac:dyDescent="0.3">
      <c r="A1410" s="1"/>
      <c r="B1410" s="1"/>
      <c r="C1410" s="1"/>
      <c r="D1410" s="1"/>
    </row>
    <row r="1411" spans="1:4" ht="13" x14ac:dyDescent="0.3">
      <c r="A1411" s="1"/>
      <c r="B1411" s="1"/>
      <c r="C1411" s="1"/>
      <c r="D1411" s="1"/>
    </row>
    <row r="1412" spans="1:4" ht="13" x14ac:dyDescent="0.3">
      <c r="A1412" s="1"/>
      <c r="B1412" s="1"/>
      <c r="C1412" s="1"/>
      <c r="D1412" s="1"/>
    </row>
    <row r="1413" spans="1:4" ht="13" x14ac:dyDescent="0.3">
      <c r="A1413" s="1"/>
      <c r="B1413" s="1"/>
      <c r="C1413" s="1"/>
      <c r="D1413" s="1"/>
    </row>
    <row r="1414" spans="1:4" ht="13" x14ac:dyDescent="0.3">
      <c r="A1414" s="1"/>
      <c r="B1414" s="1"/>
      <c r="C1414" s="1"/>
      <c r="D1414" s="1"/>
    </row>
    <row r="1415" spans="1:4" ht="13" x14ac:dyDescent="0.3">
      <c r="A1415" s="1"/>
      <c r="B1415" s="1"/>
      <c r="C1415" s="1"/>
      <c r="D1415" s="1"/>
    </row>
    <row r="1416" spans="1:4" ht="13" x14ac:dyDescent="0.3">
      <c r="A1416" s="1"/>
      <c r="B1416" s="1"/>
      <c r="C1416" s="1"/>
      <c r="D1416" s="1"/>
    </row>
    <row r="1417" spans="1:4" ht="13" x14ac:dyDescent="0.3">
      <c r="A1417" s="1"/>
      <c r="B1417" s="1"/>
      <c r="C1417" s="1"/>
      <c r="D1417" s="1"/>
    </row>
    <row r="1418" spans="1:4" ht="13" x14ac:dyDescent="0.3">
      <c r="A1418" s="1"/>
      <c r="B1418" s="1"/>
      <c r="C1418" s="1"/>
      <c r="D1418" s="1"/>
    </row>
    <row r="1419" spans="1:4" ht="13" x14ac:dyDescent="0.3">
      <c r="A1419" s="1"/>
      <c r="B1419" s="1"/>
      <c r="C1419" s="1"/>
      <c r="D1419" s="1"/>
    </row>
    <row r="1420" spans="1:4" ht="13" x14ac:dyDescent="0.3">
      <c r="A1420" s="1"/>
      <c r="B1420" s="1"/>
      <c r="C1420" s="1"/>
      <c r="D1420" s="1"/>
    </row>
    <row r="1421" spans="1:4" ht="13" x14ac:dyDescent="0.3">
      <c r="A1421" s="1"/>
      <c r="B1421" s="1"/>
      <c r="C1421" s="1"/>
      <c r="D1421" s="1"/>
    </row>
    <row r="1422" spans="1:4" ht="13" x14ac:dyDescent="0.3">
      <c r="A1422" s="1"/>
      <c r="B1422" s="1"/>
      <c r="C1422" s="1"/>
      <c r="D1422" s="1"/>
    </row>
    <row r="1423" spans="1:4" ht="13" x14ac:dyDescent="0.3">
      <c r="A1423" s="1"/>
      <c r="B1423" s="1"/>
      <c r="C1423" s="1"/>
      <c r="D1423" s="1"/>
    </row>
    <row r="1424" spans="1:4" ht="13" x14ac:dyDescent="0.3">
      <c r="A1424" s="1"/>
      <c r="B1424" s="1"/>
      <c r="C1424" s="1"/>
      <c r="D1424" s="1"/>
    </row>
    <row r="1425" spans="1:4" ht="13" x14ac:dyDescent="0.3">
      <c r="A1425" s="1"/>
      <c r="B1425" s="1"/>
      <c r="C1425" s="1"/>
      <c r="D1425" s="1"/>
    </row>
    <row r="1426" spans="1:4" ht="13" x14ac:dyDescent="0.3">
      <c r="A1426" s="1"/>
      <c r="B1426" s="1"/>
      <c r="C1426" s="1"/>
      <c r="D1426" s="1"/>
    </row>
    <row r="1427" spans="1:4" ht="13" x14ac:dyDescent="0.3">
      <c r="A1427" s="1"/>
      <c r="B1427" s="1"/>
      <c r="C1427" s="1"/>
      <c r="D1427" s="1"/>
    </row>
    <row r="1428" spans="1:4" ht="13" x14ac:dyDescent="0.3">
      <c r="A1428" s="1"/>
      <c r="B1428" s="1"/>
      <c r="C1428" s="1"/>
      <c r="D1428" s="1"/>
    </row>
    <row r="1429" spans="1:4" ht="13" x14ac:dyDescent="0.3">
      <c r="A1429" s="1"/>
      <c r="B1429" s="1"/>
      <c r="C1429" s="1"/>
      <c r="D1429" s="1"/>
    </row>
    <row r="1430" spans="1:4" ht="13" x14ac:dyDescent="0.3">
      <c r="A1430" s="1"/>
      <c r="B1430" s="1"/>
      <c r="C1430" s="1"/>
      <c r="D1430" s="1"/>
    </row>
    <row r="1431" spans="1:4" ht="13" x14ac:dyDescent="0.3">
      <c r="A1431" s="1"/>
      <c r="B1431" s="1"/>
      <c r="C1431" s="1"/>
      <c r="D1431" s="1"/>
    </row>
    <row r="1432" spans="1:4" ht="13" x14ac:dyDescent="0.3">
      <c r="A1432" s="1"/>
      <c r="B1432" s="1"/>
      <c r="C1432" s="1"/>
      <c r="D1432" s="1"/>
    </row>
    <row r="1433" spans="1:4" ht="13" x14ac:dyDescent="0.3">
      <c r="A1433" s="1"/>
      <c r="B1433" s="1"/>
      <c r="C1433" s="1"/>
      <c r="D1433" s="1"/>
    </row>
    <row r="1434" spans="1:4" ht="13" x14ac:dyDescent="0.3">
      <c r="A1434" s="1"/>
      <c r="B1434" s="1"/>
      <c r="C1434" s="1"/>
      <c r="D1434" s="1"/>
    </row>
    <row r="1435" spans="1:4" ht="13" x14ac:dyDescent="0.3">
      <c r="A1435" s="1"/>
      <c r="B1435" s="1"/>
      <c r="C1435" s="1"/>
      <c r="D1435" s="1"/>
    </row>
    <row r="1436" spans="1:4" ht="13" x14ac:dyDescent="0.3">
      <c r="A1436" s="1"/>
      <c r="B1436" s="1"/>
      <c r="C1436" s="1"/>
      <c r="D1436" s="1"/>
    </row>
    <row r="1437" spans="1:4" ht="13" x14ac:dyDescent="0.3">
      <c r="A1437" s="1"/>
      <c r="B1437" s="1"/>
      <c r="C1437" s="1"/>
      <c r="D1437" s="1"/>
    </row>
    <row r="1438" spans="1:4" ht="13" x14ac:dyDescent="0.3">
      <c r="A1438" s="1"/>
      <c r="B1438" s="1"/>
      <c r="C1438" s="1"/>
      <c r="D1438" s="1"/>
    </row>
    <row r="1439" spans="1:4" ht="13" x14ac:dyDescent="0.3">
      <c r="A1439" s="1"/>
      <c r="B1439" s="1"/>
      <c r="C1439" s="1"/>
      <c r="D1439" s="1"/>
    </row>
    <row r="1440" spans="1:4" ht="13" x14ac:dyDescent="0.3">
      <c r="A1440" s="1"/>
      <c r="B1440" s="1"/>
      <c r="C1440" s="1"/>
      <c r="D1440" s="1"/>
    </row>
    <row r="1441" spans="1:4" ht="13" x14ac:dyDescent="0.3">
      <c r="A1441" s="1"/>
      <c r="B1441" s="1"/>
      <c r="C1441" s="1"/>
      <c r="D1441" s="1"/>
    </row>
    <row r="1442" spans="1:4" ht="13" x14ac:dyDescent="0.3">
      <c r="A1442" s="1"/>
      <c r="B1442" s="1"/>
      <c r="C1442" s="1"/>
      <c r="D1442" s="1"/>
    </row>
    <row r="1443" spans="1:4" ht="13" x14ac:dyDescent="0.3">
      <c r="A1443" s="1"/>
      <c r="B1443" s="1"/>
      <c r="C1443" s="1"/>
      <c r="D1443" s="1"/>
    </row>
    <row r="1444" spans="1:4" ht="13" x14ac:dyDescent="0.3">
      <c r="A1444" s="1"/>
      <c r="B1444" s="1"/>
      <c r="C1444" s="1"/>
      <c r="D1444" s="1"/>
    </row>
    <row r="1445" spans="1:4" ht="13" x14ac:dyDescent="0.3">
      <c r="A1445" s="1"/>
      <c r="B1445" s="1"/>
      <c r="C1445" s="1"/>
      <c r="D1445" s="1"/>
    </row>
    <row r="1446" spans="1:4" ht="13" x14ac:dyDescent="0.3">
      <c r="A1446" s="1"/>
      <c r="B1446" s="1"/>
      <c r="C1446" s="1"/>
      <c r="D1446" s="1"/>
    </row>
    <row r="1447" spans="1:4" ht="13" x14ac:dyDescent="0.3">
      <c r="A1447" s="1"/>
      <c r="B1447" s="1"/>
      <c r="C1447" s="1"/>
      <c r="D1447" s="1"/>
    </row>
    <row r="1448" spans="1:4" ht="13" x14ac:dyDescent="0.3">
      <c r="A1448" s="1"/>
      <c r="B1448" s="1"/>
      <c r="C1448" s="1"/>
      <c r="D1448" s="1"/>
    </row>
    <row r="1449" spans="1:4" ht="13" x14ac:dyDescent="0.3">
      <c r="A1449" s="1"/>
      <c r="B1449" s="1"/>
      <c r="C1449" s="1"/>
      <c r="D1449" s="1"/>
    </row>
    <row r="1450" spans="1:4" ht="13" x14ac:dyDescent="0.3">
      <c r="A1450" s="1"/>
      <c r="B1450" s="1"/>
      <c r="C1450" s="1"/>
      <c r="D1450" s="1"/>
    </row>
    <row r="1451" spans="1:4" ht="13" x14ac:dyDescent="0.3">
      <c r="A1451" s="1"/>
      <c r="B1451" s="1"/>
      <c r="C1451" s="1"/>
      <c r="D14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D99594"/>
    <pageSetUpPr fitToPage="1"/>
  </sheetPr>
  <dimension ref="A1:DB992"/>
  <sheetViews>
    <sheetView tabSelected="1" topLeftCell="A49" workbookViewId="0">
      <selection activeCell="X70" sqref="X70:AO70"/>
    </sheetView>
  </sheetViews>
  <sheetFormatPr defaultColWidth="14.3984375" defaultRowHeight="15" customHeight="1" x14ac:dyDescent="0.3"/>
  <cols>
    <col min="1" max="1" width="6.3984375" customWidth="1"/>
    <col min="2" max="2" width="2.69921875" customWidth="1"/>
    <col min="3" max="3" width="1" customWidth="1"/>
    <col min="4" max="4" width="3.69921875" customWidth="1"/>
    <col min="5" max="5" width="9.765625E-2" customWidth="1"/>
    <col min="6" max="6" width="4.3984375" customWidth="1"/>
    <col min="7" max="7" width="1.8984375" customWidth="1"/>
    <col min="8" max="8" width="0.69921875" customWidth="1"/>
    <col min="9" max="9" width="1.8984375" customWidth="1"/>
    <col min="10" max="10" width="2.69921875" customWidth="1"/>
    <col min="11" max="11" width="9.765625E-2" customWidth="1"/>
    <col min="12" max="12" width="2" customWidth="1"/>
    <col min="13" max="14" width="0.3984375" customWidth="1"/>
    <col min="15" max="15" width="1.3984375" customWidth="1"/>
    <col min="16" max="16" width="0.296875" customWidth="1"/>
    <col min="17" max="17" width="0.3984375" customWidth="1"/>
    <col min="18" max="18" width="1.09765625" customWidth="1"/>
    <col min="19" max="19" width="1.3984375" customWidth="1"/>
    <col min="20" max="20" width="0.296875" customWidth="1"/>
    <col min="21" max="21" width="2" customWidth="1"/>
    <col min="22" max="23" width="1.8984375" customWidth="1"/>
    <col min="24" max="24" width="0.3984375" customWidth="1"/>
    <col min="25" max="25" width="1.296875" customWidth="1"/>
    <col min="26" max="26" width="1" customWidth="1"/>
    <col min="27" max="28" width="0.69921875" customWidth="1"/>
    <col min="29" max="29" width="0.296875" customWidth="1"/>
    <col min="30" max="30" width="5.8984375" customWidth="1"/>
    <col min="31" max="31" width="1.8984375" customWidth="1"/>
    <col min="32" max="33" width="0.8984375" customWidth="1"/>
    <col min="34" max="34" width="0.296875" customWidth="1"/>
    <col min="35" max="35" width="1.8984375" customWidth="1"/>
    <col min="36" max="36" width="2" customWidth="1"/>
    <col min="37" max="37" width="1.3984375" customWidth="1"/>
    <col min="38" max="38" width="0.8984375" customWidth="1"/>
    <col min="39" max="39" width="0.3984375" customWidth="1"/>
    <col min="40" max="40" width="1.69921875" customWidth="1"/>
    <col min="41" max="41" width="1.3984375" customWidth="1"/>
    <col min="42" max="42" width="0.3984375" customWidth="1"/>
    <col min="43" max="43" width="4" customWidth="1"/>
    <col min="44" max="44" width="4.296875" customWidth="1"/>
    <col min="45" max="45" width="0.69921875" customWidth="1"/>
    <col min="46" max="46" width="5.09765625" customWidth="1"/>
    <col min="47" max="47" width="9.765625E-2" customWidth="1"/>
    <col min="48" max="49" width="0.296875" customWidth="1"/>
    <col min="50" max="50" width="1.09765625" customWidth="1"/>
    <col min="51" max="52" width="1.296875" customWidth="1"/>
    <col min="53" max="53" width="4.296875" customWidth="1"/>
    <col min="54" max="54" width="2.3984375" customWidth="1"/>
    <col min="55" max="55" width="9.765625E-2" customWidth="1"/>
    <col min="56" max="56" width="1.8984375" customWidth="1"/>
    <col min="57" max="58" width="0.296875" customWidth="1"/>
    <col min="59" max="59" width="0.8984375" customWidth="1"/>
    <col min="60" max="60" width="1.8984375" customWidth="1"/>
    <col min="61" max="61" width="0.8984375" customWidth="1"/>
    <col min="62" max="62" width="1.69921875" customWidth="1"/>
    <col min="63" max="63" width="3.09765625" customWidth="1"/>
    <col min="64" max="64" width="1.8984375" customWidth="1"/>
    <col min="65" max="65" width="0.8984375" customWidth="1"/>
    <col min="66" max="66" width="1.8984375" customWidth="1"/>
    <col min="67" max="67" width="0.3984375" customWidth="1"/>
    <col min="68" max="68" width="2.296875" customWidth="1"/>
    <col min="69" max="69" width="1.09765625" customWidth="1"/>
    <col min="70" max="70" width="0.3984375" customWidth="1"/>
    <col min="71" max="71" width="2.09765625" customWidth="1"/>
    <col min="72" max="72" width="0.8984375" customWidth="1"/>
    <col min="73" max="73" width="1" customWidth="1"/>
    <col min="74" max="74" width="0.69921875" customWidth="1"/>
    <col min="75" max="75" width="1.296875" customWidth="1"/>
    <col min="76" max="76" width="1.09765625" customWidth="1"/>
    <col min="77" max="77" width="2.8984375" customWidth="1"/>
    <col min="78" max="78" width="1.69921875" customWidth="1"/>
    <col min="79" max="79" width="2.69921875" customWidth="1"/>
    <col min="80" max="81" width="0.69921875" customWidth="1"/>
    <col min="82" max="82" width="2.296875" customWidth="1"/>
    <col min="83" max="83" width="3" customWidth="1"/>
    <col min="84" max="85" width="0.69921875" customWidth="1"/>
    <col min="86" max="86" width="2.3984375" customWidth="1"/>
    <col min="87" max="87" width="4" customWidth="1"/>
    <col min="88" max="88" width="1.8984375" customWidth="1"/>
    <col min="89" max="89" width="9.765625E-2" customWidth="1"/>
    <col min="90" max="90" width="0.296875" customWidth="1"/>
    <col min="91" max="91" width="1.296875" customWidth="1"/>
    <col min="92" max="92" width="0.69921875" customWidth="1"/>
    <col min="93" max="93" width="1.8984375" customWidth="1"/>
    <col min="94" max="94" width="4.69921875" customWidth="1"/>
    <col min="95" max="95" width="1.8984375" customWidth="1"/>
    <col min="96" max="96" width="1.09765625" customWidth="1"/>
    <col min="97" max="97" width="0.69921875" customWidth="1"/>
    <col min="98" max="98" width="2.09765625" customWidth="1"/>
    <col min="99" max="99" width="9.765625E-2" customWidth="1"/>
    <col min="100" max="100" width="0.8984375" customWidth="1"/>
    <col min="101" max="101" width="0.69921875" customWidth="1"/>
    <col min="102" max="102" width="0.296875" customWidth="1"/>
    <col min="103" max="103" width="4.296875" customWidth="1"/>
    <col min="104" max="104" width="13.09765625" customWidth="1"/>
    <col min="105" max="105" width="0.3984375" customWidth="1"/>
    <col min="106" max="106" width="1.09765625" customWidth="1"/>
  </cols>
  <sheetData>
    <row r="1" spans="1:106" ht="21.7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83" t="s">
        <v>1</v>
      </c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8"/>
    </row>
    <row r="2" spans="1:106" ht="12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184" t="s">
        <v>2</v>
      </c>
      <c r="CY2" s="139"/>
      <c r="CZ2" s="139"/>
      <c r="DA2" s="139"/>
      <c r="DB2" s="140"/>
    </row>
    <row r="3" spans="1:106" ht="19.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156" t="s">
        <v>3</v>
      </c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7"/>
      <c r="CV3" s="107"/>
      <c r="CW3" s="108"/>
      <c r="CX3" s="185" t="s">
        <v>4</v>
      </c>
      <c r="CY3" s="118"/>
      <c r="CZ3" s="118"/>
      <c r="DA3" s="118"/>
      <c r="DB3" s="186"/>
    </row>
    <row r="4" spans="1:106" ht="19.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01" t="s">
        <v>5</v>
      </c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8"/>
      <c r="BP4" s="143"/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4"/>
      <c r="CE4" s="144"/>
      <c r="CF4" s="144"/>
      <c r="CG4" s="144"/>
      <c r="CH4" s="144"/>
      <c r="CI4" s="144"/>
      <c r="CJ4" s="144"/>
      <c r="CK4" s="144"/>
      <c r="CL4" s="144"/>
      <c r="CM4" s="144"/>
      <c r="CN4" s="144"/>
      <c r="CO4" s="144"/>
      <c r="CP4" s="144"/>
      <c r="CQ4" s="144"/>
      <c r="CR4" s="144"/>
      <c r="CS4" s="145"/>
      <c r="CT4" s="187" t="s">
        <v>0</v>
      </c>
      <c r="CU4" s="107"/>
      <c r="CV4" s="107"/>
      <c r="CW4" s="108"/>
      <c r="CX4" s="188"/>
      <c r="CY4" s="189"/>
      <c r="CZ4" s="189"/>
      <c r="DA4" s="189"/>
      <c r="DB4" s="190"/>
    </row>
    <row r="5" spans="1:106" ht="19.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02" t="s">
        <v>6</v>
      </c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8"/>
      <c r="CG5" s="187" t="s">
        <v>7</v>
      </c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8"/>
      <c r="CX5" s="191"/>
      <c r="CY5" s="192"/>
      <c r="CZ5" s="192"/>
      <c r="DA5" s="192"/>
      <c r="DB5" s="193"/>
    </row>
    <row r="6" spans="1:106" ht="25.5" customHeight="1" x14ac:dyDescent="0.3">
      <c r="A6" s="154" t="s">
        <v>8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8"/>
      <c r="O6" s="155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4"/>
      <c r="BC6" s="144"/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4"/>
      <c r="CE6" s="144"/>
      <c r="CF6" s="144"/>
      <c r="CG6" s="144"/>
      <c r="CH6" s="144"/>
      <c r="CI6" s="144"/>
      <c r="CJ6" s="144"/>
      <c r="CK6" s="144"/>
      <c r="CL6" s="144"/>
      <c r="CM6" s="145"/>
      <c r="CN6" s="156" t="s">
        <v>9</v>
      </c>
      <c r="CO6" s="107"/>
      <c r="CP6" s="107"/>
      <c r="CQ6" s="107"/>
      <c r="CR6" s="107"/>
      <c r="CS6" s="107"/>
      <c r="CT6" s="107"/>
      <c r="CU6" s="107"/>
      <c r="CV6" s="107"/>
      <c r="CW6" s="108"/>
      <c r="CX6" s="5"/>
      <c r="CY6" s="6"/>
      <c r="CZ6" s="6"/>
      <c r="DA6" s="7"/>
      <c r="DB6" s="8"/>
    </row>
    <row r="7" spans="1:106" ht="9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57" t="s">
        <v>10</v>
      </c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8"/>
      <c r="CN7" s="3"/>
      <c r="CO7" s="3"/>
      <c r="CP7" s="3"/>
      <c r="CQ7" s="3"/>
      <c r="CR7" s="3"/>
      <c r="CS7" s="3"/>
      <c r="CT7" s="3"/>
      <c r="CU7" s="3"/>
      <c r="CV7" s="3"/>
      <c r="CW7" s="3"/>
      <c r="CX7" s="194"/>
      <c r="CY7" s="112"/>
      <c r="CZ7" s="112"/>
      <c r="DA7" s="112"/>
      <c r="DB7" s="195"/>
    </row>
    <row r="8" spans="1:106" ht="31.5" customHeight="1" x14ac:dyDescent="0.3">
      <c r="A8" s="154" t="s">
        <v>11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8"/>
      <c r="O8" s="155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4"/>
      <c r="BG8" s="144"/>
      <c r="BH8" s="144"/>
      <c r="BI8" s="144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5"/>
      <c r="CN8" s="156" t="s">
        <v>9</v>
      </c>
      <c r="CO8" s="107"/>
      <c r="CP8" s="107"/>
      <c r="CQ8" s="107"/>
      <c r="CR8" s="107"/>
      <c r="CS8" s="107"/>
      <c r="CT8" s="107"/>
      <c r="CU8" s="107"/>
      <c r="CV8" s="107"/>
      <c r="CW8" s="108"/>
      <c r="CX8" s="196"/>
      <c r="CY8" s="115"/>
      <c r="CZ8" s="115"/>
      <c r="DA8" s="115"/>
      <c r="DB8" s="197"/>
    </row>
    <row r="9" spans="1:106" ht="9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57" t="s">
        <v>10</v>
      </c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8"/>
      <c r="CN9" s="3"/>
      <c r="CO9" s="3"/>
      <c r="CP9" s="3"/>
      <c r="CQ9" s="3"/>
      <c r="CR9" s="3"/>
      <c r="CS9" s="3"/>
      <c r="CT9" s="3"/>
      <c r="CU9" s="3"/>
      <c r="CV9" s="3"/>
      <c r="CW9" s="3"/>
      <c r="CX9" s="194"/>
      <c r="CY9" s="112"/>
      <c r="CZ9" s="112"/>
      <c r="DA9" s="112"/>
      <c r="DB9" s="195"/>
    </row>
    <row r="10" spans="1:106" ht="25.5" customHeight="1" x14ac:dyDescent="0.3">
      <c r="A10" s="154" t="s">
        <v>12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8"/>
      <c r="O10" s="155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4"/>
      <c r="BG10" s="144"/>
      <c r="BH10" s="144"/>
      <c r="BI10" s="144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5"/>
      <c r="CN10" s="156" t="s">
        <v>9</v>
      </c>
      <c r="CO10" s="107"/>
      <c r="CP10" s="107"/>
      <c r="CQ10" s="107"/>
      <c r="CR10" s="107"/>
      <c r="CS10" s="107"/>
      <c r="CT10" s="107"/>
      <c r="CU10" s="107"/>
      <c r="CV10" s="107"/>
      <c r="CW10" s="108"/>
      <c r="CX10" s="198"/>
      <c r="CY10" s="199"/>
      <c r="CZ10" s="199"/>
      <c r="DA10" s="199"/>
      <c r="DB10" s="200"/>
    </row>
    <row r="11" spans="1:106" ht="7.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57" t="s">
        <v>13</v>
      </c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8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4"/>
      <c r="DB11" s="4"/>
    </row>
    <row r="12" spans="1:106" ht="15" customHeight="1" x14ac:dyDescent="0.3">
      <c r="A12" s="226" t="s">
        <v>14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8"/>
    </row>
    <row r="13" spans="1:106" ht="10.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9"/>
      <c r="CT13" s="9"/>
      <c r="CU13" s="9"/>
      <c r="CV13" s="9"/>
      <c r="CW13" s="9"/>
      <c r="CX13" s="9"/>
      <c r="CY13" s="9"/>
      <c r="CZ13" s="9"/>
      <c r="DA13" s="10"/>
      <c r="DB13" s="10" t="s">
        <v>15</v>
      </c>
    </row>
    <row r="14" spans="1:106" ht="43.5" customHeight="1" x14ac:dyDescent="0.3">
      <c r="A14" s="208" t="s">
        <v>16</v>
      </c>
      <c r="B14" s="139"/>
      <c r="C14" s="139"/>
      <c r="D14" s="139"/>
      <c r="E14" s="140"/>
      <c r="F14" s="208" t="s">
        <v>17</v>
      </c>
      <c r="G14" s="139"/>
      <c r="H14" s="139"/>
      <c r="I14" s="139"/>
      <c r="J14" s="139"/>
      <c r="K14" s="139"/>
      <c r="L14" s="140"/>
      <c r="M14" s="208" t="s">
        <v>18</v>
      </c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40"/>
      <c r="AC14" s="208" t="s">
        <v>19</v>
      </c>
      <c r="AD14" s="139"/>
      <c r="AE14" s="139"/>
      <c r="AF14" s="139"/>
      <c r="AG14" s="139"/>
      <c r="AH14" s="139"/>
      <c r="AI14" s="140"/>
      <c r="AJ14" s="208" t="s">
        <v>20</v>
      </c>
      <c r="AK14" s="139"/>
      <c r="AL14" s="139"/>
      <c r="AM14" s="139"/>
      <c r="AN14" s="139"/>
      <c r="AO14" s="139"/>
      <c r="AP14" s="139"/>
      <c r="AQ14" s="140"/>
      <c r="AR14" s="208" t="s">
        <v>21</v>
      </c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40"/>
      <c r="BI14" s="208" t="s">
        <v>22</v>
      </c>
      <c r="BJ14" s="139"/>
      <c r="BK14" s="139"/>
      <c r="BL14" s="139"/>
      <c r="BM14" s="139"/>
      <c r="BN14" s="140"/>
      <c r="BO14" s="208" t="s">
        <v>23</v>
      </c>
      <c r="BP14" s="139"/>
      <c r="BQ14" s="139"/>
      <c r="BR14" s="139"/>
      <c r="BS14" s="139"/>
      <c r="BT14" s="139"/>
      <c r="BU14" s="139"/>
      <c r="BV14" s="139"/>
      <c r="BW14" s="139"/>
      <c r="BX14" s="140"/>
      <c r="BY14" s="208" t="s">
        <v>24</v>
      </c>
      <c r="BZ14" s="139"/>
      <c r="CA14" s="139"/>
      <c r="CB14" s="139"/>
      <c r="CC14" s="139"/>
      <c r="CD14" s="140"/>
      <c r="CE14" s="208" t="s">
        <v>25</v>
      </c>
      <c r="CF14" s="139"/>
      <c r="CG14" s="139"/>
      <c r="CH14" s="139"/>
      <c r="CI14" s="140"/>
      <c r="CJ14" s="208" t="s">
        <v>26</v>
      </c>
      <c r="CK14" s="139"/>
      <c r="CL14" s="139"/>
      <c r="CM14" s="139"/>
      <c r="CN14" s="139"/>
      <c r="CO14" s="139"/>
      <c r="CP14" s="139"/>
      <c r="CQ14" s="139"/>
      <c r="CR14" s="140"/>
      <c r="CS14" s="208" t="s">
        <v>27</v>
      </c>
      <c r="CT14" s="139"/>
      <c r="CU14" s="139"/>
      <c r="CV14" s="139"/>
      <c r="CW14" s="139"/>
      <c r="CX14" s="139"/>
      <c r="CY14" s="139"/>
      <c r="CZ14" s="139"/>
      <c r="DA14" s="139"/>
      <c r="DB14" s="140"/>
    </row>
    <row r="15" spans="1:106" ht="10.5" customHeight="1" x14ac:dyDescent="0.3">
      <c r="A15" s="209" t="s">
        <v>28</v>
      </c>
      <c r="B15" s="210"/>
      <c r="C15" s="210"/>
      <c r="D15" s="210"/>
      <c r="E15" s="211"/>
      <c r="F15" s="209" t="s">
        <v>29</v>
      </c>
      <c r="G15" s="210"/>
      <c r="H15" s="210"/>
      <c r="I15" s="210"/>
      <c r="J15" s="210"/>
      <c r="K15" s="210"/>
      <c r="L15" s="211"/>
      <c r="M15" s="209" t="s">
        <v>30</v>
      </c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1"/>
      <c r="AC15" s="209" t="s">
        <v>31</v>
      </c>
      <c r="AD15" s="210"/>
      <c r="AE15" s="210"/>
      <c r="AF15" s="210"/>
      <c r="AG15" s="210"/>
      <c r="AH15" s="210"/>
      <c r="AI15" s="211"/>
      <c r="AJ15" s="209" t="s">
        <v>32</v>
      </c>
      <c r="AK15" s="210"/>
      <c r="AL15" s="210"/>
      <c r="AM15" s="210"/>
      <c r="AN15" s="210"/>
      <c r="AO15" s="210"/>
      <c r="AP15" s="210"/>
      <c r="AQ15" s="211"/>
      <c r="AR15" s="209" t="s">
        <v>33</v>
      </c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1"/>
      <c r="BI15" s="209" t="s">
        <v>34</v>
      </c>
      <c r="BJ15" s="210"/>
      <c r="BK15" s="210"/>
      <c r="BL15" s="210"/>
      <c r="BM15" s="210"/>
      <c r="BN15" s="211"/>
      <c r="BO15" s="209" t="s">
        <v>35</v>
      </c>
      <c r="BP15" s="210"/>
      <c r="BQ15" s="210"/>
      <c r="BR15" s="210"/>
      <c r="BS15" s="210"/>
      <c r="BT15" s="210"/>
      <c r="BU15" s="210"/>
      <c r="BV15" s="210"/>
      <c r="BW15" s="210"/>
      <c r="BX15" s="211"/>
      <c r="BY15" s="209" t="s">
        <v>36</v>
      </c>
      <c r="BZ15" s="210"/>
      <c r="CA15" s="210"/>
      <c r="CB15" s="210"/>
      <c r="CC15" s="210"/>
      <c r="CD15" s="211"/>
      <c r="CE15" s="209" t="s">
        <v>37</v>
      </c>
      <c r="CF15" s="210"/>
      <c r="CG15" s="210"/>
      <c r="CH15" s="210"/>
      <c r="CI15" s="211"/>
      <c r="CJ15" s="209" t="s">
        <v>38</v>
      </c>
      <c r="CK15" s="210"/>
      <c r="CL15" s="210"/>
      <c r="CM15" s="210"/>
      <c r="CN15" s="210"/>
      <c r="CO15" s="210"/>
      <c r="CP15" s="210"/>
      <c r="CQ15" s="210"/>
      <c r="CR15" s="211"/>
      <c r="CS15" s="209" t="s">
        <v>39</v>
      </c>
      <c r="CT15" s="210"/>
      <c r="CU15" s="210"/>
      <c r="CV15" s="210"/>
      <c r="CW15" s="210"/>
      <c r="CX15" s="210"/>
      <c r="CY15" s="210"/>
      <c r="CZ15" s="210"/>
      <c r="DA15" s="210"/>
      <c r="DB15" s="211"/>
    </row>
    <row r="16" spans="1:106" ht="21.75" customHeight="1" x14ac:dyDescent="0.3">
      <c r="A16" s="220"/>
      <c r="B16" s="139"/>
      <c r="C16" s="139"/>
      <c r="D16" s="139"/>
      <c r="E16" s="141"/>
      <c r="F16" s="11"/>
      <c r="G16" s="12"/>
      <c r="H16" s="12"/>
      <c r="I16" s="12"/>
      <c r="J16" s="12"/>
      <c r="K16" s="12"/>
      <c r="L16" s="12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221"/>
      <c r="AD16" s="139"/>
      <c r="AE16" s="139"/>
      <c r="AF16" s="139"/>
      <c r="AG16" s="139"/>
      <c r="AH16" s="139"/>
      <c r="AI16" s="215"/>
      <c r="AJ16" s="222"/>
      <c r="AK16" s="139"/>
      <c r="AL16" s="139"/>
      <c r="AM16" s="139"/>
      <c r="AN16" s="139"/>
      <c r="AO16" s="139"/>
      <c r="AP16" s="139"/>
      <c r="AQ16" s="215"/>
      <c r="AR16" s="223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5"/>
      <c r="BI16" s="138" t="s">
        <v>40</v>
      </c>
      <c r="BJ16" s="139"/>
      <c r="BK16" s="139"/>
      <c r="BL16" s="139"/>
      <c r="BM16" s="139"/>
      <c r="BN16" s="215"/>
      <c r="BO16" s="138" t="s">
        <v>41</v>
      </c>
      <c r="BP16" s="139"/>
      <c r="BQ16" s="139"/>
      <c r="BR16" s="139"/>
      <c r="BS16" s="139"/>
      <c r="BT16" s="139"/>
      <c r="BU16" s="139"/>
      <c r="BV16" s="139"/>
      <c r="BW16" s="139"/>
      <c r="BX16" s="215"/>
      <c r="BY16" s="15"/>
      <c r="BZ16" s="16"/>
      <c r="CA16" s="16"/>
      <c r="CB16" s="16"/>
      <c r="CC16" s="16"/>
      <c r="CD16" s="17"/>
      <c r="CE16" s="216"/>
      <c r="CF16" s="192"/>
      <c r="CG16" s="192"/>
      <c r="CH16" s="192"/>
      <c r="CI16" s="217"/>
      <c r="CJ16" s="212"/>
      <c r="CK16" s="139"/>
      <c r="CL16" s="139"/>
      <c r="CM16" s="139"/>
      <c r="CN16" s="139"/>
      <c r="CO16" s="139"/>
      <c r="CP16" s="139"/>
      <c r="CQ16" s="139"/>
      <c r="CR16" s="141"/>
      <c r="CS16" s="15"/>
      <c r="CT16" s="16"/>
      <c r="CU16" s="16"/>
      <c r="CV16" s="16"/>
      <c r="CW16" s="16"/>
      <c r="CX16" s="16"/>
      <c r="CY16" s="16"/>
      <c r="CZ16" s="16"/>
      <c r="DA16" s="18"/>
      <c r="DB16" s="19"/>
    </row>
    <row r="17" spans="1:106" ht="10.5" customHeight="1" x14ac:dyDescent="0.3">
      <c r="A17" s="20"/>
      <c r="B17" s="20"/>
      <c r="C17" s="20"/>
      <c r="D17" s="20"/>
      <c r="E17" s="20"/>
      <c r="F17" s="21"/>
      <c r="G17" s="21"/>
      <c r="H17" s="21"/>
      <c r="I17" s="21"/>
      <c r="J17" s="21"/>
      <c r="K17" s="21"/>
      <c r="L17" s="21"/>
      <c r="M17" s="174" t="s">
        <v>42</v>
      </c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6"/>
      <c r="AC17" s="177"/>
      <c r="AD17" s="178"/>
      <c r="AE17" s="178"/>
      <c r="AF17" s="178"/>
      <c r="AG17" s="178"/>
      <c r="AH17" s="178"/>
      <c r="AI17" s="179"/>
      <c r="AJ17" s="22"/>
      <c r="AK17" s="23"/>
      <c r="AL17" s="23"/>
      <c r="AM17" s="23"/>
      <c r="AN17" s="23"/>
      <c r="AO17" s="23"/>
      <c r="AP17" s="23"/>
      <c r="AQ17" s="24"/>
      <c r="AR17" s="25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7"/>
      <c r="BI17" s="25"/>
      <c r="BJ17" s="26"/>
      <c r="BK17" s="26"/>
      <c r="BL17" s="26"/>
      <c r="BM17" s="26"/>
      <c r="BN17" s="27"/>
      <c r="BO17" s="25"/>
      <c r="BP17" s="26"/>
      <c r="BQ17" s="26"/>
      <c r="BR17" s="26"/>
      <c r="BS17" s="26"/>
      <c r="BT17" s="26"/>
      <c r="BU17" s="26"/>
      <c r="BV17" s="26"/>
      <c r="BW17" s="26"/>
      <c r="BX17" s="27"/>
      <c r="BY17" s="218" t="s">
        <v>43</v>
      </c>
      <c r="BZ17" s="178"/>
      <c r="CA17" s="178"/>
      <c r="CB17" s="178"/>
      <c r="CC17" s="178"/>
      <c r="CD17" s="179"/>
      <c r="CE17" s="25"/>
      <c r="CF17" s="26"/>
      <c r="CG17" s="26"/>
      <c r="CH17" s="26"/>
      <c r="CI17" s="27"/>
      <c r="CJ17" s="213"/>
      <c r="CK17" s="178"/>
      <c r="CL17" s="178"/>
      <c r="CM17" s="178"/>
      <c r="CN17" s="178"/>
      <c r="CO17" s="178"/>
      <c r="CP17" s="178"/>
      <c r="CQ17" s="178"/>
      <c r="CR17" s="179"/>
      <c r="CS17" s="28"/>
      <c r="CT17" s="29"/>
      <c r="CU17" s="29"/>
      <c r="CV17" s="29"/>
      <c r="CW17" s="29"/>
      <c r="CX17" s="29"/>
      <c r="CY17" s="29"/>
      <c r="CZ17" s="29"/>
      <c r="DA17" s="30"/>
      <c r="DB17" s="31"/>
    </row>
    <row r="18" spans="1:106" ht="10.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 t="s">
        <v>44</v>
      </c>
      <c r="AC18" s="180"/>
      <c r="AD18" s="139"/>
      <c r="AE18" s="139"/>
      <c r="AF18" s="139"/>
      <c r="AG18" s="139"/>
      <c r="AH18" s="139"/>
      <c r="AI18" s="140"/>
      <c r="AJ18" s="32"/>
      <c r="AK18" s="33"/>
      <c r="AL18" s="33"/>
      <c r="AM18" s="33"/>
      <c r="AN18" s="33"/>
      <c r="AO18" s="33"/>
      <c r="AP18" s="33"/>
      <c r="AQ18" s="34"/>
      <c r="AR18" s="32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4"/>
      <c r="BI18" s="35"/>
      <c r="BJ18" s="36"/>
      <c r="BK18" s="36"/>
      <c r="BL18" s="36"/>
      <c r="BM18" s="36"/>
      <c r="BN18" s="37"/>
      <c r="BO18" s="38"/>
      <c r="BP18" s="39"/>
      <c r="BQ18" s="39"/>
      <c r="BR18" s="39"/>
      <c r="BS18" s="39"/>
      <c r="BT18" s="39"/>
      <c r="BU18" s="39"/>
      <c r="BV18" s="39"/>
      <c r="BW18" s="39"/>
      <c r="BX18" s="40"/>
      <c r="BY18" s="138" t="s">
        <v>43</v>
      </c>
      <c r="BZ18" s="139"/>
      <c r="CA18" s="139"/>
      <c r="CB18" s="139"/>
      <c r="CC18" s="139"/>
      <c r="CD18" s="140"/>
      <c r="CE18" s="38"/>
      <c r="CF18" s="39"/>
      <c r="CG18" s="39"/>
      <c r="CH18" s="39"/>
      <c r="CI18" s="40"/>
      <c r="CJ18" s="214"/>
      <c r="CK18" s="139"/>
      <c r="CL18" s="139"/>
      <c r="CM18" s="139"/>
      <c r="CN18" s="139"/>
      <c r="CO18" s="139"/>
      <c r="CP18" s="139"/>
      <c r="CQ18" s="139"/>
      <c r="CR18" s="140"/>
      <c r="CS18" s="38"/>
      <c r="CT18" s="39"/>
      <c r="CU18" s="39"/>
      <c r="CV18" s="39"/>
      <c r="CW18" s="39"/>
      <c r="CX18" s="39"/>
      <c r="CY18" s="39"/>
      <c r="CZ18" s="39"/>
      <c r="DA18" s="41"/>
      <c r="DB18" s="42"/>
    </row>
    <row r="19" spans="1:106" ht="10.5" customHeight="1" x14ac:dyDescent="0.3">
      <c r="A19" s="3" t="s">
        <v>45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81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5"/>
      <c r="AZ19" s="134" t="s">
        <v>46</v>
      </c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8"/>
      <c r="BM19" s="181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144"/>
      <c r="CA19" s="144"/>
      <c r="CB19" s="145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  <c r="DB19" s="4"/>
    </row>
    <row r="20" spans="1:106" ht="10.5" customHeight="1" x14ac:dyDescent="0.3">
      <c r="A20" s="134" t="s">
        <v>47</v>
      </c>
      <c r="B20" s="107"/>
      <c r="C20" s="107"/>
      <c r="D20" s="107"/>
      <c r="E20" s="107"/>
      <c r="F20" s="108"/>
      <c r="G20" s="182" t="s">
        <v>48</v>
      </c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8"/>
      <c r="AZ20" s="134" t="s">
        <v>49</v>
      </c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8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58" t="s">
        <v>50</v>
      </c>
      <c r="CP20" s="159"/>
      <c r="CQ20" s="159"/>
      <c r="CR20" s="159"/>
      <c r="CS20" s="159"/>
      <c r="CT20" s="159"/>
      <c r="CU20" s="159"/>
      <c r="CV20" s="159"/>
      <c r="CW20" s="159"/>
      <c r="CX20" s="160"/>
      <c r="CY20" s="164"/>
      <c r="CZ20" s="159"/>
      <c r="DA20" s="165"/>
      <c r="DB20" s="4"/>
    </row>
    <row r="21" spans="1:106" ht="7.5" customHeight="1" x14ac:dyDescent="0.3">
      <c r="A21" s="3"/>
      <c r="B21" s="3"/>
      <c r="C21" s="3"/>
      <c r="D21" s="3"/>
      <c r="E21" s="3"/>
      <c r="F21" s="3"/>
      <c r="G21" s="152" t="s">
        <v>51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9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168"/>
      <c r="CF21" s="169"/>
      <c r="CG21" s="169"/>
      <c r="CH21" s="169"/>
      <c r="CI21" s="169"/>
      <c r="CJ21" s="169"/>
      <c r="CK21" s="170"/>
      <c r="CL21" s="3"/>
      <c r="CM21" s="3"/>
      <c r="CN21" s="3"/>
      <c r="CO21" s="161"/>
      <c r="CP21" s="162"/>
      <c r="CQ21" s="162"/>
      <c r="CR21" s="162"/>
      <c r="CS21" s="162"/>
      <c r="CT21" s="162"/>
      <c r="CU21" s="162"/>
      <c r="CV21" s="162"/>
      <c r="CW21" s="162"/>
      <c r="CX21" s="163"/>
      <c r="CY21" s="166"/>
      <c r="CZ21" s="162"/>
      <c r="DA21" s="167"/>
      <c r="DB21" s="4"/>
    </row>
    <row r="22" spans="1:106" ht="10.5" customHeight="1" x14ac:dyDescent="0.3">
      <c r="A22" s="134" t="s">
        <v>52</v>
      </c>
      <c r="B22" s="107"/>
      <c r="C22" s="107"/>
      <c r="D22" s="107"/>
      <c r="E22" s="107"/>
      <c r="F22" s="108"/>
      <c r="G22" s="151" t="s">
        <v>48</v>
      </c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T22" s="144"/>
      <c r="AU22" s="144"/>
      <c r="AV22" s="145"/>
      <c r="AW22" s="3"/>
      <c r="AX22" s="3"/>
      <c r="AY22" s="3"/>
      <c r="AZ22" s="134" t="s">
        <v>53</v>
      </c>
      <c r="BA22" s="107"/>
      <c r="BB22" s="107"/>
      <c r="BC22" s="107"/>
      <c r="BD22" s="107"/>
      <c r="BE22" s="107"/>
      <c r="BF22" s="107"/>
      <c r="BG22" s="107"/>
      <c r="BH22" s="107"/>
      <c r="BI22" s="107"/>
      <c r="BJ22" s="107"/>
      <c r="BK22" s="107"/>
      <c r="BL22" s="108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171"/>
      <c r="CF22" s="124"/>
      <c r="CG22" s="124"/>
      <c r="CH22" s="124"/>
      <c r="CI22" s="124"/>
      <c r="CJ22" s="124"/>
      <c r="CK22" s="172"/>
      <c r="CL22" s="173" t="s">
        <v>40</v>
      </c>
      <c r="CM22" s="107"/>
      <c r="CN22" s="108"/>
      <c r="CO22" s="219" t="s">
        <v>54</v>
      </c>
      <c r="CP22" s="127"/>
      <c r="CQ22" s="127"/>
      <c r="CR22" s="127"/>
      <c r="CS22" s="127"/>
      <c r="CT22" s="127"/>
      <c r="CU22" s="127"/>
      <c r="CV22" s="127"/>
      <c r="CW22" s="127"/>
      <c r="CX22" s="128"/>
      <c r="CY22" s="203"/>
      <c r="CZ22" s="127"/>
      <c r="DA22" s="204"/>
      <c r="DB22" s="4"/>
    </row>
    <row r="23" spans="1:106" ht="6.75" customHeight="1" x14ac:dyDescent="0.3">
      <c r="A23" s="3"/>
      <c r="B23" s="3"/>
      <c r="C23" s="3"/>
      <c r="D23" s="3"/>
      <c r="E23" s="3"/>
      <c r="F23" s="3"/>
      <c r="G23" s="284" t="s">
        <v>51</v>
      </c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152" t="s">
        <v>51</v>
      </c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9"/>
      <c r="CC23" s="3"/>
      <c r="CD23" s="3"/>
      <c r="CE23" s="206"/>
      <c r="CF23" s="127"/>
      <c r="CG23" s="127"/>
      <c r="CH23" s="127"/>
      <c r="CI23" s="127"/>
      <c r="CJ23" s="127"/>
      <c r="CK23" s="204"/>
      <c r="CL23" s="3"/>
      <c r="CM23" s="3"/>
      <c r="CN23" s="3"/>
      <c r="CO23" s="207"/>
      <c r="CP23" s="130"/>
      <c r="CQ23" s="130"/>
      <c r="CR23" s="130"/>
      <c r="CS23" s="130"/>
      <c r="CT23" s="130"/>
      <c r="CU23" s="130"/>
      <c r="CV23" s="130"/>
      <c r="CW23" s="130"/>
      <c r="CX23" s="131"/>
      <c r="CY23" s="129"/>
      <c r="CZ23" s="130"/>
      <c r="DA23" s="205"/>
      <c r="DB23" s="4"/>
    </row>
    <row r="24" spans="1:106" ht="3" customHeight="1" x14ac:dyDescent="0.3">
      <c r="A24" s="3"/>
      <c r="B24" s="3"/>
      <c r="C24" s="3"/>
      <c r="D24" s="3"/>
      <c r="E24" s="3"/>
      <c r="F24" s="3"/>
      <c r="G24" s="132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6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207"/>
      <c r="CF24" s="130"/>
      <c r="CG24" s="130"/>
      <c r="CH24" s="130"/>
      <c r="CI24" s="130"/>
      <c r="CJ24" s="130"/>
      <c r="CK24" s="205"/>
      <c r="CL24" s="3"/>
      <c r="CM24" s="3"/>
      <c r="CN24" s="3"/>
      <c r="CO24" s="207"/>
      <c r="CP24" s="130"/>
      <c r="CQ24" s="130"/>
      <c r="CR24" s="130"/>
      <c r="CS24" s="130"/>
      <c r="CT24" s="130"/>
      <c r="CU24" s="130"/>
      <c r="CV24" s="130"/>
      <c r="CW24" s="130"/>
      <c r="CX24" s="131"/>
      <c r="CY24" s="129"/>
      <c r="CZ24" s="130"/>
      <c r="DA24" s="205"/>
      <c r="DB24" s="4"/>
    </row>
    <row r="25" spans="1:106" ht="10.5" customHeight="1" x14ac:dyDescent="0.3">
      <c r="A25" s="134" t="s">
        <v>55</v>
      </c>
      <c r="B25" s="107"/>
      <c r="C25" s="107"/>
      <c r="D25" s="107"/>
      <c r="E25" s="107"/>
      <c r="F25" s="108"/>
      <c r="G25" s="151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5"/>
      <c r="AW25" s="3"/>
      <c r="AX25" s="3"/>
      <c r="AY25" s="3"/>
      <c r="AZ25" s="134" t="s">
        <v>56</v>
      </c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8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198"/>
      <c r="CF25" s="199"/>
      <c r="CG25" s="199"/>
      <c r="CH25" s="199"/>
      <c r="CI25" s="199"/>
      <c r="CJ25" s="199"/>
      <c r="CK25" s="200"/>
      <c r="CL25" s="43" t="s">
        <v>40</v>
      </c>
      <c r="CM25" s="43"/>
      <c r="CN25" s="43"/>
      <c r="CO25" s="161"/>
      <c r="CP25" s="162"/>
      <c r="CQ25" s="162"/>
      <c r="CR25" s="162"/>
      <c r="CS25" s="162"/>
      <c r="CT25" s="162"/>
      <c r="CU25" s="162"/>
      <c r="CV25" s="162"/>
      <c r="CW25" s="162"/>
      <c r="CX25" s="163"/>
      <c r="CY25" s="166"/>
      <c r="CZ25" s="162"/>
      <c r="DA25" s="167"/>
      <c r="DB25" s="4"/>
    </row>
    <row r="26" spans="1:106" ht="10.5" customHeight="1" x14ac:dyDescent="0.3">
      <c r="A26" s="3"/>
      <c r="B26" s="3"/>
      <c r="C26" s="3"/>
      <c r="D26" s="3"/>
      <c r="E26" s="3"/>
      <c r="F26" s="3"/>
      <c r="G26" s="152" t="s">
        <v>51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9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152" t="s">
        <v>51</v>
      </c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9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148" t="s">
        <v>57</v>
      </c>
      <c r="CP26" s="149"/>
      <c r="CQ26" s="149"/>
      <c r="CR26" s="149"/>
      <c r="CS26" s="149"/>
      <c r="CT26" s="149"/>
      <c r="CU26" s="149"/>
      <c r="CV26" s="149"/>
      <c r="CW26" s="149"/>
      <c r="CX26" s="150"/>
      <c r="CY26" s="44"/>
      <c r="CZ26" s="44"/>
      <c r="DA26" s="45"/>
      <c r="DB26" s="4"/>
    </row>
    <row r="27" spans="1:106" ht="10.5" customHeight="1" x14ac:dyDescent="0.3">
      <c r="A27" s="134" t="s">
        <v>58</v>
      </c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8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134" t="s">
        <v>59</v>
      </c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8"/>
      <c r="AW27" s="3"/>
      <c r="AX27" s="3"/>
      <c r="AY27" s="3"/>
      <c r="AZ27" s="134" t="s">
        <v>60</v>
      </c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8"/>
      <c r="BM27" s="181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5"/>
      <c r="CC27" s="267" t="s">
        <v>61</v>
      </c>
      <c r="CD27" s="108"/>
      <c r="CE27" s="46"/>
      <c r="CF27" s="46"/>
      <c r="CG27" s="46"/>
      <c r="CH27" s="46"/>
      <c r="CI27" s="46"/>
      <c r="CJ27" s="46"/>
      <c r="CK27" s="46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  <c r="DB27" s="4"/>
    </row>
    <row r="28" spans="1:106" ht="10.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52" t="s">
        <v>51</v>
      </c>
      <c r="AB28" s="118"/>
      <c r="AC28" s="118"/>
      <c r="AD28" s="118"/>
      <c r="AE28" s="118"/>
      <c r="AF28" s="118"/>
      <c r="AG28" s="118"/>
      <c r="AH28" s="118"/>
      <c r="AI28" s="118"/>
      <c r="AJ28" s="119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134" t="s">
        <v>62</v>
      </c>
      <c r="BA28" s="107"/>
      <c r="BB28" s="107"/>
      <c r="BC28" s="107"/>
      <c r="BD28" s="107"/>
      <c r="BE28" s="108"/>
      <c r="BF28" s="151"/>
      <c r="BG28" s="144"/>
      <c r="BH28" s="144"/>
      <c r="BI28" s="144"/>
      <c r="BJ28" s="144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144"/>
      <c r="CA28" s="144"/>
      <c r="CB28" s="144"/>
      <c r="CC28" s="144"/>
      <c r="CD28" s="144"/>
      <c r="CE28" s="144"/>
      <c r="CF28" s="144"/>
      <c r="CG28" s="144"/>
      <c r="CH28" s="144"/>
      <c r="CI28" s="144"/>
      <c r="CJ28" s="144"/>
      <c r="CK28" s="145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  <c r="DB28" s="4"/>
    </row>
    <row r="29" spans="1:106" ht="10.5" customHeight="1" x14ac:dyDescent="0.3">
      <c r="A29" s="134" t="s">
        <v>63</v>
      </c>
      <c r="B29" s="107"/>
      <c r="C29" s="107"/>
      <c r="D29" s="107"/>
      <c r="E29" s="107"/>
      <c r="F29" s="108"/>
      <c r="G29" s="3"/>
      <c r="H29" s="3"/>
      <c r="I29" s="181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5"/>
      <c r="Y29" s="134" t="s">
        <v>64</v>
      </c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151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5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  <c r="DB29" s="4"/>
    </row>
    <row r="30" spans="1:106" ht="7.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82" t="s">
        <v>65</v>
      </c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8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  <c r="DB30" s="4"/>
    </row>
    <row r="31" spans="1:106" ht="10.5" customHeight="1" x14ac:dyDescent="0.3">
      <c r="A31" s="153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T31" s="107"/>
      <c r="BU31" s="107"/>
      <c r="BV31" s="107"/>
      <c r="BW31" s="107"/>
      <c r="BX31" s="107"/>
      <c r="BY31" s="107"/>
      <c r="BZ31" s="107"/>
      <c r="CA31" s="107"/>
      <c r="CB31" s="107"/>
      <c r="CC31" s="107"/>
      <c r="CD31" s="107"/>
      <c r="CE31" s="107"/>
      <c r="CF31" s="107"/>
      <c r="CG31" s="107"/>
      <c r="CH31" s="107"/>
      <c r="CI31" s="107"/>
      <c r="CJ31" s="107"/>
      <c r="CK31" s="107"/>
      <c r="CL31" s="107"/>
      <c r="CM31" s="107"/>
      <c r="CN31" s="107"/>
      <c r="CO31" s="107"/>
      <c r="CP31" s="107"/>
      <c r="CQ31" s="107"/>
      <c r="CR31" s="107"/>
      <c r="CS31" s="107"/>
      <c r="CT31" s="107"/>
      <c r="CU31" s="107"/>
      <c r="CV31" s="107"/>
      <c r="CW31" s="107"/>
      <c r="CX31" s="107"/>
      <c r="CY31" s="107"/>
      <c r="CZ31" s="107"/>
      <c r="DA31" s="108"/>
      <c r="DB31" s="4"/>
    </row>
    <row r="32" spans="1:106" ht="24" customHeight="1" x14ac:dyDescent="0.3">
      <c r="A32" s="152" t="s">
        <v>51</v>
      </c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9"/>
      <c r="Y32" s="47"/>
      <c r="Z32" s="47"/>
      <c r="AA32" s="283"/>
      <c r="AB32" s="118"/>
      <c r="AC32" s="118"/>
      <c r="AD32" s="118"/>
      <c r="AE32" s="118"/>
      <c r="AF32" s="118"/>
      <c r="AG32" s="118"/>
      <c r="AH32" s="118"/>
      <c r="AI32" s="118"/>
      <c r="AJ32" s="119"/>
      <c r="AK32" s="47"/>
      <c r="AL32" s="47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7"/>
      <c r="AX32" s="47"/>
      <c r="AY32" s="47"/>
      <c r="AZ32" s="49"/>
      <c r="BA32" s="49"/>
      <c r="BB32" s="49"/>
      <c r="BC32" s="49"/>
      <c r="BD32" s="49"/>
      <c r="BE32" s="49"/>
      <c r="BF32" s="47"/>
      <c r="BG32" s="47"/>
      <c r="BH32" s="47"/>
      <c r="BI32" s="47"/>
      <c r="BJ32" s="47"/>
      <c r="BK32" s="47"/>
      <c r="BL32" s="47"/>
      <c r="BM32" s="48"/>
      <c r="BN32" s="48"/>
      <c r="BO32" s="48"/>
      <c r="BP32" s="48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7"/>
      <c r="CZ32" s="47"/>
      <c r="DA32" s="50"/>
      <c r="DB32" s="4"/>
    </row>
    <row r="33" spans="1:106" ht="34.5" customHeight="1" x14ac:dyDescent="0.3">
      <c r="A33" s="134" t="s">
        <v>66</v>
      </c>
      <c r="B33" s="107"/>
      <c r="C33" s="107"/>
      <c r="D33" s="107"/>
      <c r="E33" s="107"/>
      <c r="F33" s="108"/>
      <c r="G33" s="3"/>
      <c r="H33" s="3"/>
      <c r="I33" s="270" t="s">
        <v>67</v>
      </c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8"/>
      <c r="Z33" s="51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153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8"/>
      <c r="AZ33" s="271" t="s">
        <v>68</v>
      </c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258"/>
      <c r="BM33" s="278" t="s">
        <v>69</v>
      </c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144"/>
      <c r="CA33" s="144"/>
      <c r="CB33" s="145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281"/>
      <c r="CP33" s="263"/>
      <c r="CQ33" s="263"/>
      <c r="CR33" s="263"/>
      <c r="CS33" s="263"/>
      <c r="CT33" s="263"/>
      <c r="CU33" s="263"/>
      <c r="CV33" s="263"/>
      <c r="CW33" s="263"/>
      <c r="CX33" s="263"/>
      <c r="CY33" s="263"/>
      <c r="CZ33" s="264"/>
      <c r="DA33" s="4"/>
      <c r="DB33" s="4"/>
    </row>
    <row r="34" spans="1:106" ht="21" customHeight="1" x14ac:dyDescent="0.3">
      <c r="A34" s="3"/>
      <c r="B34" s="3"/>
      <c r="C34" s="3"/>
      <c r="D34" s="3"/>
      <c r="E34" s="3"/>
      <c r="F34" s="3"/>
      <c r="G34" s="3"/>
      <c r="H34" s="3"/>
      <c r="I34" s="152" t="s">
        <v>70</v>
      </c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9"/>
      <c r="Y34" s="3"/>
      <c r="Z34" s="3"/>
      <c r="AA34" s="152" t="s">
        <v>71</v>
      </c>
      <c r="AB34" s="118"/>
      <c r="AC34" s="118"/>
      <c r="AD34" s="118"/>
      <c r="AE34" s="118"/>
      <c r="AF34" s="118"/>
      <c r="AG34" s="118"/>
      <c r="AH34" s="118"/>
      <c r="AI34" s="118"/>
      <c r="AJ34" s="119"/>
      <c r="AK34" s="3"/>
      <c r="AL34" s="3"/>
      <c r="AM34" s="152" t="s">
        <v>72</v>
      </c>
      <c r="AN34" s="118"/>
      <c r="AO34" s="118"/>
      <c r="AP34" s="118"/>
      <c r="AQ34" s="118"/>
      <c r="AR34" s="118"/>
      <c r="AS34" s="118"/>
      <c r="AT34" s="118"/>
      <c r="AU34" s="118"/>
      <c r="AV34" s="119"/>
      <c r="AW34" s="3"/>
      <c r="AX34" s="3"/>
      <c r="AY34" s="3"/>
      <c r="AZ34" s="132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6"/>
      <c r="BM34" s="152" t="s">
        <v>70</v>
      </c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9"/>
      <c r="CC34" s="3"/>
      <c r="CD34" s="3"/>
      <c r="CE34" s="152" t="s">
        <v>71</v>
      </c>
      <c r="CF34" s="118"/>
      <c r="CG34" s="118"/>
      <c r="CH34" s="118"/>
      <c r="CI34" s="118"/>
      <c r="CJ34" s="118"/>
      <c r="CK34" s="119"/>
      <c r="CL34" s="3"/>
      <c r="CM34" s="3"/>
      <c r="CN34" s="3"/>
      <c r="CO34" s="152" t="s">
        <v>72</v>
      </c>
      <c r="CP34" s="118"/>
      <c r="CQ34" s="118"/>
      <c r="CR34" s="118"/>
      <c r="CS34" s="118"/>
      <c r="CT34" s="118"/>
      <c r="CU34" s="118"/>
      <c r="CV34" s="118"/>
      <c r="CW34" s="118"/>
      <c r="CX34" s="118"/>
      <c r="CY34" s="118"/>
      <c r="CZ34" s="118"/>
      <c r="DA34" s="119"/>
      <c r="DB34" s="4"/>
    </row>
    <row r="35" spans="1:106" ht="13.5" customHeight="1" x14ac:dyDescent="0.3">
      <c r="A35" s="134" t="s">
        <v>73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8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153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8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279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258"/>
      <c r="CC35" s="3"/>
      <c r="CD35" s="3"/>
      <c r="CE35" s="279"/>
      <c r="CF35" s="127"/>
      <c r="CG35" s="127"/>
      <c r="CH35" s="127"/>
      <c r="CI35" s="127"/>
      <c r="CJ35" s="258"/>
      <c r="CK35" s="3"/>
      <c r="CL35" s="3"/>
      <c r="CM35" s="3"/>
      <c r="CN35" s="3"/>
      <c r="CO35" s="279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258"/>
      <c r="DA35" s="4"/>
      <c r="DB35" s="4"/>
    </row>
    <row r="36" spans="1:106" ht="9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52" t="s">
        <v>71</v>
      </c>
      <c r="AB36" s="118"/>
      <c r="AC36" s="118"/>
      <c r="AD36" s="118"/>
      <c r="AE36" s="118"/>
      <c r="AF36" s="118"/>
      <c r="AG36" s="118"/>
      <c r="AH36" s="118"/>
      <c r="AI36" s="118"/>
      <c r="AJ36" s="119"/>
      <c r="AK36" s="3"/>
      <c r="AL36" s="3"/>
      <c r="AM36" s="152" t="s">
        <v>72</v>
      </c>
      <c r="AN36" s="118"/>
      <c r="AO36" s="118"/>
      <c r="AP36" s="118"/>
      <c r="AQ36" s="118"/>
      <c r="AR36" s="118"/>
      <c r="AS36" s="118"/>
      <c r="AT36" s="118"/>
      <c r="AU36" s="118"/>
      <c r="AV36" s="119"/>
      <c r="AW36" s="3"/>
      <c r="AX36" s="3"/>
      <c r="AY36" s="3"/>
      <c r="AZ36" s="275" t="s">
        <v>74</v>
      </c>
      <c r="BA36" s="107"/>
      <c r="BB36" s="107"/>
      <c r="BC36" s="107"/>
      <c r="BD36" s="107"/>
      <c r="BE36" s="107"/>
      <c r="BF36" s="107"/>
      <c r="BG36" s="107"/>
      <c r="BH36" s="108"/>
      <c r="BI36" s="52"/>
      <c r="BJ36" s="52"/>
      <c r="BK36" s="52"/>
      <c r="BL36" s="52"/>
      <c r="BM36" s="3"/>
      <c r="BN36" s="166"/>
      <c r="BO36" s="162"/>
      <c r="BP36" s="162"/>
      <c r="BQ36" s="162"/>
      <c r="BR36" s="162"/>
      <c r="BS36" s="162"/>
      <c r="BT36" s="162"/>
      <c r="BU36" s="162"/>
      <c r="BV36" s="162"/>
      <c r="BW36" s="162"/>
      <c r="BX36" s="162"/>
      <c r="BY36" s="162"/>
      <c r="BZ36" s="162"/>
      <c r="CA36" s="162"/>
      <c r="CB36" s="280"/>
      <c r="CC36" s="3"/>
      <c r="CD36" s="3"/>
      <c r="CE36" s="166"/>
      <c r="CF36" s="162"/>
      <c r="CG36" s="162"/>
      <c r="CH36" s="162"/>
      <c r="CI36" s="162"/>
      <c r="CJ36" s="280"/>
      <c r="CK36" s="3"/>
      <c r="CL36" s="3"/>
      <c r="CM36" s="3"/>
      <c r="CN36" s="3"/>
      <c r="CO36" s="166"/>
      <c r="CP36" s="162"/>
      <c r="CQ36" s="162"/>
      <c r="CR36" s="162"/>
      <c r="CS36" s="162"/>
      <c r="CT36" s="162"/>
      <c r="CU36" s="162"/>
      <c r="CV36" s="162"/>
      <c r="CW36" s="162"/>
      <c r="CX36" s="162"/>
      <c r="CY36" s="162"/>
      <c r="CZ36" s="280"/>
      <c r="DA36" s="4"/>
      <c r="DB36" s="4"/>
    </row>
    <row r="37" spans="1:106" ht="12.75" customHeight="1" x14ac:dyDescent="0.3">
      <c r="A37" s="276" t="s">
        <v>75</v>
      </c>
      <c r="B37" s="127"/>
      <c r="C37" s="127"/>
      <c r="D37" s="127"/>
      <c r="E37" s="127"/>
      <c r="F37" s="258"/>
      <c r="G37" s="3"/>
      <c r="H37" s="3"/>
      <c r="I37" s="277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5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3" t="s">
        <v>213</v>
      </c>
      <c r="AN37" s="153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8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152" t="s">
        <v>70</v>
      </c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9"/>
      <c r="CC37" s="3"/>
      <c r="CD37" s="3"/>
      <c r="CE37" s="152" t="s">
        <v>71</v>
      </c>
      <c r="CF37" s="118"/>
      <c r="CG37" s="118"/>
      <c r="CH37" s="118"/>
      <c r="CI37" s="118"/>
      <c r="CJ37" s="118"/>
      <c r="CK37" s="119"/>
      <c r="CL37" s="3"/>
      <c r="CM37" s="3"/>
      <c r="CN37" s="3"/>
      <c r="CO37" s="152" t="s">
        <v>72</v>
      </c>
      <c r="CP37" s="118"/>
      <c r="CQ37" s="118"/>
      <c r="CR37" s="118"/>
      <c r="CS37" s="118"/>
      <c r="CT37" s="118"/>
      <c r="CU37" s="118"/>
      <c r="CV37" s="118"/>
      <c r="CW37" s="118"/>
      <c r="CX37" s="118"/>
      <c r="CY37" s="118"/>
      <c r="CZ37" s="118"/>
      <c r="DA37" s="119"/>
      <c r="DB37" s="4"/>
    </row>
    <row r="38" spans="1:106" ht="10.5" customHeight="1" x14ac:dyDescent="0.3">
      <c r="A38" s="132"/>
      <c r="B38" s="115"/>
      <c r="C38" s="115"/>
      <c r="D38" s="115"/>
      <c r="E38" s="115"/>
      <c r="F38" s="116"/>
      <c r="G38" s="3"/>
      <c r="H38" s="3"/>
      <c r="I38" s="152" t="s">
        <v>70</v>
      </c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9"/>
      <c r="Y38" s="3"/>
      <c r="Z38" s="3"/>
      <c r="AA38" s="152" t="s">
        <v>71</v>
      </c>
      <c r="AB38" s="118"/>
      <c r="AC38" s="118"/>
      <c r="AD38" s="118"/>
      <c r="AE38" s="118"/>
      <c r="AF38" s="118"/>
      <c r="AG38" s="118"/>
      <c r="AH38" s="118"/>
      <c r="AI38" s="118"/>
      <c r="AJ38" s="119"/>
      <c r="AK38" s="3"/>
      <c r="AL38" s="3"/>
      <c r="AM38" s="152" t="s">
        <v>72</v>
      </c>
      <c r="AN38" s="118"/>
      <c r="AO38" s="118"/>
      <c r="AP38" s="118"/>
      <c r="AQ38" s="118"/>
      <c r="AR38" s="118"/>
      <c r="AS38" s="118"/>
      <c r="AT38" s="118"/>
      <c r="AU38" s="118"/>
      <c r="AV38" s="119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4"/>
      <c r="DB38" s="4"/>
    </row>
    <row r="39" spans="1:106" ht="10.5" customHeight="1" x14ac:dyDescent="0.3">
      <c r="A39" s="142" t="s">
        <v>76</v>
      </c>
      <c r="B39" s="108"/>
      <c r="C39" s="3"/>
      <c r="D39" s="3"/>
      <c r="E39" s="3"/>
      <c r="F39" s="3"/>
      <c r="G39" s="134"/>
      <c r="H39" s="107"/>
      <c r="I39" s="107"/>
      <c r="J39" s="107"/>
      <c r="K39" s="108"/>
      <c r="L39" s="143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5"/>
      <c r="AA39" s="134"/>
      <c r="AB39" s="107"/>
      <c r="AC39" s="107"/>
      <c r="AD39" s="107"/>
      <c r="AE39" s="107"/>
      <c r="AF39" s="107"/>
      <c r="AG39" s="107"/>
      <c r="AH39" s="108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4"/>
      <c r="DB39" s="4"/>
    </row>
    <row r="40" spans="1:106" ht="12.75" customHeight="1" x14ac:dyDescent="0.3">
      <c r="A40" s="226" t="s">
        <v>77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8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9"/>
      <c r="CX40" s="9"/>
      <c r="CY40" s="9"/>
      <c r="CZ40" s="9" t="s">
        <v>78</v>
      </c>
      <c r="DA40" s="4"/>
      <c r="DB40" s="4"/>
    </row>
    <row r="41" spans="1:106" ht="10.5" customHeight="1" x14ac:dyDescent="0.3">
      <c r="A41" s="3" t="s">
        <v>79</v>
      </c>
      <c r="B41" s="3"/>
      <c r="C41" s="3"/>
      <c r="D41" s="3"/>
      <c r="E41" s="3"/>
      <c r="F41" s="3"/>
      <c r="G41" s="3"/>
      <c r="H41" s="3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134" t="s">
        <v>80</v>
      </c>
      <c r="X41" s="107"/>
      <c r="Y41" s="107"/>
      <c r="Z41" s="107"/>
      <c r="AA41" s="107"/>
      <c r="AB41" s="107"/>
      <c r="AC41" s="108"/>
      <c r="AD41" s="143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5"/>
      <c r="AQ41" s="267" t="s">
        <v>0</v>
      </c>
      <c r="AR41" s="107"/>
      <c r="AS41" s="107"/>
      <c r="AT41" s="107"/>
      <c r="AU41" s="107"/>
      <c r="AV41" s="107"/>
      <c r="AW41" s="108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4"/>
      <c r="DB41" s="4"/>
    </row>
    <row r="42" spans="1:106" ht="10.5" customHeight="1" x14ac:dyDescent="0.3">
      <c r="A42" s="134" t="s">
        <v>81</v>
      </c>
      <c r="B42" s="107"/>
      <c r="C42" s="107"/>
      <c r="D42" s="107"/>
      <c r="E42" s="107"/>
      <c r="F42" s="107"/>
      <c r="G42" s="107"/>
      <c r="H42" s="10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142" t="s">
        <v>82</v>
      </c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8"/>
      <c r="CW42" s="272"/>
      <c r="CX42" s="273"/>
      <c r="CY42" s="273"/>
      <c r="CZ42" s="274"/>
      <c r="DA42" s="4"/>
      <c r="DB42" s="4"/>
    </row>
    <row r="43" spans="1:106" ht="39" customHeight="1" x14ac:dyDescent="0.3">
      <c r="A43" s="134" t="s">
        <v>83</v>
      </c>
      <c r="B43" s="107"/>
      <c r="C43" s="107"/>
      <c r="D43" s="108"/>
      <c r="E43" s="155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4"/>
      <c r="AI43" s="144"/>
      <c r="AJ43" s="144"/>
      <c r="AK43" s="144"/>
      <c r="AL43" s="144"/>
      <c r="AM43" s="144"/>
      <c r="AN43" s="144"/>
      <c r="AO43" s="144"/>
      <c r="AP43" s="144"/>
      <c r="AQ43" s="144"/>
      <c r="AR43" s="144"/>
      <c r="AS43" s="144"/>
      <c r="AT43" s="144"/>
      <c r="AU43" s="144"/>
      <c r="AV43" s="144"/>
      <c r="AW43" s="144"/>
      <c r="AX43" s="144"/>
      <c r="AY43" s="144"/>
      <c r="AZ43" s="144"/>
      <c r="BA43" s="144"/>
      <c r="BB43" s="144"/>
      <c r="BC43" s="144"/>
      <c r="BD43" s="144"/>
      <c r="BE43" s="144"/>
      <c r="BF43" s="144"/>
      <c r="BG43" s="144"/>
      <c r="BH43" s="144"/>
      <c r="BI43" s="144"/>
      <c r="BJ43" s="144"/>
      <c r="BK43" s="144"/>
      <c r="BL43" s="144"/>
      <c r="BM43" s="144"/>
      <c r="BN43" s="144"/>
      <c r="BO43" s="144"/>
      <c r="BP43" s="144"/>
      <c r="BQ43" s="144"/>
      <c r="BR43" s="144"/>
      <c r="BS43" s="144"/>
      <c r="BT43" s="144"/>
      <c r="BU43" s="144"/>
      <c r="BV43" s="144"/>
      <c r="BW43" s="144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5"/>
      <c r="CK43" s="260" t="s">
        <v>84</v>
      </c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258"/>
      <c r="CW43" s="158"/>
      <c r="CX43" s="159"/>
      <c r="CY43" s="159"/>
      <c r="CZ43" s="165"/>
      <c r="DA43" s="4"/>
      <c r="DB43" s="4"/>
    </row>
    <row r="44" spans="1:106" ht="15.75" customHeight="1" x14ac:dyDescent="0.3">
      <c r="A44" s="54"/>
      <c r="B44" s="54"/>
      <c r="C44" s="54"/>
      <c r="D44" s="54"/>
      <c r="E44" s="256" t="s">
        <v>85</v>
      </c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8"/>
      <c r="CK44" s="129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261"/>
      <c r="CW44" s="207"/>
      <c r="CX44" s="130"/>
      <c r="CY44" s="130"/>
      <c r="CZ44" s="205"/>
      <c r="DA44" s="55"/>
      <c r="DB44" s="55"/>
    </row>
    <row r="45" spans="1:106" ht="11.25" customHeight="1" x14ac:dyDescent="0.3">
      <c r="A45" s="134" t="s">
        <v>86</v>
      </c>
      <c r="B45" s="107"/>
      <c r="C45" s="107"/>
      <c r="D45" s="108"/>
      <c r="E45" s="262"/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4"/>
      <c r="AQ45" s="267" t="s">
        <v>87</v>
      </c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8"/>
      <c r="BJ45" s="268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4"/>
      <c r="CD45" s="3"/>
      <c r="CE45" s="3"/>
      <c r="CF45" s="3"/>
      <c r="CG45" s="3"/>
      <c r="CH45" s="3"/>
      <c r="CI45" s="3"/>
      <c r="CJ45" s="3"/>
      <c r="CK45" s="129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261"/>
      <c r="CW45" s="207"/>
      <c r="CX45" s="130"/>
      <c r="CY45" s="130"/>
      <c r="CZ45" s="205"/>
      <c r="DA45" s="4"/>
      <c r="DB45" s="4"/>
    </row>
    <row r="46" spans="1:106" ht="13.5" customHeight="1" x14ac:dyDescent="0.3">
      <c r="A46" s="3"/>
      <c r="B46" s="3"/>
      <c r="C46" s="3"/>
      <c r="D46" s="3"/>
      <c r="E46" s="152" t="s">
        <v>88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9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132"/>
      <c r="CL46" s="115"/>
      <c r="CM46" s="115"/>
      <c r="CN46" s="115"/>
      <c r="CO46" s="115"/>
      <c r="CP46" s="115"/>
      <c r="CQ46" s="115"/>
      <c r="CR46" s="115"/>
      <c r="CS46" s="115"/>
      <c r="CT46" s="115"/>
      <c r="CU46" s="115"/>
      <c r="CV46" s="116"/>
      <c r="CW46" s="196"/>
      <c r="CX46" s="115"/>
      <c r="CY46" s="115"/>
      <c r="CZ46" s="197"/>
      <c r="DA46" s="4"/>
      <c r="DB46" s="4"/>
    </row>
    <row r="47" spans="1:106" ht="21" customHeight="1" x14ac:dyDescent="0.3">
      <c r="A47" s="134" t="s">
        <v>89</v>
      </c>
      <c r="B47" s="107"/>
      <c r="C47" s="107"/>
      <c r="D47" s="107"/>
      <c r="E47" s="107"/>
      <c r="F47" s="107"/>
      <c r="G47" s="107"/>
      <c r="H47" s="108"/>
      <c r="I47" s="155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144"/>
      <c r="BA47" s="144"/>
      <c r="BB47" s="144"/>
      <c r="BC47" s="144"/>
      <c r="BD47" s="144"/>
      <c r="BE47" s="144"/>
      <c r="BF47" s="144"/>
      <c r="BG47" s="144"/>
      <c r="BH47" s="144"/>
      <c r="BI47" s="144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  <c r="BU47" s="144"/>
      <c r="BV47" s="144"/>
      <c r="BW47" s="144"/>
      <c r="BX47" s="144"/>
      <c r="BY47" s="144"/>
      <c r="BZ47" s="144"/>
      <c r="CA47" s="144"/>
      <c r="CB47" s="144"/>
      <c r="CC47" s="144"/>
      <c r="CD47" s="144"/>
      <c r="CE47" s="144"/>
      <c r="CF47" s="144"/>
      <c r="CG47" s="145"/>
      <c r="CH47" s="51"/>
      <c r="CI47" s="51"/>
      <c r="CJ47" s="51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158"/>
      <c r="CX47" s="159"/>
      <c r="CY47" s="159"/>
      <c r="CZ47" s="165"/>
      <c r="DA47" s="4"/>
      <c r="DB47" s="4"/>
    </row>
    <row r="48" spans="1:106" ht="7.5" customHeight="1" x14ac:dyDescent="0.3">
      <c r="A48" s="3"/>
      <c r="B48" s="3"/>
      <c r="C48" s="3"/>
      <c r="D48" s="3"/>
      <c r="E48" s="3"/>
      <c r="F48" s="3"/>
      <c r="G48" s="3"/>
      <c r="H48" s="3"/>
      <c r="I48" s="152" t="s">
        <v>85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18"/>
      <c r="BK48" s="118"/>
      <c r="BL48" s="118"/>
      <c r="BM48" s="118"/>
      <c r="BN48" s="118"/>
      <c r="BO48" s="118"/>
      <c r="BP48" s="118"/>
      <c r="BQ48" s="118"/>
      <c r="BR48" s="118"/>
      <c r="BS48" s="118"/>
      <c r="BT48" s="118"/>
      <c r="BU48" s="118"/>
      <c r="BV48" s="118"/>
      <c r="BW48" s="118"/>
      <c r="BX48" s="118"/>
      <c r="BY48" s="118"/>
      <c r="BZ48" s="118"/>
      <c r="CA48" s="118"/>
      <c r="CB48" s="118"/>
      <c r="CC48" s="118"/>
      <c r="CD48" s="118"/>
      <c r="CE48" s="118"/>
      <c r="CF48" s="118"/>
      <c r="CG48" s="118"/>
      <c r="CH48" s="118"/>
      <c r="CI48" s="118"/>
      <c r="CJ48" s="119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161"/>
      <c r="CX48" s="162"/>
      <c r="CY48" s="162"/>
      <c r="CZ48" s="167"/>
      <c r="DA48" s="4"/>
      <c r="DB48" s="4"/>
    </row>
    <row r="49" spans="1:106" ht="10.5" customHeight="1" x14ac:dyDescent="0.3">
      <c r="A49" s="134" t="s">
        <v>69</v>
      </c>
      <c r="B49" s="107"/>
      <c r="C49" s="107"/>
      <c r="D49" s="108"/>
      <c r="E49" s="265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4"/>
      <c r="AH49" s="134" t="s">
        <v>90</v>
      </c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8"/>
      <c r="AX49" s="181"/>
      <c r="AY49" s="144"/>
      <c r="AZ49" s="144"/>
      <c r="BA49" s="144"/>
      <c r="BB49" s="144"/>
      <c r="BC49" s="144"/>
      <c r="BD49" s="144"/>
      <c r="BE49" s="144"/>
      <c r="BF49" s="144"/>
      <c r="BG49" s="144"/>
      <c r="BH49" s="144"/>
      <c r="BI49" s="144"/>
      <c r="BJ49" s="144"/>
      <c r="BK49" s="144"/>
      <c r="BL49" s="144"/>
      <c r="BM49" s="144"/>
      <c r="BN49" s="144"/>
      <c r="BO49" s="144"/>
      <c r="BP49" s="144"/>
      <c r="BQ49" s="144"/>
      <c r="BR49" s="144"/>
      <c r="BS49" s="144"/>
      <c r="BT49" s="145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257" t="s">
        <v>91</v>
      </c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258"/>
      <c r="CW49" s="259"/>
      <c r="CX49" s="127"/>
      <c r="CY49" s="127"/>
      <c r="CZ49" s="204"/>
      <c r="DA49" s="4"/>
      <c r="DB49" s="4"/>
    </row>
    <row r="50" spans="1:106" ht="10.5" customHeight="1" x14ac:dyDescent="0.3">
      <c r="A50" s="134" t="s">
        <v>92</v>
      </c>
      <c r="B50" s="107"/>
      <c r="C50" s="107"/>
      <c r="D50" s="107"/>
      <c r="E50" s="107"/>
      <c r="F50" s="107"/>
      <c r="G50" s="107"/>
      <c r="H50" s="108"/>
      <c r="I50" s="267" t="s">
        <v>93</v>
      </c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8"/>
      <c r="W50" s="266" t="s">
        <v>94</v>
      </c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AH50" s="134" t="s">
        <v>95</v>
      </c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8"/>
      <c r="AX50" s="181"/>
      <c r="AY50" s="144"/>
      <c r="AZ50" s="144"/>
      <c r="BA50" s="144"/>
      <c r="BB50" s="144"/>
      <c r="BC50" s="144"/>
      <c r="BD50" s="144"/>
      <c r="BE50" s="144"/>
      <c r="BF50" s="144"/>
      <c r="BG50" s="144"/>
      <c r="BH50" s="144"/>
      <c r="BI50" s="144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  <c r="BU50" s="144"/>
      <c r="BV50" s="144"/>
      <c r="BW50" s="144"/>
      <c r="BX50" s="144"/>
      <c r="BY50" s="144"/>
      <c r="BZ50" s="144"/>
      <c r="CA50" s="144"/>
      <c r="CB50" s="144"/>
      <c r="CC50" s="144"/>
      <c r="CD50" s="144"/>
      <c r="CE50" s="144"/>
      <c r="CF50" s="144"/>
      <c r="CG50" s="144"/>
      <c r="CH50" s="144"/>
      <c r="CI50" s="144"/>
      <c r="CJ50" s="145"/>
      <c r="CK50" s="132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6"/>
      <c r="CW50" s="161"/>
      <c r="CX50" s="162"/>
      <c r="CY50" s="162"/>
      <c r="CZ50" s="167"/>
      <c r="DA50" s="4"/>
      <c r="DB50" s="4"/>
    </row>
    <row r="51" spans="1:106" ht="6.75" customHeight="1" x14ac:dyDescent="0.3">
      <c r="A51" s="3"/>
      <c r="B51" s="3"/>
      <c r="C51" s="3"/>
      <c r="D51" s="3"/>
      <c r="E51" s="3"/>
      <c r="F51" s="3"/>
      <c r="G51" s="3"/>
      <c r="H51" s="3"/>
      <c r="I51" s="152" t="s">
        <v>96</v>
      </c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9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259"/>
      <c r="CX51" s="127"/>
      <c r="CY51" s="127"/>
      <c r="CZ51" s="204"/>
      <c r="DA51" s="4"/>
      <c r="DB51" s="4"/>
    </row>
    <row r="52" spans="1:106" ht="10.5" customHeight="1" x14ac:dyDescent="0.3">
      <c r="A52" s="134" t="s">
        <v>79</v>
      </c>
      <c r="B52" s="107"/>
      <c r="C52" s="107"/>
      <c r="D52" s="107"/>
      <c r="E52" s="107"/>
      <c r="F52" s="107"/>
      <c r="G52" s="107"/>
      <c r="H52" s="108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267" t="s">
        <v>80</v>
      </c>
      <c r="X52" s="107"/>
      <c r="Y52" s="107"/>
      <c r="Z52" s="107"/>
      <c r="AA52" s="107"/>
      <c r="AB52" s="107"/>
      <c r="AC52" s="108"/>
      <c r="AD52" s="46"/>
      <c r="AE52" s="46"/>
      <c r="AF52" s="46"/>
      <c r="AG52" s="46"/>
      <c r="AH52" s="267" t="s">
        <v>0</v>
      </c>
      <c r="AI52" s="107"/>
      <c r="AJ52" s="107"/>
      <c r="AK52" s="107"/>
      <c r="AL52" s="107"/>
      <c r="AM52" s="107"/>
      <c r="AN52" s="107"/>
      <c r="AO52" s="107"/>
      <c r="AP52" s="108"/>
      <c r="AQ52" s="46"/>
      <c r="AR52" s="46"/>
      <c r="AS52" s="46"/>
      <c r="AT52" s="46"/>
      <c r="AU52" s="46"/>
      <c r="AV52" s="46"/>
      <c r="AW52" s="46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161"/>
      <c r="CX52" s="162"/>
      <c r="CY52" s="162"/>
      <c r="CZ52" s="167"/>
      <c r="DA52" s="4"/>
      <c r="DB52" s="4"/>
    </row>
    <row r="53" spans="1:106" ht="21.75" customHeight="1" x14ac:dyDescent="0.3">
      <c r="A53" s="134" t="s">
        <v>97</v>
      </c>
      <c r="B53" s="107"/>
      <c r="C53" s="107"/>
      <c r="D53" s="108"/>
      <c r="E53" s="155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5"/>
      <c r="AQ53" s="267" t="s">
        <v>98</v>
      </c>
      <c r="AR53" s="107"/>
      <c r="AS53" s="107"/>
      <c r="AT53" s="107"/>
      <c r="AU53" s="107"/>
      <c r="AV53" s="107"/>
      <c r="AW53" s="108"/>
      <c r="AX53" s="153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8"/>
      <c r="CK53" s="257" t="s">
        <v>99</v>
      </c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258"/>
      <c r="CW53" s="259"/>
      <c r="CX53" s="127"/>
      <c r="CY53" s="127"/>
      <c r="CZ53" s="204"/>
      <c r="DA53" s="4"/>
      <c r="DB53" s="4"/>
    </row>
    <row r="54" spans="1:106" ht="6.75" customHeight="1" x14ac:dyDescent="0.3">
      <c r="A54" s="3"/>
      <c r="B54" s="3"/>
      <c r="C54" s="3"/>
      <c r="D54" s="3"/>
      <c r="E54" s="152" t="s">
        <v>100</v>
      </c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9"/>
      <c r="AQ54" s="3"/>
      <c r="AR54" s="3"/>
      <c r="AS54" s="3"/>
      <c r="AT54" s="3"/>
      <c r="AU54" s="3"/>
      <c r="AV54" s="3"/>
      <c r="AW54" s="3"/>
      <c r="AX54" s="152" t="s">
        <v>100</v>
      </c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  <c r="BX54" s="118"/>
      <c r="BY54" s="118"/>
      <c r="BZ54" s="118"/>
      <c r="CA54" s="118"/>
      <c r="CB54" s="118"/>
      <c r="CC54" s="118"/>
      <c r="CD54" s="118"/>
      <c r="CE54" s="118"/>
      <c r="CF54" s="118"/>
      <c r="CG54" s="118"/>
      <c r="CH54" s="118"/>
      <c r="CI54" s="118"/>
      <c r="CJ54" s="119"/>
      <c r="CK54" s="132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6"/>
      <c r="CW54" s="196"/>
      <c r="CX54" s="115"/>
      <c r="CY54" s="115"/>
      <c r="CZ54" s="197"/>
      <c r="DA54" s="4"/>
      <c r="DB54" s="4"/>
    </row>
    <row r="55" spans="1:106" ht="10.5" customHeight="1" x14ac:dyDescent="0.3">
      <c r="A55" s="134" t="s">
        <v>101</v>
      </c>
      <c r="B55" s="107"/>
      <c r="C55" s="107"/>
      <c r="D55" s="10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53"/>
      <c r="AE55" s="53"/>
      <c r="AF55" s="53"/>
      <c r="AG55" s="53"/>
      <c r="AH55" s="56"/>
      <c r="AI55" s="56"/>
      <c r="AJ55" s="56"/>
      <c r="AK55" s="56"/>
      <c r="AL55" s="56"/>
      <c r="AM55" s="56"/>
      <c r="AN55" s="56"/>
      <c r="AO55" s="56"/>
      <c r="AP55" s="56"/>
      <c r="AQ55" s="142" t="s">
        <v>102</v>
      </c>
      <c r="AR55" s="107"/>
      <c r="AS55" s="107"/>
      <c r="AT55" s="107"/>
      <c r="AU55" s="107"/>
      <c r="AV55" s="107"/>
      <c r="AW55" s="108"/>
      <c r="AX55" s="269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5"/>
      <c r="BJ55" s="142" t="s">
        <v>103</v>
      </c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8"/>
      <c r="CD55" s="251"/>
      <c r="CE55" s="144"/>
      <c r="CF55" s="144"/>
      <c r="CG55" s="144"/>
      <c r="CH55" s="144"/>
      <c r="CI55" s="144"/>
      <c r="CJ55" s="145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 t="s">
        <v>104</v>
      </c>
      <c r="CW55" s="57"/>
      <c r="CX55" s="20"/>
      <c r="CY55" s="20"/>
      <c r="CZ55" s="58"/>
      <c r="DA55" s="4"/>
      <c r="DB55" s="4"/>
    </row>
    <row r="56" spans="1:106" ht="10.5" customHeight="1" x14ac:dyDescent="0.3">
      <c r="A56" s="3"/>
      <c r="B56" s="3"/>
      <c r="C56" s="3"/>
      <c r="D56" s="3"/>
      <c r="E56" s="255" t="s">
        <v>105</v>
      </c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9"/>
      <c r="AQ56" s="3"/>
      <c r="AR56" s="3"/>
      <c r="AS56" s="3"/>
      <c r="AT56" s="3"/>
      <c r="AU56" s="3"/>
      <c r="AV56" s="3"/>
      <c r="AW56" s="3"/>
      <c r="AX56" s="256" t="s">
        <v>88</v>
      </c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8"/>
      <c r="BJ56" s="142" t="s">
        <v>103</v>
      </c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8"/>
      <c r="CD56" s="53"/>
      <c r="CE56" s="53"/>
      <c r="CF56" s="53"/>
      <c r="CG56" s="53"/>
      <c r="CH56" s="53"/>
      <c r="CI56" s="53"/>
      <c r="CJ56" s="53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 t="s">
        <v>104</v>
      </c>
      <c r="CW56" s="59"/>
      <c r="CX56" s="60"/>
      <c r="CY56" s="60"/>
      <c r="CZ56" s="61"/>
      <c r="DA56" s="4"/>
      <c r="DB56" s="4"/>
    </row>
    <row r="57" spans="1:106" ht="9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42" t="s">
        <v>106</v>
      </c>
      <c r="AR57" s="107"/>
      <c r="AS57" s="107"/>
      <c r="AT57" s="107"/>
      <c r="AU57" s="107"/>
      <c r="AV57" s="107"/>
      <c r="AW57" s="108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4"/>
      <c r="DB57" s="4"/>
    </row>
    <row r="58" spans="1:106" ht="7.5" customHeight="1" x14ac:dyDescent="0.3">
      <c r="A58" s="152" t="s">
        <v>107</v>
      </c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9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256" t="s">
        <v>88</v>
      </c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8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4"/>
      <c r="DB58" s="4"/>
    </row>
    <row r="59" spans="1:106" ht="10.5" customHeight="1" x14ac:dyDescent="0.3">
      <c r="A59" s="226" t="s">
        <v>108</v>
      </c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8"/>
    </row>
    <row r="60" spans="1:106" ht="19.5" customHeight="1" x14ac:dyDescent="0.3">
      <c r="A60" s="208" t="s">
        <v>109</v>
      </c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41"/>
      <c r="U60" s="248" t="s">
        <v>110</v>
      </c>
      <c r="V60" s="249"/>
      <c r="W60" s="249"/>
      <c r="X60" s="249"/>
      <c r="Y60" s="249"/>
      <c r="Z60" s="249"/>
      <c r="AA60" s="249"/>
      <c r="AB60" s="249"/>
      <c r="AC60" s="249"/>
      <c r="AD60" s="249"/>
      <c r="AE60" s="249"/>
      <c r="AF60" s="249"/>
      <c r="AG60" s="249"/>
      <c r="AH60" s="249"/>
      <c r="AI60" s="249"/>
      <c r="AJ60" s="249"/>
      <c r="AK60" s="310"/>
      <c r="AL60" s="248" t="s">
        <v>23</v>
      </c>
      <c r="AM60" s="249"/>
      <c r="AN60" s="249"/>
      <c r="AO60" s="249"/>
      <c r="AP60" s="249"/>
      <c r="AQ60" s="249"/>
      <c r="AR60" s="249"/>
      <c r="AS60" s="249"/>
      <c r="AT60" s="310"/>
      <c r="AU60" s="299" t="s">
        <v>111</v>
      </c>
      <c r="AV60" s="298"/>
      <c r="AW60" s="298"/>
      <c r="AX60" s="298"/>
      <c r="AY60" s="298"/>
      <c r="AZ60" s="298"/>
      <c r="BA60" s="298"/>
      <c r="BB60" s="298"/>
      <c r="BC60" s="298"/>
      <c r="BD60" s="298"/>
      <c r="BE60" s="303" t="s">
        <v>112</v>
      </c>
      <c r="BF60" s="298"/>
      <c r="BG60" s="298"/>
      <c r="BH60" s="298"/>
      <c r="BI60" s="298"/>
      <c r="BJ60" s="298"/>
      <c r="BK60" s="298"/>
      <c r="BL60" s="298"/>
      <c r="BM60" s="298"/>
      <c r="BN60" s="298"/>
      <c r="BO60" s="298"/>
      <c r="BP60" s="298"/>
      <c r="BQ60" s="298"/>
      <c r="BR60" s="300"/>
      <c r="BS60" s="299" t="s">
        <v>113</v>
      </c>
      <c r="BT60" s="298"/>
      <c r="BU60" s="298"/>
      <c r="BV60" s="298"/>
      <c r="BW60" s="298"/>
      <c r="BX60" s="298"/>
      <c r="BY60" s="298"/>
      <c r="BZ60" s="300"/>
      <c r="CA60" s="301" t="s">
        <v>114</v>
      </c>
      <c r="CB60" s="252"/>
      <c r="CC60" s="252"/>
      <c r="CD60" s="252"/>
      <c r="CE60" s="252"/>
      <c r="CF60" s="252"/>
      <c r="CG60" s="252"/>
      <c r="CH60" s="252"/>
      <c r="CI60" s="252"/>
      <c r="CJ60" s="302"/>
      <c r="CK60" s="303" t="s">
        <v>115</v>
      </c>
      <c r="CL60" s="298"/>
      <c r="CM60" s="298"/>
      <c r="CN60" s="298"/>
      <c r="CO60" s="298"/>
      <c r="CP60" s="298"/>
      <c r="CQ60" s="298"/>
      <c r="CR60" s="298"/>
      <c r="CS60" s="298"/>
      <c r="CT60" s="298"/>
      <c r="CU60" s="298"/>
      <c r="CV60" s="298"/>
      <c r="CW60" s="298"/>
      <c r="CX60" s="298"/>
      <c r="CY60" s="300"/>
      <c r="CZ60" s="301" t="s">
        <v>116</v>
      </c>
      <c r="DA60" s="252"/>
      <c r="DB60" s="302"/>
    </row>
    <row r="61" spans="1:106" ht="10" customHeight="1" x14ac:dyDescent="0.3">
      <c r="A61" s="285" t="s">
        <v>28</v>
      </c>
      <c r="B61" s="286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86"/>
      <c r="Q61" s="286"/>
      <c r="R61" s="286"/>
      <c r="S61" s="286"/>
      <c r="T61" s="287"/>
      <c r="U61" s="304" t="s">
        <v>29</v>
      </c>
      <c r="V61" s="305"/>
      <c r="W61" s="305"/>
      <c r="X61" s="305"/>
      <c r="Y61" s="305"/>
      <c r="Z61" s="305"/>
      <c r="AA61" s="305"/>
      <c r="AB61" s="305"/>
      <c r="AC61" s="305"/>
      <c r="AD61" s="305"/>
      <c r="AE61" s="305"/>
      <c r="AF61" s="305"/>
      <c r="AG61" s="305"/>
      <c r="AH61" s="305"/>
      <c r="AI61" s="305"/>
      <c r="AJ61" s="305"/>
      <c r="AK61" s="311"/>
      <c r="AL61" s="288" t="s">
        <v>30</v>
      </c>
      <c r="AM61" s="289"/>
      <c r="AN61" s="289"/>
      <c r="AO61" s="289"/>
      <c r="AP61" s="289"/>
      <c r="AQ61" s="289"/>
      <c r="AR61" s="289"/>
      <c r="AS61" s="289"/>
      <c r="AT61" s="314"/>
      <c r="AU61" s="292" t="s">
        <v>31</v>
      </c>
      <c r="AV61" s="290"/>
      <c r="AW61" s="290"/>
      <c r="AX61" s="290"/>
      <c r="AY61" s="290"/>
      <c r="AZ61" s="290"/>
      <c r="BA61" s="290"/>
      <c r="BB61" s="290"/>
      <c r="BC61" s="290"/>
      <c r="BD61" s="290"/>
      <c r="BE61" s="315" t="s">
        <v>32</v>
      </c>
      <c r="BF61" s="291"/>
      <c r="BG61" s="291"/>
      <c r="BH61" s="291"/>
      <c r="BI61" s="291"/>
      <c r="BJ61" s="291"/>
      <c r="BK61" s="291"/>
      <c r="BL61" s="291"/>
      <c r="BM61" s="291"/>
      <c r="BN61" s="291"/>
      <c r="BO61" s="291"/>
      <c r="BP61" s="291"/>
      <c r="BQ61" s="291"/>
      <c r="BR61" s="316"/>
      <c r="BS61" s="292" t="s">
        <v>33</v>
      </c>
      <c r="BT61" s="290"/>
      <c r="BU61" s="290"/>
      <c r="BV61" s="290"/>
      <c r="BW61" s="290"/>
      <c r="BX61" s="290"/>
      <c r="BY61" s="290"/>
      <c r="BZ61" s="293"/>
      <c r="CA61" s="294" t="s">
        <v>34</v>
      </c>
      <c r="CB61" s="295"/>
      <c r="CC61" s="295"/>
      <c r="CD61" s="295"/>
      <c r="CE61" s="295"/>
      <c r="CF61" s="295"/>
      <c r="CG61" s="295"/>
      <c r="CH61" s="295"/>
      <c r="CI61" s="295"/>
      <c r="CJ61" s="296"/>
      <c r="CK61" s="297" t="s">
        <v>35</v>
      </c>
      <c r="CL61" s="290"/>
      <c r="CM61" s="290"/>
      <c r="CN61" s="290"/>
      <c r="CO61" s="290"/>
      <c r="CP61" s="290"/>
      <c r="CQ61" s="290"/>
      <c r="CR61" s="290"/>
      <c r="CS61" s="290"/>
      <c r="CT61" s="290"/>
      <c r="CU61" s="290"/>
      <c r="CV61" s="290"/>
      <c r="CW61" s="290"/>
      <c r="CX61" s="290"/>
      <c r="CY61" s="293"/>
      <c r="CZ61" s="294" t="s">
        <v>36</v>
      </c>
      <c r="DA61" s="295"/>
      <c r="DB61" s="296"/>
    </row>
    <row r="62" spans="1:106" ht="20.25" customHeight="1" x14ac:dyDescent="0.3">
      <c r="A62" s="244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1"/>
      <c r="U62" s="306"/>
      <c r="V62" s="62"/>
      <c r="W62" s="62"/>
      <c r="X62" s="62"/>
      <c r="Y62" s="62"/>
      <c r="Z62" s="62"/>
      <c r="AA62" s="62"/>
      <c r="AB62" s="62"/>
      <c r="AC62" s="62"/>
      <c r="AD62" s="62" t="s">
        <v>117</v>
      </c>
      <c r="AE62" s="62"/>
      <c r="AF62" s="62"/>
      <c r="AG62" s="62"/>
      <c r="AH62" s="62"/>
      <c r="AI62" s="62"/>
      <c r="AJ62" s="62"/>
      <c r="AK62" s="312"/>
      <c r="AL62" s="99"/>
      <c r="AM62" s="100"/>
      <c r="AN62" s="100"/>
      <c r="AO62" s="100"/>
      <c r="AP62" s="100"/>
      <c r="AQ62" s="253" t="s">
        <v>41</v>
      </c>
      <c r="AR62" s="250"/>
      <c r="AS62" s="100"/>
      <c r="AT62" s="101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317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318"/>
      <c r="BS62" s="100"/>
      <c r="BT62" s="100"/>
      <c r="BU62" s="100"/>
      <c r="BV62" s="100"/>
      <c r="BW62" s="100"/>
      <c r="BX62" s="100"/>
      <c r="BY62" s="100"/>
      <c r="BZ62" s="101"/>
      <c r="CA62" s="99"/>
      <c r="CB62" s="100"/>
      <c r="CC62" s="100"/>
      <c r="CD62" s="100"/>
      <c r="CE62" s="100"/>
      <c r="CF62" s="100"/>
      <c r="CG62" s="100"/>
      <c r="CH62" s="100"/>
      <c r="CI62" s="100"/>
      <c r="CJ62" s="101"/>
      <c r="CK62" s="102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4"/>
      <c r="CZ62" s="102"/>
      <c r="DA62" s="105"/>
      <c r="DB62" s="307"/>
    </row>
    <row r="63" spans="1:106" ht="9" customHeight="1" x14ac:dyDescent="0.3">
      <c r="A63" s="254" t="s">
        <v>29</v>
      </c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41"/>
      <c r="U63" s="306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312"/>
      <c r="AL63" s="99"/>
      <c r="AM63" s="100"/>
      <c r="AN63" s="100"/>
      <c r="AO63" s="100"/>
      <c r="AP63" s="100"/>
      <c r="AQ63" s="100"/>
      <c r="AR63" s="100"/>
      <c r="AS63" s="100"/>
      <c r="AT63" s="101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317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318"/>
      <c r="BS63" s="100"/>
      <c r="BT63" s="100"/>
      <c r="BU63" s="100"/>
      <c r="BV63" s="100"/>
      <c r="BW63" s="100"/>
      <c r="BX63" s="100"/>
      <c r="BY63" s="100"/>
      <c r="BZ63" s="101"/>
      <c r="CA63" s="99"/>
      <c r="CB63" s="100"/>
      <c r="CC63" s="100"/>
      <c r="CD63" s="100"/>
      <c r="CE63" s="100"/>
      <c r="CF63" s="100"/>
      <c r="CG63" s="100"/>
      <c r="CH63" s="100"/>
      <c r="CI63" s="100"/>
      <c r="CJ63" s="101"/>
      <c r="CK63" s="102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4"/>
      <c r="CZ63" s="102"/>
      <c r="DA63" s="105"/>
      <c r="DB63" s="307"/>
    </row>
    <row r="64" spans="1:106" ht="9" customHeight="1" x14ac:dyDescent="0.3">
      <c r="A64" s="254" t="s">
        <v>30</v>
      </c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41"/>
      <c r="U64" s="308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13"/>
      <c r="AL64" s="99"/>
      <c r="AM64" s="100"/>
      <c r="AN64" s="100"/>
      <c r="AO64" s="100"/>
      <c r="AP64" s="100"/>
      <c r="AQ64" s="100"/>
      <c r="AR64" s="100"/>
      <c r="AS64" s="100"/>
      <c r="AT64" s="101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308"/>
      <c r="BF64" s="309"/>
      <c r="BG64" s="309"/>
      <c r="BH64" s="309"/>
      <c r="BI64" s="309"/>
      <c r="BJ64" s="309"/>
      <c r="BK64" s="309"/>
      <c r="BL64" s="309"/>
      <c r="BM64" s="309"/>
      <c r="BN64" s="309"/>
      <c r="BO64" s="309"/>
      <c r="BP64" s="309"/>
      <c r="BQ64" s="309"/>
      <c r="BR64" s="313"/>
      <c r="BS64" s="100"/>
      <c r="BT64" s="100"/>
      <c r="BU64" s="100"/>
      <c r="BV64" s="100"/>
      <c r="BW64" s="100"/>
      <c r="BX64" s="100"/>
      <c r="BY64" s="100"/>
      <c r="BZ64" s="101"/>
      <c r="CA64" s="99"/>
      <c r="CB64" s="100"/>
      <c r="CC64" s="100"/>
      <c r="CD64" s="100"/>
      <c r="CE64" s="100"/>
      <c r="CF64" s="100"/>
      <c r="CG64" s="100"/>
      <c r="CH64" s="100"/>
      <c r="CI64" s="100"/>
      <c r="CJ64" s="101"/>
      <c r="CK64" s="102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4"/>
      <c r="CZ64" s="102"/>
      <c r="DA64" s="105"/>
      <c r="DB64" s="307"/>
    </row>
    <row r="65" spans="1:106" ht="11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34" t="s">
        <v>19</v>
      </c>
      <c r="W65" s="107"/>
      <c r="X65" s="107"/>
      <c r="Y65" s="107"/>
      <c r="Z65" s="107"/>
      <c r="AA65" s="107"/>
      <c r="AB65" s="107"/>
      <c r="AC65" s="107"/>
      <c r="AD65" s="107"/>
      <c r="AE65" s="107"/>
      <c r="AF65" s="108"/>
      <c r="AG65" s="3"/>
      <c r="AH65" s="3"/>
      <c r="AI65" s="3"/>
      <c r="AJ65" s="3"/>
      <c r="AK65" s="3"/>
      <c r="AL65" s="3"/>
      <c r="AM65" s="3"/>
      <c r="AN65" s="3"/>
      <c r="AO65" s="64"/>
      <c r="AP65" s="3" t="s">
        <v>118</v>
      </c>
      <c r="AQ65" s="2" t="s">
        <v>118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65" t="s">
        <v>19</v>
      </c>
      <c r="BL65" s="65"/>
      <c r="BM65" s="65"/>
      <c r="BN65" s="65"/>
      <c r="BO65" s="65"/>
      <c r="BP65" s="65"/>
      <c r="BQ65" s="65"/>
      <c r="BR65" s="3"/>
      <c r="BS65" s="3"/>
      <c r="BT65" s="3"/>
      <c r="BU65" s="3"/>
      <c r="BV65" s="3"/>
      <c r="BW65" s="3"/>
      <c r="BX65" s="3"/>
      <c r="BY65" s="3"/>
      <c r="BZ65" s="3" t="s">
        <v>19</v>
      </c>
      <c r="CA65" s="3"/>
      <c r="CB65" s="3"/>
      <c r="CC65" s="3"/>
      <c r="CD65" s="3"/>
      <c r="CE65" s="3"/>
      <c r="CF65" s="9"/>
      <c r="CG65" s="9"/>
      <c r="CH65" s="9"/>
      <c r="CI65" s="9"/>
      <c r="CJ65" s="9"/>
      <c r="CK65" s="9"/>
      <c r="CL65" s="66"/>
      <c r="CM65" s="3" t="s">
        <v>119</v>
      </c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4"/>
      <c r="DB65" s="4"/>
    </row>
    <row r="66" spans="1:106" ht="9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155"/>
      <c r="K66" s="144"/>
      <c r="L66" s="144"/>
      <c r="M66" s="145"/>
      <c r="N66" s="155"/>
      <c r="O66" s="144"/>
      <c r="P66" s="144"/>
      <c r="Q66" s="144"/>
      <c r="R66" s="144"/>
      <c r="S66" s="144"/>
      <c r="T66" s="144"/>
      <c r="U66" s="145"/>
      <c r="V66" s="134" t="s">
        <v>121</v>
      </c>
      <c r="W66" s="107"/>
      <c r="X66" s="107"/>
      <c r="Y66" s="107"/>
      <c r="Z66" s="107"/>
      <c r="AA66" s="108"/>
      <c r="AB66" s="143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242"/>
      <c r="AP66" s="3" t="s">
        <v>120</v>
      </c>
      <c r="AQ66" s="2" t="s">
        <v>120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143"/>
      <c r="BC66" s="144"/>
      <c r="BD66" s="144"/>
      <c r="BE66" s="144"/>
      <c r="BF66" s="144"/>
      <c r="BG66" s="144"/>
      <c r="BH66" s="144"/>
      <c r="BI66" s="144"/>
      <c r="BJ66" s="145"/>
      <c r="BK66" s="134" t="s">
        <v>121</v>
      </c>
      <c r="BL66" s="107"/>
      <c r="BM66" s="107"/>
      <c r="BN66" s="107"/>
      <c r="BO66" s="107"/>
      <c r="BP66" s="107"/>
      <c r="BQ66" s="108"/>
      <c r="BR66" s="146"/>
      <c r="BS66" s="144"/>
      <c r="BT66" s="144"/>
      <c r="BU66" s="144"/>
      <c r="BV66" s="144"/>
      <c r="BW66" s="144"/>
      <c r="BX66" s="144"/>
      <c r="BY66" s="145"/>
      <c r="BZ66" s="3" t="s">
        <v>122</v>
      </c>
      <c r="CA66" s="3"/>
      <c r="CB66" s="3"/>
      <c r="CC66" s="3"/>
      <c r="CD66" s="3"/>
      <c r="CE66" s="3"/>
      <c r="CF66" s="9"/>
      <c r="CG66" s="9"/>
      <c r="CH66" s="9"/>
      <c r="CI66" s="9"/>
      <c r="CJ66" s="9"/>
      <c r="CK66" s="9"/>
      <c r="CL66" s="66"/>
      <c r="CM66" s="67"/>
      <c r="CN66" s="67"/>
      <c r="CO66" s="67"/>
      <c r="CP66" s="67"/>
      <c r="CQ66" s="67"/>
      <c r="CR66" s="53"/>
      <c r="CS66" s="53"/>
      <c r="CT66" s="53"/>
      <c r="CU66" s="53"/>
      <c r="CV66" s="53"/>
      <c r="CW66" s="53"/>
      <c r="CX66" s="53"/>
      <c r="CY66" s="53"/>
      <c r="CZ66" s="53"/>
      <c r="DA66" s="68"/>
      <c r="DB66" s="68"/>
    </row>
    <row r="67" spans="1:106" ht="7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106" t="s">
        <v>123</v>
      </c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8"/>
      <c r="V67" s="3"/>
      <c r="W67" s="3"/>
      <c r="X67" s="3"/>
      <c r="Y67" s="3"/>
      <c r="Z67" s="3"/>
      <c r="AA67" s="3"/>
      <c r="AB67" s="106" t="s">
        <v>51</v>
      </c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236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147" t="s">
        <v>123</v>
      </c>
      <c r="BC67" s="107"/>
      <c r="BD67" s="107"/>
      <c r="BE67" s="107"/>
      <c r="BF67" s="107"/>
      <c r="BG67" s="107"/>
      <c r="BH67" s="107"/>
      <c r="BI67" s="107"/>
      <c r="BJ67" s="108"/>
      <c r="BK67" s="3"/>
      <c r="BL67" s="3"/>
      <c r="BM67" s="3"/>
      <c r="BN67" s="3"/>
      <c r="BO67" s="3"/>
      <c r="BP67" s="3"/>
      <c r="BQ67" s="3"/>
      <c r="BR67" s="106" t="s">
        <v>51</v>
      </c>
      <c r="BS67" s="107"/>
      <c r="BT67" s="107"/>
      <c r="BU67" s="107"/>
      <c r="BV67" s="107"/>
      <c r="BW67" s="107"/>
      <c r="BX67" s="107"/>
      <c r="BY67" s="108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64"/>
      <c r="CM67" s="134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</row>
    <row r="68" spans="1:106" ht="9.75" customHeight="1" x14ac:dyDescent="0.3">
      <c r="A68" s="3"/>
      <c r="B68" s="3"/>
      <c r="C68" s="3"/>
      <c r="D68" s="3"/>
      <c r="E68" s="3"/>
      <c r="F68" s="143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5"/>
      <c r="AB68" s="3" t="s">
        <v>125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4"/>
      <c r="AP68" s="3" t="s">
        <v>124</v>
      </c>
      <c r="AQ68" s="2" t="s">
        <v>124</v>
      </c>
      <c r="AR68" s="3"/>
      <c r="AS68" s="3"/>
      <c r="AT68" s="3"/>
      <c r="AU68" s="3"/>
      <c r="AV68" s="3"/>
      <c r="AW68" s="3"/>
      <c r="AX68" s="3"/>
      <c r="AY68" s="143"/>
      <c r="AZ68" s="144"/>
      <c r="BA68" s="144"/>
      <c r="BB68" s="144"/>
      <c r="BC68" s="144"/>
      <c r="BD68" s="144"/>
      <c r="BE68" s="144"/>
      <c r="BF68" s="144"/>
      <c r="BG68" s="144"/>
      <c r="BH68" s="144"/>
      <c r="BI68" s="144"/>
      <c r="BJ68" s="145"/>
      <c r="BK68" s="134" t="s">
        <v>126</v>
      </c>
      <c r="BL68" s="107"/>
      <c r="BM68" s="107"/>
      <c r="BN68" s="107"/>
      <c r="BO68" s="107"/>
      <c r="BP68" s="107"/>
      <c r="BQ68" s="108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64"/>
      <c r="CM68" s="134" t="s">
        <v>127</v>
      </c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</row>
    <row r="69" spans="1:106" ht="7.5" customHeight="1" x14ac:dyDescent="0.3">
      <c r="A69" s="3"/>
      <c r="B69" s="3"/>
      <c r="C69" s="3"/>
      <c r="D69" s="3"/>
      <c r="E69" s="3"/>
      <c r="F69" s="147" t="s">
        <v>51</v>
      </c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8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4"/>
      <c r="AP69" s="3"/>
      <c r="AQ69" s="3"/>
      <c r="AR69" s="3"/>
      <c r="AS69" s="3"/>
      <c r="AT69" s="3"/>
      <c r="AU69" s="3"/>
      <c r="AV69" s="3"/>
      <c r="AW69" s="3"/>
      <c r="AX69" s="3"/>
      <c r="AY69" s="147" t="s">
        <v>51</v>
      </c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8"/>
      <c r="BK69" s="3"/>
      <c r="BL69" s="3"/>
      <c r="BM69" s="3"/>
      <c r="BN69" s="3"/>
      <c r="BO69" s="3"/>
      <c r="BP69" s="3"/>
      <c r="BQ69" s="3"/>
      <c r="BR69" s="3"/>
      <c r="BS69" s="3"/>
      <c r="BT69" s="120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246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68"/>
      <c r="DB69" s="68"/>
    </row>
    <row r="70" spans="1:106" ht="10.5" customHeight="1" x14ac:dyDescent="0.3">
      <c r="A70" s="3"/>
      <c r="B70" s="155" t="s">
        <v>67</v>
      </c>
      <c r="C70" s="144"/>
      <c r="D70" s="144"/>
      <c r="E70" s="144"/>
      <c r="F70" s="144"/>
      <c r="G70" s="144"/>
      <c r="H70" s="144"/>
      <c r="I70" s="145"/>
      <c r="J70" s="3"/>
      <c r="K70" s="53"/>
      <c r="L70" s="53"/>
      <c r="M70" s="53"/>
      <c r="N70" s="143"/>
      <c r="O70" s="144"/>
      <c r="P70" s="144"/>
      <c r="Q70" s="144"/>
      <c r="R70" s="144"/>
      <c r="S70" s="144"/>
      <c r="T70" s="144"/>
      <c r="U70" s="145"/>
      <c r="V70" s="3"/>
      <c r="W70" s="3"/>
      <c r="X70" s="143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242"/>
      <c r="AP70" s="3" t="s">
        <v>128</v>
      </c>
      <c r="AQ70" s="98" t="s">
        <v>128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53"/>
      <c r="BD70" s="53"/>
      <c r="BE70" s="53"/>
      <c r="BF70" s="53"/>
      <c r="BG70" s="53"/>
      <c r="BH70" s="53"/>
      <c r="BI70" s="53"/>
      <c r="BJ70" s="53"/>
      <c r="BK70" s="69"/>
      <c r="BL70" s="69"/>
      <c r="BM70" s="69"/>
      <c r="BN70" s="69"/>
      <c r="BO70" s="69"/>
      <c r="BP70" s="69"/>
      <c r="BQ70" s="69"/>
      <c r="BR70" s="3"/>
      <c r="BS70" s="3"/>
      <c r="BT70" s="123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247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68"/>
      <c r="DB70" s="68"/>
    </row>
    <row r="71" spans="1:106" ht="7.5" customHeight="1" x14ac:dyDescent="0.3">
      <c r="A71" s="3"/>
      <c r="B71" s="106" t="s">
        <v>70</v>
      </c>
      <c r="C71" s="107"/>
      <c r="D71" s="107"/>
      <c r="E71" s="107"/>
      <c r="F71" s="107"/>
      <c r="G71" s="107"/>
      <c r="H71" s="107"/>
      <c r="I71" s="108"/>
      <c r="J71" s="106" t="s">
        <v>71</v>
      </c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8"/>
      <c r="V71" s="106" t="s">
        <v>72</v>
      </c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236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106" t="s">
        <v>71</v>
      </c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8"/>
      <c r="BR71" s="106" t="s">
        <v>72</v>
      </c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236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68"/>
      <c r="DB71" s="68"/>
    </row>
    <row r="72" spans="1:106" ht="9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20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2"/>
      <c r="AG72" s="126" t="s">
        <v>129</v>
      </c>
      <c r="AH72" s="127"/>
      <c r="AI72" s="127"/>
      <c r="AJ72" s="127"/>
      <c r="AK72" s="127"/>
      <c r="AL72" s="127"/>
      <c r="AM72" s="127"/>
      <c r="AN72" s="127"/>
      <c r="AO72" s="128"/>
      <c r="AP72" s="134" t="s">
        <v>130</v>
      </c>
      <c r="AQ72" s="107"/>
      <c r="AR72" s="107"/>
      <c r="AS72" s="108"/>
      <c r="AT72" s="3"/>
      <c r="AU72" s="3"/>
      <c r="AV72" s="3"/>
      <c r="AW72" s="3"/>
      <c r="AX72" s="3"/>
      <c r="AY72" s="3"/>
      <c r="AZ72" s="3"/>
      <c r="BA72" s="3"/>
      <c r="BB72" s="3"/>
      <c r="BC72" s="53"/>
      <c r="BD72" s="53"/>
      <c r="BE72" s="53"/>
      <c r="BF72" s="53"/>
      <c r="BG72" s="53"/>
      <c r="BH72" s="53"/>
      <c r="BI72" s="53"/>
      <c r="BJ72" s="53"/>
      <c r="BK72" s="69"/>
      <c r="BL72" s="69"/>
      <c r="BM72" s="69"/>
      <c r="BN72" s="69"/>
      <c r="BO72" s="69"/>
      <c r="BP72" s="69"/>
      <c r="BQ72" s="69"/>
      <c r="BR72" s="3"/>
      <c r="BS72" s="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135" t="s">
        <v>129</v>
      </c>
      <c r="CG72" s="127"/>
      <c r="CH72" s="127"/>
      <c r="CI72" s="127"/>
      <c r="CJ72" s="127"/>
      <c r="CK72" s="127"/>
      <c r="CL72" s="128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68"/>
      <c r="DB72" s="68"/>
    </row>
    <row r="73" spans="1:106" ht="9" customHeight="1" x14ac:dyDescent="0.3">
      <c r="A73" s="3"/>
      <c r="B73" s="3"/>
      <c r="C73" s="3"/>
      <c r="D73" s="3"/>
      <c r="E73" s="3"/>
      <c r="F73" s="53"/>
      <c r="G73" s="53"/>
      <c r="H73" s="53"/>
      <c r="I73" s="53"/>
      <c r="J73" s="70"/>
      <c r="K73" s="70"/>
      <c r="L73" s="70"/>
      <c r="M73" s="70"/>
      <c r="N73" s="3"/>
      <c r="O73" s="3"/>
      <c r="P73" s="123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5"/>
      <c r="AG73" s="129"/>
      <c r="AH73" s="130"/>
      <c r="AI73" s="130"/>
      <c r="AJ73" s="130"/>
      <c r="AK73" s="130"/>
      <c r="AL73" s="130"/>
      <c r="AM73" s="130"/>
      <c r="AN73" s="130"/>
      <c r="AO73" s="131"/>
      <c r="AP73" s="3"/>
      <c r="AQ73" s="3"/>
      <c r="AR73" s="3"/>
      <c r="AS73" s="3"/>
      <c r="AT73" s="136" t="s">
        <v>70</v>
      </c>
      <c r="AU73" s="118"/>
      <c r="AV73" s="118"/>
      <c r="AW73" s="118"/>
      <c r="AX73" s="118"/>
      <c r="AY73" s="118"/>
      <c r="AZ73" s="118"/>
      <c r="BA73" s="119"/>
      <c r="BB73" s="106" t="s">
        <v>71</v>
      </c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8"/>
      <c r="BR73" s="106" t="s">
        <v>72</v>
      </c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8"/>
      <c r="CF73" s="129"/>
      <c r="CG73" s="130"/>
      <c r="CH73" s="130"/>
      <c r="CI73" s="130"/>
      <c r="CJ73" s="130"/>
      <c r="CK73" s="130"/>
      <c r="CL73" s="131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4"/>
      <c r="DB73" s="4"/>
    </row>
    <row r="74" spans="1:106" ht="9" customHeight="1" x14ac:dyDescent="0.3">
      <c r="A74" s="3"/>
      <c r="B74" s="3"/>
      <c r="C74" s="3"/>
      <c r="D74" s="3"/>
      <c r="E74" s="3"/>
      <c r="F74" s="106" t="s">
        <v>71</v>
      </c>
      <c r="G74" s="107"/>
      <c r="H74" s="107"/>
      <c r="I74" s="107"/>
      <c r="J74" s="107"/>
      <c r="K74" s="107"/>
      <c r="L74" s="107"/>
      <c r="M74" s="108"/>
      <c r="N74" s="106" t="s">
        <v>72</v>
      </c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8"/>
      <c r="AG74" s="132"/>
      <c r="AH74" s="115"/>
      <c r="AI74" s="115"/>
      <c r="AJ74" s="115"/>
      <c r="AK74" s="115"/>
      <c r="AL74" s="115"/>
      <c r="AM74" s="115"/>
      <c r="AN74" s="115"/>
      <c r="AO74" s="13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132"/>
      <c r="CG74" s="115"/>
      <c r="CH74" s="115"/>
      <c r="CI74" s="115"/>
      <c r="CJ74" s="115"/>
      <c r="CK74" s="115"/>
      <c r="CL74" s="13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4"/>
      <c r="DB74" s="4"/>
    </row>
    <row r="75" spans="1:106" ht="18.75" customHeight="1" x14ac:dyDescent="0.3">
      <c r="A75" s="109" t="s">
        <v>131</v>
      </c>
      <c r="B75" s="111" t="s">
        <v>132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3"/>
      <c r="T75" s="111" t="s">
        <v>133</v>
      </c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3"/>
      <c r="AN75" s="111" t="s">
        <v>134</v>
      </c>
      <c r="AO75" s="112"/>
      <c r="AP75" s="112"/>
      <c r="AQ75" s="112"/>
      <c r="AR75" s="112"/>
      <c r="AS75" s="112"/>
      <c r="AT75" s="112"/>
      <c r="AU75" s="113"/>
      <c r="AV75" s="117" t="s">
        <v>135</v>
      </c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9"/>
      <c r="BL75" s="137" t="s">
        <v>136</v>
      </c>
      <c r="BM75" s="118"/>
      <c r="BN75" s="118"/>
      <c r="BO75" s="118"/>
      <c r="BP75" s="118"/>
      <c r="BQ75" s="118"/>
      <c r="BR75" s="118"/>
      <c r="BS75" s="118"/>
      <c r="BT75" s="118"/>
      <c r="BU75" s="118"/>
      <c r="BV75" s="118"/>
      <c r="BW75" s="118"/>
      <c r="BX75" s="118"/>
      <c r="BY75" s="118"/>
      <c r="BZ75" s="118"/>
      <c r="CA75" s="118"/>
      <c r="CB75" s="118"/>
      <c r="CC75" s="118"/>
      <c r="CD75" s="118"/>
      <c r="CE75" s="118"/>
      <c r="CF75" s="118"/>
      <c r="CG75" s="119"/>
      <c r="CH75" s="111" t="s">
        <v>137</v>
      </c>
      <c r="CI75" s="112"/>
      <c r="CJ75" s="112"/>
      <c r="CK75" s="112"/>
      <c r="CL75" s="112"/>
      <c r="CM75" s="112"/>
      <c r="CN75" s="112"/>
      <c r="CO75" s="112"/>
      <c r="CP75" s="112"/>
      <c r="CQ75" s="112"/>
      <c r="CR75" s="112"/>
      <c r="CS75" s="112"/>
      <c r="CT75" s="113"/>
      <c r="CU75" s="111" t="s">
        <v>138</v>
      </c>
      <c r="CV75" s="112"/>
      <c r="CW75" s="112"/>
      <c r="CX75" s="112"/>
      <c r="CY75" s="112"/>
      <c r="CZ75" s="112"/>
      <c r="DA75" s="112"/>
      <c r="DB75" s="112"/>
    </row>
    <row r="76" spans="1:106" ht="10.5" customHeight="1" x14ac:dyDescent="0.3">
      <c r="A76" s="110"/>
      <c r="B76" s="114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6"/>
      <c r="T76" s="114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6"/>
      <c r="AN76" s="114"/>
      <c r="AO76" s="115"/>
      <c r="AP76" s="115"/>
      <c r="AQ76" s="115"/>
      <c r="AR76" s="115"/>
      <c r="AS76" s="115"/>
      <c r="AT76" s="115"/>
      <c r="AU76" s="116"/>
      <c r="AV76" s="138" t="s">
        <v>139</v>
      </c>
      <c r="AW76" s="139"/>
      <c r="AX76" s="139"/>
      <c r="AY76" s="139"/>
      <c r="AZ76" s="139"/>
      <c r="BA76" s="139"/>
      <c r="BB76" s="139"/>
      <c r="BC76" s="140"/>
      <c r="BD76" s="138" t="s">
        <v>140</v>
      </c>
      <c r="BE76" s="139"/>
      <c r="BF76" s="139"/>
      <c r="BG76" s="139"/>
      <c r="BH76" s="139"/>
      <c r="BI76" s="139"/>
      <c r="BJ76" s="139"/>
      <c r="BK76" s="140"/>
      <c r="BL76" s="138" t="s">
        <v>141</v>
      </c>
      <c r="BM76" s="139"/>
      <c r="BN76" s="139"/>
      <c r="BO76" s="139"/>
      <c r="BP76" s="139"/>
      <c r="BQ76" s="139"/>
      <c r="BR76" s="139"/>
      <c r="BS76" s="139"/>
      <c r="BT76" s="139"/>
      <c r="BU76" s="139"/>
      <c r="BV76" s="139"/>
      <c r="BW76" s="140"/>
      <c r="BX76" s="138" t="s">
        <v>142</v>
      </c>
      <c r="BY76" s="139"/>
      <c r="BZ76" s="139"/>
      <c r="CA76" s="139"/>
      <c r="CB76" s="139"/>
      <c r="CC76" s="139"/>
      <c r="CD76" s="139"/>
      <c r="CE76" s="139"/>
      <c r="CF76" s="139"/>
      <c r="CG76" s="141"/>
      <c r="CH76" s="114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6"/>
      <c r="CU76" s="114"/>
      <c r="CV76" s="115"/>
      <c r="CW76" s="115"/>
      <c r="CX76" s="115"/>
      <c r="CY76" s="115"/>
      <c r="CZ76" s="115"/>
      <c r="DA76" s="115"/>
      <c r="DB76" s="115"/>
    </row>
    <row r="77" spans="1:106" ht="9" customHeight="1" x14ac:dyDescent="0.3">
      <c r="A77" s="71" t="s">
        <v>37</v>
      </c>
      <c r="B77" s="245" t="s">
        <v>38</v>
      </c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5"/>
      <c r="T77" s="245" t="s">
        <v>39</v>
      </c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5"/>
      <c r="AN77" s="245" t="s">
        <v>143</v>
      </c>
      <c r="AO77" s="144"/>
      <c r="AP77" s="144"/>
      <c r="AQ77" s="144"/>
      <c r="AR77" s="144"/>
      <c r="AS77" s="144"/>
      <c r="AT77" s="144"/>
      <c r="AU77" s="145"/>
      <c r="AV77" s="245" t="s">
        <v>144</v>
      </c>
      <c r="AW77" s="144"/>
      <c r="AX77" s="144"/>
      <c r="AY77" s="144"/>
      <c r="AZ77" s="144"/>
      <c r="BA77" s="144"/>
      <c r="BB77" s="144"/>
      <c r="BC77" s="242"/>
      <c r="BD77" s="245" t="s">
        <v>145</v>
      </c>
      <c r="BE77" s="144"/>
      <c r="BF77" s="144"/>
      <c r="BG77" s="144"/>
      <c r="BH77" s="144"/>
      <c r="BI77" s="144"/>
      <c r="BJ77" s="144"/>
      <c r="BK77" s="242"/>
      <c r="BL77" s="245" t="s">
        <v>146</v>
      </c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242"/>
      <c r="BX77" s="245" t="s">
        <v>147</v>
      </c>
      <c r="BY77" s="144"/>
      <c r="BZ77" s="144"/>
      <c r="CA77" s="144"/>
      <c r="CB77" s="144"/>
      <c r="CC77" s="144"/>
      <c r="CD77" s="144"/>
      <c r="CE77" s="144"/>
      <c r="CF77" s="144"/>
      <c r="CG77" s="145"/>
      <c r="CH77" s="245" t="s">
        <v>148</v>
      </c>
      <c r="CI77" s="144"/>
      <c r="CJ77" s="144"/>
      <c r="CK77" s="144"/>
      <c r="CL77" s="144"/>
      <c r="CM77" s="144"/>
      <c r="CN77" s="144"/>
      <c r="CO77" s="144"/>
      <c r="CP77" s="144"/>
      <c r="CQ77" s="144"/>
      <c r="CR77" s="144"/>
      <c r="CS77" s="144"/>
      <c r="CT77" s="145"/>
      <c r="CU77" s="245" t="s">
        <v>149</v>
      </c>
      <c r="CV77" s="144"/>
      <c r="CW77" s="144"/>
      <c r="CX77" s="144"/>
      <c r="CY77" s="144"/>
      <c r="CZ77" s="144"/>
      <c r="DA77" s="144"/>
      <c r="DB77" s="144"/>
    </row>
    <row r="78" spans="1:106" ht="9" customHeight="1" x14ac:dyDescent="0.3">
      <c r="A78" s="72" t="s">
        <v>150</v>
      </c>
      <c r="B78" s="7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7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73"/>
      <c r="AO78" s="53"/>
      <c r="AP78" s="53"/>
      <c r="AQ78" s="53"/>
      <c r="AR78" s="53"/>
      <c r="AS78" s="53"/>
      <c r="AT78" s="53"/>
      <c r="AU78" s="53"/>
      <c r="AV78" s="73"/>
      <c r="AW78" s="53"/>
      <c r="AX78" s="53"/>
      <c r="AY78" s="53"/>
      <c r="AZ78" s="53"/>
      <c r="BA78" s="53"/>
      <c r="BB78" s="53"/>
      <c r="BC78" s="74"/>
      <c r="BD78" s="75"/>
      <c r="BE78" s="29"/>
      <c r="BF78" s="29"/>
      <c r="BG78" s="29"/>
      <c r="BH78" s="29"/>
      <c r="BI78" s="29"/>
      <c r="BJ78" s="29"/>
      <c r="BK78" s="76"/>
      <c r="BL78" s="28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76"/>
      <c r="BX78" s="28"/>
      <c r="BY78" s="29"/>
      <c r="BZ78" s="29"/>
      <c r="CA78" s="29"/>
      <c r="CB78" s="29"/>
      <c r="CC78" s="29"/>
      <c r="CD78" s="29"/>
      <c r="CE78" s="29"/>
      <c r="CF78" s="29"/>
      <c r="CG78" s="29"/>
      <c r="CH78" s="28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77"/>
      <c r="CU78" s="73"/>
      <c r="CV78" s="53"/>
      <c r="CW78" s="53"/>
      <c r="CX78" s="53"/>
      <c r="CY78" s="53"/>
      <c r="CZ78" s="53"/>
      <c r="DA78" s="68"/>
      <c r="DB78" s="68"/>
    </row>
    <row r="79" spans="1:106" ht="9" customHeight="1" x14ac:dyDescent="0.3">
      <c r="A79" s="72" t="s">
        <v>151</v>
      </c>
      <c r="B79" s="7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7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73"/>
      <c r="AO79" s="53"/>
      <c r="AP79" s="53"/>
      <c r="AQ79" s="53"/>
      <c r="AR79" s="53"/>
      <c r="AS79" s="53"/>
      <c r="AT79" s="53"/>
      <c r="AU79" s="53"/>
      <c r="AV79" s="73"/>
      <c r="AW79" s="53"/>
      <c r="AX79" s="53"/>
      <c r="AY79" s="53"/>
      <c r="AZ79" s="53"/>
      <c r="BA79" s="53"/>
      <c r="BB79" s="53"/>
      <c r="BC79" s="74"/>
      <c r="BD79" s="59"/>
      <c r="BE79" s="60"/>
      <c r="BF79" s="60"/>
      <c r="BG79" s="60"/>
      <c r="BH79" s="60"/>
      <c r="BI79" s="60"/>
      <c r="BJ79" s="60"/>
      <c r="BK79" s="78"/>
      <c r="BL79" s="79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78"/>
      <c r="BX79" s="79"/>
      <c r="BY79" s="60"/>
      <c r="BZ79" s="60"/>
      <c r="CA79" s="60"/>
      <c r="CB79" s="60"/>
      <c r="CC79" s="60"/>
      <c r="CD79" s="60"/>
      <c r="CE79" s="60"/>
      <c r="CF79" s="60"/>
      <c r="CG79" s="60"/>
      <c r="CH79" s="79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1"/>
      <c r="CU79" s="73"/>
      <c r="CV79" s="53"/>
      <c r="CW79" s="53"/>
      <c r="CX79" s="53"/>
      <c r="CY79" s="53"/>
      <c r="CZ79" s="53"/>
      <c r="DA79" s="68"/>
      <c r="DB79" s="68"/>
    </row>
    <row r="80" spans="1:106" ht="0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4"/>
      <c r="DB80" s="4"/>
    </row>
    <row r="81" spans="1:106" ht="10.5" customHeight="1" x14ac:dyDescent="0.3">
      <c r="A81" s="226" t="s">
        <v>152</v>
      </c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A81" s="107"/>
      <c r="DB81" s="107"/>
    </row>
    <row r="82" spans="1:106" ht="10.5" customHeight="1" x14ac:dyDescent="0.3">
      <c r="A82" s="137" t="s">
        <v>153</v>
      </c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234"/>
      <c r="AF82" s="137" t="s">
        <v>154</v>
      </c>
      <c r="AG82" s="118"/>
      <c r="AH82" s="118"/>
      <c r="AI82" s="118"/>
      <c r="AJ82" s="118"/>
      <c r="AK82" s="118"/>
      <c r="AL82" s="118"/>
      <c r="AM82" s="118"/>
      <c r="AN82" s="234"/>
      <c r="AO82" s="137" t="s">
        <v>155</v>
      </c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234"/>
      <c r="BA82" s="111" t="s">
        <v>156</v>
      </c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239"/>
      <c r="BN82" s="137" t="s">
        <v>157</v>
      </c>
      <c r="BO82" s="118"/>
      <c r="BP82" s="118"/>
      <c r="BQ82" s="118"/>
      <c r="BR82" s="118"/>
      <c r="BS82" s="118"/>
      <c r="BT82" s="118"/>
      <c r="BU82" s="118"/>
      <c r="BV82" s="118"/>
      <c r="BW82" s="118"/>
      <c r="BX82" s="118"/>
      <c r="BY82" s="118"/>
      <c r="BZ82" s="118"/>
      <c r="CA82" s="234"/>
      <c r="CB82" s="137" t="s">
        <v>158</v>
      </c>
      <c r="CC82" s="118"/>
      <c r="CD82" s="118"/>
      <c r="CE82" s="118"/>
      <c r="CF82" s="118"/>
      <c r="CG82" s="118"/>
      <c r="CH82" s="118"/>
      <c r="CI82" s="118"/>
      <c r="CJ82" s="118"/>
      <c r="CK82" s="118"/>
      <c r="CL82" s="118"/>
      <c r="CM82" s="118"/>
      <c r="CN82" s="118"/>
      <c r="CO82" s="234"/>
      <c r="CP82" s="233" t="s">
        <v>159</v>
      </c>
      <c r="CQ82" s="107"/>
      <c r="CR82" s="107"/>
      <c r="CS82" s="107"/>
      <c r="CT82" s="107"/>
      <c r="CU82" s="108"/>
      <c r="CV82" s="53"/>
      <c r="CW82" s="53"/>
      <c r="CX82" s="53"/>
      <c r="CY82" s="53"/>
      <c r="CZ82" s="53"/>
      <c r="DA82" s="68"/>
      <c r="DB82" s="68"/>
    </row>
    <row r="83" spans="1:106" ht="16.5" customHeight="1" x14ac:dyDescent="0.3">
      <c r="A83" s="208" t="s">
        <v>160</v>
      </c>
      <c r="B83" s="139"/>
      <c r="C83" s="140"/>
      <c r="D83" s="208" t="s">
        <v>161</v>
      </c>
      <c r="E83" s="139"/>
      <c r="F83" s="139"/>
      <c r="G83" s="140"/>
      <c r="H83" s="208" t="s">
        <v>162</v>
      </c>
      <c r="I83" s="139"/>
      <c r="J83" s="139"/>
      <c r="K83" s="139"/>
      <c r="L83" s="139"/>
      <c r="M83" s="139"/>
      <c r="N83" s="139"/>
      <c r="O83" s="139"/>
      <c r="P83" s="139"/>
      <c r="Q83" s="140"/>
      <c r="R83" s="208" t="s">
        <v>163</v>
      </c>
      <c r="S83" s="139"/>
      <c r="T83" s="139"/>
      <c r="U83" s="139"/>
      <c r="V83" s="139"/>
      <c r="W83" s="139"/>
      <c r="X83" s="139"/>
      <c r="Y83" s="140"/>
      <c r="Z83" s="208" t="s">
        <v>164</v>
      </c>
      <c r="AA83" s="139"/>
      <c r="AB83" s="139"/>
      <c r="AC83" s="139"/>
      <c r="AD83" s="139"/>
      <c r="AE83" s="140"/>
      <c r="AF83" s="241" t="s">
        <v>165</v>
      </c>
      <c r="AG83" s="144"/>
      <c r="AH83" s="144"/>
      <c r="AI83" s="144"/>
      <c r="AJ83" s="144"/>
      <c r="AK83" s="144"/>
      <c r="AL83" s="144"/>
      <c r="AM83" s="144"/>
      <c r="AN83" s="242"/>
      <c r="AO83" s="208" t="s">
        <v>166</v>
      </c>
      <c r="AP83" s="139"/>
      <c r="AQ83" s="139"/>
      <c r="AR83" s="140"/>
      <c r="AS83" s="208" t="s">
        <v>167</v>
      </c>
      <c r="AT83" s="139"/>
      <c r="AU83" s="139"/>
      <c r="AV83" s="139"/>
      <c r="AW83" s="139"/>
      <c r="AX83" s="139"/>
      <c r="AY83" s="139"/>
      <c r="AZ83" s="140"/>
      <c r="BA83" s="240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3"/>
      <c r="BN83" s="208" t="s">
        <v>168</v>
      </c>
      <c r="BO83" s="139"/>
      <c r="BP83" s="139"/>
      <c r="BQ83" s="139"/>
      <c r="BR83" s="139"/>
      <c r="BS83" s="139"/>
      <c r="BT83" s="139"/>
      <c r="BU83" s="140"/>
      <c r="BV83" s="208" t="s">
        <v>169</v>
      </c>
      <c r="BW83" s="139"/>
      <c r="BX83" s="139"/>
      <c r="BY83" s="139"/>
      <c r="BZ83" s="139"/>
      <c r="CA83" s="140"/>
      <c r="CB83" s="208" t="s">
        <v>170</v>
      </c>
      <c r="CC83" s="139"/>
      <c r="CD83" s="139"/>
      <c r="CE83" s="139"/>
      <c r="CF83" s="139"/>
      <c r="CG83" s="139"/>
      <c r="CH83" s="140"/>
      <c r="CI83" s="208" t="s">
        <v>171</v>
      </c>
      <c r="CJ83" s="139"/>
      <c r="CK83" s="139"/>
      <c r="CL83" s="139"/>
      <c r="CM83" s="139"/>
      <c r="CN83" s="139"/>
      <c r="CO83" s="140"/>
      <c r="CP83" s="7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68"/>
      <c r="DB83" s="68"/>
    </row>
    <row r="84" spans="1:106" ht="9" customHeight="1" x14ac:dyDescent="0.3">
      <c r="A84" s="227" t="s">
        <v>172</v>
      </c>
      <c r="B84" s="139"/>
      <c r="C84" s="140"/>
      <c r="D84" s="227" t="s">
        <v>173</v>
      </c>
      <c r="E84" s="139"/>
      <c r="F84" s="139"/>
      <c r="G84" s="140"/>
      <c r="H84" s="227" t="s">
        <v>174</v>
      </c>
      <c r="I84" s="139"/>
      <c r="J84" s="139"/>
      <c r="K84" s="139"/>
      <c r="L84" s="139"/>
      <c r="M84" s="139"/>
      <c r="N84" s="139"/>
      <c r="O84" s="139"/>
      <c r="P84" s="139"/>
      <c r="Q84" s="140"/>
      <c r="R84" s="227" t="s">
        <v>175</v>
      </c>
      <c r="S84" s="139"/>
      <c r="T84" s="139"/>
      <c r="U84" s="139"/>
      <c r="V84" s="139"/>
      <c r="W84" s="139"/>
      <c r="X84" s="139"/>
      <c r="Y84" s="140"/>
      <c r="Z84" s="227" t="s">
        <v>176</v>
      </c>
      <c r="AA84" s="139"/>
      <c r="AB84" s="139"/>
      <c r="AC84" s="139"/>
      <c r="AD84" s="139"/>
      <c r="AE84" s="140"/>
      <c r="AF84" s="227" t="s">
        <v>177</v>
      </c>
      <c r="AG84" s="139"/>
      <c r="AH84" s="139"/>
      <c r="AI84" s="139"/>
      <c r="AJ84" s="139"/>
      <c r="AK84" s="139"/>
      <c r="AL84" s="139"/>
      <c r="AM84" s="139"/>
      <c r="AN84" s="140"/>
      <c r="AO84" s="227" t="s">
        <v>178</v>
      </c>
      <c r="AP84" s="139"/>
      <c r="AQ84" s="139"/>
      <c r="AR84" s="140"/>
      <c r="AS84" s="227" t="s">
        <v>179</v>
      </c>
      <c r="AT84" s="139"/>
      <c r="AU84" s="139"/>
      <c r="AV84" s="139"/>
      <c r="AW84" s="139"/>
      <c r="AX84" s="139"/>
      <c r="AY84" s="139"/>
      <c r="AZ84" s="140"/>
      <c r="BA84" s="227" t="s">
        <v>180</v>
      </c>
      <c r="BB84" s="139"/>
      <c r="BC84" s="139"/>
      <c r="BD84" s="139"/>
      <c r="BE84" s="139"/>
      <c r="BF84" s="139"/>
      <c r="BG84" s="139"/>
      <c r="BH84" s="139"/>
      <c r="BI84" s="139"/>
      <c r="BJ84" s="139"/>
      <c r="BK84" s="139"/>
      <c r="BL84" s="139"/>
      <c r="BM84" s="140"/>
      <c r="BN84" s="227" t="s">
        <v>181</v>
      </c>
      <c r="BO84" s="139"/>
      <c r="BP84" s="139"/>
      <c r="BQ84" s="139"/>
      <c r="BR84" s="139"/>
      <c r="BS84" s="139"/>
      <c r="BT84" s="139"/>
      <c r="BU84" s="140"/>
      <c r="BV84" s="227" t="s">
        <v>182</v>
      </c>
      <c r="BW84" s="139"/>
      <c r="BX84" s="139"/>
      <c r="BY84" s="139"/>
      <c r="BZ84" s="139"/>
      <c r="CA84" s="140"/>
      <c r="CB84" s="227" t="s">
        <v>183</v>
      </c>
      <c r="CC84" s="139"/>
      <c r="CD84" s="139"/>
      <c r="CE84" s="139"/>
      <c r="CF84" s="139"/>
      <c r="CG84" s="139"/>
      <c r="CH84" s="140"/>
      <c r="CI84" s="227" t="s">
        <v>184</v>
      </c>
      <c r="CJ84" s="139"/>
      <c r="CK84" s="139"/>
      <c r="CL84" s="139"/>
      <c r="CM84" s="139"/>
      <c r="CN84" s="139"/>
      <c r="CO84" s="140"/>
      <c r="CP84" s="80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2"/>
      <c r="DB84" s="82"/>
    </row>
    <row r="85" spans="1:106" ht="9.75" customHeight="1" x14ac:dyDescent="0.3">
      <c r="A85" s="83"/>
      <c r="B85" s="84"/>
      <c r="C85" s="85"/>
      <c r="D85" s="86"/>
      <c r="E85" s="84"/>
      <c r="F85" s="84"/>
      <c r="G85" s="85"/>
      <c r="H85" s="86"/>
      <c r="I85" s="84"/>
      <c r="J85" s="84"/>
      <c r="K85" s="84"/>
      <c r="L85" s="84"/>
      <c r="M85" s="84"/>
      <c r="N85" s="84"/>
      <c r="O85" s="84"/>
      <c r="P85" s="84"/>
      <c r="Q85" s="85"/>
      <c r="R85" s="86"/>
      <c r="S85" s="84"/>
      <c r="T85" s="84"/>
      <c r="U85" s="84"/>
      <c r="V85" s="84"/>
      <c r="W85" s="84"/>
      <c r="X85" s="84"/>
      <c r="Y85" s="85"/>
      <c r="Z85" s="86"/>
      <c r="AA85" s="84"/>
      <c r="AB85" s="84"/>
      <c r="AC85" s="84"/>
      <c r="AD85" s="84"/>
      <c r="AE85" s="85"/>
      <c r="AF85" s="86"/>
      <c r="AG85" s="84"/>
      <c r="AH85" s="84"/>
      <c r="AI85" s="84"/>
      <c r="AJ85" s="84"/>
      <c r="AK85" s="84"/>
      <c r="AL85" s="84"/>
      <c r="AM85" s="84"/>
      <c r="AN85" s="85"/>
      <c r="AO85" s="86"/>
      <c r="AP85" s="84"/>
      <c r="AQ85" s="84"/>
      <c r="AR85" s="85"/>
      <c r="AS85" s="86"/>
      <c r="AT85" s="84"/>
      <c r="AU85" s="84"/>
      <c r="AV85" s="84"/>
      <c r="AW85" s="84"/>
      <c r="AX85" s="84"/>
      <c r="AY85" s="84"/>
      <c r="AZ85" s="85"/>
      <c r="BA85" s="243"/>
      <c r="BB85" s="224"/>
      <c r="BC85" s="224"/>
      <c r="BD85" s="224"/>
      <c r="BE85" s="224"/>
      <c r="BF85" s="224"/>
      <c r="BG85" s="224"/>
      <c r="BH85" s="224"/>
      <c r="BI85" s="224"/>
      <c r="BJ85" s="224"/>
      <c r="BK85" s="224"/>
      <c r="BL85" s="224"/>
      <c r="BM85" s="225"/>
      <c r="BN85" s="86"/>
      <c r="BO85" s="84"/>
      <c r="BP85" s="84"/>
      <c r="BQ85" s="84"/>
      <c r="BR85" s="84"/>
      <c r="BS85" s="84"/>
      <c r="BT85" s="84"/>
      <c r="BU85" s="85"/>
      <c r="BV85" s="86"/>
      <c r="BW85" s="84"/>
      <c r="BX85" s="84"/>
      <c r="BY85" s="84"/>
      <c r="BZ85" s="84"/>
      <c r="CA85" s="85"/>
      <c r="CB85" s="86"/>
      <c r="CC85" s="84"/>
      <c r="CD85" s="84"/>
      <c r="CE85" s="84"/>
      <c r="CF85" s="84"/>
      <c r="CG85" s="84"/>
      <c r="CH85" s="85"/>
      <c r="CI85" s="86"/>
      <c r="CJ85" s="84"/>
      <c r="CK85" s="84"/>
      <c r="CL85" s="84"/>
      <c r="CM85" s="84"/>
      <c r="CN85" s="84"/>
      <c r="CO85" s="87"/>
      <c r="CP85" s="7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68"/>
      <c r="DB85" s="68"/>
    </row>
    <row r="86" spans="1:106" ht="9.75" customHeight="1" x14ac:dyDescent="0.3">
      <c r="A86" s="232" t="s">
        <v>185</v>
      </c>
      <c r="B86" s="127"/>
      <c r="C86" s="127"/>
      <c r="D86" s="127"/>
      <c r="E86" s="127"/>
      <c r="F86" s="127"/>
      <c r="G86" s="128"/>
      <c r="H86" s="232" t="s">
        <v>186</v>
      </c>
      <c r="I86" s="127"/>
      <c r="J86" s="127"/>
      <c r="K86" s="127"/>
      <c r="L86" s="127"/>
      <c r="M86" s="127"/>
      <c r="N86" s="127"/>
      <c r="O86" s="127"/>
      <c r="P86" s="127"/>
      <c r="Q86" s="128"/>
      <c r="R86" s="232" t="s">
        <v>187</v>
      </c>
      <c r="S86" s="127"/>
      <c r="T86" s="127"/>
      <c r="U86" s="127"/>
      <c r="V86" s="127"/>
      <c r="W86" s="127"/>
      <c r="X86" s="127"/>
      <c r="Y86" s="128"/>
      <c r="Z86" s="232" t="s">
        <v>188</v>
      </c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8"/>
      <c r="AO86" s="232" t="s">
        <v>189</v>
      </c>
      <c r="AP86" s="127"/>
      <c r="AQ86" s="127"/>
      <c r="AR86" s="128"/>
      <c r="AS86" s="232" t="s">
        <v>190</v>
      </c>
      <c r="AT86" s="127"/>
      <c r="AU86" s="127"/>
      <c r="AV86" s="127"/>
      <c r="AW86" s="127"/>
      <c r="AX86" s="127"/>
      <c r="AY86" s="127"/>
      <c r="AZ86" s="128"/>
      <c r="BA86" s="235" t="s">
        <v>191</v>
      </c>
      <c r="BB86" s="107"/>
      <c r="BC86" s="107"/>
      <c r="BD86" s="107"/>
      <c r="BE86" s="107"/>
      <c r="BF86" s="107"/>
      <c r="BG86" s="107"/>
      <c r="BH86" s="107"/>
      <c r="BI86" s="107"/>
      <c r="BJ86" s="107"/>
      <c r="BK86" s="107"/>
      <c r="BL86" s="107"/>
      <c r="BM86" s="236"/>
      <c r="BN86" s="232" t="s">
        <v>192</v>
      </c>
      <c r="BO86" s="127"/>
      <c r="BP86" s="127"/>
      <c r="BQ86" s="127"/>
      <c r="BR86" s="127"/>
      <c r="BS86" s="127"/>
      <c r="BT86" s="127"/>
      <c r="BU86" s="128"/>
      <c r="BV86" s="232" t="s">
        <v>193</v>
      </c>
      <c r="BW86" s="127"/>
      <c r="BX86" s="127"/>
      <c r="BY86" s="127"/>
      <c r="BZ86" s="127"/>
      <c r="CA86" s="128"/>
      <c r="CB86" s="232" t="s">
        <v>194</v>
      </c>
      <c r="CC86" s="127"/>
      <c r="CD86" s="127"/>
      <c r="CE86" s="127"/>
      <c r="CF86" s="127"/>
      <c r="CG86" s="127"/>
      <c r="CH86" s="128"/>
      <c r="CI86" s="232" t="s">
        <v>195</v>
      </c>
      <c r="CJ86" s="127"/>
      <c r="CK86" s="127"/>
      <c r="CL86" s="127"/>
      <c r="CM86" s="127"/>
      <c r="CN86" s="127"/>
      <c r="CO86" s="128"/>
      <c r="CP86" s="88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4"/>
      <c r="DB86" s="4"/>
    </row>
    <row r="87" spans="1:106" ht="16.5" customHeight="1" x14ac:dyDescent="0.3">
      <c r="A87" s="114"/>
      <c r="B87" s="115"/>
      <c r="C87" s="115"/>
      <c r="D87" s="115"/>
      <c r="E87" s="115"/>
      <c r="F87" s="115"/>
      <c r="G87" s="133"/>
      <c r="H87" s="114"/>
      <c r="I87" s="115"/>
      <c r="J87" s="115"/>
      <c r="K87" s="115"/>
      <c r="L87" s="115"/>
      <c r="M87" s="115"/>
      <c r="N87" s="115"/>
      <c r="O87" s="115"/>
      <c r="P87" s="115"/>
      <c r="Q87" s="133"/>
      <c r="R87" s="114"/>
      <c r="S87" s="115"/>
      <c r="T87" s="115"/>
      <c r="U87" s="115"/>
      <c r="V87" s="115"/>
      <c r="W87" s="115"/>
      <c r="X87" s="115"/>
      <c r="Y87" s="133"/>
      <c r="Z87" s="114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33"/>
      <c r="AO87" s="114"/>
      <c r="AP87" s="115"/>
      <c r="AQ87" s="115"/>
      <c r="AR87" s="133"/>
      <c r="AS87" s="114"/>
      <c r="AT87" s="115"/>
      <c r="AU87" s="115"/>
      <c r="AV87" s="115"/>
      <c r="AW87" s="115"/>
      <c r="AX87" s="115"/>
      <c r="AY87" s="115"/>
      <c r="AZ87" s="133"/>
      <c r="BA87" s="137" t="s">
        <v>196</v>
      </c>
      <c r="BB87" s="118"/>
      <c r="BC87" s="118"/>
      <c r="BD87" s="118"/>
      <c r="BE87" s="118"/>
      <c r="BF87" s="118"/>
      <c r="BG87" s="234"/>
      <c r="BH87" s="137" t="s">
        <v>197</v>
      </c>
      <c r="BI87" s="118"/>
      <c r="BJ87" s="118"/>
      <c r="BK87" s="118"/>
      <c r="BL87" s="118"/>
      <c r="BM87" s="234"/>
      <c r="BN87" s="114"/>
      <c r="BO87" s="115"/>
      <c r="BP87" s="115"/>
      <c r="BQ87" s="115"/>
      <c r="BR87" s="115"/>
      <c r="BS87" s="115"/>
      <c r="BT87" s="115"/>
      <c r="BU87" s="133"/>
      <c r="BV87" s="114"/>
      <c r="BW87" s="115"/>
      <c r="BX87" s="115"/>
      <c r="BY87" s="115"/>
      <c r="BZ87" s="115"/>
      <c r="CA87" s="133"/>
      <c r="CB87" s="114"/>
      <c r="CC87" s="115"/>
      <c r="CD87" s="115"/>
      <c r="CE87" s="115"/>
      <c r="CF87" s="115"/>
      <c r="CG87" s="115"/>
      <c r="CH87" s="133"/>
      <c r="CI87" s="114"/>
      <c r="CJ87" s="115"/>
      <c r="CK87" s="115"/>
      <c r="CL87" s="115"/>
      <c r="CM87" s="115"/>
      <c r="CN87" s="115"/>
      <c r="CO87" s="133"/>
      <c r="CP87" s="233" t="s">
        <v>198</v>
      </c>
      <c r="CQ87" s="107"/>
      <c r="CR87" s="107"/>
      <c r="CS87" s="107"/>
      <c r="CT87" s="107"/>
      <c r="CU87" s="107"/>
      <c r="CV87" s="107"/>
      <c r="CW87" s="107"/>
      <c r="CX87" s="107"/>
      <c r="CY87" s="107"/>
      <c r="CZ87" s="107"/>
      <c r="DA87" s="107"/>
      <c r="DB87" s="107"/>
    </row>
    <row r="88" spans="1:106" ht="9" customHeight="1" x14ac:dyDescent="0.3">
      <c r="A88" s="89"/>
      <c r="B88" s="90"/>
      <c r="C88" s="90"/>
      <c r="D88" s="90"/>
      <c r="E88" s="90"/>
      <c r="F88" s="90"/>
      <c r="G88" s="90"/>
      <c r="H88" s="227" t="s">
        <v>199</v>
      </c>
      <c r="I88" s="139"/>
      <c r="J88" s="139"/>
      <c r="K88" s="139"/>
      <c r="L88" s="139"/>
      <c r="M88" s="139"/>
      <c r="N88" s="139"/>
      <c r="O88" s="139"/>
      <c r="P88" s="139"/>
      <c r="Q88" s="140"/>
      <c r="R88" s="227" t="s">
        <v>200</v>
      </c>
      <c r="S88" s="139"/>
      <c r="T88" s="139"/>
      <c r="U88" s="139"/>
      <c r="V88" s="139"/>
      <c r="W88" s="139"/>
      <c r="X88" s="139"/>
      <c r="Y88" s="140"/>
      <c r="Z88" s="227" t="s">
        <v>201</v>
      </c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40"/>
      <c r="AO88" s="227" t="s">
        <v>202</v>
      </c>
      <c r="AP88" s="139"/>
      <c r="AQ88" s="139"/>
      <c r="AR88" s="140"/>
      <c r="AS88" s="227" t="s">
        <v>203</v>
      </c>
      <c r="AT88" s="139"/>
      <c r="AU88" s="139"/>
      <c r="AV88" s="139"/>
      <c r="AW88" s="139"/>
      <c r="AX88" s="139"/>
      <c r="AY88" s="139"/>
      <c r="AZ88" s="140"/>
      <c r="BA88" s="227" t="s">
        <v>204</v>
      </c>
      <c r="BB88" s="139"/>
      <c r="BC88" s="139"/>
      <c r="BD88" s="139"/>
      <c r="BE88" s="139"/>
      <c r="BF88" s="139"/>
      <c r="BG88" s="140"/>
      <c r="BH88" s="227" t="s">
        <v>205</v>
      </c>
      <c r="BI88" s="139"/>
      <c r="BJ88" s="139"/>
      <c r="BK88" s="139"/>
      <c r="BL88" s="139"/>
      <c r="BM88" s="140"/>
      <c r="BN88" s="227" t="s">
        <v>206</v>
      </c>
      <c r="BO88" s="139"/>
      <c r="BP88" s="139"/>
      <c r="BQ88" s="139"/>
      <c r="BR88" s="139"/>
      <c r="BS88" s="139"/>
      <c r="BT88" s="139"/>
      <c r="BU88" s="140"/>
      <c r="BV88" s="227" t="s">
        <v>207</v>
      </c>
      <c r="BW88" s="139"/>
      <c r="BX88" s="139"/>
      <c r="BY88" s="139"/>
      <c r="BZ88" s="139"/>
      <c r="CA88" s="140"/>
      <c r="CB88" s="227" t="s">
        <v>208</v>
      </c>
      <c r="CC88" s="139"/>
      <c r="CD88" s="139"/>
      <c r="CE88" s="139"/>
      <c r="CF88" s="139"/>
      <c r="CG88" s="139"/>
      <c r="CH88" s="140"/>
      <c r="CI88" s="227" t="s">
        <v>209</v>
      </c>
      <c r="CJ88" s="139"/>
      <c r="CK88" s="139"/>
      <c r="CL88" s="139"/>
      <c r="CM88" s="139"/>
      <c r="CN88" s="139"/>
      <c r="CO88" s="140"/>
      <c r="CP88" s="88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4"/>
      <c r="DB88" s="4"/>
    </row>
    <row r="89" spans="1:106" ht="9" customHeight="1" x14ac:dyDescent="0.3">
      <c r="A89" s="238" t="s">
        <v>210</v>
      </c>
      <c r="B89" s="118"/>
      <c r="C89" s="118"/>
      <c r="D89" s="118"/>
      <c r="E89" s="118"/>
      <c r="F89" s="118"/>
      <c r="G89" s="119"/>
      <c r="H89" s="75"/>
      <c r="I89" s="29"/>
      <c r="J89" s="29"/>
      <c r="K89" s="29"/>
      <c r="L89" s="29"/>
      <c r="M89" s="29"/>
      <c r="N89" s="29"/>
      <c r="O89" s="29"/>
      <c r="P89" s="29"/>
      <c r="Q89" s="76"/>
      <c r="R89" s="28"/>
      <c r="S89" s="29"/>
      <c r="T89" s="29"/>
      <c r="U89" s="29"/>
      <c r="V89" s="29"/>
      <c r="W89" s="29"/>
      <c r="X89" s="29"/>
      <c r="Y89" s="76"/>
      <c r="Z89" s="237"/>
      <c r="AA89" s="178"/>
      <c r="AB89" s="178"/>
      <c r="AC89" s="178"/>
      <c r="AD89" s="178"/>
      <c r="AE89" s="178"/>
      <c r="AF89" s="178"/>
      <c r="AG89" s="178"/>
      <c r="AH89" s="178"/>
      <c r="AI89" s="178"/>
      <c r="AJ89" s="178"/>
      <c r="AK89" s="178"/>
      <c r="AL89" s="178"/>
      <c r="AM89" s="178"/>
      <c r="AN89" s="179"/>
      <c r="AO89" s="28"/>
      <c r="AP89" s="29"/>
      <c r="AQ89" s="29"/>
      <c r="AR89" s="76"/>
      <c r="AS89" s="28"/>
      <c r="AT89" s="29"/>
      <c r="AU89" s="29"/>
      <c r="AV89" s="29"/>
      <c r="AW89" s="29"/>
      <c r="AX89" s="29"/>
      <c r="AY89" s="29"/>
      <c r="AZ89" s="76"/>
      <c r="BA89" s="28"/>
      <c r="BB89" s="29"/>
      <c r="BC89" s="29"/>
      <c r="BD89" s="29"/>
      <c r="BE89" s="29"/>
      <c r="BF89" s="29"/>
      <c r="BG89" s="76"/>
      <c r="BH89" s="28"/>
      <c r="BI89" s="29"/>
      <c r="BJ89" s="29"/>
      <c r="BK89" s="29"/>
      <c r="BL89" s="29"/>
      <c r="BM89" s="76"/>
      <c r="BN89" s="28"/>
      <c r="BO89" s="29"/>
      <c r="BP89" s="29"/>
      <c r="BQ89" s="29"/>
      <c r="BR89" s="29"/>
      <c r="BS89" s="29"/>
      <c r="BT89" s="29"/>
      <c r="BU89" s="76"/>
      <c r="BV89" s="28"/>
      <c r="BW89" s="29"/>
      <c r="BX89" s="29"/>
      <c r="BY89" s="29"/>
      <c r="BZ89" s="29"/>
      <c r="CA89" s="76"/>
      <c r="CB89" s="28"/>
      <c r="CC89" s="29"/>
      <c r="CD89" s="29"/>
      <c r="CE89" s="29"/>
      <c r="CF89" s="29"/>
      <c r="CG89" s="29"/>
      <c r="CH89" s="76"/>
      <c r="CI89" s="28"/>
      <c r="CJ89" s="29"/>
      <c r="CK89" s="29"/>
      <c r="CL89" s="29"/>
      <c r="CM89" s="29"/>
      <c r="CN89" s="29"/>
      <c r="CO89" s="77"/>
      <c r="CP89" s="152" t="s">
        <v>71</v>
      </c>
      <c r="CQ89" s="118"/>
      <c r="CR89" s="118"/>
      <c r="CS89" s="118"/>
      <c r="CT89" s="118"/>
      <c r="CU89" s="118"/>
      <c r="CV89" s="118"/>
      <c r="CW89" s="118"/>
      <c r="CX89" s="118"/>
      <c r="CY89" s="118"/>
      <c r="CZ89" s="118"/>
      <c r="DA89" s="118"/>
      <c r="DB89" s="118"/>
    </row>
    <row r="90" spans="1:106" ht="9" customHeight="1" x14ac:dyDescent="0.3">
      <c r="A90" s="228" t="s">
        <v>211</v>
      </c>
      <c r="B90" s="107"/>
      <c r="C90" s="107"/>
      <c r="D90" s="107"/>
      <c r="E90" s="107"/>
      <c r="F90" s="107"/>
      <c r="G90" s="108"/>
      <c r="H90" s="91"/>
      <c r="I90" s="33"/>
      <c r="J90" s="33"/>
      <c r="K90" s="33"/>
      <c r="L90" s="33"/>
      <c r="M90" s="33"/>
      <c r="N90" s="33"/>
      <c r="O90" s="33"/>
      <c r="P90" s="33"/>
      <c r="Q90" s="34"/>
      <c r="R90" s="32"/>
      <c r="S90" s="33"/>
      <c r="T90" s="33"/>
      <c r="U90" s="33"/>
      <c r="V90" s="33"/>
      <c r="W90" s="33"/>
      <c r="X90" s="33"/>
      <c r="Y90" s="34"/>
      <c r="Z90" s="22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40"/>
      <c r="AO90" s="32"/>
      <c r="AP90" s="33"/>
      <c r="AQ90" s="33"/>
      <c r="AR90" s="34"/>
      <c r="AS90" s="32"/>
      <c r="AT90" s="33"/>
      <c r="AU90" s="33"/>
      <c r="AV90" s="33"/>
      <c r="AW90" s="33"/>
      <c r="AX90" s="33"/>
      <c r="AY90" s="33"/>
      <c r="AZ90" s="34"/>
      <c r="BA90" s="32"/>
      <c r="BB90" s="33"/>
      <c r="BC90" s="33"/>
      <c r="BD90" s="33"/>
      <c r="BE90" s="33"/>
      <c r="BF90" s="33"/>
      <c r="BG90" s="34"/>
      <c r="BH90" s="32"/>
      <c r="BI90" s="33"/>
      <c r="BJ90" s="33"/>
      <c r="BK90" s="33"/>
      <c r="BL90" s="33"/>
      <c r="BM90" s="34"/>
      <c r="BN90" s="32"/>
      <c r="BO90" s="33"/>
      <c r="BP90" s="33"/>
      <c r="BQ90" s="33"/>
      <c r="BR90" s="33"/>
      <c r="BS90" s="33"/>
      <c r="BT90" s="33"/>
      <c r="BU90" s="34"/>
      <c r="BV90" s="32"/>
      <c r="BW90" s="33"/>
      <c r="BX90" s="33"/>
      <c r="BY90" s="33"/>
      <c r="BZ90" s="33"/>
      <c r="CA90" s="34"/>
      <c r="CB90" s="32"/>
      <c r="CC90" s="33"/>
      <c r="CD90" s="33"/>
      <c r="CE90" s="33"/>
      <c r="CF90" s="33"/>
      <c r="CG90" s="33"/>
      <c r="CH90" s="34"/>
      <c r="CI90" s="32"/>
      <c r="CJ90" s="33"/>
      <c r="CK90" s="33"/>
      <c r="CL90" s="33"/>
      <c r="CM90" s="33"/>
      <c r="CN90" s="33"/>
      <c r="CO90" s="92"/>
      <c r="CP90" s="88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4"/>
      <c r="DB90" s="4"/>
    </row>
    <row r="91" spans="1:106" ht="9" customHeight="1" x14ac:dyDescent="0.3">
      <c r="A91" s="230" t="s">
        <v>212</v>
      </c>
      <c r="B91" s="144"/>
      <c r="C91" s="144"/>
      <c r="D91" s="144"/>
      <c r="E91" s="144"/>
      <c r="F91" s="144"/>
      <c r="G91" s="145"/>
      <c r="H91" s="93"/>
      <c r="I91" s="94"/>
      <c r="J91" s="94"/>
      <c r="K91" s="94"/>
      <c r="L91" s="94"/>
      <c r="M91" s="94"/>
      <c r="N91" s="94"/>
      <c r="O91" s="94"/>
      <c r="P91" s="94"/>
      <c r="Q91" s="95"/>
      <c r="R91" s="96"/>
      <c r="S91" s="94"/>
      <c r="T91" s="94"/>
      <c r="U91" s="94"/>
      <c r="V91" s="94"/>
      <c r="W91" s="94"/>
      <c r="X91" s="94"/>
      <c r="Y91" s="95"/>
      <c r="Z91" s="231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1"/>
      <c r="AO91" s="96"/>
      <c r="AP91" s="94"/>
      <c r="AQ91" s="94"/>
      <c r="AR91" s="95"/>
      <c r="AS91" s="96"/>
      <c r="AT91" s="94"/>
      <c r="AU91" s="94"/>
      <c r="AV91" s="94"/>
      <c r="AW91" s="94"/>
      <c r="AX91" s="94"/>
      <c r="AY91" s="94"/>
      <c r="AZ91" s="95"/>
      <c r="BA91" s="96"/>
      <c r="BB91" s="94"/>
      <c r="BC91" s="94"/>
      <c r="BD91" s="94"/>
      <c r="BE91" s="94"/>
      <c r="BF91" s="94"/>
      <c r="BG91" s="95"/>
      <c r="BH91" s="96"/>
      <c r="BI91" s="94"/>
      <c r="BJ91" s="94"/>
      <c r="BK91" s="94"/>
      <c r="BL91" s="94"/>
      <c r="BM91" s="95"/>
      <c r="BN91" s="96"/>
      <c r="BO91" s="94"/>
      <c r="BP91" s="94"/>
      <c r="BQ91" s="94"/>
      <c r="BR91" s="94"/>
      <c r="BS91" s="94"/>
      <c r="BT91" s="94"/>
      <c r="BU91" s="95"/>
      <c r="BV91" s="96"/>
      <c r="BW91" s="94"/>
      <c r="BX91" s="94"/>
      <c r="BY91" s="94"/>
      <c r="BZ91" s="94"/>
      <c r="CA91" s="95"/>
      <c r="CB91" s="96"/>
      <c r="CC91" s="94"/>
      <c r="CD91" s="94"/>
      <c r="CE91" s="94"/>
      <c r="CF91" s="94"/>
      <c r="CG91" s="94"/>
      <c r="CH91" s="95"/>
      <c r="CI91" s="96"/>
      <c r="CJ91" s="94"/>
      <c r="CK91" s="94"/>
      <c r="CL91" s="94"/>
      <c r="CM91" s="94"/>
      <c r="CN91" s="94"/>
      <c r="CO91" s="97"/>
      <c r="CP91" s="152" t="s">
        <v>72</v>
      </c>
      <c r="CQ91" s="118"/>
      <c r="CR91" s="118"/>
      <c r="CS91" s="118"/>
      <c r="CT91" s="118"/>
      <c r="CU91" s="118"/>
      <c r="CV91" s="118"/>
      <c r="CW91" s="118"/>
      <c r="CX91" s="118"/>
      <c r="CY91" s="118"/>
      <c r="CZ91" s="118"/>
      <c r="DA91" s="118"/>
      <c r="DB91" s="118"/>
    </row>
    <row r="92" spans="1:106" ht="11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 spans="1:106" ht="11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 spans="1:106" ht="11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 spans="1:106" ht="11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 spans="1:106" ht="11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 spans="1:106" ht="11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 spans="1:106" ht="11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 spans="1:106" ht="11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0" spans="1:106" ht="11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r="101" spans="1:106" ht="11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r="102" spans="1:106" ht="11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r="103" spans="1:106" ht="11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r="104" spans="1:106" ht="11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r="105" spans="1:106" ht="11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r="106" spans="1:106" ht="11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r="107" spans="1:106" ht="11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r="108" spans="1:106" ht="11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r="109" spans="1:106" ht="11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r="110" spans="1:106" ht="11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r="111" spans="1:106" ht="11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r="112" spans="1:106" ht="11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r="113" spans="1:106" ht="11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r="114" spans="1:106" ht="11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r="115" spans="1:106" ht="11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r="116" spans="1:106" ht="11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r="117" spans="1:106" ht="11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r="118" spans="1:106" ht="11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r="119" spans="1:106" ht="11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r="120" spans="1:106" ht="11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r="121" spans="1:106" ht="11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r="122" spans="1:106" ht="11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r="123" spans="1:106" ht="11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r="124" spans="1:106" ht="11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r="125" spans="1:106" ht="11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r="126" spans="1:106" ht="11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r="127" spans="1:106" ht="11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r="128" spans="1:106" ht="11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r="129" spans="1:106" ht="11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r="130" spans="1:106" ht="11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r="131" spans="1:106" ht="11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r="132" spans="1:106" ht="11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r="133" spans="1:106" ht="11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r="134" spans="1:106" ht="11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r="135" spans="1:106" ht="11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r="136" spans="1:106" ht="11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r="137" spans="1:106" ht="11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r="138" spans="1:106" ht="11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r="139" spans="1:106" ht="11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r="140" spans="1:106" ht="11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r="141" spans="1:106" ht="11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r="142" spans="1:106" ht="11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r="143" spans="1:106" ht="11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r="144" spans="1:106" ht="11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r="145" spans="1:106" ht="11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r="146" spans="1:106" ht="11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r="147" spans="1:106" ht="11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r="148" spans="1:106" ht="11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r="149" spans="1:106" ht="11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r="150" spans="1:106" ht="11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r="151" spans="1:106" ht="11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r="152" spans="1:106" ht="11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r="153" spans="1:106" ht="11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r="154" spans="1:106" ht="11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r="155" spans="1:106" ht="11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r="156" spans="1:106" ht="11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r="157" spans="1:106" ht="11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r="158" spans="1:106" ht="11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r="159" spans="1:106" ht="11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r="160" spans="1:106" ht="11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r="161" spans="1:106" ht="11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r="162" spans="1:106" ht="11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r="163" spans="1:106" ht="11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r="164" spans="1:106" ht="11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r="165" spans="1:106" ht="11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r="166" spans="1:106" ht="11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r="167" spans="1:106" ht="11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r="168" spans="1:106" ht="11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r="169" spans="1:106" ht="11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r="170" spans="1:106" ht="11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r="171" spans="1:106" ht="11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r="172" spans="1:106" ht="11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r="173" spans="1:106" ht="11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r="174" spans="1:106" ht="11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r="175" spans="1:106" ht="11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r="176" spans="1:106" ht="11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r="177" spans="1:106" ht="11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r="178" spans="1:106" ht="11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r="179" spans="1:106" ht="11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r="180" spans="1:106" ht="11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r="181" spans="1:106" ht="11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r="182" spans="1:106" ht="11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r="183" spans="1:106" ht="11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r="184" spans="1:106" ht="11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r="185" spans="1:106" ht="11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r="186" spans="1:106" ht="11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r="187" spans="1:106" ht="11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r="188" spans="1:106" ht="11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r="189" spans="1:106" ht="11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r="190" spans="1:106" ht="11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r="191" spans="1:106" ht="11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r="192" spans="1:106" ht="11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r="193" spans="1:106" ht="11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r="194" spans="1:106" ht="11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r="195" spans="1:106" ht="11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  <row r="196" spans="1:106" ht="11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</row>
    <row r="197" spans="1:106" ht="11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</row>
    <row r="198" spans="1:106" ht="11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</row>
    <row r="199" spans="1:106" ht="11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</row>
    <row r="200" spans="1:106" ht="11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</row>
    <row r="201" spans="1:106" ht="11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</row>
    <row r="202" spans="1:106" ht="11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</row>
    <row r="203" spans="1:106" ht="11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</row>
    <row r="204" spans="1:106" ht="11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</row>
    <row r="205" spans="1:106" ht="11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</row>
    <row r="206" spans="1:106" ht="11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</row>
    <row r="207" spans="1:106" ht="11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</row>
    <row r="208" spans="1:106" ht="11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</row>
    <row r="209" spans="1:106" ht="11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</row>
    <row r="210" spans="1:106" ht="11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</row>
    <row r="211" spans="1:106" ht="11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</row>
    <row r="212" spans="1:106" ht="11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</row>
    <row r="213" spans="1:106" ht="11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</row>
    <row r="214" spans="1:106" ht="11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</row>
    <row r="215" spans="1:106" ht="11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</row>
    <row r="216" spans="1:106" ht="11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</row>
    <row r="217" spans="1:106" ht="11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</row>
    <row r="218" spans="1:106" ht="11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</row>
    <row r="219" spans="1:106" ht="11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</row>
    <row r="220" spans="1:106" ht="11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</row>
    <row r="221" spans="1:106" ht="11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</row>
    <row r="222" spans="1:106" ht="11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</row>
    <row r="223" spans="1:106" ht="11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</row>
    <row r="224" spans="1:106" ht="11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</row>
    <row r="225" spans="1:106" ht="11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</row>
    <row r="226" spans="1:106" ht="11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</row>
    <row r="227" spans="1:106" ht="11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</row>
    <row r="228" spans="1:106" ht="11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</row>
    <row r="229" spans="1:106" ht="11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</row>
    <row r="230" spans="1:106" ht="11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</row>
    <row r="231" spans="1:106" ht="11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</row>
    <row r="232" spans="1:106" ht="11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</row>
    <row r="233" spans="1:106" ht="11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</row>
    <row r="234" spans="1:106" ht="11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</row>
    <row r="235" spans="1:106" ht="11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</row>
    <row r="236" spans="1:106" ht="11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</row>
    <row r="237" spans="1:106" ht="11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</row>
    <row r="238" spans="1:106" ht="11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</row>
    <row r="239" spans="1:106" ht="11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</row>
    <row r="240" spans="1:106" ht="11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</row>
    <row r="241" spans="1:106" ht="11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</row>
    <row r="242" spans="1:106" ht="11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</row>
    <row r="243" spans="1:106" ht="11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</row>
    <row r="244" spans="1:106" ht="11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</row>
    <row r="245" spans="1:106" ht="11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</row>
    <row r="246" spans="1:106" ht="11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</row>
    <row r="247" spans="1:106" ht="11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</row>
    <row r="248" spans="1:106" ht="11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</row>
    <row r="249" spans="1:106" ht="11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</row>
    <row r="250" spans="1:106" ht="11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</row>
    <row r="251" spans="1:106" ht="11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</row>
    <row r="252" spans="1:106" ht="11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</row>
    <row r="253" spans="1:106" ht="11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</row>
    <row r="254" spans="1:106" ht="11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</row>
    <row r="255" spans="1:106" ht="11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</row>
    <row r="256" spans="1:106" ht="11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</row>
    <row r="257" spans="1:106" ht="11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</row>
    <row r="258" spans="1:106" ht="11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</row>
    <row r="259" spans="1:106" ht="11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</row>
    <row r="260" spans="1:106" ht="11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</row>
    <row r="261" spans="1:106" ht="11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</row>
    <row r="262" spans="1:106" ht="11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</row>
    <row r="263" spans="1:106" ht="11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</row>
    <row r="264" spans="1:106" ht="11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</row>
    <row r="265" spans="1:106" ht="11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</row>
    <row r="266" spans="1:106" ht="11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</row>
    <row r="267" spans="1:106" ht="11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</row>
    <row r="268" spans="1:106" ht="11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</row>
    <row r="269" spans="1:106" ht="11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</row>
    <row r="270" spans="1:106" ht="11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</row>
    <row r="271" spans="1:106" ht="11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</row>
    <row r="272" spans="1:106" ht="11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</row>
    <row r="273" spans="1:106" ht="11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</row>
    <row r="274" spans="1:106" ht="11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</row>
    <row r="275" spans="1:106" ht="11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</row>
    <row r="276" spans="1:106" ht="11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</row>
    <row r="277" spans="1:106" ht="11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</row>
    <row r="278" spans="1:106" ht="11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</row>
    <row r="279" spans="1:106" ht="11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</row>
    <row r="280" spans="1:106" ht="11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</row>
    <row r="281" spans="1:106" ht="11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</row>
    <row r="282" spans="1:106" ht="11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</row>
    <row r="283" spans="1:106" ht="11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</row>
    <row r="284" spans="1:106" ht="11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</row>
    <row r="285" spans="1:106" ht="11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</row>
    <row r="286" spans="1:106" ht="11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</row>
    <row r="287" spans="1:106" ht="11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</row>
    <row r="288" spans="1:106" ht="11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</row>
    <row r="289" spans="1:106" ht="11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</row>
    <row r="290" spans="1:106" ht="11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</row>
    <row r="291" spans="1:106" ht="11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</row>
    <row r="292" spans="1:106" ht="11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</row>
    <row r="293" spans="1:106" ht="11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</row>
    <row r="294" spans="1:106" ht="11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</row>
    <row r="295" spans="1:106" ht="11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</row>
    <row r="296" spans="1:106" ht="11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</row>
    <row r="297" spans="1:106" ht="11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</row>
    <row r="298" spans="1:106" ht="11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</row>
    <row r="299" spans="1:106" ht="11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</row>
    <row r="300" spans="1:106" ht="11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</row>
    <row r="301" spans="1:106" ht="11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</row>
    <row r="302" spans="1:106" ht="11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</row>
    <row r="303" spans="1:106" ht="11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</row>
    <row r="304" spans="1:106" ht="11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</row>
    <row r="305" spans="1:106" ht="11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</row>
    <row r="306" spans="1:106" ht="11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</row>
    <row r="307" spans="1:106" ht="11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</row>
    <row r="308" spans="1:106" ht="11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</row>
    <row r="309" spans="1:106" ht="11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</row>
    <row r="310" spans="1:106" ht="11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</row>
    <row r="311" spans="1:106" ht="11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</row>
    <row r="312" spans="1:106" ht="11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</row>
    <row r="313" spans="1:106" ht="11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</row>
    <row r="314" spans="1:106" ht="11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</row>
    <row r="315" spans="1:106" ht="11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</row>
    <row r="316" spans="1:106" ht="11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</row>
    <row r="317" spans="1:106" ht="11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</row>
    <row r="318" spans="1:106" ht="11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</row>
    <row r="319" spans="1:106" ht="11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</row>
    <row r="320" spans="1:106" ht="11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</row>
    <row r="321" spans="1:106" ht="11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</row>
    <row r="322" spans="1:106" ht="11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</row>
    <row r="323" spans="1:106" ht="11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</row>
    <row r="324" spans="1:106" ht="11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</row>
    <row r="325" spans="1:106" ht="11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</row>
    <row r="326" spans="1:106" ht="11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</row>
    <row r="327" spans="1:106" ht="11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</row>
    <row r="328" spans="1:106" ht="11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</row>
    <row r="329" spans="1:106" ht="11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</row>
    <row r="330" spans="1:106" ht="11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</row>
    <row r="331" spans="1:106" ht="11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</row>
    <row r="332" spans="1:106" ht="11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</row>
    <row r="333" spans="1:106" ht="11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</row>
    <row r="334" spans="1:106" ht="11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</row>
    <row r="335" spans="1:106" ht="11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</row>
    <row r="336" spans="1:106" ht="11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</row>
    <row r="337" spans="1:106" ht="11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</row>
    <row r="338" spans="1:106" ht="11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</row>
    <row r="339" spans="1:106" ht="11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</row>
    <row r="340" spans="1:106" ht="11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</row>
    <row r="341" spans="1:106" ht="11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</row>
    <row r="342" spans="1:106" ht="11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</row>
    <row r="343" spans="1:106" ht="11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</row>
    <row r="344" spans="1:106" ht="11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</row>
    <row r="345" spans="1:106" ht="11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</row>
    <row r="346" spans="1:106" ht="11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</row>
    <row r="347" spans="1:106" ht="11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</row>
    <row r="348" spans="1:106" ht="11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</row>
    <row r="349" spans="1:106" ht="11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</row>
    <row r="350" spans="1:106" ht="11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</row>
    <row r="351" spans="1:106" ht="11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</row>
    <row r="352" spans="1:106" ht="11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</row>
    <row r="353" spans="1:106" ht="11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</row>
    <row r="354" spans="1:106" ht="11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</row>
    <row r="355" spans="1:106" ht="11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</row>
    <row r="356" spans="1:106" ht="11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</row>
    <row r="357" spans="1:106" ht="11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</row>
    <row r="358" spans="1:106" ht="11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</row>
    <row r="359" spans="1:106" ht="11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</row>
    <row r="360" spans="1:106" ht="11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</row>
    <row r="361" spans="1:106" ht="11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</row>
    <row r="362" spans="1:106" ht="11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</row>
    <row r="363" spans="1:106" ht="11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</row>
    <row r="364" spans="1:106" ht="11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</row>
    <row r="365" spans="1:106" ht="11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</row>
    <row r="366" spans="1:106" ht="11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</row>
    <row r="367" spans="1:106" ht="11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</row>
    <row r="368" spans="1:106" ht="11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</row>
    <row r="369" spans="1:106" ht="11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</row>
    <row r="370" spans="1:106" ht="11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</row>
    <row r="371" spans="1:106" ht="11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</row>
    <row r="372" spans="1:106" ht="11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</row>
    <row r="373" spans="1:106" ht="11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</row>
    <row r="374" spans="1:106" ht="11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</row>
    <row r="375" spans="1:106" ht="11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</row>
    <row r="376" spans="1:106" ht="11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</row>
    <row r="377" spans="1:106" ht="11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</row>
    <row r="378" spans="1:106" ht="11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</row>
    <row r="379" spans="1:106" ht="11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</row>
    <row r="380" spans="1:106" ht="11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</row>
    <row r="381" spans="1:106" ht="11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</row>
    <row r="382" spans="1:106" ht="11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</row>
    <row r="383" spans="1:106" ht="11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</row>
    <row r="384" spans="1:106" ht="11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</row>
    <row r="385" spans="1:106" ht="11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</row>
    <row r="386" spans="1:106" ht="11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</row>
    <row r="387" spans="1:106" ht="11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</row>
    <row r="388" spans="1:106" ht="11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</row>
    <row r="389" spans="1:106" ht="11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</row>
    <row r="390" spans="1:106" ht="11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</row>
    <row r="391" spans="1:106" ht="11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</row>
    <row r="392" spans="1:106" ht="11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</row>
    <row r="393" spans="1:106" ht="11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</row>
    <row r="394" spans="1:106" ht="11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</row>
    <row r="395" spans="1:106" ht="11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</row>
    <row r="396" spans="1:106" ht="11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</row>
    <row r="397" spans="1:106" ht="11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</row>
    <row r="398" spans="1:106" ht="11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</row>
    <row r="399" spans="1:106" ht="11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</row>
    <row r="400" spans="1:106" ht="11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</row>
    <row r="401" spans="1:106" ht="11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</row>
    <row r="402" spans="1:106" ht="11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</row>
    <row r="403" spans="1:106" ht="11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</row>
    <row r="404" spans="1:106" ht="11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</row>
    <row r="405" spans="1:106" ht="11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</row>
    <row r="406" spans="1:106" ht="11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</row>
    <row r="407" spans="1:106" ht="11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</row>
    <row r="408" spans="1:106" ht="11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</row>
    <row r="409" spans="1:106" ht="11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</row>
    <row r="410" spans="1:106" ht="11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</row>
    <row r="411" spans="1:106" ht="11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</row>
    <row r="412" spans="1:106" ht="11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</row>
    <row r="413" spans="1:106" ht="11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</row>
    <row r="414" spans="1:106" ht="11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</row>
    <row r="415" spans="1:106" ht="11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</row>
    <row r="416" spans="1:106" ht="11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</row>
    <row r="417" spans="1:106" ht="11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</row>
    <row r="418" spans="1:106" ht="11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</row>
    <row r="419" spans="1:106" ht="11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</row>
    <row r="420" spans="1:106" ht="11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</row>
    <row r="421" spans="1:106" ht="11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</row>
    <row r="422" spans="1:106" ht="11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</row>
    <row r="423" spans="1:106" ht="11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</row>
    <row r="424" spans="1:106" ht="11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</row>
    <row r="425" spans="1:106" ht="11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</row>
    <row r="426" spans="1:106" ht="11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</row>
    <row r="427" spans="1:106" ht="11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</row>
    <row r="428" spans="1:106" ht="11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</row>
    <row r="429" spans="1:106" ht="11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</row>
    <row r="430" spans="1:106" ht="11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</row>
    <row r="431" spans="1:106" ht="11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</row>
    <row r="432" spans="1:106" ht="11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</row>
    <row r="433" spans="1:106" ht="11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</row>
    <row r="434" spans="1:106" ht="11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</row>
    <row r="435" spans="1:106" ht="11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</row>
    <row r="436" spans="1:106" ht="11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</row>
    <row r="437" spans="1:106" ht="11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</row>
    <row r="438" spans="1:106" ht="11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</row>
    <row r="439" spans="1:106" ht="11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</row>
    <row r="440" spans="1:106" ht="11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</row>
    <row r="441" spans="1:106" ht="11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</row>
    <row r="442" spans="1:106" ht="11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</row>
    <row r="443" spans="1:106" ht="11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</row>
    <row r="444" spans="1:106" ht="11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</row>
    <row r="445" spans="1:106" ht="11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</row>
    <row r="446" spans="1:106" ht="11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</row>
    <row r="447" spans="1:106" ht="11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</row>
    <row r="448" spans="1:106" ht="11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</row>
    <row r="449" spans="1:106" ht="11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</row>
    <row r="450" spans="1:106" ht="11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</row>
    <row r="451" spans="1:106" ht="11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</row>
    <row r="452" spans="1:106" ht="11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</row>
    <row r="453" spans="1:106" ht="11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</row>
    <row r="454" spans="1:106" ht="11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</row>
    <row r="455" spans="1:106" ht="11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</row>
    <row r="456" spans="1:106" ht="11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</row>
    <row r="457" spans="1:106" ht="11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</row>
    <row r="458" spans="1:106" ht="11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</row>
    <row r="459" spans="1:106" ht="11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</row>
    <row r="460" spans="1:106" ht="11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</row>
    <row r="461" spans="1:106" ht="11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</row>
    <row r="462" spans="1:106" ht="11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</row>
    <row r="463" spans="1:106" ht="11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</row>
    <row r="464" spans="1:106" ht="11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</row>
    <row r="465" spans="1:106" ht="11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</row>
    <row r="466" spans="1:106" ht="11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</row>
    <row r="467" spans="1:106" ht="11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</row>
    <row r="468" spans="1:106" ht="11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</row>
    <row r="469" spans="1:106" ht="11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</row>
    <row r="470" spans="1:106" ht="11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</row>
    <row r="471" spans="1:106" ht="11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</row>
    <row r="472" spans="1:106" ht="11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</row>
    <row r="473" spans="1:106" ht="11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</row>
    <row r="474" spans="1:106" ht="11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</row>
    <row r="475" spans="1:106" ht="11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</row>
    <row r="476" spans="1:106" ht="11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</row>
    <row r="477" spans="1:106" ht="11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</row>
    <row r="478" spans="1:106" ht="11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</row>
    <row r="479" spans="1:106" ht="11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</row>
    <row r="480" spans="1:106" ht="11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</row>
    <row r="481" spans="1:106" ht="11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</row>
    <row r="482" spans="1:106" ht="11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</row>
    <row r="483" spans="1:106" ht="11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</row>
    <row r="484" spans="1:106" ht="11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</row>
    <row r="485" spans="1:106" ht="11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</row>
    <row r="486" spans="1:106" ht="11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</row>
    <row r="487" spans="1:106" ht="11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</row>
    <row r="488" spans="1:106" ht="11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</row>
    <row r="489" spans="1:106" ht="11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</row>
    <row r="490" spans="1:106" ht="11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</row>
    <row r="491" spans="1:106" ht="11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</row>
    <row r="492" spans="1:106" ht="11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</row>
    <row r="493" spans="1:106" ht="11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</row>
    <row r="494" spans="1:106" ht="11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</row>
    <row r="495" spans="1:106" ht="11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</row>
    <row r="496" spans="1:106" ht="11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</row>
    <row r="497" spans="1:106" ht="11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</row>
    <row r="498" spans="1:106" ht="11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</row>
    <row r="499" spans="1:106" ht="11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</row>
    <row r="500" spans="1:106" ht="11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</row>
    <row r="501" spans="1:106" ht="11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</row>
    <row r="502" spans="1:106" ht="11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</row>
    <row r="503" spans="1:106" ht="11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</row>
    <row r="504" spans="1:106" ht="11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</row>
    <row r="505" spans="1:106" ht="11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</row>
    <row r="506" spans="1:106" ht="11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</row>
    <row r="507" spans="1:106" ht="11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</row>
    <row r="508" spans="1:106" ht="11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</row>
    <row r="509" spans="1:106" ht="11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</row>
    <row r="510" spans="1:106" ht="11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</row>
    <row r="511" spans="1:106" ht="11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</row>
    <row r="512" spans="1:106" ht="11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</row>
    <row r="513" spans="1:106" ht="11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</row>
    <row r="514" spans="1:106" ht="11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</row>
    <row r="515" spans="1:106" ht="11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</row>
    <row r="516" spans="1:106" ht="11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</row>
    <row r="517" spans="1:106" ht="11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</row>
    <row r="518" spans="1:106" ht="11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</row>
    <row r="519" spans="1:106" ht="11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</row>
    <row r="520" spans="1:106" ht="11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</row>
    <row r="521" spans="1:106" ht="11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</row>
    <row r="522" spans="1:106" ht="11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</row>
    <row r="523" spans="1:106" ht="11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</row>
    <row r="524" spans="1:106" ht="11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</row>
    <row r="525" spans="1:106" ht="11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</row>
    <row r="526" spans="1:106" ht="11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</row>
    <row r="527" spans="1:106" ht="11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</row>
    <row r="528" spans="1:106" ht="11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</row>
    <row r="529" spans="1:106" ht="11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</row>
    <row r="530" spans="1:106" ht="11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</row>
    <row r="531" spans="1:106" ht="11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</row>
    <row r="532" spans="1:106" ht="11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</row>
    <row r="533" spans="1:106" ht="11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</row>
    <row r="534" spans="1:106" ht="11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</row>
    <row r="535" spans="1:106" ht="11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</row>
    <row r="536" spans="1:106" ht="11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</row>
    <row r="537" spans="1:106" ht="11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</row>
    <row r="538" spans="1:106" ht="11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</row>
    <row r="539" spans="1:106" ht="11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</row>
    <row r="540" spans="1:106" ht="11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</row>
    <row r="541" spans="1:106" ht="11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</row>
    <row r="542" spans="1:106" ht="11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</row>
    <row r="543" spans="1:106" ht="11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</row>
    <row r="544" spans="1:106" ht="11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</row>
    <row r="545" spans="1:106" ht="11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</row>
    <row r="546" spans="1:106" ht="11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</row>
    <row r="547" spans="1:106" ht="11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</row>
    <row r="548" spans="1:106" ht="11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</row>
    <row r="549" spans="1:106" ht="11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</row>
    <row r="550" spans="1:106" ht="11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</row>
    <row r="551" spans="1:106" ht="11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</row>
    <row r="552" spans="1:106" ht="11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</row>
    <row r="553" spans="1:106" ht="11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</row>
    <row r="554" spans="1:106" ht="11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</row>
    <row r="555" spans="1:106" ht="11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</row>
    <row r="556" spans="1:106" ht="11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</row>
    <row r="557" spans="1:106" ht="11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</row>
    <row r="558" spans="1:106" ht="11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</row>
    <row r="559" spans="1:106" ht="11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</row>
    <row r="560" spans="1:106" ht="11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</row>
    <row r="561" spans="1:106" ht="11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</row>
    <row r="562" spans="1:106" ht="11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</row>
    <row r="563" spans="1:106" ht="11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</row>
    <row r="564" spans="1:106" ht="11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</row>
    <row r="565" spans="1:106" ht="11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</row>
    <row r="566" spans="1:106" ht="11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</row>
    <row r="567" spans="1:106" ht="11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</row>
    <row r="568" spans="1:106" ht="11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</row>
    <row r="569" spans="1:106" ht="11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</row>
    <row r="570" spans="1:106" ht="11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</row>
    <row r="571" spans="1:106" ht="11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</row>
    <row r="572" spans="1:106" ht="11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</row>
    <row r="573" spans="1:106" ht="11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</row>
    <row r="574" spans="1:106" ht="11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</row>
    <row r="575" spans="1:106" ht="11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</row>
    <row r="576" spans="1:106" ht="11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</row>
    <row r="577" spans="1:106" ht="11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</row>
    <row r="578" spans="1:106" ht="11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</row>
    <row r="579" spans="1:106" ht="11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</row>
    <row r="580" spans="1:106" ht="11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</row>
    <row r="581" spans="1:106" ht="11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</row>
    <row r="582" spans="1:106" ht="11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</row>
    <row r="583" spans="1:106" ht="11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</row>
    <row r="584" spans="1:106" ht="11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</row>
    <row r="585" spans="1:106" ht="11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</row>
    <row r="586" spans="1:106" ht="11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</row>
    <row r="587" spans="1:106" ht="11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</row>
    <row r="588" spans="1:106" ht="11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</row>
    <row r="589" spans="1:106" ht="11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</row>
    <row r="590" spans="1:106" ht="11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</row>
    <row r="591" spans="1:106" ht="11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</row>
    <row r="592" spans="1:106" ht="11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</row>
    <row r="593" spans="1:106" ht="11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</row>
    <row r="594" spans="1:106" ht="11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</row>
    <row r="595" spans="1:106" ht="11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</row>
    <row r="596" spans="1:106" ht="11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</row>
    <row r="597" spans="1:106" ht="11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</row>
    <row r="598" spans="1:106" ht="11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</row>
    <row r="599" spans="1:106" ht="11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</row>
    <row r="600" spans="1:106" ht="11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</row>
    <row r="601" spans="1:106" ht="11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</row>
    <row r="602" spans="1:106" ht="11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</row>
    <row r="603" spans="1:106" ht="11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</row>
    <row r="604" spans="1:106" ht="11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</row>
    <row r="605" spans="1:106" ht="11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</row>
    <row r="606" spans="1:106" ht="11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</row>
    <row r="607" spans="1:106" ht="11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</row>
    <row r="608" spans="1:106" ht="11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</row>
    <row r="609" spans="1:106" ht="11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</row>
    <row r="610" spans="1:106" ht="11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</row>
    <row r="611" spans="1:106" ht="11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</row>
    <row r="612" spans="1:106" ht="11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</row>
    <row r="613" spans="1:106" ht="11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</row>
    <row r="614" spans="1:106" ht="11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</row>
    <row r="615" spans="1:106" ht="11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</row>
    <row r="616" spans="1:106" ht="11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</row>
    <row r="617" spans="1:106" ht="11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</row>
    <row r="618" spans="1:106" ht="11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</row>
    <row r="619" spans="1:106" ht="11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</row>
    <row r="620" spans="1:106" ht="11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</row>
    <row r="621" spans="1:106" ht="11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</row>
    <row r="622" spans="1:106" ht="11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</row>
    <row r="623" spans="1:106" ht="11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</row>
    <row r="624" spans="1:106" ht="11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</row>
    <row r="625" spans="1:106" ht="11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</row>
    <row r="626" spans="1:106" ht="11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</row>
    <row r="627" spans="1:106" ht="11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</row>
    <row r="628" spans="1:106" ht="11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</row>
    <row r="629" spans="1:106" ht="11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</row>
    <row r="630" spans="1:106" ht="11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</row>
    <row r="631" spans="1:106" ht="11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</row>
    <row r="632" spans="1:106" ht="11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</row>
    <row r="633" spans="1:106" ht="11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</row>
    <row r="634" spans="1:106" ht="11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</row>
    <row r="635" spans="1:106" ht="11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</row>
    <row r="636" spans="1:106" ht="11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</row>
    <row r="637" spans="1:106" ht="11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</row>
    <row r="638" spans="1:106" ht="11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</row>
    <row r="639" spans="1:106" ht="11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</row>
    <row r="640" spans="1:106" ht="11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</row>
    <row r="641" spans="1:106" ht="11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</row>
    <row r="642" spans="1:106" ht="11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</row>
    <row r="643" spans="1:106" ht="11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</row>
    <row r="644" spans="1:106" ht="11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</row>
    <row r="645" spans="1:106" ht="11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</row>
    <row r="646" spans="1:106" ht="11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</row>
    <row r="647" spans="1:106" ht="11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</row>
    <row r="648" spans="1:106" ht="11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</row>
    <row r="649" spans="1:106" ht="11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</row>
    <row r="650" spans="1:106" ht="11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</row>
    <row r="651" spans="1:106" ht="11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</row>
    <row r="652" spans="1:106" ht="11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</row>
    <row r="653" spans="1:106" ht="11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</row>
    <row r="654" spans="1:106" ht="11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</row>
    <row r="655" spans="1:106" ht="11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</row>
    <row r="656" spans="1:106" ht="11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</row>
    <row r="657" spans="1:106" ht="11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</row>
    <row r="658" spans="1:106" ht="11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</row>
    <row r="659" spans="1:106" ht="11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</row>
    <row r="660" spans="1:106" ht="11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</row>
    <row r="661" spans="1:106" ht="11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</row>
    <row r="662" spans="1:106" ht="11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</row>
    <row r="663" spans="1:106" ht="11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</row>
    <row r="664" spans="1:106" ht="11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</row>
    <row r="665" spans="1:106" ht="11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</row>
    <row r="666" spans="1:106" ht="11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</row>
    <row r="667" spans="1:106" ht="11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</row>
    <row r="668" spans="1:106" ht="11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</row>
    <row r="669" spans="1:106" ht="11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</row>
    <row r="670" spans="1:106" ht="11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</row>
    <row r="671" spans="1:106" ht="11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</row>
    <row r="672" spans="1:106" ht="11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</row>
    <row r="673" spans="1:106" ht="11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</row>
    <row r="674" spans="1:106" ht="11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</row>
    <row r="675" spans="1:106" ht="11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</row>
    <row r="676" spans="1:106" ht="11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</row>
    <row r="677" spans="1:106" ht="11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</row>
    <row r="678" spans="1:106" ht="11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</row>
    <row r="679" spans="1:106" ht="11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</row>
    <row r="680" spans="1:106" ht="11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</row>
    <row r="681" spans="1:106" ht="11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</row>
    <row r="682" spans="1:106" ht="11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</row>
    <row r="683" spans="1:106" ht="11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</row>
    <row r="684" spans="1:106" ht="11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</row>
    <row r="685" spans="1:106" ht="11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</row>
    <row r="686" spans="1:106" ht="11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</row>
    <row r="687" spans="1:106" ht="11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</row>
    <row r="688" spans="1:106" ht="11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</row>
    <row r="689" spans="1:106" ht="11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</row>
    <row r="690" spans="1:106" ht="11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</row>
    <row r="691" spans="1:106" ht="11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</row>
    <row r="692" spans="1:106" ht="11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</row>
    <row r="693" spans="1:106" ht="11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</row>
    <row r="694" spans="1:106" ht="11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</row>
    <row r="695" spans="1:106" ht="11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</row>
    <row r="696" spans="1:106" ht="11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</row>
    <row r="697" spans="1:106" ht="11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</row>
    <row r="698" spans="1:106" ht="11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</row>
    <row r="699" spans="1:106" ht="11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</row>
    <row r="700" spans="1:106" ht="11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</row>
    <row r="701" spans="1:106" ht="11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</row>
    <row r="702" spans="1:106" ht="11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</row>
    <row r="703" spans="1:106" ht="11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</row>
    <row r="704" spans="1:106" ht="11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</row>
    <row r="705" spans="1:106" ht="11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</row>
    <row r="706" spans="1:106" ht="11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</row>
    <row r="707" spans="1:106" ht="11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</row>
    <row r="708" spans="1:106" ht="11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</row>
    <row r="709" spans="1:106" ht="11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</row>
    <row r="710" spans="1:106" ht="11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</row>
    <row r="711" spans="1:106" ht="11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</row>
    <row r="712" spans="1:106" ht="11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</row>
    <row r="713" spans="1:106" ht="11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</row>
    <row r="714" spans="1:106" ht="11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</row>
    <row r="715" spans="1:106" ht="11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</row>
    <row r="716" spans="1:106" ht="11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</row>
    <row r="717" spans="1:106" ht="11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</row>
    <row r="718" spans="1:106" ht="11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</row>
    <row r="719" spans="1:106" ht="11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</row>
    <row r="720" spans="1:106" ht="11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</row>
    <row r="721" spans="1:106" ht="11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</row>
    <row r="722" spans="1:106" ht="11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</row>
    <row r="723" spans="1:106" ht="11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</row>
    <row r="724" spans="1:106" ht="11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</row>
    <row r="725" spans="1:106" ht="11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</row>
    <row r="726" spans="1:106" ht="11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</row>
    <row r="727" spans="1:106" ht="11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</row>
    <row r="728" spans="1:106" ht="11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</row>
    <row r="729" spans="1:106" ht="11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</row>
    <row r="730" spans="1:106" ht="11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</row>
    <row r="731" spans="1:106" ht="11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</row>
    <row r="732" spans="1:106" ht="11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</row>
    <row r="733" spans="1:106" ht="11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</row>
    <row r="734" spans="1:106" ht="11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</row>
    <row r="735" spans="1:106" ht="11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</row>
    <row r="736" spans="1:106" ht="11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</row>
    <row r="737" spans="1:106" ht="11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</row>
    <row r="738" spans="1:106" ht="11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</row>
    <row r="739" spans="1:106" ht="11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</row>
    <row r="740" spans="1:106" ht="11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</row>
    <row r="741" spans="1:106" ht="11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</row>
    <row r="742" spans="1:106" ht="11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</row>
    <row r="743" spans="1:106" ht="11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</row>
    <row r="744" spans="1:106" ht="11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</row>
    <row r="745" spans="1:106" ht="11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</row>
    <row r="746" spans="1:106" ht="11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</row>
    <row r="747" spans="1:106" ht="11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</row>
    <row r="748" spans="1:106" ht="11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</row>
    <row r="749" spans="1:106" ht="11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</row>
    <row r="750" spans="1:106" ht="11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</row>
    <row r="751" spans="1:106" ht="11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</row>
    <row r="752" spans="1:106" ht="11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</row>
    <row r="753" spans="1:106" ht="11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</row>
    <row r="754" spans="1:106" ht="11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</row>
    <row r="755" spans="1:106" ht="11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</row>
    <row r="756" spans="1:106" ht="11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</row>
    <row r="757" spans="1:106" ht="11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</row>
    <row r="758" spans="1:106" ht="11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</row>
    <row r="759" spans="1:106" ht="11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</row>
    <row r="760" spans="1:106" ht="11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</row>
    <row r="761" spans="1:106" ht="11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</row>
    <row r="762" spans="1:106" ht="11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</row>
    <row r="763" spans="1:106" ht="11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</row>
    <row r="764" spans="1:106" ht="11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</row>
    <row r="765" spans="1:106" ht="11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</row>
    <row r="766" spans="1:106" ht="11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</row>
    <row r="767" spans="1:106" ht="11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</row>
    <row r="768" spans="1:106" ht="11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</row>
    <row r="769" spans="1:106" ht="11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</row>
    <row r="770" spans="1:106" ht="11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</row>
    <row r="771" spans="1:106" ht="11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</row>
    <row r="772" spans="1:106" ht="11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</row>
    <row r="773" spans="1:106" ht="11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</row>
    <row r="774" spans="1:106" ht="11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</row>
    <row r="775" spans="1:106" ht="11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</row>
    <row r="776" spans="1:106" ht="11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</row>
    <row r="777" spans="1:106" ht="11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</row>
    <row r="778" spans="1:106" ht="11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</row>
    <row r="779" spans="1:106" ht="11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</row>
    <row r="780" spans="1:106" ht="11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</row>
    <row r="781" spans="1:106" ht="11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</row>
    <row r="782" spans="1:106" ht="11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</row>
    <row r="783" spans="1:106" ht="11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</row>
    <row r="784" spans="1:106" ht="11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</row>
    <row r="785" spans="1:106" ht="11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</row>
    <row r="786" spans="1:106" ht="11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</row>
    <row r="787" spans="1:106" ht="11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</row>
    <row r="788" spans="1:106" ht="11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</row>
    <row r="789" spans="1:106" ht="11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</row>
    <row r="790" spans="1:106" ht="11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</row>
    <row r="791" spans="1:106" ht="11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</row>
    <row r="792" spans="1:106" ht="11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</row>
    <row r="793" spans="1:106" ht="11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</row>
    <row r="794" spans="1:106" ht="11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</row>
    <row r="795" spans="1:106" ht="11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</row>
    <row r="796" spans="1:106" ht="11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</row>
    <row r="797" spans="1:106" ht="11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</row>
    <row r="798" spans="1:106" ht="11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</row>
    <row r="799" spans="1:106" ht="11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</row>
    <row r="800" spans="1:106" ht="11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</row>
    <row r="801" spans="1:106" ht="11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</row>
    <row r="802" spans="1:106" ht="11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</row>
    <row r="803" spans="1:106" ht="11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</row>
    <row r="804" spans="1:106" ht="11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</row>
    <row r="805" spans="1:106" ht="11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</row>
    <row r="806" spans="1:106" ht="11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</row>
    <row r="807" spans="1:106" ht="11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</row>
    <row r="808" spans="1:106" ht="11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</row>
    <row r="809" spans="1:106" ht="11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</row>
    <row r="810" spans="1:106" ht="11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</row>
    <row r="811" spans="1:106" ht="11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</row>
    <row r="812" spans="1:106" ht="11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</row>
    <row r="813" spans="1:106" ht="11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</row>
    <row r="814" spans="1:106" ht="11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</row>
    <row r="815" spans="1:106" ht="11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</row>
    <row r="816" spans="1:106" ht="11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</row>
    <row r="817" spans="1:106" ht="11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</row>
    <row r="818" spans="1:106" ht="11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</row>
    <row r="819" spans="1:106" ht="11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</row>
    <row r="820" spans="1:106" ht="11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</row>
    <row r="821" spans="1:106" ht="11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</row>
    <row r="822" spans="1:106" ht="11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</row>
    <row r="823" spans="1:106" ht="11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</row>
    <row r="824" spans="1:106" ht="11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</row>
    <row r="825" spans="1:106" ht="11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</row>
    <row r="826" spans="1:106" ht="11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</row>
    <row r="827" spans="1:106" ht="11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</row>
    <row r="828" spans="1:106" ht="11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</row>
    <row r="829" spans="1:106" ht="11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</row>
    <row r="830" spans="1:106" ht="11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</row>
    <row r="831" spans="1:106" ht="11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</row>
    <row r="832" spans="1:106" ht="11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</row>
    <row r="833" spans="1:106" ht="11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</row>
    <row r="834" spans="1:106" ht="11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</row>
    <row r="835" spans="1:106" ht="11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</row>
    <row r="836" spans="1:106" ht="11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</row>
    <row r="837" spans="1:106" ht="11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</row>
    <row r="838" spans="1:106" ht="11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</row>
    <row r="839" spans="1:106" ht="11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</row>
    <row r="840" spans="1:106" ht="11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</row>
    <row r="841" spans="1:106" ht="11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</row>
    <row r="842" spans="1:106" ht="11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</row>
    <row r="843" spans="1:106" ht="11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</row>
    <row r="844" spans="1:106" ht="11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</row>
    <row r="845" spans="1:106" ht="11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</row>
    <row r="846" spans="1:106" ht="11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</row>
    <row r="847" spans="1:106" ht="11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</row>
    <row r="848" spans="1:106" ht="11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</row>
    <row r="849" spans="1:106" ht="11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</row>
    <row r="850" spans="1:106" ht="11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</row>
    <row r="851" spans="1:106" ht="11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</row>
    <row r="852" spans="1:106" ht="11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</row>
    <row r="853" spans="1:106" ht="11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</row>
    <row r="854" spans="1:106" ht="11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</row>
    <row r="855" spans="1:106" ht="11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</row>
    <row r="856" spans="1:106" ht="11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</row>
    <row r="857" spans="1:106" ht="11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</row>
    <row r="858" spans="1:106" ht="11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</row>
    <row r="859" spans="1:106" ht="11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</row>
    <row r="860" spans="1:106" ht="11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</row>
    <row r="861" spans="1:106" ht="11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</row>
    <row r="862" spans="1:106" ht="11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</row>
    <row r="863" spans="1:106" ht="11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</row>
    <row r="864" spans="1:106" ht="11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</row>
    <row r="865" spans="1:106" ht="11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</row>
    <row r="866" spans="1:106" ht="11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</row>
    <row r="867" spans="1:106" ht="11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</row>
    <row r="868" spans="1:106" ht="11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</row>
    <row r="869" spans="1:106" ht="11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</row>
    <row r="870" spans="1:106" ht="11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</row>
    <row r="871" spans="1:106" ht="11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</row>
    <row r="872" spans="1:106" ht="11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</row>
    <row r="873" spans="1:106" ht="11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</row>
    <row r="874" spans="1:106" ht="11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</row>
    <row r="875" spans="1:106" ht="11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</row>
    <row r="876" spans="1:106" ht="11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</row>
    <row r="877" spans="1:106" ht="11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</row>
    <row r="878" spans="1:106" ht="11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</row>
    <row r="879" spans="1:106" ht="11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</row>
    <row r="880" spans="1:106" ht="11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</row>
    <row r="881" spans="1:106" ht="11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</row>
    <row r="882" spans="1:106" ht="11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</row>
    <row r="883" spans="1:106" ht="11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</row>
    <row r="884" spans="1:106" ht="11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</row>
    <row r="885" spans="1:106" ht="11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</row>
    <row r="886" spans="1:106" ht="11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</row>
    <row r="887" spans="1:106" ht="11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</row>
    <row r="888" spans="1:106" ht="11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</row>
    <row r="889" spans="1:106" ht="11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</row>
    <row r="890" spans="1:106" ht="11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</row>
    <row r="891" spans="1:106" ht="11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</row>
    <row r="892" spans="1:106" ht="11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</row>
    <row r="893" spans="1:106" ht="11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</row>
    <row r="894" spans="1:106" ht="11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</row>
    <row r="895" spans="1:106" ht="11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</row>
    <row r="896" spans="1:106" ht="11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</row>
    <row r="897" spans="1:106" ht="11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</row>
    <row r="898" spans="1:106" ht="11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</row>
    <row r="899" spans="1:106" ht="11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</row>
    <row r="900" spans="1:106" ht="11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</row>
    <row r="901" spans="1:106" ht="11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</row>
    <row r="902" spans="1:106" ht="11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</row>
    <row r="903" spans="1:106" ht="11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</row>
    <row r="904" spans="1:106" ht="11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</row>
    <row r="905" spans="1:106" ht="11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</row>
    <row r="906" spans="1:106" ht="11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</row>
    <row r="907" spans="1:106" ht="11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</row>
    <row r="908" spans="1:106" ht="11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</row>
    <row r="909" spans="1:106" ht="11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</row>
    <row r="910" spans="1:106" ht="11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</row>
    <row r="911" spans="1:106" ht="11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</row>
    <row r="912" spans="1:106" ht="11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</row>
    <row r="913" spans="1:106" ht="11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</row>
    <row r="914" spans="1:106" ht="11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</row>
    <row r="915" spans="1:106" ht="11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</row>
    <row r="916" spans="1:106" ht="11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</row>
    <row r="917" spans="1:106" ht="11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</row>
    <row r="918" spans="1:106" ht="11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</row>
    <row r="919" spans="1:106" ht="11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</row>
    <row r="920" spans="1:106" ht="11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</row>
    <row r="921" spans="1:106" ht="11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</row>
    <row r="922" spans="1:106" ht="11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</row>
    <row r="923" spans="1:106" ht="11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</row>
    <row r="924" spans="1:106" ht="11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</row>
    <row r="925" spans="1:106" ht="11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</row>
    <row r="926" spans="1:106" ht="11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</row>
    <row r="927" spans="1:106" ht="11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</row>
    <row r="928" spans="1:106" ht="11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</row>
    <row r="929" spans="1:106" ht="11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</row>
    <row r="930" spans="1:106" ht="11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</row>
    <row r="931" spans="1:106" ht="11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</row>
    <row r="932" spans="1:106" ht="11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</row>
    <row r="933" spans="1:106" ht="11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</row>
    <row r="934" spans="1:106" ht="11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</row>
    <row r="935" spans="1:106" ht="11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</row>
    <row r="936" spans="1:106" ht="11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</row>
    <row r="937" spans="1:106" ht="11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</row>
    <row r="938" spans="1:106" ht="11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</row>
    <row r="939" spans="1:106" ht="11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</row>
    <row r="940" spans="1:106" ht="11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</row>
    <row r="941" spans="1:106" ht="11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</row>
    <row r="942" spans="1:106" ht="11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</row>
    <row r="943" spans="1:106" ht="11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</row>
    <row r="944" spans="1:106" ht="11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</row>
    <row r="945" spans="1:106" ht="11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</row>
    <row r="946" spans="1:106" ht="11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</row>
    <row r="947" spans="1:106" ht="11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</row>
    <row r="948" spans="1:106" ht="11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</row>
    <row r="949" spans="1:106" ht="11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</row>
    <row r="950" spans="1:106" ht="11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</row>
    <row r="951" spans="1:106" ht="11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</row>
    <row r="952" spans="1:106" ht="11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</row>
    <row r="953" spans="1:106" ht="11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</row>
    <row r="954" spans="1:106" ht="11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</row>
    <row r="955" spans="1:106" ht="11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</row>
    <row r="956" spans="1:106" ht="11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</row>
    <row r="957" spans="1:106" ht="11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</row>
    <row r="958" spans="1:106" ht="11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</row>
    <row r="959" spans="1:106" ht="11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</row>
    <row r="960" spans="1:106" ht="11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</row>
    <row r="961" spans="1:106" ht="11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</row>
    <row r="962" spans="1:106" ht="11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</row>
    <row r="963" spans="1:106" ht="11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</row>
    <row r="964" spans="1:106" ht="11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</row>
    <row r="965" spans="1:106" ht="11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</row>
    <row r="966" spans="1:106" ht="11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</row>
    <row r="967" spans="1:106" ht="11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</row>
    <row r="968" spans="1:106" ht="11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</row>
    <row r="969" spans="1:106" ht="11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</row>
    <row r="970" spans="1:106" ht="11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</row>
    <row r="971" spans="1:106" ht="11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</row>
    <row r="972" spans="1:106" ht="11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</row>
    <row r="973" spans="1:106" ht="11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</row>
    <row r="974" spans="1:106" ht="11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</row>
    <row r="975" spans="1:106" ht="11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</row>
    <row r="976" spans="1:106" ht="11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</row>
    <row r="977" spans="1:106" ht="11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</row>
    <row r="978" spans="1:106" ht="11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</row>
    <row r="979" spans="1:106" ht="11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</row>
    <row r="980" spans="1:106" ht="11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</row>
    <row r="981" spans="1:106" ht="11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</row>
    <row r="982" spans="1:106" ht="11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</row>
    <row r="983" spans="1:106" ht="11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</row>
    <row r="984" spans="1:106" ht="11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</row>
    <row r="985" spans="1:106" ht="11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</row>
    <row r="986" spans="1:106" ht="11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</row>
    <row r="987" spans="1:106" ht="11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</row>
    <row r="988" spans="1:106" ht="11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</row>
    <row r="989" spans="1:106" ht="11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</row>
    <row r="990" spans="1:106" ht="11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</row>
    <row r="991" spans="1:106" ht="11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</row>
    <row r="992" spans="1:106" ht="11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</row>
  </sheetData>
  <mergeCells count="343">
    <mergeCell ref="G25:AV25"/>
    <mergeCell ref="AZ25:BL25"/>
    <mergeCell ref="BM26:CB26"/>
    <mergeCell ref="G26:AV26"/>
    <mergeCell ref="A27:Z27"/>
    <mergeCell ref="AK27:AV27"/>
    <mergeCell ref="AZ27:BL27"/>
    <mergeCell ref="BM27:CB27"/>
    <mergeCell ref="BM37:CB37"/>
    <mergeCell ref="CE37:CK37"/>
    <mergeCell ref="CO33:CZ33"/>
    <mergeCell ref="CO34:DA34"/>
    <mergeCell ref="CO35:CZ36"/>
    <mergeCell ref="CO37:DA37"/>
    <mergeCell ref="CC27:CD27"/>
    <mergeCell ref="AA28:AJ28"/>
    <mergeCell ref="A29:F29"/>
    <mergeCell ref="I29:X29"/>
    <mergeCell ref="Y29:AJ29"/>
    <mergeCell ref="BF29:CK29"/>
    <mergeCell ref="AZ30:CK30"/>
    <mergeCell ref="A31:DA31"/>
    <mergeCell ref="AA32:AJ32"/>
    <mergeCell ref="A32:X32"/>
    <mergeCell ref="AA36:AJ36"/>
    <mergeCell ref="AM36:AV36"/>
    <mergeCell ref="AZ36:BH36"/>
    <mergeCell ref="AN37:AZ37"/>
    <mergeCell ref="A37:F38"/>
    <mergeCell ref="I37:U37"/>
    <mergeCell ref="I38:X38"/>
    <mergeCell ref="AA38:AJ38"/>
    <mergeCell ref="AM38:AV38"/>
    <mergeCell ref="CK42:CV42"/>
    <mergeCell ref="CW42:CZ42"/>
    <mergeCell ref="L39:Z39"/>
    <mergeCell ref="AA39:AH39"/>
    <mergeCell ref="A40:CJ40"/>
    <mergeCell ref="W41:AC41"/>
    <mergeCell ref="AD41:AP41"/>
    <mergeCell ref="AQ41:AW41"/>
    <mergeCell ref="A42:H42"/>
    <mergeCell ref="A49:D49"/>
    <mergeCell ref="A50:H50"/>
    <mergeCell ref="A52:H52"/>
    <mergeCell ref="A53:D53"/>
    <mergeCell ref="A55:D55"/>
    <mergeCell ref="AX55:BI55"/>
    <mergeCell ref="BJ55:CC55"/>
    <mergeCell ref="I51:AG51"/>
    <mergeCell ref="W52:AC52"/>
    <mergeCell ref="AH52:AP52"/>
    <mergeCell ref="E53:AP53"/>
    <mergeCell ref="AQ53:AW53"/>
    <mergeCell ref="E54:AP54"/>
    <mergeCell ref="CW43:CZ46"/>
    <mergeCell ref="CW47:CZ48"/>
    <mergeCell ref="CK49:CV50"/>
    <mergeCell ref="CW49:CZ50"/>
    <mergeCell ref="CW51:CZ52"/>
    <mergeCell ref="CK53:CV54"/>
    <mergeCell ref="CW53:CZ54"/>
    <mergeCell ref="A43:D43"/>
    <mergeCell ref="E43:CJ43"/>
    <mergeCell ref="CK43:CV46"/>
    <mergeCell ref="E44:CJ44"/>
    <mergeCell ref="E45:AP45"/>
    <mergeCell ref="E46:AP46"/>
    <mergeCell ref="I47:CG47"/>
    <mergeCell ref="I48:CJ48"/>
    <mergeCell ref="E49:AG49"/>
    <mergeCell ref="AH49:AW49"/>
    <mergeCell ref="AX49:BT49"/>
    <mergeCell ref="W50:AG50"/>
    <mergeCell ref="AH50:AW50"/>
    <mergeCell ref="AX50:CJ50"/>
    <mergeCell ref="AX53:CJ53"/>
    <mergeCell ref="AX54:CJ54"/>
    <mergeCell ref="I50:V50"/>
    <mergeCell ref="F69:AA69"/>
    <mergeCell ref="A63:T63"/>
    <mergeCell ref="A64:T64"/>
    <mergeCell ref="V65:AF65"/>
    <mergeCell ref="J66:M66"/>
    <mergeCell ref="N66:U66"/>
    <mergeCell ref="V66:AA66"/>
    <mergeCell ref="J67:U67"/>
    <mergeCell ref="AQ55:AW55"/>
    <mergeCell ref="E56:AP56"/>
    <mergeCell ref="AQ57:AW57"/>
    <mergeCell ref="A59:DB59"/>
    <mergeCell ref="CA60:CJ60"/>
    <mergeCell ref="CK60:CY60"/>
    <mergeCell ref="CZ60:DB60"/>
    <mergeCell ref="CK61:CY61"/>
    <mergeCell ref="CZ61:DB61"/>
    <mergeCell ref="A61:T61"/>
    <mergeCell ref="U61:AK61"/>
    <mergeCell ref="AU61:BD61"/>
    <mergeCell ref="BE61:BR61"/>
    <mergeCell ref="BS61:BZ61"/>
    <mergeCell ref="CA61:CJ61"/>
    <mergeCell ref="CD55:CJ55"/>
    <mergeCell ref="AL61:AT61"/>
    <mergeCell ref="AX56:BI56"/>
    <mergeCell ref="BJ56:CC56"/>
    <mergeCell ref="AX58:BI58"/>
    <mergeCell ref="CM67:DB67"/>
    <mergeCell ref="CM68:DB68"/>
    <mergeCell ref="CH77:CT77"/>
    <mergeCell ref="CU77:DB77"/>
    <mergeCell ref="B77:S77"/>
    <mergeCell ref="T77:AM77"/>
    <mergeCell ref="AN77:AU77"/>
    <mergeCell ref="AV77:BC77"/>
    <mergeCell ref="BD77:BK77"/>
    <mergeCell ref="BL77:BW77"/>
    <mergeCell ref="BX77:CG77"/>
    <mergeCell ref="AY69:BJ69"/>
    <mergeCell ref="BT69:CL70"/>
    <mergeCell ref="B70:I70"/>
    <mergeCell ref="N70:U70"/>
    <mergeCell ref="X70:AO70"/>
    <mergeCell ref="B71:I71"/>
    <mergeCell ref="J71:U71"/>
    <mergeCell ref="BR71:CL71"/>
    <mergeCell ref="BB73:BQ73"/>
    <mergeCell ref="BR73:CE73"/>
    <mergeCell ref="V71:AO71"/>
    <mergeCell ref="BB71:BQ71"/>
    <mergeCell ref="AB67:AO67"/>
    <mergeCell ref="AF84:AN84"/>
    <mergeCell ref="AO84:AR84"/>
    <mergeCell ref="AS84:AZ84"/>
    <mergeCell ref="BA84:BM84"/>
    <mergeCell ref="BA85:BM85"/>
    <mergeCell ref="BN82:CA82"/>
    <mergeCell ref="BN83:BU83"/>
    <mergeCell ref="BV83:CA83"/>
    <mergeCell ref="BN84:BU84"/>
    <mergeCell ref="BV84:CA84"/>
    <mergeCell ref="CB83:CH83"/>
    <mergeCell ref="CI83:CO83"/>
    <mergeCell ref="CB84:CH84"/>
    <mergeCell ref="CI84:CO84"/>
    <mergeCell ref="A81:DB81"/>
    <mergeCell ref="AF82:AN82"/>
    <mergeCell ref="AO82:AZ82"/>
    <mergeCell ref="BA82:BM83"/>
    <mergeCell ref="CB82:CO82"/>
    <mergeCell ref="CP82:CU82"/>
    <mergeCell ref="AS83:AZ83"/>
    <mergeCell ref="D84:G84"/>
    <mergeCell ref="H84:Q84"/>
    <mergeCell ref="R84:Y84"/>
    <mergeCell ref="Z84:AE84"/>
    <mergeCell ref="A82:AE82"/>
    <mergeCell ref="A83:C83"/>
    <mergeCell ref="D83:G83"/>
    <mergeCell ref="H83:Q83"/>
    <mergeCell ref="R83:Y83"/>
    <mergeCell ref="Z83:AE83"/>
    <mergeCell ref="A84:C84"/>
    <mergeCell ref="AF83:AN83"/>
    <mergeCell ref="AO83:AR83"/>
    <mergeCell ref="BN86:BU87"/>
    <mergeCell ref="BV86:CA87"/>
    <mergeCell ref="CB86:CH87"/>
    <mergeCell ref="CI86:CO87"/>
    <mergeCell ref="CP87:DB87"/>
    <mergeCell ref="BA87:BG87"/>
    <mergeCell ref="BH87:BM87"/>
    <mergeCell ref="A86:G87"/>
    <mergeCell ref="H86:Q87"/>
    <mergeCell ref="R86:Y87"/>
    <mergeCell ref="Z86:AN87"/>
    <mergeCell ref="AO86:AR87"/>
    <mergeCell ref="AS86:AZ87"/>
    <mergeCell ref="BA86:BM86"/>
    <mergeCell ref="BN88:BU88"/>
    <mergeCell ref="BV88:CA88"/>
    <mergeCell ref="CB88:CH88"/>
    <mergeCell ref="CI88:CO88"/>
    <mergeCell ref="CP89:DB89"/>
    <mergeCell ref="CP91:DB91"/>
    <mergeCell ref="A90:G90"/>
    <mergeCell ref="Z90:AN90"/>
    <mergeCell ref="A91:G91"/>
    <mergeCell ref="Z91:AN91"/>
    <mergeCell ref="Z88:AN88"/>
    <mergeCell ref="Z89:AN89"/>
    <mergeCell ref="H88:Q88"/>
    <mergeCell ref="R88:Y88"/>
    <mergeCell ref="AO88:AR88"/>
    <mergeCell ref="AS88:AZ88"/>
    <mergeCell ref="BA88:BG88"/>
    <mergeCell ref="BH88:BM88"/>
    <mergeCell ref="A89:G89"/>
    <mergeCell ref="AR14:BH14"/>
    <mergeCell ref="BI14:BN14"/>
    <mergeCell ref="O11:CM11"/>
    <mergeCell ref="A12:DB12"/>
    <mergeCell ref="F14:L14"/>
    <mergeCell ref="M14:AB14"/>
    <mergeCell ref="AC14:AI14"/>
    <mergeCell ref="AJ14:AQ14"/>
    <mergeCell ref="CS14:DB14"/>
    <mergeCell ref="A14:E14"/>
    <mergeCell ref="M15:AB15"/>
    <mergeCell ref="AC15:AI15"/>
    <mergeCell ref="AJ15:AQ15"/>
    <mergeCell ref="AR15:BH15"/>
    <mergeCell ref="BI15:BN15"/>
    <mergeCell ref="A15:E15"/>
    <mergeCell ref="A16:E16"/>
    <mergeCell ref="AC16:AI16"/>
    <mergeCell ref="AJ16:AQ16"/>
    <mergeCell ref="AR16:BH16"/>
    <mergeCell ref="BI16:BN16"/>
    <mergeCell ref="O4:BO4"/>
    <mergeCell ref="O5:CF5"/>
    <mergeCell ref="CG5:CW5"/>
    <mergeCell ref="A6:N6"/>
    <mergeCell ref="O6:CM6"/>
    <mergeCell ref="CN6:CW6"/>
    <mergeCell ref="O7:CM7"/>
    <mergeCell ref="CY22:DA25"/>
    <mergeCell ref="CE23:CK25"/>
    <mergeCell ref="CE14:CI14"/>
    <mergeCell ref="CJ14:CR14"/>
    <mergeCell ref="CJ15:CR15"/>
    <mergeCell ref="CS15:DB15"/>
    <mergeCell ref="CJ16:CR16"/>
    <mergeCell ref="CJ17:CR17"/>
    <mergeCell ref="CJ18:CR18"/>
    <mergeCell ref="BO16:BX16"/>
    <mergeCell ref="BO14:BX14"/>
    <mergeCell ref="BY14:CD14"/>
    <mergeCell ref="BO15:BX15"/>
    <mergeCell ref="BY15:CD15"/>
    <mergeCell ref="CE15:CI15"/>
    <mergeCell ref="CE16:CI16"/>
    <mergeCell ref="BY17:CD17"/>
    <mergeCell ref="BU1:DB1"/>
    <mergeCell ref="CX2:DB2"/>
    <mergeCell ref="CG3:CW3"/>
    <mergeCell ref="CX3:DB3"/>
    <mergeCell ref="BP4:CS4"/>
    <mergeCell ref="CT4:CW4"/>
    <mergeCell ref="CX4:DB4"/>
    <mergeCell ref="CX5:DB5"/>
    <mergeCell ref="CX7:DB8"/>
    <mergeCell ref="A8:N8"/>
    <mergeCell ref="O8:CM8"/>
    <mergeCell ref="CN8:CW8"/>
    <mergeCell ref="O9:CM9"/>
    <mergeCell ref="A10:N10"/>
    <mergeCell ref="O10:CM10"/>
    <mergeCell ref="CN10:CW10"/>
    <mergeCell ref="CO20:CX21"/>
    <mergeCell ref="CY20:DA21"/>
    <mergeCell ref="CE21:CK22"/>
    <mergeCell ref="CL22:CN22"/>
    <mergeCell ref="M17:AB17"/>
    <mergeCell ref="AC17:AI17"/>
    <mergeCell ref="AC18:AI18"/>
    <mergeCell ref="AA19:AY19"/>
    <mergeCell ref="AZ19:BL19"/>
    <mergeCell ref="G20:AY20"/>
    <mergeCell ref="G21:AY21"/>
    <mergeCell ref="CX9:DB10"/>
    <mergeCell ref="CO22:CX25"/>
    <mergeCell ref="BY18:CD18"/>
    <mergeCell ref="BM19:CB19"/>
    <mergeCell ref="AZ20:CB20"/>
    <mergeCell ref="F15:L15"/>
    <mergeCell ref="CO26:CX26"/>
    <mergeCell ref="A20:F20"/>
    <mergeCell ref="A22:F22"/>
    <mergeCell ref="A25:F25"/>
    <mergeCell ref="AZ28:BE28"/>
    <mergeCell ref="BF28:CK28"/>
    <mergeCell ref="I34:X34"/>
    <mergeCell ref="AA34:AJ34"/>
    <mergeCell ref="A35:X35"/>
    <mergeCell ref="AM35:AY35"/>
    <mergeCell ref="A33:F33"/>
    <mergeCell ref="I33:Y33"/>
    <mergeCell ref="AM33:AY33"/>
    <mergeCell ref="AZ33:BL34"/>
    <mergeCell ref="AM34:AV34"/>
    <mergeCell ref="CE34:CK34"/>
    <mergeCell ref="BM33:CB33"/>
    <mergeCell ref="BM34:CB34"/>
    <mergeCell ref="BN35:CB36"/>
    <mergeCell ref="CE35:CJ36"/>
    <mergeCell ref="G22:AV22"/>
    <mergeCell ref="AZ22:BL22"/>
    <mergeCell ref="G23:AV24"/>
    <mergeCell ref="BM23:CB23"/>
    <mergeCell ref="A39:B39"/>
    <mergeCell ref="G39:K39"/>
    <mergeCell ref="BB66:BJ66"/>
    <mergeCell ref="BK66:BQ66"/>
    <mergeCell ref="BR66:BY66"/>
    <mergeCell ref="BB67:BJ67"/>
    <mergeCell ref="BR67:BY67"/>
    <mergeCell ref="AY68:BJ68"/>
    <mergeCell ref="BK68:BQ68"/>
    <mergeCell ref="A62:T62"/>
    <mergeCell ref="A58:V58"/>
    <mergeCell ref="A60:T60"/>
    <mergeCell ref="U60:AK60"/>
    <mergeCell ref="AL60:AT60"/>
    <mergeCell ref="AU60:BD60"/>
    <mergeCell ref="BE60:BR60"/>
    <mergeCell ref="BS60:BZ60"/>
    <mergeCell ref="AQ62:AR62"/>
    <mergeCell ref="AB66:AO66"/>
    <mergeCell ref="F68:AA68"/>
    <mergeCell ref="AQ45:BI45"/>
    <mergeCell ref="BJ45:CC45"/>
    <mergeCell ref="A45:D45"/>
    <mergeCell ref="A47:H47"/>
    <mergeCell ref="CF72:CL74"/>
    <mergeCell ref="AT73:BA73"/>
    <mergeCell ref="BL75:CG75"/>
    <mergeCell ref="CH75:CT76"/>
    <mergeCell ref="CU75:DB76"/>
    <mergeCell ref="BL76:BW76"/>
    <mergeCell ref="BX76:CG76"/>
    <mergeCell ref="AV76:BC76"/>
    <mergeCell ref="BD76:BK76"/>
    <mergeCell ref="F74:M74"/>
    <mergeCell ref="N74:AF74"/>
    <mergeCell ref="A75:A76"/>
    <mergeCell ref="B75:S76"/>
    <mergeCell ref="T75:AM76"/>
    <mergeCell ref="AN75:AU76"/>
    <mergeCell ref="AV75:BK75"/>
    <mergeCell ref="P72:AF73"/>
    <mergeCell ref="AG72:AO74"/>
    <mergeCell ref="AP72:AS72"/>
  </mergeCells>
  <pageMargins left="0.39374999999999999" right="0.39374999999999999" top="0.39374999999999999" bottom="0.39374999999999999" header="0" footer="0"/>
  <pageSetup paperSize="9" scale="88" fitToHeight="0" pageOrder="overThenDown" orientation="landscape" r:id="rId1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438"/>
  <sheetViews>
    <sheetView workbookViewId="0"/>
  </sheetViews>
  <sheetFormatPr defaultColWidth="14.3984375" defaultRowHeight="15" customHeight="1" x14ac:dyDescent="0.3"/>
  <cols>
    <col min="3" max="3" width="22.8984375" customWidth="1"/>
    <col min="5" max="5" width="19.69921875" customWidth="1"/>
    <col min="8" max="8" width="35" customWidth="1"/>
  </cols>
  <sheetData>
    <row r="1" spans="1:11" ht="15" customHeight="1" x14ac:dyDescent="0.3">
      <c r="A1" s="1" t="str">
        <f ca="1">IFERROR(__xludf.DUMMYFUNCTION("QUERY(arrayformula(to_text(IMPORTRANGE('Настройка'!B1,""март 2024!A1:AS9999""))),""select Col9, Col6, Col14, Col18, Col13, Col10, Col11, Col15, Col16, Col20, Col1 where Col9 is not null"")"),"Номер ТН")</f>
        <v>Номер ТН</v>
      </c>
      <c r="B1" s="1" t="str">
        <f ca="1">IFERROR(__xludf.DUMMYFUNCTION("""COMPUTED_VALUE"""),"Дата погрузки")</f>
        <v>Дата погрузки</v>
      </c>
      <c r="C1" s="1" t="str">
        <f ca="1">IFERROR(__xludf.DUMMYFUNCTION("""COMPUTED_VALUE"""),"Наименование груза")</f>
        <v>Наименование груза</v>
      </c>
      <c r="D1" s="1" t="str">
        <f ca="1">IFERROR(__xludf.DUMMYFUNCTION("""COMPUTED_VALUE"""),"Кол-во тн/ч  (куб.м) ПОГРУЗКА")</f>
        <v>Кол-во тн/ч  (куб.м) ПОГРУЗКА</v>
      </c>
      <c r="E1" s="1" t="str">
        <f ca="1">IFERROR(__xludf.DUMMYFUNCTION("""COMPUTED_VALUE"""),"ФИО водителя")</f>
        <v>ФИО водителя</v>
      </c>
      <c r="F1" s="1" t="str">
        <f ca="1">IFERROR(__xludf.DUMMYFUNCTION("""COMPUTED_VALUE"""),"Марка")</f>
        <v>Марка</v>
      </c>
      <c r="G1" s="1" t="str">
        <f ca="1">IFERROR(__xludf.DUMMYFUNCTION("""COMPUTED_VALUE"""),"Номер а/м")</f>
        <v>Номер а/м</v>
      </c>
      <c r="H1" s="1" t="str">
        <f ca="1">IFERROR(__xludf.DUMMYFUNCTION("""COMPUTED_VALUE"""),"Пукт погрузки")</f>
        <v>Пукт погрузки</v>
      </c>
      <c r="I1" s="1" t="str">
        <f ca="1">IFERROR(__xludf.DUMMYFUNCTION("""COMPUTED_VALUE"""),"Пункт разгрузки ")</f>
        <v xml:space="preserve">Пункт разгрузки </v>
      </c>
      <c r="J1" s="1" t="str">
        <f ca="1">IFERROR(__xludf.DUMMYFUNCTION("""COMPUTED_VALUE"""),"Кол-во, тн/рейсов/часов ВЫГРУЗКА")</f>
        <v>Кол-во, тн/рейсов/часов ВЫГРУЗКА</v>
      </c>
      <c r="K1" s="1" t="str">
        <f ca="1">IFERROR(__xludf.DUMMYFUNCTION("""COMPUTED_VALUE"""),"Заказчик")</f>
        <v>Заказчик</v>
      </c>
    </row>
    <row r="2" spans="1:11" ht="15" customHeight="1" x14ac:dyDescent="0.3">
      <c r="A2" s="1" t="str">
        <f ca="1">IFERROR(__xludf.DUMMYFUNCTION("""COMPUTED_VALUE"""),"101612")</f>
        <v>101612</v>
      </c>
      <c r="B2" s="1" t="str">
        <f ca="1">IFERROR(__xludf.DUMMYFUNCTION("""COMPUTED_VALUE"""),"01.03.2024")</f>
        <v>01.03.2024</v>
      </c>
      <c r="C2" s="1" t="str">
        <f ca="1">IFERROR(__xludf.DUMMYFUNCTION("""COMPUTED_VALUE"""),"Щебень 5-20")</f>
        <v>Щебень 5-20</v>
      </c>
      <c r="D2" s="1" t="str">
        <f ca="1">IFERROR(__xludf.DUMMYFUNCTION("""COMPUTED_VALUE"""),"29,50")</f>
        <v>29,50</v>
      </c>
      <c r="E2" s="1" t="str">
        <f ca="1">IFERROR(__xludf.DUMMYFUNCTION("""COMPUTED_VALUE"""),"Ефремов Сергей Михайлович")</f>
        <v>Ефремов Сергей Михайлович</v>
      </c>
      <c r="F2" s="1" t="str">
        <f ca="1">IFERROR(__xludf.DUMMYFUNCTION("""COMPUTED_VALUE"""),"HOWO")</f>
        <v>HOWO</v>
      </c>
      <c r="G2" s="1" t="str">
        <f ca="1">IFERROR(__xludf.DUMMYFUNCTION("""COMPUTED_VALUE"""),"М648ВА774")</f>
        <v>М648ВА774</v>
      </c>
      <c r="H2" s="1" t="str">
        <f ca="1">IFERROR(__xludf.DUMMYFUNCTION("""COMPUTED_VALUE"""),"г. Магнитогорск, КПП № 23 ПАО ""ММК""")</f>
        <v>г. Магнитогорск, КПП № 23 ПАО "ММК"</v>
      </c>
      <c r="I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" s="1" t="str">
        <f ca="1">IFERROR(__xludf.DUMMYFUNCTION("""COMPUTED_VALUE"""),"29,50")</f>
        <v>29,50</v>
      </c>
      <c r="K2" s="1" t="str">
        <f ca="1">IFERROR(__xludf.DUMMYFUNCTION("""COMPUTED_VALUE"""),"ПрокатМонтаж")</f>
        <v>ПрокатМонтаж</v>
      </c>
    </row>
    <row r="3" spans="1:11" ht="15" customHeight="1" x14ac:dyDescent="0.3">
      <c r="A3" s="1" t="str">
        <f ca="1">IFERROR(__xludf.DUMMYFUNCTION("""COMPUTED_VALUE"""),"101620")</f>
        <v>101620</v>
      </c>
      <c r="B3" s="1" t="str">
        <f ca="1">IFERROR(__xludf.DUMMYFUNCTION("""COMPUTED_VALUE"""),"01.03.2024")</f>
        <v>01.03.2024</v>
      </c>
      <c r="C3" s="1" t="str">
        <f ca="1">IFERROR(__xludf.DUMMYFUNCTION("""COMPUTED_VALUE"""),"Щебень 5-20")</f>
        <v>Щебень 5-20</v>
      </c>
      <c r="D3" s="1" t="str">
        <f ca="1">IFERROR(__xludf.DUMMYFUNCTION("""COMPUTED_VALUE"""),"29,92")</f>
        <v>29,92</v>
      </c>
      <c r="E3" s="1" t="str">
        <f ca="1">IFERROR(__xludf.DUMMYFUNCTION("""COMPUTED_VALUE"""),"Ефремов Сергей Михайлович")</f>
        <v>Ефремов Сергей Михайлович</v>
      </c>
      <c r="F3" s="1" t="str">
        <f ca="1">IFERROR(__xludf.DUMMYFUNCTION("""COMPUTED_VALUE"""),"HOWO")</f>
        <v>HOWO</v>
      </c>
      <c r="G3" s="1" t="str">
        <f ca="1">IFERROR(__xludf.DUMMYFUNCTION("""COMPUTED_VALUE"""),"М648ВА774")</f>
        <v>М648ВА774</v>
      </c>
      <c r="H3" s="1" t="str">
        <f ca="1">IFERROR(__xludf.DUMMYFUNCTION("""COMPUTED_VALUE"""),"г. Магнитогорск, КПП № 23 ПАО ""ММК""")</f>
        <v>г. Магнитогорск, КПП № 23 ПАО "ММК"</v>
      </c>
      <c r="I3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" s="1" t="str">
        <f ca="1">IFERROR(__xludf.DUMMYFUNCTION("""COMPUTED_VALUE"""),"29,92")</f>
        <v>29,92</v>
      </c>
      <c r="K3" s="1" t="str">
        <f ca="1">IFERROR(__xludf.DUMMYFUNCTION("""COMPUTED_VALUE"""),"ПрокатМонтаж")</f>
        <v>ПрокатМонтаж</v>
      </c>
    </row>
    <row r="4" spans="1:11" ht="15" customHeight="1" x14ac:dyDescent="0.3">
      <c r="A4" s="1" t="str">
        <f ca="1">IFERROR(__xludf.DUMMYFUNCTION("""COMPUTED_VALUE"""),"101626")</f>
        <v>101626</v>
      </c>
      <c r="B4" s="1" t="str">
        <f ca="1">IFERROR(__xludf.DUMMYFUNCTION("""COMPUTED_VALUE"""),"01.03.2024")</f>
        <v>01.03.2024</v>
      </c>
      <c r="C4" s="1" t="str">
        <f ca="1">IFERROR(__xludf.DUMMYFUNCTION("""COMPUTED_VALUE"""),"Щебень 5-20")</f>
        <v>Щебень 5-20</v>
      </c>
      <c r="D4" s="1" t="str">
        <f ca="1">IFERROR(__xludf.DUMMYFUNCTION("""COMPUTED_VALUE"""),"30,16")</f>
        <v>30,16</v>
      </c>
      <c r="E4" s="1" t="str">
        <f ca="1">IFERROR(__xludf.DUMMYFUNCTION("""COMPUTED_VALUE"""),"Ефремов Сергей Михайлович")</f>
        <v>Ефремов Сергей Михайлович</v>
      </c>
      <c r="F4" s="1" t="str">
        <f ca="1">IFERROR(__xludf.DUMMYFUNCTION("""COMPUTED_VALUE"""),"HOWO")</f>
        <v>HOWO</v>
      </c>
      <c r="G4" s="1" t="str">
        <f ca="1">IFERROR(__xludf.DUMMYFUNCTION("""COMPUTED_VALUE"""),"М648ВА774")</f>
        <v>М648ВА774</v>
      </c>
      <c r="H4" s="1" t="str">
        <f ca="1">IFERROR(__xludf.DUMMYFUNCTION("""COMPUTED_VALUE"""),"г. Магнитогорск, КПП № 23 ПАО ""ММК""")</f>
        <v>г. Магнитогорск, КПП № 23 ПАО "ММК"</v>
      </c>
      <c r="I4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4" s="1" t="str">
        <f ca="1">IFERROR(__xludf.DUMMYFUNCTION("""COMPUTED_VALUE"""),"30,16")</f>
        <v>30,16</v>
      </c>
      <c r="K4" s="1" t="str">
        <f ca="1">IFERROR(__xludf.DUMMYFUNCTION("""COMPUTED_VALUE"""),"ПрокатМонтаж")</f>
        <v>ПрокатМонтаж</v>
      </c>
    </row>
    <row r="5" spans="1:11" ht="15" customHeight="1" x14ac:dyDescent="0.3">
      <c r="A5" s="1" t="str">
        <f ca="1">IFERROR(__xludf.DUMMYFUNCTION("""COMPUTED_VALUE"""),"101634")</f>
        <v>101634</v>
      </c>
      <c r="B5" s="1" t="str">
        <f ca="1">IFERROR(__xludf.DUMMYFUNCTION("""COMPUTED_VALUE"""),"01.03.2024")</f>
        <v>01.03.2024</v>
      </c>
      <c r="C5" s="1" t="str">
        <f ca="1">IFERROR(__xludf.DUMMYFUNCTION("""COMPUTED_VALUE"""),"Щебень 5-20")</f>
        <v>Щебень 5-20</v>
      </c>
      <c r="D5" s="1" t="str">
        <f ca="1">IFERROR(__xludf.DUMMYFUNCTION("""COMPUTED_VALUE"""),"29,88")</f>
        <v>29,88</v>
      </c>
      <c r="E5" s="1" t="str">
        <f ca="1">IFERROR(__xludf.DUMMYFUNCTION("""COMPUTED_VALUE"""),"Ефремов Сергей Михайлович")</f>
        <v>Ефремов Сергей Михайлович</v>
      </c>
      <c r="F5" s="1" t="str">
        <f ca="1">IFERROR(__xludf.DUMMYFUNCTION("""COMPUTED_VALUE"""),"HOWO")</f>
        <v>HOWO</v>
      </c>
      <c r="G5" s="1" t="str">
        <f ca="1">IFERROR(__xludf.DUMMYFUNCTION("""COMPUTED_VALUE"""),"М648ВА774")</f>
        <v>М648ВА774</v>
      </c>
      <c r="H5" s="1" t="str">
        <f ca="1">IFERROR(__xludf.DUMMYFUNCTION("""COMPUTED_VALUE"""),"г. Магнитогорск, КПП № 23 ПАО ""ММК""")</f>
        <v>г. Магнитогорск, КПП № 23 ПАО "ММК"</v>
      </c>
      <c r="I5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5" s="1" t="str">
        <f ca="1">IFERROR(__xludf.DUMMYFUNCTION("""COMPUTED_VALUE"""),"29,88")</f>
        <v>29,88</v>
      </c>
      <c r="K5" s="1" t="str">
        <f ca="1">IFERROR(__xludf.DUMMYFUNCTION("""COMPUTED_VALUE"""),"ПрокатМонтаж")</f>
        <v>ПрокатМонтаж</v>
      </c>
    </row>
    <row r="6" spans="1:11" ht="15" customHeight="1" x14ac:dyDescent="0.3">
      <c r="A6" s="1" t="str">
        <f ca="1">IFERROR(__xludf.DUMMYFUNCTION("""COMPUTED_VALUE"""),"101611")</f>
        <v>101611</v>
      </c>
      <c r="B6" s="1" t="str">
        <f ca="1">IFERROR(__xludf.DUMMYFUNCTION("""COMPUTED_VALUE"""),"01.03.2024")</f>
        <v>01.03.2024</v>
      </c>
      <c r="C6" s="1" t="str">
        <f ca="1">IFERROR(__xludf.DUMMYFUNCTION("""COMPUTED_VALUE"""),"Щебень 5-20")</f>
        <v>Щебень 5-20</v>
      </c>
      <c r="D6" s="1" t="str">
        <f ca="1">IFERROR(__xludf.DUMMYFUNCTION("""COMPUTED_VALUE"""),"44,40")</f>
        <v>44,40</v>
      </c>
      <c r="E6" s="1" t="str">
        <f ca="1">IFERROR(__xludf.DUMMYFUNCTION("""COMPUTED_VALUE"""),"Косарев Анатолий Юрьевич")</f>
        <v>Косарев Анатолий Юрьевич</v>
      </c>
      <c r="F6" s="1" t="str">
        <f ca="1">IFERROR(__xludf.DUMMYFUNCTION("""COMPUTED_VALUE"""),"HOWO")</f>
        <v>HOWO</v>
      </c>
      <c r="G6" s="1" t="str">
        <f ca="1">IFERROR(__xludf.DUMMYFUNCTION("""COMPUTED_VALUE"""),"К800ВН774")</f>
        <v>К800ВН774</v>
      </c>
      <c r="H6" s="1" t="str">
        <f ca="1">IFERROR(__xludf.DUMMYFUNCTION("""COMPUTED_VALUE"""),"г. Магнитогорск, КПП № 23 ПАО ""ММК""")</f>
        <v>г. Магнитогорск, КПП № 23 ПАО "ММК"</v>
      </c>
      <c r="I6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6" s="1" t="str">
        <f ca="1">IFERROR(__xludf.DUMMYFUNCTION("""COMPUTED_VALUE"""),"44,40")</f>
        <v>44,40</v>
      </c>
      <c r="K6" s="1" t="str">
        <f ca="1">IFERROR(__xludf.DUMMYFUNCTION("""COMPUTED_VALUE"""),"ПрокатМонтаж")</f>
        <v>ПрокатМонтаж</v>
      </c>
    </row>
    <row r="7" spans="1:11" ht="15" customHeight="1" x14ac:dyDescent="0.3">
      <c r="A7" s="1" t="str">
        <f ca="1">IFERROR(__xludf.DUMMYFUNCTION("""COMPUTED_VALUE"""),"101616")</f>
        <v>101616</v>
      </c>
      <c r="B7" s="1" t="str">
        <f ca="1">IFERROR(__xludf.DUMMYFUNCTION("""COMPUTED_VALUE"""),"01.03.2024")</f>
        <v>01.03.2024</v>
      </c>
      <c r="C7" s="1" t="str">
        <f ca="1">IFERROR(__xludf.DUMMYFUNCTION("""COMPUTED_VALUE"""),"Щебень 5-20")</f>
        <v>Щебень 5-20</v>
      </c>
      <c r="D7" s="1" t="str">
        <f ca="1">IFERROR(__xludf.DUMMYFUNCTION("""COMPUTED_VALUE"""),"43,58")</f>
        <v>43,58</v>
      </c>
      <c r="E7" s="1" t="str">
        <f ca="1">IFERROR(__xludf.DUMMYFUNCTION("""COMPUTED_VALUE"""),"Косарев Анатолий Юрьевич")</f>
        <v>Косарев Анатолий Юрьевич</v>
      </c>
      <c r="F7" s="1" t="str">
        <f ca="1">IFERROR(__xludf.DUMMYFUNCTION("""COMPUTED_VALUE"""),"HOWO")</f>
        <v>HOWO</v>
      </c>
      <c r="G7" s="1" t="str">
        <f ca="1">IFERROR(__xludf.DUMMYFUNCTION("""COMPUTED_VALUE"""),"К800ВН774")</f>
        <v>К800ВН774</v>
      </c>
      <c r="H7" s="1" t="str">
        <f ca="1">IFERROR(__xludf.DUMMYFUNCTION("""COMPUTED_VALUE"""),"г. Магнитогорск, КПП № 23 ПАО ""ММК""")</f>
        <v>г. Магнитогорск, КПП № 23 ПАО "ММК"</v>
      </c>
      <c r="I7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7" s="1" t="str">
        <f ca="1">IFERROR(__xludf.DUMMYFUNCTION("""COMPUTED_VALUE"""),"43,58")</f>
        <v>43,58</v>
      </c>
      <c r="K7" s="1" t="str">
        <f ca="1">IFERROR(__xludf.DUMMYFUNCTION("""COMPUTED_VALUE"""),"ПрокатМонтаж")</f>
        <v>ПрокатМонтаж</v>
      </c>
    </row>
    <row r="8" spans="1:11" ht="15" customHeight="1" x14ac:dyDescent="0.3">
      <c r="A8" s="1" t="str">
        <f ca="1">IFERROR(__xludf.DUMMYFUNCTION("""COMPUTED_VALUE"""),"101625")</f>
        <v>101625</v>
      </c>
      <c r="B8" s="1" t="str">
        <f ca="1">IFERROR(__xludf.DUMMYFUNCTION("""COMPUTED_VALUE"""),"01.03.2024")</f>
        <v>01.03.2024</v>
      </c>
      <c r="C8" s="1" t="str">
        <f ca="1">IFERROR(__xludf.DUMMYFUNCTION("""COMPUTED_VALUE"""),"Щебень 5-20")</f>
        <v>Щебень 5-20</v>
      </c>
      <c r="D8" s="1" t="str">
        <f ca="1">IFERROR(__xludf.DUMMYFUNCTION("""COMPUTED_VALUE"""),"49,88")</f>
        <v>49,88</v>
      </c>
      <c r="E8" s="1" t="str">
        <f ca="1">IFERROR(__xludf.DUMMYFUNCTION("""COMPUTED_VALUE"""),"Косарев Анатолий Юрьевич")</f>
        <v>Косарев Анатолий Юрьевич</v>
      </c>
      <c r="F8" s="1" t="str">
        <f ca="1">IFERROR(__xludf.DUMMYFUNCTION("""COMPUTED_VALUE"""),"HOWO")</f>
        <v>HOWO</v>
      </c>
      <c r="G8" s="1" t="str">
        <f ca="1">IFERROR(__xludf.DUMMYFUNCTION("""COMPUTED_VALUE"""),"К800ВН774")</f>
        <v>К800ВН774</v>
      </c>
      <c r="H8" s="1" t="str">
        <f ca="1">IFERROR(__xludf.DUMMYFUNCTION("""COMPUTED_VALUE"""),"г. Магнитогорск, КПП № 23 ПАО ""ММК""")</f>
        <v>г. Магнитогорск, КПП № 23 ПАО "ММК"</v>
      </c>
      <c r="I8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8" s="1" t="str">
        <f ca="1">IFERROR(__xludf.DUMMYFUNCTION("""COMPUTED_VALUE"""),"49,88")</f>
        <v>49,88</v>
      </c>
      <c r="K8" s="1" t="str">
        <f ca="1">IFERROR(__xludf.DUMMYFUNCTION("""COMPUTED_VALUE"""),"ПрокатМонтаж")</f>
        <v>ПрокатМонтаж</v>
      </c>
    </row>
    <row r="9" spans="1:11" ht="15" customHeight="1" x14ac:dyDescent="0.3">
      <c r="A9" s="1" t="str">
        <f ca="1">IFERROR(__xludf.DUMMYFUNCTION("""COMPUTED_VALUE"""),"101627")</f>
        <v>101627</v>
      </c>
      <c r="B9" s="1" t="str">
        <f ca="1">IFERROR(__xludf.DUMMYFUNCTION("""COMPUTED_VALUE"""),"01.03.2024")</f>
        <v>01.03.2024</v>
      </c>
      <c r="C9" s="1" t="str">
        <f ca="1">IFERROR(__xludf.DUMMYFUNCTION("""COMPUTED_VALUE"""),"Щебень 5-20")</f>
        <v>Щебень 5-20</v>
      </c>
      <c r="D9" s="1" t="str">
        <f ca="1">IFERROR(__xludf.DUMMYFUNCTION("""COMPUTED_VALUE"""),"50,30")</f>
        <v>50,30</v>
      </c>
      <c r="E9" s="1" t="str">
        <f ca="1">IFERROR(__xludf.DUMMYFUNCTION("""COMPUTED_VALUE"""),"Косарев Анатолий Юрьевич")</f>
        <v>Косарев Анатолий Юрьевич</v>
      </c>
      <c r="F9" s="1" t="str">
        <f ca="1">IFERROR(__xludf.DUMMYFUNCTION("""COMPUTED_VALUE"""),"HOWO")</f>
        <v>HOWO</v>
      </c>
      <c r="G9" s="1" t="str">
        <f ca="1">IFERROR(__xludf.DUMMYFUNCTION("""COMPUTED_VALUE"""),"К800ВН774")</f>
        <v>К800ВН774</v>
      </c>
      <c r="H9" s="1" t="str">
        <f ca="1">IFERROR(__xludf.DUMMYFUNCTION("""COMPUTED_VALUE"""),"г. Магнитогорск, КПП № 23 ПАО ""ММК""")</f>
        <v>г. Магнитогорск, КПП № 23 ПАО "ММК"</v>
      </c>
      <c r="I9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9" s="1" t="str">
        <f ca="1">IFERROR(__xludf.DUMMYFUNCTION("""COMPUTED_VALUE"""),"50,30")</f>
        <v>50,30</v>
      </c>
      <c r="K9" s="1" t="str">
        <f ca="1">IFERROR(__xludf.DUMMYFUNCTION("""COMPUTED_VALUE"""),"ПрокатМонтаж")</f>
        <v>ПрокатМонтаж</v>
      </c>
    </row>
    <row r="10" spans="1:11" ht="15" customHeight="1" x14ac:dyDescent="0.3">
      <c r="A10" s="1" t="str">
        <f ca="1">IFERROR(__xludf.DUMMYFUNCTION("""COMPUTED_VALUE"""),"773")</f>
        <v>773</v>
      </c>
      <c r="B10" s="1" t="str">
        <f ca="1">IFERROR(__xludf.DUMMYFUNCTION("""COMPUTED_VALUE"""),"01.03.2024")</f>
        <v>01.03.2024</v>
      </c>
      <c r="C10" s="1" t="str">
        <f ca="1">IFERROR(__xludf.DUMMYFUNCTION("""COMPUTED_VALUE"""),"Песок")</f>
        <v>Песок</v>
      </c>
      <c r="D10" s="1" t="str">
        <f ca="1">IFERROR(__xludf.DUMMYFUNCTION("""COMPUTED_VALUE"""),"43,55")</f>
        <v>43,55</v>
      </c>
      <c r="E10" s="1" t="str">
        <f ca="1">IFERROR(__xludf.DUMMYFUNCTION("""COMPUTED_VALUE"""),"Руковицын Виктор Анатольевич")</f>
        <v>Руковицын Виктор Анатольевич</v>
      </c>
      <c r="F10" s="1" t="str">
        <f ca="1">IFERROR(__xludf.DUMMYFUNCTION("""COMPUTED_VALUE"""),"FAW")</f>
        <v>FAW</v>
      </c>
      <c r="G10" s="1" t="str">
        <f ca="1">IFERROR(__xludf.DUMMYFUNCTION("""COMPUTED_VALUE"""),"С621КМ774")</f>
        <v>С621КМ774</v>
      </c>
      <c r="H10" s="1" t="str">
        <f ca="1">IFERROR(__xludf.DUMMYFUNCTION("""COMPUTED_VALUE"""),"Карьер Трест МС, п. Агаповка")</f>
        <v>Карьер Трест МС, п. Агаповка</v>
      </c>
      <c r="I10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0" s="1" t="str">
        <f ca="1">IFERROR(__xludf.DUMMYFUNCTION("""COMPUTED_VALUE"""),"43,55")</f>
        <v>43,55</v>
      </c>
      <c r="K10" s="1" t="str">
        <f ca="1">IFERROR(__xludf.DUMMYFUNCTION("""COMPUTED_VALUE"""),"ПрокатМонтаж")</f>
        <v>ПрокатМонтаж</v>
      </c>
    </row>
    <row r="11" spans="1:11" ht="15" customHeight="1" x14ac:dyDescent="0.3">
      <c r="A11" s="1" t="str">
        <f ca="1">IFERROR(__xludf.DUMMYFUNCTION("""COMPUTED_VALUE"""),"781")</f>
        <v>781</v>
      </c>
      <c r="B11" s="1" t="str">
        <f ca="1">IFERROR(__xludf.DUMMYFUNCTION("""COMPUTED_VALUE"""),"01.03.2024")</f>
        <v>01.03.2024</v>
      </c>
      <c r="C11" s="1" t="str">
        <f ca="1">IFERROR(__xludf.DUMMYFUNCTION("""COMPUTED_VALUE"""),"Песок")</f>
        <v>Песок</v>
      </c>
      <c r="D11" s="1" t="str">
        <f ca="1">IFERROR(__xludf.DUMMYFUNCTION("""COMPUTED_VALUE"""),"47,05")</f>
        <v>47,05</v>
      </c>
      <c r="E11" s="1" t="str">
        <f ca="1">IFERROR(__xludf.DUMMYFUNCTION("""COMPUTED_VALUE"""),"Руковицын Виктор Анатольевич")</f>
        <v>Руковицын Виктор Анатольевич</v>
      </c>
      <c r="F11" s="1" t="str">
        <f ca="1">IFERROR(__xludf.DUMMYFUNCTION("""COMPUTED_VALUE"""),"FAW")</f>
        <v>FAW</v>
      </c>
      <c r="G11" s="1" t="str">
        <f ca="1">IFERROR(__xludf.DUMMYFUNCTION("""COMPUTED_VALUE"""),"С621КМ774")</f>
        <v>С621КМ774</v>
      </c>
      <c r="H11" s="1" t="str">
        <f ca="1">IFERROR(__xludf.DUMMYFUNCTION("""COMPUTED_VALUE"""),"Карьер Трест МС, п. Агаповка")</f>
        <v>Карьер Трест МС, п. Агаповка</v>
      </c>
      <c r="I11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1" s="1" t="str">
        <f ca="1">IFERROR(__xludf.DUMMYFUNCTION("""COMPUTED_VALUE"""),"47,05")</f>
        <v>47,05</v>
      </c>
      <c r="K11" s="1" t="str">
        <f ca="1">IFERROR(__xludf.DUMMYFUNCTION("""COMPUTED_VALUE"""),"ПрокатМонтаж")</f>
        <v>ПрокатМонтаж</v>
      </c>
    </row>
    <row r="12" spans="1:11" ht="15" customHeight="1" x14ac:dyDescent="0.3">
      <c r="A12" s="1" t="str">
        <f ca="1">IFERROR(__xludf.DUMMYFUNCTION("""COMPUTED_VALUE"""),"784")</f>
        <v>784</v>
      </c>
      <c r="B12" s="1" t="str">
        <f ca="1">IFERROR(__xludf.DUMMYFUNCTION("""COMPUTED_VALUE"""),"01.03.2024")</f>
        <v>01.03.2024</v>
      </c>
      <c r="C12" s="1" t="str">
        <f ca="1">IFERROR(__xludf.DUMMYFUNCTION("""COMPUTED_VALUE"""),"Песок")</f>
        <v>Песок</v>
      </c>
      <c r="D12" s="1" t="str">
        <f ca="1">IFERROR(__xludf.DUMMYFUNCTION("""COMPUTED_VALUE"""),"39,60")</f>
        <v>39,60</v>
      </c>
      <c r="E12" s="1" t="str">
        <f ca="1">IFERROR(__xludf.DUMMYFUNCTION("""COMPUTED_VALUE"""),"Руковицын Виктор Анатольевич")</f>
        <v>Руковицын Виктор Анатольевич</v>
      </c>
      <c r="F12" s="1" t="str">
        <f ca="1">IFERROR(__xludf.DUMMYFUNCTION("""COMPUTED_VALUE"""),"FAW")</f>
        <v>FAW</v>
      </c>
      <c r="G12" s="1" t="str">
        <f ca="1">IFERROR(__xludf.DUMMYFUNCTION("""COMPUTED_VALUE"""),"С621КМ774")</f>
        <v>С621КМ774</v>
      </c>
      <c r="H12" s="1" t="str">
        <f ca="1">IFERROR(__xludf.DUMMYFUNCTION("""COMPUTED_VALUE"""),"Карьер Трест МС, п. Агаповка")</f>
        <v>Карьер Трест МС, п. Агаповка</v>
      </c>
      <c r="I1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2" s="1" t="str">
        <f ca="1">IFERROR(__xludf.DUMMYFUNCTION("""COMPUTED_VALUE"""),"39,60")</f>
        <v>39,60</v>
      </c>
      <c r="K12" s="1" t="str">
        <f ca="1">IFERROR(__xludf.DUMMYFUNCTION("""COMPUTED_VALUE"""),"ПрокатМонтаж")</f>
        <v>ПрокатМонтаж</v>
      </c>
    </row>
    <row r="13" spans="1:11" ht="15" customHeight="1" x14ac:dyDescent="0.3">
      <c r="A13" s="1" t="str">
        <f ca="1">IFERROR(__xludf.DUMMYFUNCTION("""COMPUTED_VALUE"""),"774")</f>
        <v>774</v>
      </c>
      <c r="B13" s="1" t="str">
        <f ca="1">IFERROR(__xludf.DUMMYFUNCTION("""COMPUTED_VALUE"""),"01.03.2024")</f>
        <v>01.03.2024</v>
      </c>
      <c r="C13" s="1" t="str">
        <f ca="1">IFERROR(__xludf.DUMMYFUNCTION("""COMPUTED_VALUE"""),"Песок")</f>
        <v>Песок</v>
      </c>
      <c r="D13" s="1" t="str">
        <f ca="1">IFERROR(__xludf.DUMMYFUNCTION("""COMPUTED_VALUE"""),"33,50")</f>
        <v>33,50</v>
      </c>
      <c r="E13" s="1" t="str">
        <f ca="1">IFERROR(__xludf.DUMMYFUNCTION("""COMPUTED_VALUE"""),"Свищев Михаил Владимирович")</f>
        <v>Свищев Михаил Владимирович</v>
      </c>
      <c r="F13" s="1" t="str">
        <f ca="1">IFERROR(__xludf.DUMMYFUNCTION("""COMPUTED_VALUE"""),"FAW")</f>
        <v>FAW</v>
      </c>
      <c r="G13" s="1" t="str">
        <f ca="1">IFERROR(__xludf.DUMMYFUNCTION("""COMPUTED_VALUE"""),"Н504КК774")</f>
        <v>Н504КК774</v>
      </c>
      <c r="H13" s="1" t="str">
        <f ca="1">IFERROR(__xludf.DUMMYFUNCTION("""COMPUTED_VALUE"""),"Карьер Трест МС, п. Агаповка")</f>
        <v>Карьер Трест МС, п. Агаповка</v>
      </c>
      <c r="I13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3" s="1" t="str">
        <f ca="1">IFERROR(__xludf.DUMMYFUNCTION("""COMPUTED_VALUE"""),"33,50")</f>
        <v>33,50</v>
      </c>
      <c r="K13" s="1" t="str">
        <f ca="1">IFERROR(__xludf.DUMMYFUNCTION("""COMPUTED_VALUE"""),"ПрокатМонтаж")</f>
        <v>ПрокатМонтаж</v>
      </c>
    </row>
    <row r="14" spans="1:11" ht="15" customHeight="1" x14ac:dyDescent="0.3">
      <c r="A14" s="1" t="str">
        <f ca="1">IFERROR(__xludf.DUMMYFUNCTION("""COMPUTED_VALUE"""),"780")</f>
        <v>780</v>
      </c>
      <c r="B14" s="1" t="str">
        <f ca="1">IFERROR(__xludf.DUMMYFUNCTION("""COMPUTED_VALUE"""),"01.03.2024")</f>
        <v>01.03.2024</v>
      </c>
      <c r="C14" s="1" t="str">
        <f ca="1">IFERROR(__xludf.DUMMYFUNCTION("""COMPUTED_VALUE"""),"Песок")</f>
        <v>Песок</v>
      </c>
      <c r="D14" s="1" t="str">
        <f ca="1">IFERROR(__xludf.DUMMYFUNCTION("""COMPUTED_VALUE"""),"32,65")</f>
        <v>32,65</v>
      </c>
      <c r="E14" s="1" t="str">
        <f ca="1">IFERROR(__xludf.DUMMYFUNCTION("""COMPUTED_VALUE"""),"Свищев Михаил Владимирович")</f>
        <v>Свищев Михаил Владимирович</v>
      </c>
      <c r="F14" s="1" t="str">
        <f ca="1">IFERROR(__xludf.DUMMYFUNCTION("""COMPUTED_VALUE"""),"FAW")</f>
        <v>FAW</v>
      </c>
      <c r="G14" s="1" t="str">
        <f ca="1">IFERROR(__xludf.DUMMYFUNCTION("""COMPUTED_VALUE"""),"Н504КК774")</f>
        <v>Н504КК774</v>
      </c>
      <c r="H14" s="1" t="str">
        <f ca="1">IFERROR(__xludf.DUMMYFUNCTION("""COMPUTED_VALUE"""),"Карьер Трест МС, п. Агаповка")</f>
        <v>Карьер Трест МС, п. Агаповка</v>
      </c>
      <c r="I14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4" s="1" t="str">
        <f ca="1">IFERROR(__xludf.DUMMYFUNCTION("""COMPUTED_VALUE"""),"32,65")</f>
        <v>32,65</v>
      </c>
      <c r="K14" s="1" t="str">
        <f ca="1">IFERROR(__xludf.DUMMYFUNCTION("""COMPUTED_VALUE"""),"ПрокатМонтаж")</f>
        <v>ПрокатМонтаж</v>
      </c>
    </row>
    <row r="15" spans="1:11" ht="15" customHeight="1" x14ac:dyDescent="0.3">
      <c r="A15" s="1" t="str">
        <f ca="1">IFERROR(__xludf.DUMMYFUNCTION("""COMPUTED_VALUE"""),"783")</f>
        <v>783</v>
      </c>
      <c r="B15" s="1" t="str">
        <f ca="1">IFERROR(__xludf.DUMMYFUNCTION("""COMPUTED_VALUE"""),"01.03.2024")</f>
        <v>01.03.2024</v>
      </c>
      <c r="C15" s="1" t="str">
        <f ca="1">IFERROR(__xludf.DUMMYFUNCTION("""COMPUTED_VALUE"""),"Песок")</f>
        <v>Песок</v>
      </c>
      <c r="D15" s="1" t="str">
        <f ca="1">IFERROR(__xludf.DUMMYFUNCTION("""COMPUTED_VALUE"""),"31,05")</f>
        <v>31,05</v>
      </c>
      <c r="E15" s="1" t="str">
        <f ca="1">IFERROR(__xludf.DUMMYFUNCTION("""COMPUTED_VALUE"""),"Свищев Михаил Владимирович")</f>
        <v>Свищев Михаил Владимирович</v>
      </c>
      <c r="F15" s="1" t="str">
        <f ca="1">IFERROR(__xludf.DUMMYFUNCTION("""COMPUTED_VALUE"""),"FAW")</f>
        <v>FAW</v>
      </c>
      <c r="G15" s="1" t="str">
        <f ca="1">IFERROR(__xludf.DUMMYFUNCTION("""COMPUTED_VALUE"""),"Н504КК774")</f>
        <v>Н504КК774</v>
      </c>
      <c r="H15" s="1" t="str">
        <f ca="1">IFERROR(__xludf.DUMMYFUNCTION("""COMPUTED_VALUE"""),"Карьер Трест МС, п. Агаповка")</f>
        <v>Карьер Трест МС, п. Агаповка</v>
      </c>
      <c r="I15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5" s="1" t="str">
        <f ca="1">IFERROR(__xludf.DUMMYFUNCTION("""COMPUTED_VALUE"""),"31,05")</f>
        <v>31,05</v>
      </c>
      <c r="K15" s="1" t="str">
        <f ca="1">IFERROR(__xludf.DUMMYFUNCTION("""COMPUTED_VALUE"""),"ПрокатМонтаж")</f>
        <v>ПрокатМонтаж</v>
      </c>
    </row>
    <row r="16" spans="1:11" ht="15" customHeight="1" x14ac:dyDescent="0.3">
      <c r="A16" s="1" t="str">
        <f ca="1">IFERROR(__xludf.DUMMYFUNCTION("""COMPUTED_VALUE"""),"108424 / 108427")</f>
        <v>108424 / 108427</v>
      </c>
      <c r="B16" s="1" t="str">
        <f ca="1">IFERROR(__xludf.DUMMYFUNCTION("""COMPUTED_VALUE"""),"01.03.2024")</f>
        <v>01.03.2024</v>
      </c>
      <c r="C16" s="1" t="str">
        <f ca="1">IFERROR(__xludf.DUMMYFUNCTION("""COMPUTED_VALUE"""),"Шлак гранулированный")</f>
        <v>Шлак гранулированный</v>
      </c>
      <c r="D16" s="1" t="str">
        <f ca="1">IFERROR(__xludf.DUMMYFUNCTION("""COMPUTED_VALUE"""),"40,70")</f>
        <v>40,70</v>
      </c>
      <c r="E16" s="1" t="str">
        <f ca="1">IFERROR(__xludf.DUMMYFUNCTION("""COMPUTED_VALUE"""),"Петухов Дмитрий Анатольевич")</f>
        <v>Петухов Дмитрий Анатольевич</v>
      </c>
      <c r="F16" s="1" t="str">
        <f ca="1">IFERROR(__xludf.DUMMYFUNCTION("""COMPUTED_VALUE"""),"SHACMAN")</f>
        <v>SHACMAN</v>
      </c>
      <c r="G16" s="1" t="str">
        <f ca="1">IFERROR(__xludf.DUMMYFUNCTION("""COMPUTED_VALUE"""),"У645ВО774")</f>
        <v>У645ВО774</v>
      </c>
      <c r="H16" s="1" t="str">
        <f ca="1">IFERROR(__xludf.DUMMYFUNCTION("""COMPUTED_VALUE"""),"г. Магнитогорск, ул. Локомотивная, 6А")</f>
        <v>г. Магнитогорск, ул. Локомотивная, 6А</v>
      </c>
      <c r="I16" s="1" t="str">
        <f ca="1">IFERROR(__xludf.DUMMYFUNCTION("""COMPUTED_VALUE"""),"г. Гай, ПАО ""Гайский ГОК""")</f>
        <v>г. Гай, ПАО "Гайский ГОК"</v>
      </c>
      <c r="J16" s="1" t="str">
        <f ca="1">IFERROR(__xludf.DUMMYFUNCTION("""COMPUTED_VALUE"""),"37,444")</f>
        <v>37,444</v>
      </c>
      <c r="K16" s="1" t="str">
        <f ca="1">IFERROR(__xludf.DUMMYFUNCTION("""COMPUTED_VALUE"""),"Гайский ГОК")</f>
        <v>Гайский ГОК</v>
      </c>
    </row>
    <row r="17" spans="1:11" ht="15" customHeight="1" x14ac:dyDescent="0.3">
      <c r="A17" s="1" t="str">
        <f ca="1">IFERROR(__xludf.DUMMYFUNCTION("""COMPUTED_VALUE"""),"108429 / 108405")</f>
        <v>108429 / 108405</v>
      </c>
      <c r="B17" s="1" t="str">
        <f ca="1">IFERROR(__xludf.DUMMYFUNCTION("""COMPUTED_VALUE"""),"01.03.2024")</f>
        <v>01.03.2024</v>
      </c>
      <c r="C17" s="1" t="str">
        <f ca="1">IFERROR(__xludf.DUMMYFUNCTION("""COMPUTED_VALUE"""),"Шлак гранулированный")</f>
        <v>Шлак гранулированный</v>
      </c>
      <c r="D17" s="1" t="str">
        <f ca="1">IFERROR(__xludf.DUMMYFUNCTION("""COMPUTED_VALUE"""),"40,35")</f>
        <v>40,35</v>
      </c>
      <c r="E17" s="1" t="str">
        <f ca="1">IFERROR(__xludf.DUMMYFUNCTION("""COMPUTED_VALUE"""),"Цюман Евгений Владимирович")</f>
        <v>Цюман Евгений Владимирович</v>
      </c>
      <c r="F17" s="1" t="str">
        <f ca="1">IFERROR(__xludf.DUMMYFUNCTION("""COMPUTED_VALUE"""),"SHACMAN")</f>
        <v>SHACMAN</v>
      </c>
      <c r="G17" s="1" t="str">
        <f ca="1">IFERROR(__xludf.DUMMYFUNCTION("""COMPUTED_VALUE"""),"Х319АЕ774")</f>
        <v>Х319АЕ774</v>
      </c>
      <c r="H17" s="1" t="str">
        <f ca="1">IFERROR(__xludf.DUMMYFUNCTION("""COMPUTED_VALUE"""),"г. Магнитогорск, ул. Локомотивная, 6А")</f>
        <v>г. Магнитогорск, ул. Локомотивная, 6А</v>
      </c>
      <c r="I17" s="1" t="str">
        <f ca="1">IFERROR(__xludf.DUMMYFUNCTION("""COMPUTED_VALUE"""),"г. Гай, ПАО ""Гайский ГОК""")</f>
        <v>г. Гай, ПАО "Гайский ГОК"</v>
      </c>
      <c r="J17" s="1" t="str">
        <f ca="1">IFERROR(__xludf.DUMMYFUNCTION("""COMPUTED_VALUE"""),"37,122")</f>
        <v>37,122</v>
      </c>
      <c r="K17" s="1" t="str">
        <f ca="1">IFERROR(__xludf.DUMMYFUNCTION("""COMPUTED_VALUE"""),"Гайский ГОК")</f>
        <v>Гайский ГОК</v>
      </c>
    </row>
    <row r="18" spans="1:11" ht="15" customHeight="1" x14ac:dyDescent="0.3">
      <c r="A18" s="1" t="str">
        <f ca="1">IFERROR(__xludf.DUMMYFUNCTION("""COMPUTED_VALUE"""),"23")</f>
        <v>23</v>
      </c>
      <c r="B18" s="1" t="str">
        <f ca="1">IFERROR(__xludf.DUMMYFUNCTION("""COMPUTED_VALUE"""),"01.03.2024")</f>
        <v>01.03.2024</v>
      </c>
      <c r="C18" s="1" t="str">
        <f ca="1">IFERROR(__xludf.DUMMYFUNCTION("""COMPUTED_VALUE"""),"Руда")</f>
        <v>Руда</v>
      </c>
      <c r="D18" s="1" t="str">
        <f ca="1">IFERROR(__xludf.DUMMYFUNCTION("""COMPUTED_VALUE"""),"53,45")</f>
        <v>53,45</v>
      </c>
      <c r="E18" s="1" t="str">
        <f ca="1">IFERROR(__xludf.DUMMYFUNCTION("""COMPUTED_VALUE"""),"Басарыгин Александр Евгеньевич")</f>
        <v>Басарыгин Александр Евгеньевич</v>
      </c>
      <c r="F18" s="1" t="str">
        <f ca="1">IFERROR(__xludf.DUMMYFUNCTION("""COMPUTED_VALUE"""),"SITRAK")</f>
        <v>SITRAK</v>
      </c>
      <c r="G18" s="1" t="str">
        <f ca="1">IFERROR(__xludf.DUMMYFUNCTION("""COMPUTED_VALUE"""),"Н384ВР774")</f>
        <v>Н384ВР774</v>
      </c>
      <c r="H1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8" s="1" t="str">
        <f ca="1">IFERROR(__xludf.DUMMYFUNCTION("""COMPUTED_VALUE"""),"г. Гай, ПАО ""Гайский ГОК""")</f>
        <v>г. Гай, ПАО "Гайский ГОК"</v>
      </c>
      <c r="J18" s="1" t="str">
        <f ca="1">IFERROR(__xludf.DUMMYFUNCTION("""COMPUTED_VALUE"""),"54,100")</f>
        <v>54,100</v>
      </c>
      <c r="K18" s="1" t="str">
        <f ca="1">IFERROR(__xludf.DUMMYFUNCTION("""COMPUTED_VALUE"""),"Башкирская Медь")</f>
        <v>Башкирская Медь</v>
      </c>
    </row>
    <row r="19" spans="1:11" ht="15" customHeight="1" x14ac:dyDescent="0.3">
      <c r="A19" s="1" t="str">
        <f ca="1">IFERROR(__xludf.DUMMYFUNCTION("""COMPUTED_VALUE"""),"11")</f>
        <v>11</v>
      </c>
      <c r="B19" s="1" t="str">
        <f ca="1">IFERROR(__xludf.DUMMYFUNCTION("""COMPUTED_VALUE"""),"01.03.2024")</f>
        <v>01.03.2024</v>
      </c>
      <c r="C19" s="1" t="str">
        <f ca="1">IFERROR(__xludf.DUMMYFUNCTION("""COMPUTED_VALUE"""),"Руда")</f>
        <v>Руда</v>
      </c>
      <c r="D19" s="1" t="str">
        <f ca="1">IFERROR(__xludf.DUMMYFUNCTION("""COMPUTED_VALUE"""),"49,05")</f>
        <v>49,05</v>
      </c>
      <c r="E19" s="1" t="str">
        <f ca="1">IFERROR(__xludf.DUMMYFUNCTION("""COMPUTED_VALUE"""),"Басарыгин Александр Евгеньевич")</f>
        <v>Басарыгин Александр Евгеньевич</v>
      </c>
      <c r="F19" s="1" t="str">
        <f ca="1">IFERROR(__xludf.DUMMYFUNCTION("""COMPUTED_VALUE"""),"SITRAK")</f>
        <v>SITRAK</v>
      </c>
      <c r="G19" s="1" t="str">
        <f ca="1">IFERROR(__xludf.DUMMYFUNCTION("""COMPUTED_VALUE"""),"Н384ВР774")</f>
        <v>Н384ВР774</v>
      </c>
      <c r="H1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9" s="1" t="str">
        <f ca="1">IFERROR(__xludf.DUMMYFUNCTION("""COMPUTED_VALUE"""),"г. Гай, ПАО ""Гайский ГОК""")</f>
        <v>г. Гай, ПАО "Гайский ГОК"</v>
      </c>
      <c r="J19" s="1" t="str">
        <f ca="1">IFERROR(__xludf.DUMMYFUNCTION("""COMPUTED_VALUE"""),"49,800")</f>
        <v>49,800</v>
      </c>
      <c r="K19" s="1" t="str">
        <f ca="1">IFERROR(__xludf.DUMMYFUNCTION("""COMPUTED_VALUE"""),"Башкирская Медь")</f>
        <v>Башкирская Медь</v>
      </c>
    </row>
    <row r="20" spans="1:11" ht="15" customHeight="1" x14ac:dyDescent="0.3">
      <c r="A20" s="1" t="str">
        <f ca="1">IFERROR(__xludf.DUMMYFUNCTION("""COMPUTED_VALUE"""),"20")</f>
        <v>20</v>
      </c>
      <c r="B20" s="1" t="str">
        <f ca="1">IFERROR(__xludf.DUMMYFUNCTION("""COMPUTED_VALUE"""),"01.03.2024")</f>
        <v>01.03.2024</v>
      </c>
      <c r="C20" s="1" t="str">
        <f ca="1">IFERROR(__xludf.DUMMYFUNCTION("""COMPUTED_VALUE"""),"Руда")</f>
        <v>Руда</v>
      </c>
      <c r="D20" s="1" t="str">
        <f ca="1">IFERROR(__xludf.DUMMYFUNCTION("""COMPUTED_VALUE"""),"46,50")</f>
        <v>46,50</v>
      </c>
      <c r="E20" s="1" t="str">
        <f ca="1">IFERROR(__xludf.DUMMYFUNCTION("""COMPUTED_VALUE"""),"Овсянников Александр Сергеевич")</f>
        <v>Овсянников Александр Сергеевич</v>
      </c>
      <c r="F20" s="1" t="str">
        <f ca="1">IFERROR(__xludf.DUMMYFUNCTION("""COMPUTED_VALUE"""),"SITRAK")</f>
        <v>SITRAK</v>
      </c>
      <c r="G20" s="1" t="str">
        <f ca="1">IFERROR(__xludf.DUMMYFUNCTION("""COMPUTED_VALUE"""),"Н854ВН774")</f>
        <v>Н854ВН774</v>
      </c>
      <c r="H2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" s="1" t="str">
        <f ca="1">IFERROR(__xludf.DUMMYFUNCTION("""COMPUTED_VALUE"""),"г. Гай, ПАО ""Гайский ГОК""")</f>
        <v>г. Гай, ПАО "Гайский ГОК"</v>
      </c>
      <c r="J20" s="1" t="str">
        <f ca="1">IFERROR(__xludf.DUMMYFUNCTION("""COMPUTED_VALUE"""),"46,900")</f>
        <v>46,900</v>
      </c>
      <c r="K20" s="1" t="str">
        <f ca="1">IFERROR(__xludf.DUMMYFUNCTION("""COMPUTED_VALUE"""),"Башкирская Медь")</f>
        <v>Башкирская Медь</v>
      </c>
    </row>
    <row r="21" spans="1:11" ht="15" customHeight="1" x14ac:dyDescent="0.3">
      <c r="A21" s="1" t="str">
        <f ca="1">IFERROR(__xludf.DUMMYFUNCTION("""COMPUTED_VALUE"""),"10")</f>
        <v>10</v>
      </c>
      <c r="B21" s="1" t="str">
        <f ca="1">IFERROR(__xludf.DUMMYFUNCTION("""COMPUTED_VALUE"""),"01.03.2024")</f>
        <v>01.03.2024</v>
      </c>
      <c r="C21" s="1" t="str">
        <f ca="1">IFERROR(__xludf.DUMMYFUNCTION("""COMPUTED_VALUE"""),"Руда")</f>
        <v>Руда</v>
      </c>
      <c r="D21" s="1" t="str">
        <f ca="1">IFERROR(__xludf.DUMMYFUNCTION("""COMPUTED_VALUE"""),"49,95")</f>
        <v>49,95</v>
      </c>
      <c r="E21" s="1" t="str">
        <f ca="1">IFERROR(__xludf.DUMMYFUNCTION("""COMPUTED_VALUE"""),"Овсянников Александр Сергеевич")</f>
        <v>Овсянников Александр Сергеевич</v>
      </c>
      <c r="F21" s="1" t="str">
        <f ca="1">IFERROR(__xludf.DUMMYFUNCTION("""COMPUTED_VALUE"""),"SITRAK")</f>
        <v>SITRAK</v>
      </c>
      <c r="G21" s="1" t="str">
        <f ca="1">IFERROR(__xludf.DUMMYFUNCTION("""COMPUTED_VALUE"""),"Н854ВН774")</f>
        <v>Н854ВН774</v>
      </c>
      <c r="H2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1" s="1" t="str">
        <f ca="1">IFERROR(__xludf.DUMMYFUNCTION("""COMPUTED_VALUE"""),"г. Гай, ПАО ""Гайский ГОК""")</f>
        <v>г. Гай, ПАО "Гайский ГОК"</v>
      </c>
      <c r="J21" s="1" t="str">
        <f ca="1">IFERROR(__xludf.DUMMYFUNCTION("""COMPUTED_VALUE"""),"50,400")</f>
        <v>50,400</v>
      </c>
      <c r="K21" s="1" t="str">
        <f ca="1">IFERROR(__xludf.DUMMYFUNCTION("""COMPUTED_VALUE"""),"Башкирская Медь")</f>
        <v>Башкирская Медь</v>
      </c>
    </row>
    <row r="22" spans="1:11" ht="15" customHeight="1" x14ac:dyDescent="0.3">
      <c r="A22" s="1" t="str">
        <f ca="1">IFERROR(__xludf.DUMMYFUNCTION("""COMPUTED_VALUE"""),"22")</f>
        <v>22</v>
      </c>
      <c r="B22" s="1" t="str">
        <f ca="1">IFERROR(__xludf.DUMMYFUNCTION("""COMPUTED_VALUE"""),"01.03.2024")</f>
        <v>01.03.2024</v>
      </c>
      <c r="C22" s="1" t="str">
        <f ca="1">IFERROR(__xludf.DUMMYFUNCTION("""COMPUTED_VALUE"""),"Руда")</f>
        <v>Руда</v>
      </c>
      <c r="D22" s="1" t="str">
        <f ca="1">IFERROR(__xludf.DUMMYFUNCTION("""COMPUTED_VALUE"""),"57,10")</f>
        <v>57,10</v>
      </c>
      <c r="E22" s="1" t="str">
        <f ca="1">IFERROR(__xludf.DUMMYFUNCTION("""COMPUTED_VALUE"""),"Дёмин Андрей Сергеевич ")</f>
        <v xml:space="preserve">Дёмин Андрей Сергеевич </v>
      </c>
      <c r="F22" s="1" t="str">
        <f ca="1">IFERROR(__xludf.DUMMYFUNCTION("""COMPUTED_VALUE"""),"SITRAK")</f>
        <v>SITRAK</v>
      </c>
      <c r="G22" s="1" t="str">
        <f ca="1">IFERROR(__xludf.DUMMYFUNCTION("""COMPUTED_VALUE"""),"Н904ВН774")</f>
        <v>Н904ВН774</v>
      </c>
      <c r="H2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2" s="1" t="str">
        <f ca="1">IFERROR(__xludf.DUMMYFUNCTION("""COMPUTED_VALUE"""),"г. Гай, ПАО ""Гайский ГОК""")</f>
        <v>г. Гай, ПАО "Гайский ГОК"</v>
      </c>
      <c r="J22" s="1" t="str">
        <f ca="1">IFERROR(__xludf.DUMMYFUNCTION("""COMPUTED_VALUE"""),"58,100")</f>
        <v>58,100</v>
      </c>
      <c r="K22" s="1" t="str">
        <f ca="1">IFERROR(__xludf.DUMMYFUNCTION("""COMPUTED_VALUE"""),"Башкирская Медь")</f>
        <v>Башкирская Медь</v>
      </c>
    </row>
    <row r="23" spans="1:11" ht="15" customHeight="1" x14ac:dyDescent="0.3">
      <c r="A23" s="1" t="str">
        <f ca="1">IFERROR(__xludf.DUMMYFUNCTION("""COMPUTED_VALUE"""),"8")</f>
        <v>8</v>
      </c>
      <c r="B23" s="1" t="str">
        <f ca="1">IFERROR(__xludf.DUMMYFUNCTION("""COMPUTED_VALUE"""),"01.03.2024")</f>
        <v>01.03.2024</v>
      </c>
      <c r="C23" s="1" t="str">
        <f ca="1">IFERROR(__xludf.DUMMYFUNCTION("""COMPUTED_VALUE"""),"Руда")</f>
        <v>Руда</v>
      </c>
      <c r="D23" s="1" t="str">
        <f ca="1">IFERROR(__xludf.DUMMYFUNCTION("""COMPUTED_VALUE"""),"49,65")</f>
        <v>49,65</v>
      </c>
      <c r="E23" s="1" t="str">
        <f ca="1">IFERROR(__xludf.DUMMYFUNCTION("""COMPUTED_VALUE"""),"Дёмин Андрей Сергеевич ")</f>
        <v xml:space="preserve">Дёмин Андрей Сергеевич </v>
      </c>
      <c r="F23" s="1" t="str">
        <f ca="1">IFERROR(__xludf.DUMMYFUNCTION("""COMPUTED_VALUE"""),"SITRAK")</f>
        <v>SITRAK</v>
      </c>
      <c r="G23" s="1" t="str">
        <f ca="1">IFERROR(__xludf.DUMMYFUNCTION("""COMPUTED_VALUE"""),"Н904ВН774")</f>
        <v>Н904ВН774</v>
      </c>
      <c r="H2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3" s="1" t="str">
        <f ca="1">IFERROR(__xludf.DUMMYFUNCTION("""COMPUTED_VALUE"""),"г. Гай, ПАО ""Гайский ГОК""")</f>
        <v>г. Гай, ПАО "Гайский ГОК"</v>
      </c>
      <c r="J23" s="1" t="str">
        <f ca="1">IFERROR(__xludf.DUMMYFUNCTION("""COMPUTED_VALUE"""),"50,250")</f>
        <v>50,250</v>
      </c>
      <c r="K23" s="1" t="str">
        <f ca="1">IFERROR(__xludf.DUMMYFUNCTION("""COMPUTED_VALUE"""),"Башкирская Медь")</f>
        <v>Башкирская Медь</v>
      </c>
    </row>
    <row r="24" spans="1:11" ht="15" customHeight="1" x14ac:dyDescent="0.3">
      <c r="A24" s="1" t="str">
        <f ca="1">IFERROR(__xludf.DUMMYFUNCTION("""COMPUTED_VALUE"""),"18")</f>
        <v>18</v>
      </c>
      <c r="B24" s="1" t="str">
        <f ca="1">IFERROR(__xludf.DUMMYFUNCTION("""COMPUTED_VALUE"""),"01.03.2024")</f>
        <v>01.03.2024</v>
      </c>
      <c r="C24" s="1" t="str">
        <f ca="1">IFERROR(__xludf.DUMMYFUNCTION("""COMPUTED_VALUE"""),"Руда")</f>
        <v>Руда</v>
      </c>
      <c r="D24" s="1" t="str">
        <f ca="1">IFERROR(__xludf.DUMMYFUNCTION("""COMPUTED_VALUE"""),"39,15")</f>
        <v>39,15</v>
      </c>
      <c r="E24" s="1" t="str">
        <f ca="1">IFERROR(__xludf.DUMMYFUNCTION("""COMPUTED_VALUE"""),"Казиахметов Владислав Аркадиевич")</f>
        <v>Казиахметов Владислав Аркадиевич</v>
      </c>
      <c r="F24" s="1" t="str">
        <f ca="1">IFERROR(__xludf.DUMMYFUNCTION("""COMPUTED_VALUE"""),"HOWO")</f>
        <v>HOWO</v>
      </c>
      <c r="G24" s="1" t="str">
        <f ca="1">IFERROR(__xludf.DUMMYFUNCTION("""COMPUTED_VALUE"""),"Н234ВР774")</f>
        <v>Н234ВР774</v>
      </c>
      <c r="H2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4" s="1" t="str">
        <f ca="1">IFERROR(__xludf.DUMMYFUNCTION("""COMPUTED_VALUE"""),"г. Гай, ПАО ""Гайский ГОК""")</f>
        <v>г. Гай, ПАО "Гайский ГОК"</v>
      </c>
      <c r="J24" s="1" t="str">
        <f ca="1">IFERROR(__xludf.DUMMYFUNCTION("""COMPUTED_VALUE"""),"39,100")</f>
        <v>39,100</v>
      </c>
      <c r="K24" s="1" t="str">
        <f ca="1">IFERROR(__xludf.DUMMYFUNCTION("""COMPUTED_VALUE"""),"Башкирская Медь")</f>
        <v>Башкирская Медь</v>
      </c>
    </row>
    <row r="25" spans="1:11" ht="15" customHeight="1" x14ac:dyDescent="0.3">
      <c r="A25" s="1" t="str">
        <f ca="1">IFERROR(__xludf.DUMMYFUNCTION("""COMPUTED_VALUE"""),"4")</f>
        <v>4</v>
      </c>
      <c r="B25" s="1" t="str">
        <f ca="1">IFERROR(__xludf.DUMMYFUNCTION("""COMPUTED_VALUE"""),"01.03.2024")</f>
        <v>01.03.2024</v>
      </c>
      <c r="C25" s="1" t="str">
        <f ca="1">IFERROR(__xludf.DUMMYFUNCTION("""COMPUTED_VALUE"""),"Руда")</f>
        <v>Руда</v>
      </c>
      <c r="D25" s="1" t="str">
        <f ca="1">IFERROR(__xludf.DUMMYFUNCTION("""COMPUTED_VALUE"""),"39,40")</f>
        <v>39,40</v>
      </c>
      <c r="E25" s="1" t="str">
        <f ca="1">IFERROR(__xludf.DUMMYFUNCTION("""COMPUTED_VALUE"""),"Казиахметов Владислав Аркадиевич")</f>
        <v>Казиахметов Владислав Аркадиевич</v>
      </c>
      <c r="F25" s="1" t="str">
        <f ca="1">IFERROR(__xludf.DUMMYFUNCTION("""COMPUTED_VALUE"""),"HOWO")</f>
        <v>HOWO</v>
      </c>
      <c r="G25" s="1" t="str">
        <f ca="1">IFERROR(__xludf.DUMMYFUNCTION("""COMPUTED_VALUE"""),"Н234ВР774")</f>
        <v>Н234ВР774</v>
      </c>
      <c r="H2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5" s="1" t="str">
        <f ca="1">IFERROR(__xludf.DUMMYFUNCTION("""COMPUTED_VALUE"""),"г. Гай, ПАО ""Гайский ГОК""")</f>
        <v>г. Гай, ПАО "Гайский ГОК"</v>
      </c>
      <c r="J25" s="1" t="str">
        <f ca="1">IFERROR(__xludf.DUMMYFUNCTION("""COMPUTED_VALUE"""),"39,600")</f>
        <v>39,600</v>
      </c>
      <c r="K25" s="1" t="str">
        <f ca="1">IFERROR(__xludf.DUMMYFUNCTION("""COMPUTED_VALUE"""),"Башкирская Медь")</f>
        <v>Башкирская Медь</v>
      </c>
    </row>
    <row r="26" spans="1:11" ht="15" customHeight="1" x14ac:dyDescent="0.3">
      <c r="A26" s="1" t="str">
        <f ca="1">IFERROR(__xludf.DUMMYFUNCTION("""COMPUTED_VALUE"""),"19")</f>
        <v>19</v>
      </c>
      <c r="B26" s="1" t="str">
        <f ca="1">IFERROR(__xludf.DUMMYFUNCTION("""COMPUTED_VALUE"""),"01.03.2024")</f>
        <v>01.03.2024</v>
      </c>
      <c r="C26" s="1" t="str">
        <f ca="1">IFERROR(__xludf.DUMMYFUNCTION("""COMPUTED_VALUE"""),"Руда")</f>
        <v>Руда</v>
      </c>
      <c r="D26" s="1" t="str">
        <f ca="1">IFERROR(__xludf.DUMMYFUNCTION("""COMPUTED_VALUE"""),"36,85")</f>
        <v>36,85</v>
      </c>
      <c r="E26" s="1" t="str">
        <f ca="1">IFERROR(__xludf.DUMMYFUNCTION("""COMPUTED_VALUE"""),"Соколов Максим Сергеевич")</f>
        <v>Соколов Максим Сергеевич</v>
      </c>
      <c r="F26" s="1" t="str">
        <f ca="1">IFERROR(__xludf.DUMMYFUNCTION("""COMPUTED_VALUE"""),"SHACMAN")</f>
        <v>SHACMAN</v>
      </c>
      <c r="G26" s="1" t="str">
        <f ca="1">IFERROR(__xludf.DUMMYFUNCTION("""COMPUTED_VALUE"""),"Н186ВР774")</f>
        <v>Н186ВР774</v>
      </c>
      <c r="H2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6" s="1" t="str">
        <f ca="1">IFERROR(__xludf.DUMMYFUNCTION("""COMPUTED_VALUE"""),"г. Гай, ПАО ""Гайский ГОК""")</f>
        <v>г. Гай, ПАО "Гайский ГОК"</v>
      </c>
      <c r="J26" s="1" t="str">
        <f ca="1">IFERROR(__xludf.DUMMYFUNCTION("""COMPUTED_VALUE"""),"37,000")</f>
        <v>37,000</v>
      </c>
      <c r="K26" s="1" t="str">
        <f ca="1">IFERROR(__xludf.DUMMYFUNCTION("""COMPUTED_VALUE"""),"Башкирская Медь")</f>
        <v>Башкирская Медь</v>
      </c>
    </row>
    <row r="27" spans="1:11" ht="15" customHeight="1" x14ac:dyDescent="0.3">
      <c r="A27" s="1" t="str">
        <f ca="1">IFERROR(__xludf.DUMMYFUNCTION("""COMPUTED_VALUE"""),"9")</f>
        <v>9</v>
      </c>
      <c r="B27" s="1" t="str">
        <f ca="1">IFERROR(__xludf.DUMMYFUNCTION("""COMPUTED_VALUE"""),"01.03.2024")</f>
        <v>01.03.2024</v>
      </c>
      <c r="C27" s="1" t="str">
        <f ca="1">IFERROR(__xludf.DUMMYFUNCTION("""COMPUTED_VALUE"""),"Руда")</f>
        <v>Руда</v>
      </c>
      <c r="D27" s="1" t="str">
        <f ca="1">IFERROR(__xludf.DUMMYFUNCTION("""COMPUTED_VALUE"""),"38,90")</f>
        <v>38,90</v>
      </c>
      <c r="E27" s="1" t="str">
        <f ca="1">IFERROR(__xludf.DUMMYFUNCTION("""COMPUTED_VALUE"""),"Соколов Максим Сергеевич")</f>
        <v>Соколов Максим Сергеевич</v>
      </c>
      <c r="F27" s="1" t="str">
        <f ca="1">IFERROR(__xludf.DUMMYFUNCTION("""COMPUTED_VALUE"""),"SHACMAN")</f>
        <v>SHACMAN</v>
      </c>
      <c r="G27" s="1" t="str">
        <f ca="1">IFERROR(__xludf.DUMMYFUNCTION("""COMPUTED_VALUE"""),"Н186ВР774")</f>
        <v>Н186ВР774</v>
      </c>
      <c r="H2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7" s="1" t="str">
        <f ca="1">IFERROR(__xludf.DUMMYFUNCTION("""COMPUTED_VALUE"""),"г. Гай, ПАО ""Гайский ГОК""")</f>
        <v>г. Гай, ПАО "Гайский ГОК"</v>
      </c>
      <c r="J27" s="1" t="str">
        <f ca="1">IFERROR(__xludf.DUMMYFUNCTION("""COMPUTED_VALUE"""),"38,950")</f>
        <v>38,950</v>
      </c>
      <c r="K27" s="1" t="str">
        <f ca="1">IFERROR(__xludf.DUMMYFUNCTION("""COMPUTED_VALUE"""),"Башкирская Медь")</f>
        <v>Башкирская Медь</v>
      </c>
    </row>
    <row r="28" spans="1:11" ht="15" customHeight="1" x14ac:dyDescent="0.3">
      <c r="A28" s="1" t="str">
        <f ca="1">IFERROR(__xludf.DUMMYFUNCTION("""COMPUTED_VALUE"""),"108078 / 108011")</f>
        <v>108078 / 108011</v>
      </c>
      <c r="B28" s="1" t="str">
        <f ca="1">IFERROR(__xludf.DUMMYFUNCTION("""COMPUTED_VALUE"""),"01.03.2024")</f>
        <v>01.03.2024</v>
      </c>
      <c r="C28" s="1" t="str">
        <f ca="1">IFERROR(__xludf.DUMMYFUNCTION("""COMPUTED_VALUE"""),"Шлак гранулированный")</f>
        <v>Шлак гранулированный</v>
      </c>
      <c r="D28" s="1" t="str">
        <f ca="1">IFERROR(__xludf.DUMMYFUNCTION("""COMPUTED_VALUE"""),"40,65")</f>
        <v>40,65</v>
      </c>
      <c r="E28" s="1" t="str">
        <f ca="1">IFERROR(__xludf.DUMMYFUNCTION("""COMPUTED_VALUE"""),"Кунаккулов Наиль Насибуллович")</f>
        <v>Кунаккулов Наиль Насибуллович</v>
      </c>
      <c r="F28" s="1" t="str">
        <f ca="1">IFERROR(__xludf.DUMMYFUNCTION("""COMPUTED_VALUE"""),"SHACMAN")</f>
        <v>SHACMAN</v>
      </c>
      <c r="G28" s="1" t="str">
        <f ca="1">IFERROR(__xludf.DUMMYFUNCTION("""COMPUTED_VALUE"""),"Н255ВТ774")</f>
        <v>Н255ВТ774</v>
      </c>
      <c r="H28" s="1" t="str">
        <f ca="1">IFERROR(__xludf.DUMMYFUNCTION("""COMPUTED_VALUE"""),"г. Магнитогорск, ул. Локомотивная, 6А")</f>
        <v>г. Магнитогорск, ул. Локомотивная, 6А</v>
      </c>
      <c r="I28" s="1" t="str">
        <f ca="1">IFERROR(__xludf.DUMMYFUNCTION("""COMPUTED_VALUE"""),"г. Гай, ПАО ""Гайский ГОК""")</f>
        <v>г. Гай, ПАО "Гайский ГОК"</v>
      </c>
      <c r="J28" s="1" t="str">
        <f ca="1">IFERROR(__xludf.DUMMYFUNCTION("""COMPUTED_VALUE"""),"38,008")</f>
        <v>38,008</v>
      </c>
      <c r="K28" s="1" t="str">
        <f ca="1">IFERROR(__xludf.DUMMYFUNCTION("""COMPUTED_VALUE"""),"Гайский ГОК")</f>
        <v>Гайский ГОК</v>
      </c>
    </row>
    <row r="29" spans="1:11" ht="15" customHeight="1" x14ac:dyDescent="0.3">
      <c r="A29" s="1" t="str">
        <f ca="1">IFERROR(__xludf.DUMMYFUNCTION("""COMPUTED_VALUE"""),"108061 / 101202")</f>
        <v>108061 / 101202</v>
      </c>
      <c r="B29" s="1" t="str">
        <f ca="1">IFERROR(__xludf.DUMMYFUNCTION("""COMPUTED_VALUE"""),"01.03.2024")</f>
        <v>01.03.2024</v>
      </c>
      <c r="C29" s="1" t="str">
        <f ca="1">IFERROR(__xludf.DUMMYFUNCTION("""COMPUTED_VALUE"""),"Шлак гранулированный")</f>
        <v>Шлак гранулированный</v>
      </c>
      <c r="D29" s="1" t="str">
        <f ca="1">IFERROR(__xludf.DUMMYFUNCTION("""COMPUTED_VALUE"""),"41,85")</f>
        <v>41,85</v>
      </c>
      <c r="E29" s="1" t="str">
        <f ca="1">IFERROR(__xludf.DUMMYFUNCTION("""COMPUTED_VALUE"""),"Альтяпов Рустам Ильмирович")</f>
        <v>Альтяпов Рустам Ильмирович</v>
      </c>
      <c r="F29" s="1" t="str">
        <f ca="1">IFERROR(__xludf.DUMMYFUNCTION("""COMPUTED_VALUE"""),"HOWO")</f>
        <v>HOWO</v>
      </c>
      <c r="G29" s="1" t="str">
        <f ca="1">IFERROR(__xludf.DUMMYFUNCTION("""COMPUTED_VALUE"""),"Н953ВР774")</f>
        <v>Н953ВР774</v>
      </c>
      <c r="H29" s="1" t="str">
        <f ca="1">IFERROR(__xludf.DUMMYFUNCTION("""COMPUTED_VALUE"""),"г. Магнитогорск, ул. Локомотивная, 6А")</f>
        <v>г. Магнитогорск, ул. Локомотивная, 6А</v>
      </c>
      <c r="I29" s="1" t="str">
        <f ca="1">IFERROR(__xludf.DUMMYFUNCTION("""COMPUTED_VALUE"""),"г. Гай, ПАО ""Гайский ГОК""")</f>
        <v>г. Гай, ПАО "Гайский ГОК"</v>
      </c>
      <c r="J29" s="1" t="str">
        <f ca="1">IFERROR(__xludf.DUMMYFUNCTION("""COMPUTED_VALUE"""),"39,130")</f>
        <v>39,130</v>
      </c>
      <c r="K29" s="1" t="str">
        <f ca="1">IFERROR(__xludf.DUMMYFUNCTION("""COMPUTED_VALUE"""),"Гайский ГОК")</f>
        <v>Гайский ГОК</v>
      </c>
    </row>
    <row r="30" spans="1:11" ht="15" customHeight="1" x14ac:dyDescent="0.3">
      <c r="A30" s="1" t="str">
        <f ca="1">IFERROR(__xludf.DUMMYFUNCTION("""COMPUTED_VALUE"""),"108381 / 108417")</f>
        <v>108381 / 108417</v>
      </c>
      <c r="B30" s="1" t="str">
        <f ca="1">IFERROR(__xludf.DUMMYFUNCTION("""COMPUTED_VALUE"""),"01.03.2024")</f>
        <v>01.03.2024</v>
      </c>
      <c r="C30" s="1" t="str">
        <f ca="1">IFERROR(__xludf.DUMMYFUNCTION("""COMPUTED_VALUE"""),"Шлак гранулированный")</f>
        <v>Шлак гранулированный</v>
      </c>
      <c r="D30" s="1" t="str">
        <f ca="1">IFERROR(__xludf.DUMMYFUNCTION("""COMPUTED_VALUE"""),"41,95")</f>
        <v>41,95</v>
      </c>
      <c r="E30" s="1" t="str">
        <f ca="1">IFERROR(__xludf.DUMMYFUNCTION("""COMPUTED_VALUE"""),"Волков Алесей Геннадьевич")</f>
        <v>Волков Алесей Геннадьевич</v>
      </c>
      <c r="F30" s="1" t="str">
        <f ca="1">IFERROR(__xludf.DUMMYFUNCTION("""COMPUTED_VALUE"""),"HOWO")</f>
        <v>HOWO</v>
      </c>
      <c r="G30" s="1" t="str">
        <f ca="1">IFERROR(__xludf.DUMMYFUNCTION("""COMPUTED_VALUE"""),"Н206ВР774")</f>
        <v>Н206ВР774</v>
      </c>
      <c r="H30" s="1" t="str">
        <f ca="1">IFERROR(__xludf.DUMMYFUNCTION("""COMPUTED_VALUE"""),"г. Магнитогорск, ул. Локомотивная, 6А")</f>
        <v>г. Магнитогорск, ул. Локомотивная, 6А</v>
      </c>
      <c r="I30" s="1" t="str">
        <f ca="1">IFERROR(__xludf.DUMMYFUNCTION("""COMPUTED_VALUE"""),"г. Гай, ПАО ""Гайский ГОК""")</f>
        <v>г. Гай, ПАО "Гайский ГОК"</v>
      </c>
      <c r="J30" s="1" t="str">
        <f ca="1">IFERROR(__xludf.DUMMYFUNCTION("""COMPUTED_VALUE"""),"39,223")</f>
        <v>39,223</v>
      </c>
      <c r="K30" s="1" t="str">
        <f ca="1">IFERROR(__xludf.DUMMYFUNCTION("""COMPUTED_VALUE"""),"Гайский ГОК")</f>
        <v>Гайский ГОК</v>
      </c>
    </row>
    <row r="31" spans="1:11" ht="15" customHeight="1" x14ac:dyDescent="0.3">
      <c r="A31" s="1" t="str">
        <f ca="1">IFERROR(__xludf.DUMMYFUNCTION("""COMPUTED_VALUE"""),"108143 / 108003")</f>
        <v>108143 / 108003</v>
      </c>
      <c r="B31" s="1" t="str">
        <f ca="1">IFERROR(__xludf.DUMMYFUNCTION("""COMPUTED_VALUE"""),"01.03.2024")</f>
        <v>01.03.2024</v>
      </c>
      <c r="C31" s="1" t="str">
        <f ca="1">IFERROR(__xludf.DUMMYFUNCTION("""COMPUTED_VALUE"""),"Шлак гранулированный")</f>
        <v>Шлак гранулированный</v>
      </c>
      <c r="D31" s="1" t="str">
        <f ca="1">IFERROR(__xludf.DUMMYFUNCTION("""COMPUTED_VALUE"""),"38,95")</f>
        <v>38,95</v>
      </c>
      <c r="E31" s="1" t="str">
        <f ca="1">IFERROR(__xludf.DUMMYFUNCTION("""COMPUTED_VALUE"""),"Козлов Никита Валерьевич")</f>
        <v>Козлов Никита Валерьевич</v>
      </c>
      <c r="F31" s="1" t="str">
        <f ca="1">IFERROR(__xludf.DUMMYFUNCTION("""COMPUTED_VALUE"""),"HOWO")</f>
        <v>HOWO</v>
      </c>
      <c r="G31" s="1" t="str">
        <f ca="1">IFERROR(__xludf.DUMMYFUNCTION("""COMPUTED_VALUE"""),"А141ВО774")</f>
        <v>А141ВО774</v>
      </c>
      <c r="H31" s="1" t="str">
        <f ca="1">IFERROR(__xludf.DUMMYFUNCTION("""COMPUTED_VALUE"""),"г. Магнитогорск, ул. Локомотивная, 6А")</f>
        <v>г. Магнитогорск, ул. Локомотивная, 6А</v>
      </c>
      <c r="I31" s="1" t="str">
        <f ca="1">IFERROR(__xludf.DUMMYFUNCTION("""COMPUTED_VALUE"""),"г. Гай, ПАО ""Гайский ГОК""")</f>
        <v>г. Гай, ПАО "Гайский ГОК"</v>
      </c>
      <c r="J31" s="1" t="str">
        <f ca="1">IFERROR(__xludf.DUMMYFUNCTION("""COMPUTED_VALUE"""),"36,418")</f>
        <v>36,418</v>
      </c>
      <c r="K31" s="1" t="str">
        <f ca="1">IFERROR(__xludf.DUMMYFUNCTION("""COMPUTED_VALUE"""),"Гайский ГОК")</f>
        <v>Гайский ГОК</v>
      </c>
    </row>
    <row r="32" spans="1:11" ht="15" customHeight="1" x14ac:dyDescent="0.3">
      <c r="A32" s="1" t="str">
        <f ca="1">IFERROR(__xludf.DUMMYFUNCTION("""COMPUTED_VALUE"""),"107847 / 107932")</f>
        <v>107847 / 107932</v>
      </c>
      <c r="B32" s="1" t="str">
        <f ca="1">IFERROR(__xludf.DUMMYFUNCTION("""COMPUTED_VALUE"""),"01.03.2024")</f>
        <v>01.03.2024</v>
      </c>
      <c r="C32" s="1" t="str">
        <f ca="1">IFERROR(__xludf.DUMMYFUNCTION("""COMPUTED_VALUE"""),"Шлак гранулированный")</f>
        <v>Шлак гранулированный</v>
      </c>
      <c r="D32" s="1" t="str">
        <f ca="1">IFERROR(__xludf.DUMMYFUNCTION("""COMPUTED_VALUE"""),"42,30")</f>
        <v>42,30</v>
      </c>
      <c r="E32" s="1" t="str">
        <f ca="1">IFERROR(__xludf.DUMMYFUNCTION("""COMPUTED_VALUE"""),"Мурзабаев Руслан Мирасович")</f>
        <v>Мурзабаев Руслан Мирасович</v>
      </c>
      <c r="F32" s="1" t="str">
        <f ca="1">IFERROR(__xludf.DUMMYFUNCTION("""COMPUTED_VALUE"""),"HOWO")</f>
        <v>HOWO</v>
      </c>
      <c r="G32" s="1" t="str">
        <f ca="1">IFERROR(__xludf.DUMMYFUNCTION("""COMPUTED_VALUE"""),"Н929ВР774")</f>
        <v>Н929ВР774</v>
      </c>
      <c r="H32" s="1" t="str">
        <f ca="1">IFERROR(__xludf.DUMMYFUNCTION("""COMPUTED_VALUE"""),"г. Магнитогорск, ул. Локомотивная, 6А")</f>
        <v>г. Магнитогорск, ул. Локомотивная, 6А</v>
      </c>
      <c r="I32" s="1" t="str">
        <f ca="1">IFERROR(__xludf.DUMMYFUNCTION("""COMPUTED_VALUE"""),"г. Гай, ПАО ""Гайский ГОК""")</f>
        <v>г. Гай, ПАО "Гайский ГОК"</v>
      </c>
      <c r="J32" s="1" t="str">
        <f ca="1">IFERROR(__xludf.DUMMYFUNCTION("""COMPUTED_VALUE"""),"39,551")</f>
        <v>39,551</v>
      </c>
      <c r="K32" s="1" t="str">
        <f ca="1">IFERROR(__xludf.DUMMYFUNCTION("""COMPUTED_VALUE"""),"Гайский ГОК")</f>
        <v>Гайский ГОК</v>
      </c>
    </row>
    <row r="33" spans="1:11" ht="15" customHeight="1" x14ac:dyDescent="0.3">
      <c r="A33" s="1" t="str">
        <f ca="1">IFERROR(__xludf.DUMMYFUNCTION("""COMPUTED_VALUE"""),"108451 / 108483")</f>
        <v>108451 / 108483</v>
      </c>
      <c r="B33" s="1" t="str">
        <f ca="1">IFERROR(__xludf.DUMMYFUNCTION("""COMPUTED_VALUE"""),"01.03.2024")</f>
        <v>01.03.2024</v>
      </c>
      <c r="C33" s="1" t="str">
        <f ca="1">IFERROR(__xludf.DUMMYFUNCTION("""COMPUTED_VALUE"""),"Шлак гранулированный")</f>
        <v>Шлак гранулированный</v>
      </c>
      <c r="D33" s="1" t="str">
        <f ca="1">IFERROR(__xludf.DUMMYFUNCTION("""COMPUTED_VALUE"""),"39,80")</f>
        <v>39,80</v>
      </c>
      <c r="E33" s="1" t="str">
        <f ca="1">IFERROR(__xludf.DUMMYFUNCTION("""COMPUTED_VALUE"""),"Ягафаров Айнур Наилевич")</f>
        <v>Ягафаров Айнур Наилевич</v>
      </c>
      <c r="F33" s="1" t="str">
        <f ca="1">IFERROR(__xludf.DUMMYFUNCTION("""COMPUTED_VALUE"""),"HOWO")</f>
        <v>HOWO</v>
      </c>
      <c r="G33" s="1" t="str">
        <f ca="1">IFERROR(__xludf.DUMMYFUNCTION("""COMPUTED_VALUE"""),"Х374АТ774")</f>
        <v>Х374АТ774</v>
      </c>
      <c r="H33" s="1" t="str">
        <f ca="1">IFERROR(__xludf.DUMMYFUNCTION("""COMPUTED_VALUE"""),"г. Магнитогорск, ул. Локомотивная, 6А")</f>
        <v>г. Магнитогорск, ул. Локомотивная, 6А</v>
      </c>
      <c r="I33" s="1" t="str">
        <f ca="1">IFERROR(__xludf.DUMMYFUNCTION("""COMPUTED_VALUE"""),"г. Гай, ПАО ""Гайский ГОК""")</f>
        <v>г. Гай, ПАО "Гайский ГОК"</v>
      </c>
      <c r="J33" s="1" t="str">
        <f ca="1">IFERROR(__xludf.DUMMYFUNCTION("""COMPUTED_VALUE"""),"37,213")</f>
        <v>37,213</v>
      </c>
      <c r="K33" s="1" t="str">
        <f ca="1">IFERROR(__xludf.DUMMYFUNCTION("""COMPUTED_VALUE"""),"Гайский ГОК")</f>
        <v>Гайский ГОК</v>
      </c>
    </row>
    <row r="34" spans="1:11" ht="15" customHeight="1" x14ac:dyDescent="0.3">
      <c r="A34" s="1" t="str">
        <f ca="1">IFERROR(__xludf.DUMMYFUNCTION("""COMPUTED_VALUE"""),"232")</f>
        <v>232</v>
      </c>
      <c r="B34" s="1" t="str">
        <f ca="1">IFERROR(__xludf.DUMMYFUNCTION("""COMPUTED_VALUE"""),"29.02.2024")</f>
        <v>29.02.2024</v>
      </c>
      <c r="C34" s="1" t="str">
        <f ca="1">IFERROR(__xludf.DUMMYFUNCTION("""COMPUTED_VALUE"""),"Руда")</f>
        <v>Руда</v>
      </c>
      <c r="D34" s="1" t="str">
        <f ca="1">IFERROR(__xludf.DUMMYFUNCTION("""COMPUTED_VALUE"""),"48,25")</f>
        <v>48,25</v>
      </c>
      <c r="E34" s="1" t="str">
        <f ca="1">IFERROR(__xludf.DUMMYFUNCTION("""COMPUTED_VALUE"""),"Кунаков Ильгиз Кувандыкович")</f>
        <v>Кунаков Ильгиз Кувандыкович</v>
      </c>
      <c r="F34" s="1" t="str">
        <f ca="1">IFERROR(__xludf.DUMMYFUNCTION("""COMPUTED_VALUE"""),"МЕРСЕДЕС")</f>
        <v>МЕРСЕДЕС</v>
      </c>
      <c r="G34" s="1" t="str">
        <f ca="1">IFERROR(__xludf.DUMMYFUNCTION("""COMPUTED_VALUE"""),"О534РТ196")</f>
        <v>О534РТ196</v>
      </c>
      <c r="H3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4" s="1" t="str">
        <f ca="1">IFERROR(__xludf.DUMMYFUNCTION("""COMPUTED_VALUE"""),"г. Гай, ПАО ""Гайский ГОК""")</f>
        <v>г. Гай, ПАО "Гайский ГОК"</v>
      </c>
      <c r="J34" s="1" t="str">
        <f ca="1">IFERROR(__xludf.DUMMYFUNCTION("""COMPUTED_VALUE"""),"48,650")</f>
        <v>48,650</v>
      </c>
      <c r="K34" s="1" t="str">
        <f ca="1">IFERROR(__xludf.DUMMYFUNCTION("""COMPUTED_VALUE"""),"Башкирская Медь")</f>
        <v>Башкирская Медь</v>
      </c>
    </row>
    <row r="35" spans="1:11" ht="15" customHeight="1" x14ac:dyDescent="0.3">
      <c r="A35" s="1" t="str">
        <f ca="1">IFERROR(__xludf.DUMMYFUNCTION("""COMPUTED_VALUE"""),"2525")</f>
        <v>2525</v>
      </c>
      <c r="B35" s="1" t="str">
        <f ca="1">IFERROR(__xludf.DUMMYFUNCTION("""COMPUTED_VALUE"""),"01.03.2024")</f>
        <v>01.03.2024</v>
      </c>
      <c r="C35" s="1" t="str">
        <f ca="1">IFERROR(__xludf.DUMMYFUNCTION("""COMPUTED_VALUE"""),"глина огнеупорная")</f>
        <v>глина огнеупорная</v>
      </c>
      <c r="D35" s="1" t="str">
        <f ca="1">IFERROR(__xludf.DUMMYFUNCTION("""COMPUTED_VALUE"""),"49,26")</f>
        <v>49,26</v>
      </c>
      <c r="E35" s="1" t="str">
        <f ca="1">IFERROR(__xludf.DUMMYFUNCTION("""COMPUTED_VALUE"""),"Марьин Андрей Геннадьевич")</f>
        <v>Марьин Андрей Геннадьевич</v>
      </c>
      <c r="F35" s="1" t="str">
        <f ca="1">IFERROR(__xludf.DUMMYFUNCTION("""COMPUTED_VALUE"""),"ВОЛЬВО")</f>
        <v>ВОЛЬВО</v>
      </c>
      <c r="G35" s="1" t="str">
        <f ca="1">IFERROR(__xludf.DUMMYFUNCTION("""COMPUTED_VALUE"""),"Н180ТС196")</f>
        <v>Н180ТС196</v>
      </c>
      <c r="H35" s="1" t="str">
        <f ca="1">IFERROR(__xludf.DUMMYFUNCTION("""COMPUTED_VALUE"""),"ООО ""Бускуль"" п. Бускульский")</f>
        <v>ООО "Бускуль" п. Бускульский</v>
      </c>
      <c r="I35" s="1" t="str">
        <f ca="1">IFERROR(__xludf.DUMMYFUNCTION("""COMPUTED_VALUE"""),"ООО ""Строительный комплекс"" , Агаповское шоссе, 9")</f>
        <v>ООО "Строительный комплекс" , Агаповское шоссе, 9</v>
      </c>
      <c r="J35" s="1" t="str">
        <f ca="1">IFERROR(__xludf.DUMMYFUNCTION("""COMPUTED_VALUE"""),"49,26")</f>
        <v>49,26</v>
      </c>
      <c r="K35" s="1" t="str">
        <f ca="1">IFERROR(__xludf.DUMMYFUNCTION("""COMPUTED_VALUE"""),"Строительный комплекс ")</f>
        <v xml:space="preserve">Строительный комплекс </v>
      </c>
    </row>
    <row r="36" spans="1:11" ht="15" customHeight="1" x14ac:dyDescent="0.3">
      <c r="A36" s="1" t="str">
        <f ca="1">IFERROR(__xludf.DUMMYFUNCTION("""COMPUTED_VALUE"""),"2")</f>
        <v>2</v>
      </c>
      <c r="B36" s="1" t="str">
        <f ca="1">IFERROR(__xludf.DUMMYFUNCTION("""COMPUTED_VALUE"""),"29.02.2024")</f>
        <v>29.02.2024</v>
      </c>
      <c r="C36" s="1" t="str">
        <f ca="1">IFERROR(__xludf.DUMMYFUNCTION("""COMPUTED_VALUE"""),"Песок строительный, ГОСТ 8736-2014")</f>
        <v>Песок строительный, ГОСТ 8736-2014</v>
      </c>
      <c r="D36" s="1" t="str">
        <f ca="1">IFERROR(__xludf.DUMMYFUNCTION("""COMPUTED_VALUE"""),"46,25")</f>
        <v>46,25</v>
      </c>
      <c r="E36" s="1" t="str">
        <f ca="1">IFERROR(__xludf.DUMMYFUNCTION("""COMPUTED_VALUE"""),"Байбулатов Халит Ханифович")</f>
        <v>Байбулатов Халит Ханифович</v>
      </c>
      <c r="F36" s="1" t="str">
        <f ca="1">IFERROR(__xludf.DUMMYFUNCTION("""COMPUTED_VALUE"""),"МЕРСЕДЕС")</f>
        <v>МЕРСЕДЕС</v>
      </c>
      <c r="G36" s="1" t="str">
        <f ca="1">IFERROR(__xludf.DUMMYFUNCTION("""COMPUTED_VALUE"""),"О761ОК196")</f>
        <v>О761ОК196</v>
      </c>
      <c r="H36" s="1" t="str">
        <f ca="1">IFERROR(__xludf.DUMMYFUNCTION("""COMPUTED_VALUE"""),"г. Миасс, карьер Миасский городской пруд")</f>
        <v>г. Миасс, карьер Миасский городской пруд</v>
      </c>
      <c r="I36" s="1" t="str">
        <f ca="1">IFERROR(__xludf.DUMMYFUNCTION("""COMPUTED_VALUE"""),"г. Учалы, ул. Горнозаводская,18 (БРУ1,БРУ НУМ)")</f>
        <v>г. Учалы, ул. Горнозаводская,18 (БРУ1,БРУ НУМ)</v>
      </c>
      <c r="J36" s="1" t="str">
        <f ca="1">IFERROR(__xludf.DUMMYFUNCTION("""COMPUTED_VALUE"""),"46,250")</f>
        <v>46,250</v>
      </c>
      <c r="K36" s="1" t="str">
        <f ca="1">IFERROR(__xludf.DUMMYFUNCTION("""COMPUTED_VALUE"""),"Учалинский ГОК")</f>
        <v>Учалинский ГОК</v>
      </c>
    </row>
    <row r="37" spans="1:11" ht="15" customHeight="1" x14ac:dyDescent="0.3">
      <c r="A37" s="1" t="str">
        <f ca="1">IFERROR(__xludf.DUMMYFUNCTION("""COMPUTED_VALUE"""),"3")</f>
        <v>3</v>
      </c>
      <c r="B37" s="1" t="str">
        <f ca="1">IFERROR(__xludf.DUMMYFUNCTION("""COMPUTED_VALUE"""),"29.02.2024")</f>
        <v>29.02.2024</v>
      </c>
      <c r="C37" s="1" t="str">
        <f ca="1">IFERROR(__xludf.DUMMYFUNCTION("""COMPUTED_VALUE"""),"Песок строительный, ГОСТ 8736-2014")</f>
        <v>Песок строительный, ГОСТ 8736-2014</v>
      </c>
      <c r="D37" s="1" t="str">
        <f ca="1">IFERROR(__xludf.DUMMYFUNCTION("""COMPUTED_VALUE"""),"46,85")</f>
        <v>46,85</v>
      </c>
      <c r="E37" s="1" t="str">
        <f ca="1">IFERROR(__xludf.DUMMYFUNCTION("""COMPUTED_VALUE"""),"Корощенко Дмитрий Александрович")</f>
        <v>Корощенко Дмитрий Александрович</v>
      </c>
      <c r="F37" s="1" t="str">
        <f ca="1">IFERROR(__xludf.DUMMYFUNCTION("""COMPUTED_VALUE"""),"МЕРСЕДЕС")</f>
        <v>МЕРСЕДЕС</v>
      </c>
      <c r="G37" s="1" t="str">
        <f ca="1">IFERROR(__xludf.DUMMYFUNCTION("""COMPUTED_VALUE"""),"О396НО196")</f>
        <v>О396НО196</v>
      </c>
      <c r="H37" s="1" t="str">
        <f ca="1">IFERROR(__xludf.DUMMYFUNCTION("""COMPUTED_VALUE"""),"г. Миасс, карьер Миасский городской пруд")</f>
        <v>г. Миасс, карьер Миасский городской пруд</v>
      </c>
      <c r="I37" s="1" t="str">
        <f ca="1">IFERROR(__xludf.DUMMYFUNCTION("""COMPUTED_VALUE"""),"г. Учалы, ул. Горнозаводская,18 (БРУ1,БРУ НУМ)")</f>
        <v>г. Учалы, ул. Горнозаводская,18 (БРУ1,БРУ НУМ)</v>
      </c>
      <c r="J37" s="1" t="str">
        <f ca="1">IFERROR(__xludf.DUMMYFUNCTION("""COMPUTED_VALUE"""),"46,850")</f>
        <v>46,850</v>
      </c>
      <c r="K37" s="1" t="str">
        <f ca="1">IFERROR(__xludf.DUMMYFUNCTION("""COMPUTED_VALUE"""),"Учалинский ГОК")</f>
        <v>Учалинский ГОК</v>
      </c>
    </row>
    <row r="38" spans="1:11" ht="15" customHeight="1" x14ac:dyDescent="0.3">
      <c r="A38" s="1" t="str">
        <f ca="1">IFERROR(__xludf.DUMMYFUNCTION("""COMPUTED_VALUE"""),"6")</f>
        <v>6</v>
      </c>
      <c r="B38" s="1" t="str">
        <f ca="1">IFERROR(__xludf.DUMMYFUNCTION("""COMPUTED_VALUE"""),"01.03.2024")</f>
        <v>01.03.2024</v>
      </c>
      <c r="C38" s="1" t="str">
        <f ca="1">IFERROR(__xludf.DUMMYFUNCTION("""COMPUTED_VALUE"""),"Руда")</f>
        <v>Руда</v>
      </c>
      <c r="D38" s="1" t="str">
        <f ca="1">IFERROR(__xludf.DUMMYFUNCTION("""COMPUTED_VALUE"""),"39,30")</f>
        <v>39,30</v>
      </c>
      <c r="E38" s="1" t="str">
        <f ca="1">IFERROR(__xludf.DUMMYFUNCTION("""COMPUTED_VALUE"""),"Лычагин Дмитрий Васильевич")</f>
        <v>Лычагин Дмитрий Васильевич</v>
      </c>
      <c r="F38" s="1" t="str">
        <f ca="1">IFERROR(__xludf.DUMMYFUNCTION("""COMPUTED_VALUE"""),"ВОЛЬВО")</f>
        <v>ВОЛЬВО</v>
      </c>
      <c r="G38" s="1" t="str">
        <f ca="1">IFERROR(__xludf.DUMMYFUNCTION("""COMPUTED_VALUE"""),"Н179ОХ196")</f>
        <v>Н179ОХ196</v>
      </c>
      <c r="H3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8" s="1" t="str">
        <f ca="1">IFERROR(__xludf.DUMMYFUNCTION("""COMPUTED_VALUE"""),"г. Гай, ПАО ""Гайский ГОК""")</f>
        <v>г. Гай, ПАО "Гайский ГОК"</v>
      </c>
      <c r="J38" s="1" t="str">
        <f ca="1">IFERROR(__xludf.DUMMYFUNCTION("""COMPUTED_VALUE"""),"39,300")</f>
        <v>39,300</v>
      </c>
      <c r="K38" s="1" t="str">
        <f ca="1">IFERROR(__xludf.DUMMYFUNCTION("""COMPUTED_VALUE"""),"Башкирская Медь")</f>
        <v>Башкирская Медь</v>
      </c>
    </row>
    <row r="39" spans="1:11" ht="13" x14ac:dyDescent="0.3">
      <c r="A39" s="1" t="str">
        <f ca="1">IFERROR(__xludf.DUMMYFUNCTION("""COMPUTED_VALUE"""),"24")</f>
        <v>24</v>
      </c>
      <c r="B39" s="1" t="str">
        <f ca="1">IFERROR(__xludf.DUMMYFUNCTION("""COMPUTED_VALUE"""),"01.03.2024")</f>
        <v>01.03.2024</v>
      </c>
      <c r="C39" s="1" t="str">
        <f ca="1">IFERROR(__xludf.DUMMYFUNCTION("""COMPUTED_VALUE"""),"Руда")</f>
        <v>Руда</v>
      </c>
      <c r="D39" s="1" t="str">
        <f ca="1">IFERROR(__xludf.DUMMYFUNCTION("""COMPUTED_VALUE"""),"39,15")</f>
        <v>39,15</v>
      </c>
      <c r="E39" s="1" t="str">
        <f ca="1">IFERROR(__xludf.DUMMYFUNCTION("""COMPUTED_VALUE"""),"Лычагин Дмитрий Васильевич")</f>
        <v>Лычагин Дмитрий Васильевич</v>
      </c>
      <c r="F39" s="1" t="str">
        <f ca="1">IFERROR(__xludf.DUMMYFUNCTION("""COMPUTED_VALUE"""),"ВОЛЬВО")</f>
        <v>ВОЛЬВО</v>
      </c>
      <c r="G39" s="1" t="str">
        <f ca="1">IFERROR(__xludf.DUMMYFUNCTION("""COMPUTED_VALUE"""),"Н179ОХ196")</f>
        <v>Н179ОХ196</v>
      </c>
      <c r="H3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9" s="1" t="str">
        <f ca="1">IFERROR(__xludf.DUMMYFUNCTION("""COMPUTED_VALUE"""),"г. Гай, ПАО ""Гайский ГОК""")</f>
        <v>г. Гай, ПАО "Гайский ГОК"</v>
      </c>
      <c r="J39" s="1" t="str">
        <f ca="1">IFERROR(__xludf.DUMMYFUNCTION("""COMPUTED_VALUE"""),"39,150")</f>
        <v>39,150</v>
      </c>
      <c r="K39" s="1" t="str">
        <f ca="1">IFERROR(__xludf.DUMMYFUNCTION("""COMPUTED_VALUE"""),"Башкирская Медь")</f>
        <v>Башкирская Медь</v>
      </c>
    </row>
    <row r="40" spans="1:11" ht="13" x14ac:dyDescent="0.3">
      <c r="A40" s="1" t="str">
        <f ca="1">IFERROR(__xludf.DUMMYFUNCTION("""COMPUTED_VALUE"""),"5")</f>
        <v>5</v>
      </c>
      <c r="B40" s="1" t="str">
        <f ca="1">IFERROR(__xludf.DUMMYFUNCTION("""COMPUTED_VALUE"""),"01.03.2024")</f>
        <v>01.03.2024</v>
      </c>
      <c r="C40" s="1" t="str">
        <f ca="1">IFERROR(__xludf.DUMMYFUNCTION("""COMPUTED_VALUE"""),"Руда")</f>
        <v>Руда</v>
      </c>
      <c r="D40" s="1" t="str">
        <f ca="1">IFERROR(__xludf.DUMMYFUNCTION("""COMPUTED_VALUE"""),"41,80")</f>
        <v>41,80</v>
      </c>
      <c r="E40" s="1" t="str">
        <f ca="1">IFERROR(__xludf.DUMMYFUNCTION("""COMPUTED_VALUE"""),"Шевяков Максим Николаевич")</f>
        <v>Шевяков Максим Николаевич</v>
      </c>
      <c r="F40" s="1" t="str">
        <f ca="1">IFERROR(__xludf.DUMMYFUNCTION("""COMPUTED_VALUE"""),"МЕРСЕДЕС")</f>
        <v>МЕРСЕДЕС</v>
      </c>
      <c r="G40" s="1" t="str">
        <f ca="1">IFERROR(__xludf.DUMMYFUNCTION("""COMPUTED_VALUE"""),"О342РХ196")</f>
        <v>О342РХ196</v>
      </c>
      <c r="H4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40" s="1" t="str">
        <f ca="1">IFERROR(__xludf.DUMMYFUNCTION("""COMPUTED_VALUE"""),"г. Гай, ПАО ""Гайский ГОК""")</f>
        <v>г. Гай, ПАО "Гайский ГОК"</v>
      </c>
      <c r="J40" s="1" t="str">
        <f ca="1">IFERROR(__xludf.DUMMYFUNCTION("""COMPUTED_VALUE"""),"41,800")</f>
        <v>41,800</v>
      </c>
      <c r="K40" s="1" t="str">
        <f ca="1">IFERROR(__xludf.DUMMYFUNCTION("""COMPUTED_VALUE"""),"Башкирская Медь")</f>
        <v>Башкирская Медь</v>
      </c>
    </row>
    <row r="41" spans="1:11" ht="13" x14ac:dyDescent="0.3">
      <c r="A41" s="1" t="str">
        <f ca="1">IFERROR(__xludf.DUMMYFUNCTION("""COMPUTED_VALUE"""),"25")</f>
        <v>25</v>
      </c>
      <c r="B41" s="1" t="str">
        <f ca="1">IFERROR(__xludf.DUMMYFUNCTION("""COMPUTED_VALUE"""),"01.03.2024")</f>
        <v>01.03.2024</v>
      </c>
      <c r="C41" s="1" t="str">
        <f ca="1">IFERROR(__xludf.DUMMYFUNCTION("""COMPUTED_VALUE"""),"Руда")</f>
        <v>Руда</v>
      </c>
      <c r="D41" s="1" t="str">
        <f ca="1">IFERROR(__xludf.DUMMYFUNCTION("""COMPUTED_VALUE"""),"48,75")</f>
        <v>48,75</v>
      </c>
      <c r="E41" s="1" t="str">
        <f ca="1">IFERROR(__xludf.DUMMYFUNCTION("""COMPUTED_VALUE"""),"Шевяков Максим Николаевич")</f>
        <v>Шевяков Максим Николаевич</v>
      </c>
      <c r="F41" s="1" t="str">
        <f ca="1">IFERROR(__xludf.DUMMYFUNCTION("""COMPUTED_VALUE"""),"МЕРСЕДЕС")</f>
        <v>МЕРСЕДЕС</v>
      </c>
      <c r="G41" s="1" t="str">
        <f ca="1">IFERROR(__xludf.DUMMYFUNCTION("""COMPUTED_VALUE"""),"О342РХ196")</f>
        <v>О342РХ196</v>
      </c>
      <c r="H4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41" s="1" t="str">
        <f ca="1">IFERROR(__xludf.DUMMYFUNCTION("""COMPUTED_VALUE"""),"г. Гай, ПАО ""Гайский ГОК""")</f>
        <v>г. Гай, ПАО "Гайский ГОК"</v>
      </c>
      <c r="J41" s="1" t="str">
        <f ca="1">IFERROR(__xludf.DUMMYFUNCTION("""COMPUTED_VALUE"""),"48,750")</f>
        <v>48,750</v>
      </c>
      <c r="K41" s="1" t="str">
        <f ca="1">IFERROR(__xludf.DUMMYFUNCTION("""COMPUTED_VALUE"""),"Башкирская Медь")</f>
        <v>Башкирская Медь</v>
      </c>
    </row>
    <row r="42" spans="1:11" ht="13" x14ac:dyDescent="0.3">
      <c r="A42" s="1" t="str">
        <f ca="1">IFERROR(__xludf.DUMMYFUNCTION("""COMPUTED_VALUE"""),"ННКРС33030")</f>
        <v>ННКРС33030</v>
      </c>
      <c r="B42" s="1" t="str">
        <f ca="1">IFERROR(__xludf.DUMMYFUNCTION("""COMPUTED_VALUE"""),"01.03.2024")</f>
        <v>01.03.2024</v>
      </c>
      <c r="C42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42" s="1" t="str">
        <f ca="1">IFERROR(__xludf.DUMMYFUNCTION("""COMPUTED_VALUE"""),"37,30")</f>
        <v>37,30</v>
      </c>
      <c r="E42" s="1" t="str">
        <f ca="1">IFERROR(__xludf.DUMMYFUNCTION("""COMPUTED_VALUE"""),"Карий Николай Иванович")</f>
        <v>Карий Николай Иванович</v>
      </c>
      <c r="F42" s="1" t="str">
        <f ca="1">IFERROR(__xludf.DUMMYFUNCTION("""COMPUTED_VALUE"""),"ВОЛЬВО")</f>
        <v>ВОЛЬВО</v>
      </c>
      <c r="G42" s="1" t="str">
        <f ca="1">IFERROR(__xludf.DUMMYFUNCTION("""COMPUTED_VALUE"""),"О667РУ196")</f>
        <v>О667РУ196</v>
      </c>
      <c r="H42" s="1" t="str">
        <f ca="1">IFERROR(__xludf.DUMMYFUNCTION("""COMPUTED_VALUE"""),"с. Новобурановка")</f>
        <v>с. Новобурановка</v>
      </c>
      <c r="I42" s="1" t="str">
        <f ca="1">IFERROR(__xludf.DUMMYFUNCTION("""COMPUTED_VALUE"""),"г. Магнитогорск ул. Сульфидная 7/1")</f>
        <v>г. Магнитогорск ул. Сульфидная 7/1</v>
      </c>
      <c r="J42" s="1" t="str">
        <f ca="1">IFERROR(__xludf.DUMMYFUNCTION("""COMPUTED_VALUE"""),"37,30")</f>
        <v>37,30</v>
      </c>
      <c r="K42" s="1" t="str">
        <f ca="1">IFERROR(__xludf.DUMMYFUNCTION("""COMPUTED_VALUE"""),"ДОМ")</f>
        <v>ДОМ</v>
      </c>
    </row>
    <row r="43" spans="1:11" ht="13" x14ac:dyDescent="0.3">
      <c r="A43" s="1" t="str">
        <f ca="1">IFERROR(__xludf.DUMMYFUNCTION("""COMPUTED_VALUE"""),"ННКРС33013")</f>
        <v>ННКРС33013</v>
      </c>
      <c r="B43" s="1" t="str">
        <f ca="1">IFERROR(__xludf.DUMMYFUNCTION("""COMPUTED_VALUE"""),"01.03.2024")</f>
        <v>01.03.2024</v>
      </c>
      <c r="C43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43" s="1" t="str">
        <f ca="1">IFERROR(__xludf.DUMMYFUNCTION("""COMPUTED_VALUE"""),"37,40")</f>
        <v>37,40</v>
      </c>
      <c r="E43" s="1" t="str">
        <f ca="1">IFERROR(__xludf.DUMMYFUNCTION("""COMPUTED_VALUE"""),"Карий Николай Иванович")</f>
        <v>Карий Николай Иванович</v>
      </c>
      <c r="F43" s="1" t="str">
        <f ca="1">IFERROR(__xludf.DUMMYFUNCTION("""COMPUTED_VALUE"""),"ВОЛЬВО")</f>
        <v>ВОЛЬВО</v>
      </c>
      <c r="G43" s="1" t="str">
        <f ca="1">IFERROR(__xludf.DUMMYFUNCTION("""COMPUTED_VALUE"""),"О667РУ196")</f>
        <v>О667РУ196</v>
      </c>
      <c r="H43" s="1" t="str">
        <f ca="1">IFERROR(__xludf.DUMMYFUNCTION("""COMPUTED_VALUE"""),"с. Новобурановка")</f>
        <v>с. Новобурановка</v>
      </c>
      <c r="I43" s="1" t="str">
        <f ca="1">IFERROR(__xludf.DUMMYFUNCTION("""COMPUTED_VALUE"""),"г. Магнитогорск ул. Сульфидная 7/1")</f>
        <v>г. Магнитогорск ул. Сульфидная 7/1</v>
      </c>
      <c r="J43" s="1" t="str">
        <f ca="1">IFERROR(__xludf.DUMMYFUNCTION("""COMPUTED_VALUE"""),"37,40")</f>
        <v>37,40</v>
      </c>
      <c r="K43" s="1" t="str">
        <f ca="1">IFERROR(__xludf.DUMMYFUNCTION("""COMPUTED_VALUE"""),"ДОМ")</f>
        <v>ДОМ</v>
      </c>
    </row>
    <row r="44" spans="1:11" ht="13" x14ac:dyDescent="0.3">
      <c r="A44" s="1" t="str">
        <f ca="1">IFERROR(__xludf.DUMMYFUNCTION("""COMPUTED_VALUE"""),"ННКРС33002")</f>
        <v>ННКРС33002</v>
      </c>
      <c r="B44" s="1" t="str">
        <f ca="1">IFERROR(__xludf.DUMMYFUNCTION("""COMPUTED_VALUE"""),"01.03.2024")</f>
        <v>01.03.2024</v>
      </c>
      <c r="C44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44" s="1" t="str">
        <f ca="1">IFERROR(__xludf.DUMMYFUNCTION("""COMPUTED_VALUE"""),"35,90")</f>
        <v>35,90</v>
      </c>
      <c r="E44" s="1" t="str">
        <f ca="1">IFERROR(__xludf.DUMMYFUNCTION("""COMPUTED_VALUE"""),"Карий Николай Иванович")</f>
        <v>Карий Николай Иванович</v>
      </c>
      <c r="F44" s="1" t="str">
        <f ca="1">IFERROR(__xludf.DUMMYFUNCTION("""COMPUTED_VALUE"""),"ВОЛЬВО")</f>
        <v>ВОЛЬВО</v>
      </c>
      <c r="G44" s="1" t="str">
        <f ca="1">IFERROR(__xludf.DUMMYFUNCTION("""COMPUTED_VALUE"""),"О667РУ196")</f>
        <v>О667РУ196</v>
      </c>
      <c r="H44" s="1" t="str">
        <f ca="1">IFERROR(__xludf.DUMMYFUNCTION("""COMPUTED_VALUE"""),"с. Новобурановка")</f>
        <v>с. Новобурановка</v>
      </c>
      <c r="I44" s="1" t="str">
        <f ca="1">IFERROR(__xludf.DUMMYFUNCTION("""COMPUTED_VALUE"""),"г. Магнитогорск ул. Сульфидная 7/1")</f>
        <v>г. Магнитогорск ул. Сульфидная 7/1</v>
      </c>
      <c r="J44" s="1" t="str">
        <f ca="1">IFERROR(__xludf.DUMMYFUNCTION("""COMPUTED_VALUE"""),"35,90")</f>
        <v>35,90</v>
      </c>
      <c r="K44" s="1" t="str">
        <f ca="1">IFERROR(__xludf.DUMMYFUNCTION("""COMPUTED_VALUE"""),"ДОМ")</f>
        <v>ДОМ</v>
      </c>
    </row>
    <row r="45" spans="1:11" ht="13" x14ac:dyDescent="0.3">
      <c r="A45" s="1" t="str">
        <f ca="1">IFERROR(__xludf.DUMMYFUNCTION("""COMPUTED_VALUE"""),"ННКРС32990")</f>
        <v>ННКРС32990</v>
      </c>
      <c r="B45" s="1" t="str">
        <f ca="1">IFERROR(__xludf.DUMMYFUNCTION("""COMPUTED_VALUE"""),"01.03.2024")</f>
        <v>01.03.2024</v>
      </c>
      <c r="C45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45" s="1" t="str">
        <f ca="1">IFERROR(__xludf.DUMMYFUNCTION("""COMPUTED_VALUE"""),"36,50")</f>
        <v>36,50</v>
      </c>
      <c r="E45" s="1" t="str">
        <f ca="1">IFERROR(__xludf.DUMMYFUNCTION("""COMPUTED_VALUE"""),"Карий Николай Иванович")</f>
        <v>Карий Николай Иванович</v>
      </c>
      <c r="F45" s="1" t="str">
        <f ca="1">IFERROR(__xludf.DUMMYFUNCTION("""COMPUTED_VALUE"""),"ВОЛЬВО")</f>
        <v>ВОЛЬВО</v>
      </c>
      <c r="G45" s="1" t="str">
        <f ca="1">IFERROR(__xludf.DUMMYFUNCTION("""COMPUTED_VALUE"""),"О667РУ196")</f>
        <v>О667РУ196</v>
      </c>
      <c r="H45" s="1" t="str">
        <f ca="1">IFERROR(__xludf.DUMMYFUNCTION("""COMPUTED_VALUE"""),"с. Новобурановка")</f>
        <v>с. Новобурановка</v>
      </c>
      <c r="I45" s="1" t="str">
        <f ca="1">IFERROR(__xludf.DUMMYFUNCTION("""COMPUTED_VALUE"""),"г. Магнитогорск ул. Сульфидная 7/1")</f>
        <v>г. Магнитогорск ул. Сульфидная 7/1</v>
      </c>
      <c r="J45" s="1" t="str">
        <f ca="1">IFERROR(__xludf.DUMMYFUNCTION("""COMPUTED_VALUE"""),"36,50")</f>
        <v>36,50</v>
      </c>
      <c r="K45" s="1" t="str">
        <f ca="1">IFERROR(__xludf.DUMMYFUNCTION("""COMPUTED_VALUE"""),"ДОМ")</f>
        <v>ДОМ</v>
      </c>
    </row>
    <row r="46" spans="1:11" ht="13" x14ac:dyDescent="0.3">
      <c r="A46" s="1" t="str">
        <f ca="1">IFERROR(__xludf.DUMMYFUNCTION("""COMPUTED_VALUE"""),"108465 / 108275")</f>
        <v>108465 / 108275</v>
      </c>
      <c r="B46" s="1" t="str">
        <f ca="1">IFERROR(__xludf.DUMMYFUNCTION("""COMPUTED_VALUE"""),"01.03.2024")</f>
        <v>01.03.2024</v>
      </c>
      <c r="C46" s="1" t="str">
        <f ca="1">IFERROR(__xludf.DUMMYFUNCTION("""COMPUTED_VALUE"""),"Шлак гранулированный")</f>
        <v>Шлак гранулированный</v>
      </c>
      <c r="D46" s="1" t="str">
        <f ca="1">IFERROR(__xludf.DUMMYFUNCTION("""COMPUTED_VALUE"""),"56,05")</f>
        <v>56,05</v>
      </c>
      <c r="E46" s="1" t="str">
        <f ca="1">IFERROR(__xludf.DUMMYFUNCTION("""COMPUTED_VALUE"""),"Якшимбетов Вилюр Варисович")</f>
        <v>Якшимбетов Вилюр Варисович</v>
      </c>
      <c r="F46" s="1" t="str">
        <f ca="1">IFERROR(__xludf.DUMMYFUNCTION("""COMPUTED_VALUE"""),"ВОЛЬВО")</f>
        <v>ВОЛЬВО</v>
      </c>
      <c r="G46" s="1" t="str">
        <f ca="1">IFERROR(__xludf.DUMMYFUNCTION("""COMPUTED_VALUE"""),"Н182ТС196")</f>
        <v>Н182ТС196</v>
      </c>
      <c r="H46" s="1" t="str">
        <f ca="1">IFERROR(__xludf.DUMMYFUNCTION("""COMPUTED_VALUE"""),"г. Магнитогорск, ул. Локомотивная, 6А")</f>
        <v>г. Магнитогорск, ул. Локомотивная, 6А</v>
      </c>
      <c r="I46" s="1" t="str">
        <f ca="1">IFERROR(__xludf.DUMMYFUNCTION("""COMPUTED_VALUE"""),"г. Гай, ПАО ""Гайский ГОК""")</f>
        <v>г. Гай, ПАО "Гайский ГОК"</v>
      </c>
      <c r="J46" s="1" t="str">
        <f ca="1">IFERROR(__xludf.DUMMYFUNCTION("""COMPUTED_VALUE"""),"52,407")</f>
        <v>52,407</v>
      </c>
      <c r="K46" s="1" t="str">
        <f ca="1">IFERROR(__xludf.DUMMYFUNCTION("""COMPUTED_VALUE"""),"Гайский ГОК")</f>
        <v>Гайский ГОК</v>
      </c>
    </row>
    <row r="47" spans="1:11" ht="13" x14ac:dyDescent="0.3">
      <c r="A47" s="1" t="str">
        <f ca="1">IFERROR(__xludf.DUMMYFUNCTION("""COMPUTED_VALUE"""),"16")</f>
        <v>16</v>
      </c>
      <c r="B47" s="1" t="str">
        <f ca="1">IFERROR(__xludf.DUMMYFUNCTION("""COMPUTED_VALUE"""),"01.03.2024")</f>
        <v>01.03.2024</v>
      </c>
      <c r="C47" s="1" t="str">
        <f ca="1">IFERROR(__xludf.DUMMYFUNCTION("""COMPUTED_VALUE"""),"Руда")</f>
        <v>Руда</v>
      </c>
      <c r="D47" s="1" t="str">
        <f ca="1">IFERROR(__xludf.DUMMYFUNCTION("""COMPUTED_VALUE"""),"46,80")</f>
        <v>46,80</v>
      </c>
      <c r="E47" s="1" t="str">
        <f ca="1">IFERROR(__xludf.DUMMYFUNCTION("""COMPUTED_VALUE"""),"Сенюшкин Дмитрий Сергеевич")</f>
        <v>Сенюшкин Дмитрий Сергеевич</v>
      </c>
      <c r="F47" s="1" t="str">
        <f ca="1">IFERROR(__xludf.DUMMYFUNCTION("""COMPUTED_VALUE"""),"МЕРСЕДЕС")</f>
        <v>МЕРСЕДЕС</v>
      </c>
      <c r="G47" s="1" t="str">
        <f ca="1">IFERROR(__xludf.DUMMYFUNCTION("""COMPUTED_VALUE"""),"О974ОЕ196")</f>
        <v>О974ОЕ196</v>
      </c>
      <c r="H4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47" s="1" t="str">
        <f ca="1">IFERROR(__xludf.DUMMYFUNCTION("""COMPUTED_VALUE"""),"г. Гай, ПАО ""Гайский ГОК""")</f>
        <v>г. Гай, ПАО "Гайский ГОК"</v>
      </c>
      <c r="J47" s="1" t="str">
        <f ca="1">IFERROR(__xludf.DUMMYFUNCTION("""COMPUTED_VALUE"""),"46,800")</f>
        <v>46,800</v>
      </c>
      <c r="K47" s="1" t="str">
        <f ca="1">IFERROR(__xludf.DUMMYFUNCTION("""COMPUTED_VALUE"""),"Башкирская Медь")</f>
        <v>Башкирская Медь</v>
      </c>
    </row>
    <row r="48" spans="1:11" ht="13" x14ac:dyDescent="0.3">
      <c r="A48" s="1" t="str">
        <f ca="1">IFERROR(__xludf.DUMMYFUNCTION("""COMPUTED_VALUE"""),"12")</f>
        <v>12</v>
      </c>
      <c r="B48" s="1" t="str">
        <f ca="1">IFERROR(__xludf.DUMMYFUNCTION("""COMPUTED_VALUE"""),"01.03.2024")</f>
        <v>01.03.2024</v>
      </c>
      <c r="C48" s="1" t="str">
        <f ca="1">IFERROR(__xludf.DUMMYFUNCTION("""COMPUTED_VALUE"""),"Руда")</f>
        <v>Руда</v>
      </c>
      <c r="D48" s="1" t="str">
        <f ca="1">IFERROR(__xludf.DUMMYFUNCTION("""COMPUTED_VALUE"""),"46,35")</f>
        <v>46,35</v>
      </c>
      <c r="E48" s="1" t="str">
        <f ca="1">IFERROR(__xludf.DUMMYFUNCTION("""COMPUTED_VALUE"""),"Сенюшкин Дмитрий Сергеевич")</f>
        <v>Сенюшкин Дмитрий Сергеевич</v>
      </c>
      <c r="F48" s="1" t="str">
        <f ca="1">IFERROR(__xludf.DUMMYFUNCTION("""COMPUTED_VALUE"""),"МЕРСЕДЕС")</f>
        <v>МЕРСЕДЕС</v>
      </c>
      <c r="G48" s="1" t="str">
        <f ca="1">IFERROR(__xludf.DUMMYFUNCTION("""COMPUTED_VALUE"""),"О974ОЕ196")</f>
        <v>О974ОЕ196</v>
      </c>
      <c r="H4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48" s="1" t="str">
        <f ca="1">IFERROR(__xludf.DUMMYFUNCTION("""COMPUTED_VALUE"""),"г. Гай, ПАО ""Гайский ГОК""")</f>
        <v>г. Гай, ПАО "Гайский ГОК"</v>
      </c>
      <c r="J48" s="1" t="str">
        <f ca="1">IFERROR(__xludf.DUMMYFUNCTION("""COMPUTED_VALUE"""),"46,350")</f>
        <v>46,350</v>
      </c>
      <c r="K48" s="1" t="str">
        <f ca="1">IFERROR(__xludf.DUMMYFUNCTION("""COMPUTED_VALUE"""),"Башкирская Медь")</f>
        <v>Башкирская Медь</v>
      </c>
    </row>
    <row r="49" spans="1:11" ht="13" x14ac:dyDescent="0.3">
      <c r="A49" s="1" t="str">
        <f ca="1">IFERROR(__xludf.DUMMYFUNCTION("""COMPUTED_VALUE"""),"17")</f>
        <v>17</v>
      </c>
      <c r="B49" s="1" t="str">
        <f ca="1">IFERROR(__xludf.DUMMYFUNCTION("""COMPUTED_VALUE"""),"01.03.2024")</f>
        <v>01.03.2024</v>
      </c>
      <c r="C49" s="1" t="str">
        <f ca="1">IFERROR(__xludf.DUMMYFUNCTION("""COMPUTED_VALUE"""),"Руда")</f>
        <v>Руда</v>
      </c>
      <c r="D49" s="1" t="str">
        <f ca="1">IFERROR(__xludf.DUMMYFUNCTION("""COMPUTED_VALUE"""),"45,75")</f>
        <v>45,75</v>
      </c>
      <c r="E49" s="1" t="str">
        <f ca="1">IFERROR(__xludf.DUMMYFUNCTION("""COMPUTED_VALUE"""),"Баймуратов Ренат Гаффанович")</f>
        <v>Баймуратов Ренат Гаффанович</v>
      </c>
      <c r="F49" s="1" t="str">
        <f ca="1">IFERROR(__xludf.DUMMYFUNCTION("""COMPUTED_VALUE"""),"МЕРСЕДЕС")</f>
        <v>МЕРСЕДЕС</v>
      </c>
      <c r="G49" s="1" t="str">
        <f ca="1">IFERROR(__xludf.DUMMYFUNCTION("""COMPUTED_VALUE"""),"О691НН196")</f>
        <v>О691НН196</v>
      </c>
      <c r="H4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49" s="1" t="str">
        <f ca="1">IFERROR(__xludf.DUMMYFUNCTION("""COMPUTED_VALUE"""),"г. Гай, ПАО ""Гайский ГОК""")</f>
        <v>г. Гай, ПАО "Гайский ГОК"</v>
      </c>
      <c r="J49" s="1" t="str">
        <f ca="1">IFERROR(__xludf.DUMMYFUNCTION("""COMPUTED_VALUE"""),"44,700")</f>
        <v>44,700</v>
      </c>
      <c r="K49" s="1" t="str">
        <f ca="1">IFERROR(__xludf.DUMMYFUNCTION("""COMPUTED_VALUE"""),"Башкирская Медь")</f>
        <v>Башкирская Медь</v>
      </c>
    </row>
    <row r="50" spans="1:11" ht="13" x14ac:dyDescent="0.3">
      <c r="A50" s="1" t="str">
        <f ca="1">IFERROR(__xludf.DUMMYFUNCTION("""COMPUTED_VALUE"""),"3")</f>
        <v>3</v>
      </c>
      <c r="B50" s="1" t="str">
        <f ca="1">IFERROR(__xludf.DUMMYFUNCTION("""COMPUTED_VALUE"""),"01.03.2024")</f>
        <v>01.03.2024</v>
      </c>
      <c r="C50" s="1" t="str">
        <f ca="1">IFERROR(__xludf.DUMMYFUNCTION("""COMPUTED_VALUE"""),"Руда")</f>
        <v>Руда</v>
      </c>
      <c r="D50" s="1" t="str">
        <f ca="1">IFERROR(__xludf.DUMMYFUNCTION("""COMPUTED_VALUE"""),"44,50")</f>
        <v>44,50</v>
      </c>
      <c r="E50" s="1" t="str">
        <f ca="1">IFERROR(__xludf.DUMMYFUNCTION("""COMPUTED_VALUE"""),"Баймуратов Ренат Гаффанович")</f>
        <v>Баймуратов Ренат Гаффанович</v>
      </c>
      <c r="F50" s="1" t="str">
        <f ca="1">IFERROR(__xludf.DUMMYFUNCTION("""COMPUTED_VALUE"""),"МЕРСЕДЕС")</f>
        <v>МЕРСЕДЕС</v>
      </c>
      <c r="G50" s="1" t="str">
        <f ca="1">IFERROR(__xludf.DUMMYFUNCTION("""COMPUTED_VALUE"""),"О691НН196")</f>
        <v>О691НН196</v>
      </c>
      <c r="H5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0" s="1" t="str">
        <f ca="1">IFERROR(__xludf.DUMMYFUNCTION("""COMPUTED_VALUE"""),"г. Гай, ПАО ""Гайский ГОК""")</f>
        <v>г. Гай, ПАО "Гайский ГОК"</v>
      </c>
      <c r="J50" s="1" t="str">
        <f ca="1">IFERROR(__xludf.DUMMYFUNCTION("""COMPUTED_VALUE"""),"46,100")</f>
        <v>46,100</v>
      </c>
      <c r="K50" s="1" t="str">
        <f ca="1">IFERROR(__xludf.DUMMYFUNCTION("""COMPUTED_VALUE"""),"Башкирская Медь")</f>
        <v>Башкирская Медь</v>
      </c>
    </row>
    <row r="51" spans="1:11" ht="13" x14ac:dyDescent="0.3">
      <c r="A51" s="1" t="str">
        <f ca="1">IFERROR(__xludf.DUMMYFUNCTION("""COMPUTED_VALUE"""),"2")</f>
        <v>2</v>
      </c>
      <c r="B51" s="1" t="str">
        <f ca="1">IFERROR(__xludf.DUMMYFUNCTION("""COMPUTED_VALUE"""),"01.03.2024")</f>
        <v>01.03.2024</v>
      </c>
      <c r="C51" s="1" t="str">
        <f ca="1">IFERROR(__xludf.DUMMYFUNCTION("""COMPUTED_VALUE"""),"Руда")</f>
        <v>Руда</v>
      </c>
      <c r="D51" s="1" t="str">
        <f ca="1">IFERROR(__xludf.DUMMYFUNCTION("""COMPUTED_VALUE"""),"42,65")</f>
        <v>42,65</v>
      </c>
      <c r="E51" s="1" t="str">
        <f ca="1">IFERROR(__xludf.DUMMYFUNCTION("""COMPUTED_VALUE"""),"Ерёмин Андрей Юрьевич
")</f>
        <v xml:space="preserve">Ерёмин Андрей Юрьевич
</v>
      </c>
      <c r="F51" s="1" t="str">
        <f ca="1">IFERROR(__xludf.DUMMYFUNCTION("""COMPUTED_VALUE"""),"МЕРСЕДЕС")</f>
        <v>МЕРСЕДЕС</v>
      </c>
      <c r="G51" s="1" t="str">
        <f ca="1">IFERROR(__xludf.DUMMYFUNCTION("""COMPUTED_VALUE"""),"О756ОК196")</f>
        <v>О756ОК196</v>
      </c>
      <c r="H5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1" s="1" t="str">
        <f ca="1">IFERROR(__xludf.DUMMYFUNCTION("""COMPUTED_VALUE"""),"г. Гай, ПАО ""Гайский ГОК""")</f>
        <v>г. Гай, ПАО "Гайский ГОК"</v>
      </c>
      <c r="J51" s="1" t="str">
        <f ca="1">IFERROR(__xludf.DUMMYFUNCTION("""COMPUTED_VALUE"""),"42,650")</f>
        <v>42,650</v>
      </c>
      <c r="K51" s="1" t="str">
        <f ca="1">IFERROR(__xludf.DUMMYFUNCTION("""COMPUTED_VALUE"""),"Башкирская Медь")</f>
        <v>Башкирская Медь</v>
      </c>
    </row>
    <row r="52" spans="1:11" ht="13" x14ac:dyDescent="0.3">
      <c r="A52" s="1" t="str">
        <f ca="1">IFERROR(__xludf.DUMMYFUNCTION("""COMPUTED_VALUE"""),"21")</f>
        <v>21</v>
      </c>
      <c r="B52" s="1" t="str">
        <f ca="1">IFERROR(__xludf.DUMMYFUNCTION("""COMPUTED_VALUE"""),"01.03.2024")</f>
        <v>01.03.2024</v>
      </c>
      <c r="C52" s="1" t="str">
        <f ca="1">IFERROR(__xludf.DUMMYFUNCTION("""COMPUTED_VALUE"""),"Руда")</f>
        <v>Руда</v>
      </c>
      <c r="D52" s="1" t="str">
        <f ca="1">IFERROR(__xludf.DUMMYFUNCTION("""COMPUTED_VALUE"""),"42,30")</f>
        <v>42,30</v>
      </c>
      <c r="E52" s="1" t="str">
        <f ca="1">IFERROR(__xludf.DUMMYFUNCTION("""COMPUTED_VALUE"""),"Ерёмин Андрей Юрьевич
")</f>
        <v xml:space="preserve">Ерёмин Андрей Юрьевич
</v>
      </c>
      <c r="F52" s="1" t="str">
        <f ca="1">IFERROR(__xludf.DUMMYFUNCTION("""COMPUTED_VALUE"""),"МЕРСЕДЕС")</f>
        <v>МЕРСЕДЕС</v>
      </c>
      <c r="G52" s="1" t="str">
        <f ca="1">IFERROR(__xludf.DUMMYFUNCTION("""COMPUTED_VALUE"""),"О756ОК196")</f>
        <v>О756ОК196</v>
      </c>
      <c r="H5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2" s="1" t="str">
        <f ca="1">IFERROR(__xludf.DUMMYFUNCTION("""COMPUTED_VALUE"""),"г. Гай, ПАО ""Гайский ГОК""")</f>
        <v>г. Гай, ПАО "Гайский ГОК"</v>
      </c>
      <c r="J52" s="1" t="str">
        <f ca="1">IFERROR(__xludf.DUMMYFUNCTION("""COMPUTED_VALUE"""),"42,300")</f>
        <v>42,300</v>
      </c>
      <c r="K52" s="1" t="str">
        <f ca="1">IFERROR(__xludf.DUMMYFUNCTION("""COMPUTED_VALUE"""),"Башкирская Медь")</f>
        <v>Башкирская Медь</v>
      </c>
    </row>
    <row r="53" spans="1:11" ht="13" x14ac:dyDescent="0.3">
      <c r="A53" s="1" t="str">
        <f ca="1">IFERROR(__xludf.DUMMYFUNCTION("""COMPUTED_VALUE"""),"108320 / 108370")</f>
        <v>108320 / 108370</v>
      </c>
      <c r="B53" s="1" t="str">
        <f ca="1">IFERROR(__xludf.DUMMYFUNCTION("""COMPUTED_VALUE"""),"01.03.2024")</f>
        <v>01.03.2024</v>
      </c>
      <c r="C53" s="1" t="str">
        <f ca="1">IFERROR(__xludf.DUMMYFUNCTION("""COMPUTED_VALUE"""),"Шлак гранулированный")</f>
        <v>Шлак гранулированный</v>
      </c>
      <c r="D53" s="1" t="str">
        <f ca="1">IFERROR(__xludf.DUMMYFUNCTION("""COMPUTED_VALUE"""),"55,50")</f>
        <v>55,50</v>
      </c>
      <c r="E53" s="1" t="str">
        <f ca="1">IFERROR(__xludf.DUMMYFUNCTION("""COMPUTED_VALUE"""),"Саитов Ильнур Муритович")</f>
        <v>Саитов Ильнур Муритович</v>
      </c>
      <c r="F53" s="1" t="str">
        <f ca="1">IFERROR(__xludf.DUMMYFUNCTION("""COMPUTED_VALUE"""),"ВОЛЬВО")</f>
        <v>ВОЛЬВО</v>
      </c>
      <c r="G53" s="1" t="str">
        <f ca="1">IFERROR(__xludf.DUMMYFUNCTION("""COMPUTED_VALUE"""),"Н184ТС196")</f>
        <v>Н184ТС196</v>
      </c>
      <c r="H53" s="1" t="str">
        <f ca="1">IFERROR(__xludf.DUMMYFUNCTION("""COMPUTED_VALUE"""),"г. Магнитогорск, ул. Локомотивная, 6А")</f>
        <v>г. Магнитогорск, ул. Локомотивная, 6А</v>
      </c>
      <c r="I53" s="1" t="str">
        <f ca="1">IFERROR(__xludf.DUMMYFUNCTION("""COMPUTED_VALUE"""),"г. Гай, ПАО ""Гайский ГОК""")</f>
        <v>г. Гай, ПАО "Гайский ГОК"</v>
      </c>
      <c r="J53" s="1" t="str">
        <f ca="1">IFERROR(__xludf.DUMMYFUNCTION("""COMPUTED_VALUE"""),"51,893")</f>
        <v>51,893</v>
      </c>
      <c r="K53" s="1" t="str">
        <f ca="1">IFERROR(__xludf.DUMMYFUNCTION("""COMPUTED_VALUE"""),"Гайский ГОК")</f>
        <v>Гайский ГОК</v>
      </c>
    </row>
    <row r="54" spans="1:11" ht="13" x14ac:dyDescent="0.3">
      <c r="A54" s="1" t="str">
        <f ca="1">IFERROR(__xludf.DUMMYFUNCTION("""COMPUTED_VALUE"""),"108076/         108551")</f>
        <v>108076/         108551</v>
      </c>
      <c r="B54" s="1" t="str">
        <f ca="1">IFERROR(__xludf.DUMMYFUNCTION("""COMPUTED_VALUE"""),"01.03.2024")</f>
        <v>01.03.2024</v>
      </c>
      <c r="C54" s="1" t="str">
        <f ca="1">IFERROR(__xludf.DUMMYFUNCTION("""COMPUTED_VALUE"""),"Шлак гранулированный")</f>
        <v>Шлак гранулированный</v>
      </c>
      <c r="D54" s="1" t="str">
        <f ca="1">IFERROR(__xludf.DUMMYFUNCTION("""COMPUTED_VALUE"""),"59,45")</f>
        <v>59,45</v>
      </c>
      <c r="E54" s="1" t="str">
        <f ca="1">IFERROR(__xludf.DUMMYFUNCTION("""COMPUTED_VALUE"""),"Карий Иван Иванович")</f>
        <v>Карий Иван Иванович</v>
      </c>
      <c r="F54" s="1" t="str">
        <f ca="1">IFERROR(__xludf.DUMMYFUNCTION("""COMPUTED_VALUE"""),"ВОЛЬВО")</f>
        <v>ВОЛЬВО</v>
      </c>
      <c r="G54" s="1" t="str">
        <f ca="1">IFERROR(__xludf.DUMMYFUNCTION("""COMPUTED_VALUE"""),"Н208МР196")</f>
        <v>Н208МР196</v>
      </c>
      <c r="H54" s="1" t="str">
        <f ca="1">IFERROR(__xludf.DUMMYFUNCTION("""COMPUTED_VALUE"""),"г. Магнитогорск, ул. Локомотивная, 6А")</f>
        <v>г. Магнитогорск, ул. Локомотивная, 6А</v>
      </c>
      <c r="I54" s="1" t="str">
        <f ca="1">IFERROR(__xludf.DUMMYFUNCTION("""COMPUTED_VALUE"""),"г. Гай, ПАО ""Гайский ГОК""")</f>
        <v>г. Гай, ПАО "Гайский ГОК"</v>
      </c>
      <c r="J54" s="1" t="str">
        <f ca="1">IFERROR(__xludf.DUMMYFUNCTION("""COMPUTED_VALUE"""),"55,586")</f>
        <v>55,586</v>
      </c>
      <c r="K54" s="1" t="str">
        <f ca="1">IFERROR(__xludf.DUMMYFUNCTION("""COMPUTED_VALUE"""),"Гайский ГОК")</f>
        <v>Гайский ГОК</v>
      </c>
    </row>
    <row r="55" spans="1:11" ht="13" x14ac:dyDescent="0.3">
      <c r="A55" s="1" t="str">
        <f ca="1">IFERROR(__xludf.DUMMYFUNCTION("""COMPUTED_VALUE"""),"15")</f>
        <v>15</v>
      </c>
      <c r="B55" s="1" t="str">
        <f ca="1">IFERROR(__xludf.DUMMYFUNCTION("""COMPUTED_VALUE"""),"01.03.2024")</f>
        <v>01.03.2024</v>
      </c>
      <c r="C55" s="1" t="str">
        <f ca="1">IFERROR(__xludf.DUMMYFUNCTION("""COMPUTED_VALUE"""),"Руда")</f>
        <v>Руда</v>
      </c>
      <c r="D55" s="1" t="str">
        <f ca="1">IFERROR(__xludf.DUMMYFUNCTION("""COMPUTED_VALUE"""),"41,80")</f>
        <v>41,80</v>
      </c>
      <c r="E55" s="1" t="str">
        <f ca="1">IFERROR(__xludf.DUMMYFUNCTION("""COMPUTED_VALUE"""),"Добижа Алексей Васильевич")</f>
        <v>Добижа Алексей Васильевич</v>
      </c>
      <c r="F55" s="1" t="str">
        <f ca="1">IFERROR(__xludf.DUMMYFUNCTION("""COMPUTED_VALUE"""),"МЕРСЕДЕС")</f>
        <v>МЕРСЕДЕС</v>
      </c>
      <c r="G55" s="1" t="str">
        <f ca="1">IFERROR(__xludf.DUMMYFUNCTION("""COMPUTED_VALUE"""),"О840РХ196")</f>
        <v>О840РХ196</v>
      </c>
      <c r="H5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5" s="1" t="str">
        <f ca="1">IFERROR(__xludf.DUMMYFUNCTION("""COMPUTED_VALUE"""),"г. Гай, ПАО ""Гайский ГОК""")</f>
        <v>г. Гай, ПАО "Гайский ГОК"</v>
      </c>
      <c r="J55" s="1" t="str">
        <f ca="1">IFERROR(__xludf.DUMMYFUNCTION("""COMPUTED_VALUE"""),"41,800")</f>
        <v>41,800</v>
      </c>
      <c r="K55" s="1" t="str">
        <f ca="1">IFERROR(__xludf.DUMMYFUNCTION("""COMPUTED_VALUE"""),"Башкирская Медь")</f>
        <v>Башкирская Медь</v>
      </c>
    </row>
    <row r="56" spans="1:11" ht="13" x14ac:dyDescent="0.3">
      <c r="A56" s="1" t="str">
        <f ca="1">IFERROR(__xludf.DUMMYFUNCTION("""COMPUTED_VALUE"""),"26")</f>
        <v>26</v>
      </c>
      <c r="B56" s="1" t="str">
        <f ca="1">IFERROR(__xludf.DUMMYFUNCTION("""COMPUTED_VALUE"""),"01.03.2024")</f>
        <v>01.03.2024</v>
      </c>
      <c r="C56" s="1" t="str">
        <f ca="1">IFERROR(__xludf.DUMMYFUNCTION("""COMPUTED_VALUE"""),"Руда")</f>
        <v>Руда</v>
      </c>
      <c r="D56" s="1" t="str">
        <f ca="1">IFERROR(__xludf.DUMMYFUNCTION("""COMPUTED_VALUE"""),"40,90")</f>
        <v>40,90</v>
      </c>
      <c r="E56" s="1" t="str">
        <f ca="1">IFERROR(__xludf.DUMMYFUNCTION("""COMPUTED_VALUE"""),"Добижа Алексей Васильевич")</f>
        <v>Добижа Алексей Васильевич</v>
      </c>
      <c r="F56" s="1" t="str">
        <f ca="1">IFERROR(__xludf.DUMMYFUNCTION("""COMPUTED_VALUE"""),"МЕРСЕДЕС")</f>
        <v>МЕРСЕДЕС</v>
      </c>
      <c r="G56" s="1" t="str">
        <f ca="1">IFERROR(__xludf.DUMMYFUNCTION("""COMPUTED_VALUE"""),"О840РХ196")</f>
        <v>О840РХ196</v>
      </c>
      <c r="H5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6" s="1" t="str">
        <f ca="1">IFERROR(__xludf.DUMMYFUNCTION("""COMPUTED_VALUE"""),"г. Гай, ПАО ""Гайский ГОК""")</f>
        <v>г. Гай, ПАО "Гайский ГОК"</v>
      </c>
      <c r="J56" s="1" t="str">
        <f ca="1">IFERROR(__xludf.DUMMYFUNCTION("""COMPUTED_VALUE"""),"40,900")</f>
        <v>40,900</v>
      </c>
      <c r="K56" s="1" t="str">
        <f ca="1">IFERROR(__xludf.DUMMYFUNCTION("""COMPUTED_VALUE"""),"Башкирская Медь")</f>
        <v>Башкирская Медь</v>
      </c>
    </row>
    <row r="57" spans="1:11" ht="13" x14ac:dyDescent="0.3">
      <c r="A57" s="1" t="str">
        <f ca="1">IFERROR(__xludf.DUMMYFUNCTION("""COMPUTED_VALUE"""),"108521/        108511")</f>
        <v>108521/        108511</v>
      </c>
      <c r="B57" s="1" t="str">
        <f ca="1">IFERROR(__xludf.DUMMYFUNCTION("""COMPUTED_VALUE"""),"01.03.2024")</f>
        <v>01.03.2024</v>
      </c>
      <c r="C57" s="1" t="str">
        <f ca="1">IFERROR(__xludf.DUMMYFUNCTION("""COMPUTED_VALUE"""),"Шлак гранулированный")</f>
        <v>Шлак гранулированный</v>
      </c>
      <c r="D57" s="1" t="str">
        <f ca="1">IFERROR(__xludf.DUMMYFUNCTION("""COMPUTED_VALUE"""),"60,95")</f>
        <v>60,95</v>
      </c>
      <c r="E57" s="1" t="str">
        <f ca="1">IFERROR(__xludf.DUMMYFUNCTION("""COMPUTED_VALUE"""),"Ахунов Алексей Анатольевич")</f>
        <v>Ахунов Алексей Анатольевич</v>
      </c>
      <c r="F57" s="1" t="str">
        <f ca="1">IFERROR(__xludf.DUMMYFUNCTION("""COMPUTED_VALUE"""),"ВОЛЬВО")</f>
        <v>ВОЛЬВО</v>
      </c>
      <c r="G57" s="1" t="str">
        <f ca="1">IFERROR(__xludf.DUMMYFUNCTION("""COMPUTED_VALUE"""),"О246РС196")</f>
        <v>О246РС196</v>
      </c>
      <c r="H57" s="1" t="str">
        <f ca="1">IFERROR(__xludf.DUMMYFUNCTION("""COMPUTED_VALUE"""),"г. Магнитогорск, ул. Локомотивная, 6А")</f>
        <v>г. Магнитогорск, ул. Локомотивная, 6А</v>
      </c>
      <c r="I57" s="1" t="str">
        <f ca="1">IFERROR(__xludf.DUMMYFUNCTION("""COMPUTED_VALUE"""),"г. Гай, ПАО ""Гайский ГОК""")</f>
        <v>г. Гай, ПАО "Гайский ГОК"</v>
      </c>
      <c r="J57" s="1" t="str">
        <f ca="1">IFERROR(__xludf.DUMMYFUNCTION("""COMPUTED_VALUE"""),"56,988")</f>
        <v>56,988</v>
      </c>
      <c r="K57" s="1" t="str">
        <f ca="1">IFERROR(__xludf.DUMMYFUNCTION("""COMPUTED_VALUE"""),"Гайский ГОК")</f>
        <v>Гайский ГОК</v>
      </c>
    </row>
    <row r="58" spans="1:11" ht="13" x14ac:dyDescent="0.3">
      <c r="A58" s="1" t="str">
        <f ca="1">IFERROR(__xludf.DUMMYFUNCTION("""COMPUTED_VALUE"""),"14")</f>
        <v>14</v>
      </c>
      <c r="B58" s="1" t="str">
        <f ca="1">IFERROR(__xludf.DUMMYFUNCTION("""COMPUTED_VALUE"""),"01.03.2024")</f>
        <v>01.03.2024</v>
      </c>
      <c r="C58" s="1" t="str">
        <f ca="1">IFERROR(__xludf.DUMMYFUNCTION("""COMPUTED_VALUE"""),"Руда")</f>
        <v>Руда</v>
      </c>
      <c r="D58" s="1" t="str">
        <f ca="1">IFERROR(__xludf.DUMMYFUNCTION("""COMPUTED_VALUE"""),"46,40")</f>
        <v>46,40</v>
      </c>
      <c r="E58" s="1" t="str">
        <f ca="1">IFERROR(__xludf.DUMMYFUNCTION("""COMPUTED_VALUE"""),"Закиров Замил Закиевич")</f>
        <v>Закиров Замил Закиевич</v>
      </c>
      <c r="F58" s="1" t="str">
        <f ca="1">IFERROR(__xludf.DUMMYFUNCTION("""COMPUTED_VALUE"""),"МЕРСЕДЕС")</f>
        <v>МЕРСЕДЕС</v>
      </c>
      <c r="G58" s="1" t="str">
        <f ca="1">IFERROR(__xludf.DUMMYFUNCTION("""COMPUTED_VALUE"""),"О135ОУ196")</f>
        <v>О135ОУ196</v>
      </c>
      <c r="H5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8" s="1" t="str">
        <f ca="1">IFERROR(__xludf.DUMMYFUNCTION("""COMPUTED_VALUE"""),"г. Гай, ПАО ""Гайский ГОК""")</f>
        <v>г. Гай, ПАО "Гайский ГОК"</v>
      </c>
      <c r="J58" s="1" t="str">
        <f ca="1">IFERROR(__xludf.DUMMYFUNCTION("""COMPUTED_VALUE"""),"46,700")</f>
        <v>46,700</v>
      </c>
      <c r="K58" s="1" t="str">
        <f ca="1">IFERROR(__xludf.DUMMYFUNCTION("""COMPUTED_VALUE"""),"Башкирская Медь")</f>
        <v>Башкирская Медь</v>
      </c>
    </row>
    <row r="59" spans="1:11" ht="13" x14ac:dyDescent="0.3">
      <c r="A59" s="1" t="str">
        <f ca="1">IFERROR(__xludf.DUMMYFUNCTION("""COMPUTED_VALUE"""),"13")</f>
        <v>13</v>
      </c>
      <c r="B59" s="1" t="str">
        <f ca="1">IFERROR(__xludf.DUMMYFUNCTION("""COMPUTED_VALUE"""),"01.03.2024")</f>
        <v>01.03.2024</v>
      </c>
      <c r="C59" s="1" t="str">
        <f ca="1">IFERROR(__xludf.DUMMYFUNCTION("""COMPUTED_VALUE"""),"Руда")</f>
        <v>Руда</v>
      </c>
      <c r="D59" s="1" t="str">
        <f ca="1">IFERROR(__xludf.DUMMYFUNCTION("""COMPUTED_VALUE"""),"41,05")</f>
        <v>41,05</v>
      </c>
      <c r="E59" s="1" t="str">
        <f ca="1">IFERROR(__xludf.DUMMYFUNCTION("""COMPUTED_VALUE"""),"Рыбалкин Виталий Ильич")</f>
        <v>Рыбалкин Виталий Ильич</v>
      </c>
      <c r="F59" s="1" t="str">
        <f ca="1">IFERROR(__xludf.DUMMYFUNCTION("""COMPUTED_VALUE"""),"МЕРСЕДЕС")</f>
        <v>МЕРСЕДЕС</v>
      </c>
      <c r="G59" s="1" t="str">
        <f ca="1">IFERROR(__xludf.DUMMYFUNCTION("""COMPUTED_VALUE"""),"О669РО196")</f>
        <v>О669РО196</v>
      </c>
      <c r="H5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59" s="1" t="str">
        <f ca="1">IFERROR(__xludf.DUMMYFUNCTION("""COMPUTED_VALUE"""),"г. Гай, ПАО ""Гайский ГОК""")</f>
        <v>г. Гай, ПАО "Гайский ГОК"</v>
      </c>
      <c r="J59" s="1" t="str">
        <f ca="1">IFERROR(__xludf.DUMMYFUNCTION("""COMPUTED_VALUE"""),"41,050")</f>
        <v>41,050</v>
      </c>
      <c r="K59" s="1" t="str">
        <f ca="1">IFERROR(__xludf.DUMMYFUNCTION("""COMPUTED_VALUE"""),"Башкирская Медь")</f>
        <v>Башкирская Медь</v>
      </c>
    </row>
    <row r="60" spans="1:11" ht="13" x14ac:dyDescent="0.3">
      <c r="A60" s="1" t="str">
        <f ca="1">IFERROR(__xludf.DUMMYFUNCTION("""COMPUTED_VALUE"""),"7")</f>
        <v>7</v>
      </c>
      <c r="B60" s="1" t="str">
        <f ca="1">IFERROR(__xludf.DUMMYFUNCTION("""COMPUTED_VALUE"""),"01.03.2024")</f>
        <v>01.03.2024</v>
      </c>
      <c r="C60" s="1" t="str">
        <f ca="1">IFERROR(__xludf.DUMMYFUNCTION("""COMPUTED_VALUE"""),"Руда")</f>
        <v>Руда</v>
      </c>
      <c r="D60" s="1" t="str">
        <f ca="1">IFERROR(__xludf.DUMMYFUNCTION("""COMPUTED_VALUE"""),"41,40")</f>
        <v>41,40</v>
      </c>
      <c r="E60" s="1" t="str">
        <f ca="1">IFERROR(__xludf.DUMMYFUNCTION("""COMPUTED_VALUE"""),"Марусов Владимир Анатольевич")</f>
        <v>Марусов Владимир Анатольевич</v>
      </c>
      <c r="F60" s="1" t="str">
        <f ca="1">IFERROR(__xludf.DUMMYFUNCTION("""COMPUTED_VALUE"""),"МЕРСЕДЕС")</f>
        <v>МЕРСЕДЕС</v>
      </c>
      <c r="G60" s="1" t="str">
        <f ca="1">IFERROR(__xludf.DUMMYFUNCTION("""COMPUTED_VALUE"""),"О740ОН196")</f>
        <v>О740ОН196</v>
      </c>
      <c r="H6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60" s="1" t="str">
        <f ca="1">IFERROR(__xludf.DUMMYFUNCTION("""COMPUTED_VALUE"""),"г. Гай, ПАО ""Гайский ГОК""")</f>
        <v>г. Гай, ПАО "Гайский ГОК"</v>
      </c>
      <c r="J60" s="1" t="str">
        <f ca="1">IFERROR(__xludf.DUMMYFUNCTION("""COMPUTED_VALUE"""),"41,200")</f>
        <v>41,200</v>
      </c>
      <c r="K60" s="1" t="str">
        <f ca="1">IFERROR(__xludf.DUMMYFUNCTION("""COMPUTED_VALUE"""),"Башкирская Медь")</f>
        <v>Башкирская Медь</v>
      </c>
    </row>
    <row r="61" spans="1:11" ht="13" x14ac:dyDescent="0.3">
      <c r="A61" s="1" t="str">
        <f ca="1">IFERROR(__xludf.DUMMYFUNCTION("""COMPUTED_VALUE"""),"89")</f>
        <v>89</v>
      </c>
      <c r="B61" s="1" t="str">
        <f ca="1">IFERROR(__xludf.DUMMYFUNCTION("""COMPUTED_VALUE"""),"01.03.2024")</f>
        <v>01.03.2024</v>
      </c>
      <c r="C61" s="1" t="str">
        <f ca="1">IFERROR(__xludf.DUMMYFUNCTION("""COMPUTED_VALUE"""),"Глина  ")</f>
        <v xml:space="preserve">Глина  </v>
      </c>
      <c r="D61" s="1" t="str">
        <f ca="1">IFERROR(__xludf.DUMMYFUNCTION("""COMPUTED_VALUE"""),"40,55")</f>
        <v>40,55</v>
      </c>
      <c r="E61" s="1" t="str">
        <f ca="1">IFERROR(__xludf.DUMMYFUNCTION("""COMPUTED_VALUE"""),"Бондарев Андрей Александрович")</f>
        <v>Бондарев Андрей Александрович</v>
      </c>
      <c r="F61" s="1" t="str">
        <f ca="1">IFERROR(__xludf.DUMMYFUNCTION("""COMPUTED_VALUE"""),"ВОЛЬВО")</f>
        <v>ВОЛЬВО</v>
      </c>
      <c r="G61" s="1" t="str">
        <f ca="1">IFERROR(__xludf.DUMMYFUNCTION("""COMPUTED_VALUE"""),"О411ОА196
")</f>
        <v xml:space="preserve">О411ОА196
</v>
      </c>
      <c r="H61" s="1" t="str">
        <f ca="1">IFERROR(__xludf.DUMMYFUNCTION("""COMPUTED_VALUE"""),"Челябинская обл., пос. Увельский, ул. 40 лет Победы, 21")</f>
        <v>Челябинская обл., пос. Увельский, ул. 40 лет Победы, 21</v>
      </c>
      <c r="I61" s="1" t="str">
        <f ca="1">IFERROR(__xludf.DUMMYFUNCTION("""COMPUTED_VALUE"""),"респ. Башкортостан, г. Октябрьский, ул. Кувыкина, 63")</f>
        <v>респ. Башкортостан, г. Октябрьский, ул. Кувыкина, 63</v>
      </c>
      <c r="J61" s="1" t="str">
        <f ca="1">IFERROR(__xludf.DUMMYFUNCTION("""COMPUTED_VALUE"""),"40,550")</f>
        <v>40,550</v>
      </c>
      <c r="K61" s="1" t="str">
        <f ca="1">IFERROR(__xludf.DUMMYFUNCTION("""COMPUTED_VALUE"""),"ПромРесурс")</f>
        <v>ПромРесурс</v>
      </c>
    </row>
    <row r="62" spans="1:11" ht="13" x14ac:dyDescent="0.3">
      <c r="A62" s="1" t="str">
        <f ca="1">IFERROR(__xludf.DUMMYFUNCTION("""COMPUTED_VALUE"""),"53")</f>
        <v>53</v>
      </c>
      <c r="B62" s="1" t="str">
        <f ca="1">IFERROR(__xludf.DUMMYFUNCTION("""COMPUTED_VALUE"""),"03.03.2024")</f>
        <v>03.03.2024</v>
      </c>
      <c r="C62" s="1" t="str">
        <f ca="1">IFERROR(__xludf.DUMMYFUNCTION("""COMPUTED_VALUE"""),"Руда")</f>
        <v>Руда</v>
      </c>
      <c r="D62" s="1" t="str">
        <f ca="1">IFERROR(__xludf.DUMMYFUNCTION("""COMPUTED_VALUE"""),"39,25")</f>
        <v>39,25</v>
      </c>
      <c r="E62" s="1" t="str">
        <f ca="1">IFERROR(__xludf.DUMMYFUNCTION("""COMPUTED_VALUE"""),"Афанасьев Михаил Васильевич")</f>
        <v>Афанасьев Михаил Васильевич</v>
      </c>
      <c r="F62" s="1" t="str">
        <f ca="1">IFERROR(__xludf.DUMMYFUNCTION("""COMPUTED_VALUE"""),"МЕРСЕДЕС")</f>
        <v>МЕРСЕДЕС</v>
      </c>
      <c r="G62" s="1" t="str">
        <f ca="1">IFERROR(__xludf.DUMMYFUNCTION("""COMPUTED_VALUE"""),"О208ОМ196")</f>
        <v>О208ОМ196</v>
      </c>
      <c r="H6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62" s="1" t="str">
        <f ca="1">IFERROR(__xludf.DUMMYFUNCTION("""COMPUTED_VALUE"""),"г. Гай, ПАО ""Гайский ГОК""")</f>
        <v>г. Гай, ПАО "Гайский ГОК"</v>
      </c>
      <c r="J62" s="1" t="str">
        <f ca="1">IFERROR(__xludf.DUMMYFUNCTION("""COMPUTED_VALUE"""),"39,250")</f>
        <v>39,250</v>
      </c>
      <c r="K62" s="1" t="str">
        <f ca="1">IFERROR(__xludf.DUMMYFUNCTION("""COMPUTED_VALUE"""),"Башкирская Медь")</f>
        <v>Башкирская Медь</v>
      </c>
    </row>
    <row r="63" spans="1:11" ht="13" x14ac:dyDescent="0.3">
      <c r="A63" s="1" t="str">
        <f ca="1">IFERROR(__xludf.DUMMYFUNCTION("""COMPUTED_VALUE"""),"106817 / 108494")</f>
        <v>106817 / 108494</v>
      </c>
      <c r="B63" s="1" t="str">
        <f ca="1">IFERROR(__xludf.DUMMYFUNCTION("""COMPUTED_VALUE"""),"01.03.2024")</f>
        <v>01.03.2024</v>
      </c>
      <c r="C63" s="1" t="str">
        <f ca="1">IFERROR(__xludf.DUMMYFUNCTION("""COMPUTED_VALUE"""),"Шлак гранулированный")</f>
        <v>Шлак гранулированный</v>
      </c>
      <c r="D63" s="1" t="str">
        <f ca="1">IFERROR(__xludf.DUMMYFUNCTION("""COMPUTED_VALUE"""),"50,55")</f>
        <v>50,55</v>
      </c>
      <c r="E63" s="1" t="str">
        <f ca="1">IFERROR(__xludf.DUMMYFUNCTION("""COMPUTED_VALUE"""),"Афанасьев Михаил Васильевич")</f>
        <v>Афанасьев Михаил Васильевич</v>
      </c>
      <c r="F63" s="1" t="str">
        <f ca="1">IFERROR(__xludf.DUMMYFUNCTION("""COMPUTED_VALUE"""),"МЕРСЕДЕС")</f>
        <v>МЕРСЕДЕС</v>
      </c>
      <c r="G63" s="1" t="str">
        <f ca="1">IFERROR(__xludf.DUMMYFUNCTION("""COMPUTED_VALUE"""),"О208ОМ196")</f>
        <v>О208ОМ196</v>
      </c>
      <c r="H63" s="1" t="str">
        <f ca="1">IFERROR(__xludf.DUMMYFUNCTION("""COMPUTED_VALUE"""),"г. Магнитогорск, ул. Локомотивная, 6А")</f>
        <v>г. Магнитогорск, ул. Локомотивная, 6А</v>
      </c>
      <c r="I63" s="1" t="str">
        <f ca="1">IFERROR(__xludf.DUMMYFUNCTION("""COMPUTED_VALUE"""),"г. Гай, ПАО ""Гайский ГОК""")</f>
        <v>г. Гай, ПАО "Гайский ГОК"</v>
      </c>
      <c r="J63" s="1" t="str">
        <f ca="1">IFERROR(__xludf.DUMMYFUNCTION("""COMPUTED_VALUE"""),"47,264")</f>
        <v>47,264</v>
      </c>
      <c r="K63" s="1" t="str">
        <f ca="1">IFERROR(__xludf.DUMMYFUNCTION("""COMPUTED_VALUE"""),"Гайский ГОК")</f>
        <v>Гайский ГОК</v>
      </c>
    </row>
    <row r="64" spans="1:11" ht="13" x14ac:dyDescent="0.3">
      <c r="A64" s="1" t="str">
        <f ca="1">IFERROR(__xludf.DUMMYFUNCTION("""COMPUTED_VALUE"""),"36")</f>
        <v>36</v>
      </c>
      <c r="B64" s="1" t="str">
        <f ca="1">IFERROR(__xludf.DUMMYFUNCTION("""COMPUTED_VALUE"""),"02.03.2024")</f>
        <v>02.03.2024</v>
      </c>
      <c r="C64" s="1" t="str">
        <f ca="1">IFERROR(__xludf.DUMMYFUNCTION("""COMPUTED_VALUE"""),"Руда")</f>
        <v>Руда</v>
      </c>
      <c r="D64" s="1" t="str">
        <f ca="1">IFERROR(__xludf.DUMMYFUNCTION("""COMPUTED_VALUE"""),"39,20")</f>
        <v>39,20</v>
      </c>
      <c r="E64" s="1" t="str">
        <f ca="1">IFERROR(__xludf.DUMMYFUNCTION("""COMPUTED_VALUE"""),"Петухов Дмитрий Анатольевич")</f>
        <v>Петухов Дмитрий Анатольевич</v>
      </c>
      <c r="F64" s="1" t="str">
        <f ca="1">IFERROR(__xludf.DUMMYFUNCTION("""COMPUTED_VALUE"""),"SHACMAN")</f>
        <v>SHACMAN</v>
      </c>
      <c r="G64" s="1" t="str">
        <f ca="1">IFERROR(__xludf.DUMMYFUNCTION("""COMPUTED_VALUE"""),"У645ВО774")</f>
        <v>У645ВО774</v>
      </c>
      <c r="H6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64" s="1" t="str">
        <f ca="1">IFERROR(__xludf.DUMMYFUNCTION("""COMPUTED_VALUE"""),"г. Гай, ПАО ""Гайский ГОК""")</f>
        <v>г. Гай, ПАО "Гайский ГОК"</v>
      </c>
      <c r="J64" s="1" t="str">
        <f ca="1">IFERROR(__xludf.DUMMYFUNCTION("""COMPUTED_VALUE"""),"39,400")</f>
        <v>39,400</v>
      </c>
      <c r="K64" s="1" t="str">
        <f ca="1">IFERROR(__xludf.DUMMYFUNCTION("""COMPUTED_VALUE"""),"Башкирская Медь")</f>
        <v>Башкирская Медь</v>
      </c>
    </row>
    <row r="65" spans="1:11" ht="13" x14ac:dyDescent="0.3">
      <c r="A65" s="1" t="str">
        <f ca="1">IFERROR(__xludf.DUMMYFUNCTION("""COMPUTED_VALUE"""),"45")</f>
        <v>45</v>
      </c>
      <c r="B65" s="1" t="str">
        <f ca="1">IFERROR(__xludf.DUMMYFUNCTION("""COMPUTED_VALUE"""),"02.03.2024")</f>
        <v>02.03.2024</v>
      </c>
      <c r="C65" s="1" t="str">
        <f ca="1">IFERROR(__xludf.DUMMYFUNCTION("""COMPUTED_VALUE"""),"Руда")</f>
        <v>Руда</v>
      </c>
      <c r="D65" s="1" t="str">
        <f ca="1">IFERROR(__xludf.DUMMYFUNCTION("""COMPUTED_VALUE"""),"37,85")</f>
        <v>37,85</v>
      </c>
      <c r="E65" s="1" t="str">
        <f ca="1">IFERROR(__xludf.DUMMYFUNCTION("""COMPUTED_VALUE"""),"Петухов Дмитрий Анатольевич")</f>
        <v>Петухов Дмитрий Анатольевич</v>
      </c>
      <c r="F65" s="1" t="str">
        <f ca="1">IFERROR(__xludf.DUMMYFUNCTION("""COMPUTED_VALUE"""),"SHACMAN")</f>
        <v>SHACMAN</v>
      </c>
      <c r="G65" s="1" t="str">
        <f ca="1">IFERROR(__xludf.DUMMYFUNCTION("""COMPUTED_VALUE"""),"У645ВО774")</f>
        <v>У645ВО774</v>
      </c>
      <c r="H6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65" s="1" t="str">
        <f ca="1">IFERROR(__xludf.DUMMYFUNCTION("""COMPUTED_VALUE"""),"г. Гай, ПАО ""Гайский ГОК""")</f>
        <v>г. Гай, ПАО "Гайский ГОК"</v>
      </c>
      <c r="J65" s="1" t="str">
        <f ca="1">IFERROR(__xludf.DUMMYFUNCTION("""COMPUTED_VALUE"""),"37,850")</f>
        <v>37,850</v>
      </c>
      <c r="K65" s="1" t="str">
        <f ca="1">IFERROR(__xludf.DUMMYFUNCTION("""COMPUTED_VALUE"""),"Башкирская Медь")</f>
        <v>Башкирская Медь</v>
      </c>
    </row>
    <row r="66" spans="1:11" ht="13" x14ac:dyDescent="0.3">
      <c r="A66" s="1" t="str">
        <f ca="1">IFERROR(__xludf.DUMMYFUNCTION("""COMPUTED_VALUE"""),"35")</f>
        <v>35</v>
      </c>
      <c r="B66" s="1" t="str">
        <f ca="1">IFERROR(__xludf.DUMMYFUNCTION("""COMPUTED_VALUE"""),"02.03.2024")</f>
        <v>02.03.2024</v>
      </c>
      <c r="C66" s="1" t="str">
        <f ca="1">IFERROR(__xludf.DUMMYFUNCTION("""COMPUTED_VALUE"""),"Руда")</f>
        <v>Руда</v>
      </c>
      <c r="D66" s="1" t="str">
        <f ca="1">IFERROR(__xludf.DUMMYFUNCTION("""COMPUTED_VALUE"""),"39,45")</f>
        <v>39,45</v>
      </c>
      <c r="E66" s="1" t="str">
        <f ca="1">IFERROR(__xludf.DUMMYFUNCTION("""COMPUTED_VALUE"""),"Цюман Евгений Владимирович")</f>
        <v>Цюман Евгений Владимирович</v>
      </c>
      <c r="F66" s="1" t="str">
        <f ca="1">IFERROR(__xludf.DUMMYFUNCTION("""COMPUTED_VALUE"""),"SHACMAN")</f>
        <v>SHACMAN</v>
      </c>
      <c r="G66" s="1" t="str">
        <f ca="1">IFERROR(__xludf.DUMMYFUNCTION("""COMPUTED_VALUE"""),"Х319АЕ774")</f>
        <v>Х319АЕ774</v>
      </c>
      <c r="H6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66" s="1" t="str">
        <f ca="1">IFERROR(__xludf.DUMMYFUNCTION("""COMPUTED_VALUE"""),"г. Гай, ПАО ""Гайский ГОК""")</f>
        <v>г. Гай, ПАО "Гайский ГОК"</v>
      </c>
      <c r="J66" s="1" t="str">
        <f ca="1">IFERROR(__xludf.DUMMYFUNCTION("""COMPUTED_VALUE"""),"39,400")</f>
        <v>39,400</v>
      </c>
      <c r="K66" s="1" t="str">
        <f ca="1">IFERROR(__xludf.DUMMYFUNCTION("""COMPUTED_VALUE"""),"Башкирская Медь")</f>
        <v>Башкирская Медь</v>
      </c>
    </row>
    <row r="67" spans="1:11" ht="13" x14ac:dyDescent="0.3">
      <c r="A67" s="1" t="str">
        <f ca="1">IFERROR(__xludf.DUMMYFUNCTION("""COMPUTED_VALUE"""),"44")</f>
        <v>44</v>
      </c>
      <c r="B67" s="1" t="str">
        <f ca="1">IFERROR(__xludf.DUMMYFUNCTION("""COMPUTED_VALUE"""),"02.03.2024")</f>
        <v>02.03.2024</v>
      </c>
      <c r="C67" s="1" t="str">
        <f ca="1">IFERROR(__xludf.DUMMYFUNCTION("""COMPUTED_VALUE"""),"Руда")</f>
        <v>Руда</v>
      </c>
      <c r="D67" s="1" t="str">
        <f ca="1">IFERROR(__xludf.DUMMYFUNCTION("""COMPUTED_VALUE"""),"36,15")</f>
        <v>36,15</v>
      </c>
      <c r="E67" s="1" t="str">
        <f ca="1">IFERROR(__xludf.DUMMYFUNCTION("""COMPUTED_VALUE"""),"Цюман Евгений Владимирович")</f>
        <v>Цюман Евгений Владимирович</v>
      </c>
      <c r="F67" s="1" t="str">
        <f ca="1">IFERROR(__xludf.DUMMYFUNCTION("""COMPUTED_VALUE"""),"SHACMAN")</f>
        <v>SHACMAN</v>
      </c>
      <c r="G67" s="1" t="str">
        <f ca="1">IFERROR(__xludf.DUMMYFUNCTION("""COMPUTED_VALUE"""),"Х319АЕ774")</f>
        <v>Х319АЕ774</v>
      </c>
      <c r="H6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67" s="1" t="str">
        <f ca="1">IFERROR(__xludf.DUMMYFUNCTION("""COMPUTED_VALUE"""),"г. Гай, ПАО ""Гайский ГОК""")</f>
        <v>г. Гай, ПАО "Гайский ГОК"</v>
      </c>
      <c r="J67" s="1" t="str">
        <f ca="1">IFERROR(__xludf.DUMMYFUNCTION("""COMPUTED_VALUE"""),"36,550")</f>
        <v>36,550</v>
      </c>
      <c r="K67" s="1" t="str">
        <f ca="1">IFERROR(__xludf.DUMMYFUNCTION("""COMPUTED_VALUE"""),"Башкирская Медь")</f>
        <v>Башкирская Медь</v>
      </c>
    </row>
    <row r="68" spans="1:11" ht="13" x14ac:dyDescent="0.3">
      <c r="A68" s="1" t="str">
        <f ca="1">IFERROR(__xludf.DUMMYFUNCTION("""COMPUTED_VALUE"""),"ННКРС33049")</f>
        <v>ННКРС33049</v>
      </c>
      <c r="B68" s="1" t="str">
        <f ca="1">IFERROR(__xludf.DUMMYFUNCTION("""COMPUTED_VALUE"""),"02.03.2024")</f>
        <v>02.03.2024</v>
      </c>
      <c r="C68" s="1" t="str">
        <f ca="1">IFERROR(__xludf.DUMMYFUNCTION("""COMPUTED_VALUE"""),"Отсев фр. 0-5 мм")</f>
        <v>Отсев фр. 0-5 мм</v>
      </c>
      <c r="D68" s="1" t="str">
        <f ca="1">IFERROR(__xludf.DUMMYFUNCTION("""COMPUTED_VALUE"""),"34,45")</f>
        <v>34,45</v>
      </c>
      <c r="E68" s="1" t="str">
        <f ca="1">IFERROR(__xludf.DUMMYFUNCTION("""COMPUTED_VALUE"""),"Свищев Михаил Владимирович")</f>
        <v>Свищев Михаил Владимирович</v>
      </c>
      <c r="F68" s="1" t="str">
        <f ca="1">IFERROR(__xludf.DUMMYFUNCTION("""COMPUTED_VALUE"""),"FAW")</f>
        <v>FAW</v>
      </c>
      <c r="G68" s="1" t="str">
        <f ca="1">IFERROR(__xludf.DUMMYFUNCTION("""COMPUTED_VALUE"""),"Н504КК774")</f>
        <v>Н504КК774</v>
      </c>
      <c r="H68" s="1" t="str">
        <f ca="1">IFERROR(__xludf.DUMMYFUNCTION("""COMPUTED_VALUE"""),"с. Новобурановка")</f>
        <v>с. Новобурановка</v>
      </c>
      <c r="I68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68" s="1" t="str">
        <f ca="1">IFERROR(__xludf.DUMMYFUNCTION("""COMPUTED_VALUE"""),"34,45")</f>
        <v>34,45</v>
      </c>
      <c r="K68" s="1" t="str">
        <f ca="1">IFERROR(__xludf.DUMMYFUNCTION("""COMPUTED_VALUE"""),"ПрокатМонтаж")</f>
        <v>ПрокатМонтаж</v>
      </c>
    </row>
    <row r="69" spans="1:11" ht="13" x14ac:dyDescent="0.3">
      <c r="A69" s="1" t="str">
        <f ca="1">IFERROR(__xludf.DUMMYFUNCTION("""COMPUTED_VALUE"""),"ННКРС33059")</f>
        <v>ННКРС33059</v>
      </c>
      <c r="B69" s="1" t="str">
        <f ca="1">IFERROR(__xludf.DUMMYFUNCTION("""COMPUTED_VALUE"""),"02.03.2024")</f>
        <v>02.03.2024</v>
      </c>
      <c r="C69" s="1" t="str">
        <f ca="1">IFERROR(__xludf.DUMMYFUNCTION("""COMPUTED_VALUE"""),"Отсев фр. 0-5 мм")</f>
        <v>Отсев фр. 0-5 мм</v>
      </c>
      <c r="D69" s="1" t="str">
        <f ca="1">IFERROR(__xludf.DUMMYFUNCTION("""COMPUTED_VALUE"""),"36,65")</f>
        <v>36,65</v>
      </c>
      <c r="E69" s="1" t="str">
        <f ca="1">IFERROR(__xludf.DUMMYFUNCTION("""COMPUTED_VALUE"""),"Свищев Михаил Владимирович")</f>
        <v>Свищев Михаил Владимирович</v>
      </c>
      <c r="F69" s="1" t="str">
        <f ca="1">IFERROR(__xludf.DUMMYFUNCTION("""COMPUTED_VALUE"""),"FAW")</f>
        <v>FAW</v>
      </c>
      <c r="G69" s="1" t="str">
        <f ca="1">IFERROR(__xludf.DUMMYFUNCTION("""COMPUTED_VALUE"""),"Н504КК774")</f>
        <v>Н504КК774</v>
      </c>
      <c r="H69" s="1" t="str">
        <f ca="1">IFERROR(__xludf.DUMMYFUNCTION("""COMPUTED_VALUE"""),"с. Новобурановка")</f>
        <v>с. Новобурановка</v>
      </c>
      <c r="I69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69" s="1" t="str">
        <f ca="1">IFERROR(__xludf.DUMMYFUNCTION("""COMPUTED_VALUE"""),"36,65")</f>
        <v>36,65</v>
      </c>
      <c r="K69" s="1" t="str">
        <f ca="1">IFERROR(__xludf.DUMMYFUNCTION("""COMPUTED_VALUE"""),"ПрокатМонтаж")</f>
        <v>ПрокатМонтаж</v>
      </c>
    </row>
    <row r="70" spans="1:11" ht="13" x14ac:dyDescent="0.3">
      <c r="A70" s="1" t="str">
        <f ca="1">IFERROR(__xludf.DUMMYFUNCTION("""COMPUTED_VALUE"""),"108103 / 108153")</f>
        <v>108103 / 108153</v>
      </c>
      <c r="B70" s="1" t="str">
        <f ca="1">IFERROR(__xludf.DUMMYFUNCTION("""COMPUTED_VALUE"""),"02.03.2024")</f>
        <v>02.03.2024</v>
      </c>
      <c r="C70" s="1" t="str">
        <f ca="1">IFERROR(__xludf.DUMMYFUNCTION("""COMPUTED_VALUE"""),"Шлак гранулированный")</f>
        <v>Шлак гранулированный</v>
      </c>
      <c r="D70" s="1" t="str">
        <f ca="1">IFERROR(__xludf.DUMMYFUNCTION("""COMPUTED_VALUE"""),"39,95")</f>
        <v>39,95</v>
      </c>
      <c r="E70" s="1" t="str">
        <f ca="1">IFERROR(__xludf.DUMMYFUNCTION("""COMPUTED_VALUE"""),"Руковицын Виктор Анатольевич")</f>
        <v>Руковицын Виктор Анатольевич</v>
      </c>
      <c r="F70" s="1" t="str">
        <f ca="1">IFERROR(__xludf.DUMMYFUNCTION("""COMPUTED_VALUE"""),"FAW")</f>
        <v>FAW</v>
      </c>
      <c r="G70" s="1" t="str">
        <f ca="1">IFERROR(__xludf.DUMMYFUNCTION("""COMPUTED_VALUE"""),"С621КМ774")</f>
        <v>С621КМ774</v>
      </c>
      <c r="H70" s="1" t="str">
        <f ca="1">IFERROR(__xludf.DUMMYFUNCTION("""COMPUTED_VALUE"""),"г. Магнитогорск, ул. Локомотивная, 6А")</f>
        <v>г. Магнитогорск, ул. Локомотивная, 6А</v>
      </c>
      <c r="I70" s="1" t="str">
        <f ca="1">IFERROR(__xludf.DUMMYFUNCTION("""COMPUTED_VALUE"""),"г. Гай, ПАО ""Гайский ГОК""")</f>
        <v>г. Гай, ПАО "Гайский ГОК"</v>
      </c>
      <c r="J70" s="1" t="str">
        <f ca="1">IFERROR(__xludf.DUMMYFUNCTION("""COMPUTED_VALUE"""),"39,950")</f>
        <v>39,950</v>
      </c>
      <c r="K70" s="1" t="str">
        <f ca="1">IFERROR(__xludf.DUMMYFUNCTION("""COMPUTED_VALUE"""),"Гайский ГОК")</f>
        <v>Гайский ГОК</v>
      </c>
    </row>
    <row r="71" spans="1:11" ht="13" x14ac:dyDescent="0.3">
      <c r="A71" s="1" t="str">
        <f ca="1">IFERROR(__xludf.DUMMYFUNCTION("""COMPUTED_VALUE"""),"108157 / 108174")</f>
        <v>108157 / 108174</v>
      </c>
      <c r="B71" s="1" t="str">
        <f ca="1">IFERROR(__xludf.DUMMYFUNCTION("""COMPUTED_VALUE"""),"02.03.2024")</f>
        <v>02.03.2024</v>
      </c>
      <c r="C71" s="1" t="str">
        <f ca="1">IFERROR(__xludf.DUMMYFUNCTION("""COMPUTED_VALUE"""),"Шлак гранулированный")</f>
        <v>Шлак гранулированный</v>
      </c>
      <c r="D71" s="1" t="str">
        <f ca="1">IFERROR(__xludf.DUMMYFUNCTION("""COMPUTED_VALUE"""),"40,30")</f>
        <v>40,30</v>
      </c>
      <c r="E71" s="1" t="str">
        <f ca="1">IFERROR(__xludf.DUMMYFUNCTION("""COMPUTED_VALUE"""),"Нургалин Ильшат Абдулхакович")</f>
        <v>Нургалин Ильшат Абдулхакович</v>
      </c>
      <c r="F71" s="1" t="str">
        <f ca="1">IFERROR(__xludf.DUMMYFUNCTION("""COMPUTED_VALUE"""),"FAW")</f>
        <v>FAW</v>
      </c>
      <c r="G71" s="1" t="str">
        <f ca="1">IFERROR(__xludf.DUMMYFUNCTION("""COMPUTED_VALUE"""),"Т951КМ774")</f>
        <v>Т951КМ774</v>
      </c>
      <c r="H71" s="1" t="str">
        <f ca="1">IFERROR(__xludf.DUMMYFUNCTION("""COMPUTED_VALUE"""),"г. Магнитогорск, ул. Локомотивная, 6А")</f>
        <v>г. Магнитогорск, ул. Локомотивная, 6А</v>
      </c>
      <c r="I71" s="1" t="str">
        <f ca="1">IFERROR(__xludf.DUMMYFUNCTION("""COMPUTED_VALUE"""),"г. Гай, ПАО ""Гайский ГОК""")</f>
        <v>г. Гай, ПАО "Гайский ГОК"</v>
      </c>
      <c r="J71" s="1" t="str">
        <f ca="1">IFERROR(__xludf.DUMMYFUNCTION("""COMPUTED_VALUE"""),"40,300")</f>
        <v>40,300</v>
      </c>
      <c r="K71" s="1" t="str">
        <f ca="1">IFERROR(__xludf.DUMMYFUNCTION("""COMPUTED_VALUE"""),"Гайский ГОК")</f>
        <v>Гайский ГОК</v>
      </c>
    </row>
    <row r="72" spans="1:11" ht="13" x14ac:dyDescent="0.3">
      <c r="A72" s="1" t="str">
        <f ca="1">IFERROR(__xludf.DUMMYFUNCTION("""COMPUTED_VALUE"""),"105064 / 104350")</f>
        <v>105064 / 104350</v>
      </c>
      <c r="B72" s="1" t="str">
        <f ca="1">IFERROR(__xludf.DUMMYFUNCTION("""COMPUTED_VALUE"""),"02.03.2024")</f>
        <v>02.03.2024</v>
      </c>
      <c r="C72" s="1" t="str">
        <f ca="1">IFERROR(__xludf.DUMMYFUNCTION("""COMPUTED_VALUE"""),"Шлак гранулированный")</f>
        <v>Шлак гранулированный</v>
      </c>
      <c r="D72" s="1" t="str">
        <f ca="1">IFERROR(__xludf.DUMMYFUNCTION("""COMPUTED_VALUE"""),"43,65")</f>
        <v>43,65</v>
      </c>
      <c r="E72" s="1" t="str">
        <f ca="1">IFERROR(__xludf.DUMMYFUNCTION("""COMPUTED_VALUE"""),"Казиахметов Владислав Аркадиевич")</f>
        <v>Казиахметов Владислав Аркадиевич</v>
      </c>
      <c r="F72" s="1" t="str">
        <f ca="1">IFERROR(__xludf.DUMMYFUNCTION("""COMPUTED_VALUE"""),"HOWO")</f>
        <v>HOWO</v>
      </c>
      <c r="G72" s="1" t="str">
        <f ca="1">IFERROR(__xludf.DUMMYFUNCTION("""COMPUTED_VALUE"""),"Н234ВР774")</f>
        <v>Н234ВР774</v>
      </c>
      <c r="H72" s="1" t="str">
        <f ca="1">IFERROR(__xludf.DUMMYFUNCTION("""COMPUTED_VALUE"""),"г. Магнитогорск, ул. Локомотивная, 6А")</f>
        <v>г. Магнитогорск, ул. Локомотивная, 6А</v>
      </c>
      <c r="I72" s="1" t="str">
        <f ca="1">IFERROR(__xludf.DUMMYFUNCTION("""COMPUTED_VALUE"""),"г. Гай, ПАО ""Гайский ГОК""")</f>
        <v>г. Гай, ПАО "Гайский ГОК"</v>
      </c>
      <c r="J72" s="1" t="str">
        <f ca="1">IFERROR(__xludf.DUMMYFUNCTION("""COMPUTED_VALUE"""),"43,650")</f>
        <v>43,650</v>
      </c>
      <c r="K72" s="1" t="str">
        <f ca="1">IFERROR(__xludf.DUMMYFUNCTION("""COMPUTED_VALUE"""),"Гайский ГОК")</f>
        <v>Гайский ГОК</v>
      </c>
    </row>
    <row r="73" spans="1:11" ht="13" x14ac:dyDescent="0.3">
      <c r="A73" s="1" t="str">
        <f ca="1">IFERROR(__xludf.DUMMYFUNCTION("""COMPUTED_VALUE"""),"108311 / 108357")</f>
        <v>108311 / 108357</v>
      </c>
      <c r="B73" s="1" t="str">
        <f ca="1">IFERROR(__xludf.DUMMYFUNCTION("""COMPUTED_VALUE"""),"02.03.2024")</f>
        <v>02.03.2024</v>
      </c>
      <c r="C73" s="1" t="str">
        <f ca="1">IFERROR(__xludf.DUMMYFUNCTION("""COMPUTED_VALUE"""),"Шлак гранулированный")</f>
        <v>Шлак гранулированный</v>
      </c>
      <c r="D73" s="1" t="str">
        <f ca="1">IFERROR(__xludf.DUMMYFUNCTION("""COMPUTED_VALUE"""),"38,70")</f>
        <v>38,70</v>
      </c>
      <c r="E73" s="1" t="str">
        <f ca="1">IFERROR(__xludf.DUMMYFUNCTION("""COMPUTED_VALUE"""),"Беркумбаев Алмаз Тулепович")</f>
        <v>Беркумбаев Алмаз Тулепович</v>
      </c>
      <c r="F73" s="1" t="str">
        <f ca="1">IFERROR(__xludf.DUMMYFUNCTION("""COMPUTED_VALUE"""),"SHACMAN")</f>
        <v>SHACMAN</v>
      </c>
      <c r="G73" s="1" t="str">
        <f ca="1">IFERROR(__xludf.DUMMYFUNCTION("""COMPUTED_VALUE"""),"Н186ВР774")</f>
        <v>Н186ВР774</v>
      </c>
      <c r="H73" s="1" t="str">
        <f ca="1">IFERROR(__xludf.DUMMYFUNCTION("""COMPUTED_VALUE"""),"г. Магнитогорск, ул. Локомотивная, 6А")</f>
        <v>г. Магнитогорск, ул. Локомотивная, 6А</v>
      </c>
      <c r="I73" s="1" t="str">
        <f ca="1">IFERROR(__xludf.DUMMYFUNCTION("""COMPUTED_VALUE"""),"г. Гай, ПАО ""Гайский ГОК""")</f>
        <v>г. Гай, ПАО "Гайский ГОК"</v>
      </c>
      <c r="J73" s="1" t="str">
        <f ca="1">IFERROR(__xludf.DUMMYFUNCTION("""COMPUTED_VALUE"""),"38,700")</f>
        <v>38,700</v>
      </c>
      <c r="K73" s="1" t="str">
        <f ca="1">IFERROR(__xludf.DUMMYFUNCTION("""COMPUTED_VALUE"""),"Гайский ГОК")</f>
        <v>Гайский ГОК</v>
      </c>
    </row>
    <row r="74" spans="1:11" ht="13" x14ac:dyDescent="0.3">
      <c r="A74" s="1" t="str">
        <f ca="1">IFERROR(__xludf.DUMMYFUNCTION("""COMPUTED_VALUE"""),"108175 / 108339")</f>
        <v>108175 / 108339</v>
      </c>
      <c r="B74" s="1" t="str">
        <f ca="1">IFERROR(__xludf.DUMMYFUNCTION("""COMPUTED_VALUE"""),"02.03.2024")</f>
        <v>02.03.2024</v>
      </c>
      <c r="C74" s="1" t="str">
        <f ca="1">IFERROR(__xludf.DUMMYFUNCTION("""COMPUTED_VALUE"""),"Шлак гранулированный")</f>
        <v>Шлак гранулированный</v>
      </c>
      <c r="D74" s="1" t="str">
        <f ca="1">IFERROR(__xludf.DUMMYFUNCTION("""COMPUTED_VALUE"""),"48,25")</f>
        <v>48,25</v>
      </c>
      <c r="E74" s="1" t="str">
        <f ca="1">IFERROR(__xludf.DUMMYFUNCTION("""COMPUTED_VALUE"""),"Панфилов Вячеслав Александрович")</f>
        <v>Панфилов Вячеслав Александрович</v>
      </c>
      <c r="F74" s="1" t="str">
        <f ca="1">IFERROR(__xludf.DUMMYFUNCTION("""COMPUTED_VALUE"""),"SITRAK")</f>
        <v>SITRAK</v>
      </c>
      <c r="G74" s="1" t="str">
        <f ca="1">IFERROR(__xludf.DUMMYFUNCTION("""COMPUTED_VALUE"""),"Н904ВН774")</f>
        <v>Н904ВН774</v>
      </c>
      <c r="H74" s="1" t="str">
        <f ca="1">IFERROR(__xludf.DUMMYFUNCTION("""COMPUTED_VALUE"""),"г. Магнитогорск, ул. Локомотивная, 6А")</f>
        <v>г. Магнитогорск, ул. Локомотивная, 6А</v>
      </c>
      <c r="I74" s="1" t="str">
        <f ca="1">IFERROR(__xludf.DUMMYFUNCTION("""COMPUTED_VALUE"""),"г. Гай, ПАО ""Гайский ГОК""")</f>
        <v>г. Гай, ПАО "Гайский ГОК"</v>
      </c>
      <c r="J74" s="1" t="str">
        <f ca="1">IFERROR(__xludf.DUMMYFUNCTION("""COMPUTED_VALUE"""),"48,250")</f>
        <v>48,250</v>
      </c>
      <c r="K74" s="1" t="str">
        <f ca="1">IFERROR(__xludf.DUMMYFUNCTION("""COMPUTED_VALUE"""),"Гайский ГОК")</f>
        <v>Гайский ГОК</v>
      </c>
    </row>
    <row r="75" spans="1:11" ht="13" x14ac:dyDescent="0.3">
      <c r="A75" s="1" t="str">
        <f ca="1">IFERROR(__xludf.DUMMYFUNCTION("""COMPUTED_VALUE"""),"105881 / 105977")</f>
        <v>105881 / 105977</v>
      </c>
      <c r="B75" s="1" t="str">
        <f ca="1">IFERROR(__xludf.DUMMYFUNCTION("""COMPUTED_VALUE"""),"02.03.2024")</f>
        <v>02.03.2024</v>
      </c>
      <c r="C75" s="1" t="str">
        <f ca="1">IFERROR(__xludf.DUMMYFUNCTION("""COMPUTED_VALUE"""),"Шлак гранулированный")</f>
        <v>Шлак гранулированный</v>
      </c>
      <c r="D75" s="1" t="str">
        <f ca="1">IFERROR(__xludf.DUMMYFUNCTION("""COMPUTED_VALUE"""),"48,35")</f>
        <v>48,35</v>
      </c>
      <c r="E75" s="1" t="str">
        <f ca="1">IFERROR(__xludf.DUMMYFUNCTION("""COMPUTED_VALUE"""),"Мазуха Николай Александрович")</f>
        <v>Мазуха Николай Александрович</v>
      </c>
      <c r="F75" s="1" t="str">
        <f ca="1">IFERROR(__xludf.DUMMYFUNCTION("""COMPUTED_VALUE"""),"SITRAK")</f>
        <v>SITRAK</v>
      </c>
      <c r="G75" s="1" t="str">
        <f ca="1">IFERROR(__xludf.DUMMYFUNCTION("""COMPUTED_VALUE"""),"Н384ВР774")</f>
        <v>Н384ВР774</v>
      </c>
      <c r="H75" s="1" t="str">
        <f ca="1">IFERROR(__xludf.DUMMYFUNCTION("""COMPUTED_VALUE"""),"г. Магнитогорск, ул. Локомотивная, 6А")</f>
        <v>г. Магнитогорск, ул. Локомотивная, 6А</v>
      </c>
      <c r="I75" s="1" t="str">
        <f ca="1">IFERROR(__xludf.DUMMYFUNCTION("""COMPUTED_VALUE"""),"г. Гай, ПАО ""Гайский ГОК""")</f>
        <v>г. Гай, ПАО "Гайский ГОК"</v>
      </c>
      <c r="J75" s="1" t="str">
        <f ca="1">IFERROR(__xludf.DUMMYFUNCTION("""COMPUTED_VALUE"""),"48,350")</f>
        <v>48,350</v>
      </c>
      <c r="K75" s="1" t="str">
        <f ca="1">IFERROR(__xludf.DUMMYFUNCTION("""COMPUTED_VALUE"""),"Гайский ГОК")</f>
        <v>Гайский ГОК</v>
      </c>
    </row>
    <row r="76" spans="1:11" ht="13" x14ac:dyDescent="0.3">
      <c r="A76" s="1" t="str">
        <f ca="1">IFERROR(__xludf.DUMMYFUNCTION("""COMPUTED_VALUE"""),"108403 / 108309")</f>
        <v>108403 / 108309</v>
      </c>
      <c r="B76" s="1" t="str">
        <f ca="1">IFERROR(__xludf.DUMMYFUNCTION("""COMPUTED_VALUE"""),"02.03.2024")</f>
        <v>02.03.2024</v>
      </c>
      <c r="C76" s="1" t="str">
        <f ca="1">IFERROR(__xludf.DUMMYFUNCTION("""COMPUTED_VALUE"""),"Шлак гранулированный")</f>
        <v>Шлак гранулированный</v>
      </c>
      <c r="D76" s="1" t="str">
        <f ca="1">IFERROR(__xludf.DUMMYFUNCTION("""COMPUTED_VALUE"""),"50,15")</f>
        <v>50,15</v>
      </c>
      <c r="E76" s="1" t="str">
        <f ca="1">IFERROR(__xludf.DUMMYFUNCTION("""COMPUTED_VALUE"""),"Овсянников Александр Сергеевич")</f>
        <v>Овсянников Александр Сергеевич</v>
      </c>
      <c r="F76" s="1" t="str">
        <f ca="1">IFERROR(__xludf.DUMMYFUNCTION("""COMPUTED_VALUE"""),"SITRAK")</f>
        <v>SITRAK</v>
      </c>
      <c r="G76" s="1" t="str">
        <f ca="1">IFERROR(__xludf.DUMMYFUNCTION("""COMPUTED_VALUE"""),"Н854ВН774")</f>
        <v>Н854ВН774</v>
      </c>
      <c r="H76" s="1" t="str">
        <f ca="1">IFERROR(__xludf.DUMMYFUNCTION("""COMPUTED_VALUE"""),"г. Магнитогорск, ул. Локомотивная, 6А")</f>
        <v>г. Магнитогорск, ул. Локомотивная, 6А</v>
      </c>
      <c r="I76" s="1" t="str">
        <f ca="1">IFERROR(__xludf.DUMMYFUNCTION("""COMPUTED_VALUE"""),"г. Гай, ПАО ""Гайский ГОК""")</f>
        <v>г. Гай, ПАО "Гайский ГОК"</v>
      </c>
      <c r="J76" s="1" t="str">
        <f ca="1">IFERROR(__xludf.DUMMYFUNCTION("""COMPUTED_VALUE"""),"50,150")</f>
        <v>50,150</v>
      </c>
      <c r="K76" s="1" t="str">
        <f ca="1">IFERROR(__xludf.DUMMYFUNCTION("""COMPUTED_VALUE"""),"Гайский ГОК")</f>
        <v>Гайский ГОК</v>
      </c>
    </row>
    <row r="77" spans="1:11" ht="13" x14ac:dyDescent="0.3">
      <c r="A77" s="1" t="str">
        <f ca="1">IFERROR(__xludf.DUMMYFUNCTION("""COMPUTED_VALUE"""),"108584/       108549")</f>
        <v>108584/       108549</v>
      </c>
      <c r="B77" s="1" t="str">
        <f ca="1">IFERROR(__xludf.DUMMYFUNCTION("""COMPUTED_VALUE"""),"01.03.2024")</f>
        <v>01.03.2024</v>
      </c>
      <c r="C77" s="1" t="str">
        <f ca="1">IFERROR(__xludf.DUMMYFUNCTION("""COMPUTED_VALUE"""),"Шлак гранулированный")</f>
        <v>Шлак гранулированный</v>
      </c>
      <c r="D77" s="1" t="str">
        <f ca="1">IFERROR(__xludf.DUMMYFUNCTION("""COMPUTED_VALUE"""),"47,50")</f>
        <v>47,50</v>
      </c>
      <c r="E77" s="1" t="str">
        <f ca="1">IFERROR(__xludf.DUMMYFUNCTION("""COMPUTED_VALUE"""),"Зарафутдинов Радис Шамгунович")</f>
        <v>Зарафутдинов Радис Шамгунович</v>
      </c>
      <c r="F77" s="1" t="str">
        <f ca="1">IFERROR(__xludf.DUMMYFUNCTION("""COMPUTED_VALUE"""),"МЕРСЕДЕС")</f>
        <v>МЕРСЕДЕС</v>
      </c>
      <c r="G77" s="1" t="str">
        <f ca="1">IFERROR(__xludf.DUMMYFUNCTION("""COMPUTED_VALUE"""),"О816РС196")</f>
        <v>О816РС196</v>
      </c>
      <c r="H77" s="1" t="str">
        <f ca="1">IFERROR(__xludf.DUMMYFUNCTION("""COMPUTED_VALUE"""),"г. Магнитогорск, ул. Локомотивная, 6А")</f>
        <v>г. Магнитогорск, ул. Локомотивная, 6А</v>
      </c>
      <c r="I77" s="1" t="str">
        <f ca="1">IFERROR(__xludf.DUMMYFUNCTION("""COMPUTED_VALUE"""),"г. Гай, ПАО ""Гайский ГОК""")</f>
        <v>г. Гай, ПАО "Гайский ГОК"</v>
      </c>
      <c r="J77" s="1" t="str">
        <f ca="1">IFERROR(__xludf.DUMMYFUNCTION("""COMPUTED_VALUE"""),"47,500")</f>
        <v>47,500</v>
      </c>
      <c r="K77" s="1" t="str">
        <f ca="1">IFERROR(__xludf.DUMMYFUNCTION("""COMPUTED_VALUE"""),"Гайский ГОК")</f>
        <v>Гайский ГОК</v>
      </c>
    </row>
    <row r="78" spans="1:11" ht="13" x14ac:dyDescent="0.3">
      <c r="A78" s="1" t="str">
        <f ca="1">IFERROR(__xludf.DUMMYFUNCTION("""COMPUTED_VALUE"""),"32")</f>
        <v>32</v>
      </c>
      <c r="B78" s="1" t="str">
        <f ca="1">IFERROR(__xludf.DUMMYFUNCTION("""COMPUTED_VALUE"""),"02.03.2024")</f>
        <v>02.03.2024</v>
      </c>
      <c r="C78" s="1" t="str">
        <f ca="1">IFERROR(__xludf.DUMMYFUNCTION("""COMPUTED_VALUE"""),"Руда")</f>
        <v>Руда</v>
      </c>
      <c r="D78" s="1" t="str">
        <f ca="1">IFERROR(__xludf.DUMMYFUNCTION("""COMPUTED_VALUE"""),"42,80")</f>
        <v>42,80</v>
      </c>
      <c r="E78" s="1" t="str">
        <f ca="1">IFERROR(__xludf.DUMMYFUNCTION("""COMPUTED_VALUE"""),"Альтяпов Рустам Ильмирович")</f>
        <v>Альтяпов Рустам Ильмирович</v>
      </c>
      <c r="F78" s="1" t="str">
        <f ca="1">IFERROR(__xludf.DUMMYFUNCTION("""COMPUTED_VALUE"""),"HOWO")</f>
        <v>HOWO</v>
      </c>
      <c r="G78" s="1" t="str">
        <f ca="1">IFERROR(__xludf.DUMMYFUNCTION("""COMPUTED_VALUE"""),"Н953ВР774")</f>
        <v>Н953ВР774</v>
      </c>
      <c r="H7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78" s="1" t="str">
        <f ca="1">IFERROR(__xludf.DUMMYFUNCTION("""COMPUTED_VALUE"""),"г. Гай, ПАО ""Гайский ГОК""")</f>
        <v>г. Гай, ПАО "Гайский ГОК"</v>
      </c>
      <c r="J78" s="1" t="str">
        <f ca="1">IFERROR(__xludf.DUMMYFUNCTION("""COMPUTED_VALUE"""),"43,100")</f>
        <v>43,100</v>
      </c>
      <c r="K78" s="1" t="str">
        <f ca="1">IFERROR(__xludf.DUMMYFUNCTION("""COMPUTED_VALUE"""),"Башкирская Медь")</f>
        <v>Башкирская Медь</v>
      </c>
    </row>
    <row r="79" spans="1:11" ht="13" x14ac:dyDescent="0.3">
      <c r="A79" s="1" t="str">
        <f ca="1">IFERROR(__xludf.DUMMYFUNCTION("""COMPUTED_VALUE"""),"31")</f>
        <v>31</v>
      </c>
      <c r="B79" s="1" t="str">
        <f ca="1">IFERROR(__xludf.DUMMYFUNCTION("""COMPUTED_VALUE"""),"02.03.2024")</f>
        <v>02.03.2024</v>
      </c>
      <c r="C79" s="1" t="str">
        <f ca="1">IFERROR(__xludf.DUMMYFUNCTION("""COMPUTED_VALUE"""),"Руда")</f>
        <v>Руда</v>
      </c>
      <c r="D79" s="1" t="str">
        <f ca="1">IFERROR(__xludf.DUMMYFUNCTION("""COMPUTED_VALUE"""),"38,80")</f>
        <v>38,80</v>
      </c>
      <c r="E79" s="1" t="str">
        <f ca="1">IFERROR(__xludf.DUMMYFUNCTION("""COMPUTED_VALUE"""),"Мурзабаев Руслан Мирасович")</f>
        <v>Мурзабаев Руслан Мирасович</v>
      </c>
      <c r="F79" s="1" t="str">
        <f ca="1">IFERROR(__xludf.DUMMYFUNCTION("""COMPUTED_VALUE"""),"HOWO")</f>
        <v>HOWO</v>
      </c>
      <c r="G79" s="1" t="str">
        <f ca="1">IFERROR(__xludf.DUMMYFUNCTION("""COMPUTED_VALUE"""),"Н929ВР774")</f>
        <v>Н929ВР774</v>
      </c>
      <c r="H7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79" s="1" t="str">
        <f ca="1">IFERROR(__xludf.DUMMYFUNCTION("""COMPUTED_VALUE"""),"г. Гай, ПАО ""Гайский ГОК""")</f>
        <v>г. Гай, ПАО "Гайский ГОК"</v>
      </c>
      <c r="J79" s="1" t="str">
        <f ca="1">IFERROR(__xludf.DUMMYFUNCTION("""COMPUTED_VALUE"""),"38,700")</f>
        <v>38,700</v>
      </c>
      <c r="K79" s="1" t="str">
        <f ca="1">IFERROR(__xludf.DUMMYFUNCTION("""COMPUTED_VALUE"""),"Башкирская Медь")</f>
        <v>Башкирская Медь</v>
      </c>
    </row>
    <row r="80" spans="1:11" ht="13" x14ac:dyDescent="0.3">
      <c r="A80" s="1" t="str">
        <f ca="1">IFERROR(__xludf.DUMMYFUNCTION("""COMPUTED_VALUE"""),"30")</f>
        <v>30</v>
      </c>
      <c r="B80" s="1" t="str">
        <f ca="1">IFERROR(__xludf.DUMMYFUNCTION("""COMPUTED_VALUE"""),"02.03.2024")</f>
        <v>02.03.2024</v>
      </c>
      <c r="C80" s="1" t="str">
        <f ca="1">IFERROR(__xludf.DUMMYFUNCTION("""COMPUTED_VALUE"""),"Руда")</f>
        <v>Руда</v>
      </c>
      <c r="D80" s="1" t="str">
        <f ca="1">IFERROR(__xludf.DUMMYFUNCTION("""COMPUTED_VALUE"""),"39,35")</f>
        <v>39,35</v>
      </c>
      <c r="E80" s="1" t="str">
        <f ca="1">IFERROR(__xludf.DUMMYFUNCTION("""COMPUTED_VALUE"""),"Ягафаров Айнур Наилевич")</f>
        <v>Ягафаров Айнур Наилевич</v>
      </c>
      <c r="F80" s="1" t="str">
        <f ca="1">IFERROR(__xludf.DUMMYFUNCTION("""COMPUTED_VALUE"""),"HOWO")</f>
        <v>HOWO</v>
      </c>
      <c r="G80" s="1" t="str">
        <f ca="1">IFERROR(__xludf.DUMMYFUNCTION("""COMPUTED_VALUE"""),"Х374АТ774")</f>
        <v>Х374АТ774</v>
      </c>
      <c r="H8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0" s="1" t="str">
        <f ca="1">IFERROR(__xludf.DUMMYFUNCTION("""COMPUTED_VALUE"""),"г. Гай, ПАО ""Гайский ГОК""")</f>
        <v>г. Гай, ПАО "Гайский ГОК"</v>
      </c>
      <c r="J80" s="1" t="str">
        <f ca="1">IFERROR(__xludf.DUMMYFUNCTION("""COMPUTED_VALUE"""),"39,500")</f>
        <v>39,500</v>
      </c>
      <c r="K80" s="1" t="str">
        <f ca="1">IFERROR(__xludf.DUMMYFUNCTION("""COMPUTED_VALUE"""),"Башкирская Медь")</f>
        <v>Башкирская Медь</v>
      </c>
    </row>
    <row r="81" spans="1:11" ht="13" x14ac:dyDescent="0.3">
      <c r="A81" s="1" t="str">
        <f ca="1">IFERROR(__xludf.DUMMYFUNCTION("""COMPUTED_VALUE"""),"29")</f>
        <v>29</v>
      </c>
      <c r="B81" s="1" t="str">
        <f ca="1">IFERROR(__xludf.DUMMYFUNCTION("""COMPUTED_VALUE"""),"02.03.2024")</f>
        <v>02.03.2024</v>
      </c>
      <c r="C81" s="1" t="str">
        <f ca="1">IFERROR(__xludf.DUMMYFUNCTION("""COMPUTED_VALUE"""),"Руда")</f>
        <v>Руда</v>
      </c>
      <c r="D81" s="1" t="str">
        <f ca="1">IFERROR(__xludf.DUMMYFUNCTION("""COMPUTED_VALUE"""),"33,80")</f>
        <v>33,80</v>
      </c>
      <c r="E81" s="1" t="str">
        <f ca="1">IFERROR(__xludf.DUMMYFUNCTION("""COMPUTED_VALUE"""),"Козлов Никита Валерьевич")</f>
        <v>Козлов Никита Валерьевич</v>
      </c>
      <c r="F81" s="1" t="str">
        <f ca="1">IFERROR(__xludf.DUMMYFUNCTION("""COMPUTED_VALUE"""),"HOWO")</f>
        <v>HOWO</v>
      </c>
      <c r="G81" s="1" t="str">
        <f ca="1">IFERROR(__xludf.DUMMYFUNCTION("""COMPUTED_VALUE"""),"А141ВО774")</f>
        <v>А141ВО774</v>
      </c>
      <c r="H8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1" s="1" t="str">
        <f ca="1">IFERROR(__xludf.DUMMYFUNCTION("""COMPUTED_VALUE"""),"г. Гай, ПАО ""Гайский ГОК""")</f>
        <v>г. Гай, ПАО "Гайский ГОК"</v>
      </c>
      <c r="J81" s="1" t="str">
        <f ca="1">IFERROR(__xludf.DUMMYFUNCTION("""COMPUTED_VALUE"""),"34,550")</f>
        <v>34,550</v>
      </c>
      <c r="K81" s="1" t="str">
        <f ca="1">IFERROR(__xludf.DUMMYFUNCTION("""COMPUTED_VALUE"""),"Башкирская Медь")</f>
        <v>Башкирская Медь</v>
      </c>
    </row>
    <row r="82" spans="1:11" ht="13" x14ac:dyDescent="0.3">
      <c r="A82" s="1" t="str">
        <f ca="1">IFERROR(__xludf.DUMMYFUNCTION("""COMPUTED_VALUE"""),"28")</f>
        <v>28</v>
      </c>
      <c r="B82" s="1" t="str">
        <f ca="1">IFERROR(__xludf.DUMMYFUNCTION("""COMPUTED_VALUE"""),"02.03.2024")</f>
        <v>02.03.2024</v>
      </c>
      <c r="C82" s="1" t="str">
        <f ca="1">IFERROR(__xludf.DUMMYFUNCTION("""COMPUTED_VALUE"""),"Руда")</f>
        <v>Руда</v>
      </c>
      <c r="D82" s="1" t="str">
        <f ca="1">IFERROR(__xludf.DUMMYFUNCTION("""COMPUTED_VALUE"""),"41,50")</f>
        <v>41,50</v>
      </c>
      <c r="E82" s="1" t="str">
        <f ca="1">IFERROR(__xludf.DUMMYFUNCTION("""COMPUTED_VALUE"""),"Волков Алесей Геннадьевич")</f>
        <v>Волков Алесей Геннадьевич</v>
      </c>
      <c r="F82" s="1" t="str">
        <f ca="1">IFERROR(__xludf.DUMMYFUNCTION("""COMPUTED_VALUE"""),"HOWO")</f>
        <v>HOWO</v>
      </c>
      <c r="G82" s="1" t="str">
        <f ca="1">IFERROR(__xludf.DUMMYFUNCTION("""COMPUTED_VALUE"""),"Н206ВР774")</f>
        <v>Н206ВР774</v>
      </c>
      <c r="H8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2" s="1" t="str">
        <f ca="1">IFERROR(__xludf.DUMMYFUNCTION("""COMPUTED_VALUE"""),"г. Гай, ПАО ""Гайский ГОК""")</f>
        <v>г. Гай, ПАО "Гайский ГОК"</v>
      </c>
      <c r="J82" s="1" t="str">
        <f ca="1">IFERROR(__xludf.DUMMYFUNCTION("""COMPUTED_VALUE"""),"41,500")</f>
        <v>41,500</v>
      </c>
      <c r="K82" s="1" t="str">
        <f ca="1">IFERROR(__xludf.DUMMYFUNCTION("""COMPUTED_VALUE"""),"Башкирская Медь")</f>
        <v>Башкирская Медь</v>
      </c>
    </row>
    <row r="83" spans="1:11" ht="13" x14ac:dyDescent="0.3">
      <c r="A83" s="1" t="str">
        <f ca="1">IFERROR(__xludf.DUMMYFUNCTION("""COMPUTED_VALUE"""),"27")</f>
        <v>27</v>
      </c>
      <c r="B83" s="1" t="str">
        <f ca="1">IFERROR(__xludf.DUMMYFUNCTION("""COMPUTED_VALUE"""),"02.03.2024")</f>
        <v>02.03.2024</v>
      </c>
      <c r="C83" s="1" t="str">
        <f ca="1">IFERROR(__xludf.DUMMYFUNCTION("""COMPUTED_VALUE"""),"Руда")</f>
        <v>Руда</v>
      </c>
      <c r="D83" s="1" t="str">
        <f ca="1">IFERROR(__xludf.DUMMYFUNCTION("""COMPUTED_VALUE"""),"43,20")</f>
        <v>43,20</v>
      </c>
      <c r="E83" s="1" t="str">
        <f ca="1">IFERROR(__xludf.DUMMYFUNCTION("""COMPUTED_VALUE"""),"Кунаккулов Наиль Насибуллович")</f>
        <v>Кунаккулов Наиль Насибуллович</v>
      </c>
      <c r="F83" s="1" t="str">
        <f ca="1">IFERROR(__xludf.DUMMYFUNCTION("""COMPUTED_VALUE"""),"SHACMAN")</f>
        <v>SHACMAN</v>
      </c>
      <c r="G83" s="1" t="str">
        <f ca="1">IFERROR(__xludf.DUMMYFUNCTION("""COMPUTED_VALUE"""),"Н255ВТ774")</f>
        <v>Н255ВТ774</v>
      </c>
      <c r="H8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3" s="1" t="str">
        <f ca="1">IFERROR(__xludf.DUMMYFUNCTION("""COMPUTED_VALUE"""),"г. Гай, ПАО ""Гайский ГОК""")</f>
        <v>г. Гай, ПАО "Гайский ГОК"</v>
      </c>
      <c r="J83" s="1" t="str">
        <f ca="1">IFERROR(__xludf.DUMMYFUNCTION("""COMPUTED_VALUE"""),"43,200")</f>
        <v>43,200</v>
      </c>
      <c r="K83" s="1" t="str">
        <f ca="1">IFERROR(__xludf.DUMMYFUNCTION("""COMPUTED_VALUE"""),"Башкирская Медь")</f>
        <v>Башкирская Медь</v>
      </c>
    </row>
    <row r="84" spans="1:11" ht="13" x14ac:dyDescent="0.3">
      <c r="A84" s="1" t="str">
        <f ca="1">IFERROR(__xludf.DUMMYFUNCTION("""COMPUTED_VALUE"""),"47")</f>
        <v>47</v>
      </c>
      <c r="B84" s="1" t="str">
        <f ca="1">IFERROR(__xludf.DUMMYFUNCTION("""COMPUTED_VALUE"""),"02.03.2024")</f>
        <v>02.03.2024</v>
      </c>
      <c r="C84" s="1" t="str">
        <f ca="1">IFERROR(__xludf.DUMMYFUNCTION("""COMPUTED_VALUE"""),"Руда")</f>
        <v>Руда</v>
      </c>
      <c r="D84" s="1" t="str">
        <f ca="1">IFERROR(__xludf.DUMMYFUNCTION("""COMPUTED_VALUE"""),"52,95")</f>
        <v>52,95</v>
      </c>
      <c r="E84" s="1" t="str">
        <f ca="1">IFERROR(__xludf.DUMMYFUNCTION("""COMPUTED_VALUE"""),"Мазуха Николай Александрович")</f>
        <v>Мазуха Николай Александрович</v>
      </c>
      <c r="F84" s="1" t="str">
        <f ca="1">IFERROR(__xludf.DUMMYFUNCTION("""COMPUTED_VALUE"""),"SITRAK")</f>
        <v>SITRAK</v>
      </c>
      <c r="G84" s="1" t="str">
        <f ca="1">IFERROR(__xludf.DUMMYFUNCTION("""COMPUTED_VALUE"""),"Н384ВР774")</f>
        <v>Н384ВР774</v>
      </c>
      <c r="H8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4" s="1" t="str">
        <f ca="1">IFERROR(__xludf.DUMMYFUNCTION("""COMPUTED_VALUE"""),"г. Гай, ПАО ""Гайский ГОК""")</f>
        <v>г. Гай, ПАО "Гайский ГОК"</v>
      </c>
      <c r="J84" s="1" t="str">
        <f ca="1">IFERROR(__xludf.DUMMYFUNCTION("""COMPUTED_VALUE"""),"53,100")</f>
        <v>53,100</v>
      </c>
      <c r="K84" s="1" t="str">
        <f ca="1">IFERROR(__xludf.DUMMYFUNCTION("""COMPUTED_VALUE"""),"Башкирская Медь")</f>
        <v>Башкирская Медь</v>
      </c>
    </row>
    <row r="85" spans="1:11" ht="13" x14ac:dyDescent="0.3">
      <c r="A85" s="1" t="str">
        <f ca="1">IFERROR(__xludf.DUMMYFUNCTION("""COMPUTED_VALUE"""),"48")</f>
        <v>48</v>
      </c>
      <c r="B85" s="1" t="str">
        <f ca="1">IFERROR(__xludf.DUMMYFUNCTION("""COMPUTED_VALUE"""),"02.03.2024")</f>
        <v>02.03.2024</v>
      </c>
      <c r="C85" s="1" t="str">
        <f ca="1">IFERROR(__xludf.DUMMYFUNCTION("""COMPUTED_VALUE"""),"Руда")</f>
        <v>Руда</v>
      </c>
      <c r="D85" s="1" t="str">
        <f ca="1">IFERROR(__xludf.DUMMYFUNCTION("""COMPUTED_VALUE"""),"39,10")</f>
        <v>39,10</v>
      </c>
      <c r="E85" s="1" t="str">
        <f ca="1">IFERROR(__xludf.DUMMYFUNCTION("""COMPUTED_VALUE"""),"Казиахметов Владислав Аркадиевич")</f>
        <v>Казиахметов Владислав Аркадиевич</v>
      </c>
      <c r="F85" s="1" t="str">
        <f ca="1">IFERROR(__xludf.DUMMYFUNCTION("""COMPUTED_VALUE"""),"HOWO")</f>
        <v>HOWO</v>
      </c>
      <c r="G85" s="1" t="str">
        <f ca="1">IFERROR(__xludf.DUMMYFUNCTION("""COMPUTED_VALUE"""),"Н234ВР774")</f>
        <v>Н234ВР774</v>
      </c>
      <c r="H8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5" s="1" t="str">
        <f ca="1">IFERROR(__xludf.DUMMYFUNCTION("""COMPUTED_VALUE"""),"г. Гай, ПАО ""Гайский ГОК""")</f>
        <v>г. Гай, ПАО "Гайский ГОК"</v>
      </c>
      <c r="J85" s="1" t="str">
        <f ca="1">IFERROR(__xludf.DUMMYFUNCTION("""COMPUTED_VALUE"""),"39,150")</f>
        <v>39,150</v>
      </c>
      <c r="K85" s="1" t="str">
        <f ca="1">IFERROR(__xludf.DUMMYFUNCTION("""COMPUTED_VALUE"""),"Башкирская Медь")</f>
        <v>Башкирская Медь</v>
      </c>
    </row>
    <row r="86" spans="1:11" ht="13" x14ac:dyDescent="0.3">
      <c r="A86" s="1" t="str">
        <f ca="1">IFERROR(__xludf.DUMMYFUNCTION("""COMPUTED_VALUE"""),"2526")</f>
        <v>2526</v>
      </c>
      <c r="B86" s="1" t="str">
        <f ca="1">IFERROR(__xludf.DUMMYFUNCTION("""COMPUTED_VALUE"""),"02.03.2024")</f>
        <v>02.03.2024</v>
      </c>
      <c r="C86" s="1" t="str">
        <f ca="1">IFERROR(__xludf.DUMMYFUNCTION("""COMPUTED_VALUE"""),"глина огнеупорная")</f>
        <v>глина огнеупорная</v>
      </c>
      <c r="D86" s="1" t="str">
        <f ca="1">IFERROR(__xludf.DUMMYFUNCTION("""COMPUTED_VALUE"""),"48,42")</f>
        <v>48,42</v>
      </c>
      <c r="E86" s="1" t="str">
        <f ca="1">IFERROR(__xludf.DUMMYFUNCTION("""COMPUTED_VALUE"""),"Марьин Андрей Геннадьевич")</f>
        <v>Марьин Андрей Геннадьевич</v>
      </c>
      <c r="F86" s="1" t="str">
        <f ca="1">IFERROR(__xludf.DUMMYFUNCTION("""COMPUTED_VALUE"""),"ВОЛЬВО")</f>
        <v>ВОЛЬВО</v>
      </c>
      <c r="G86" s="1" t="str">
        <f ca="1">IFERROR(__xludf.DUMMYFUNCTION("""COMPUTED_VALUE"""),"Н180ТС196")</f>
        <v>Н180ТС196</v>
      </c>
      <c r="H86" s="1" t="str">
        <f ca="1">IFERROR(__xludf.DUMMYFUNCTION("""COMPUTED_VALUE"""),"ООО ""Бускуль"" п. Бускульский")</f>
        <v>ООО "Бускуль" п. Бускульский</v>
      </c>
      <c r="I86" s="1" t="str">
        <f ca="1">IFERROR(__xludf.DUMMYFUNCTION("""COMPUTED_VALUE"""),"ООО ""Строительный комплекс"" , Агаповское шоссе, 9")</f>
        <v>ООО "Строительный комплекс" , Агаповское шоссе, 9</v>
      </c>
      <c r="J86" s="1" t="str">
        <f ca="1">IFERROR(__xludf.DUMMYFUNCTION("""COMPUTED_VALUE"""),"48,42")</f>
        <v>48,42</v>
      </c>
      <c r="K86" s="1" t="str">
        <f ca="1">IFERROR(__xludf.DUMMYFUNCTION("""COMPUTED_VALUE"""),"Строительный комплекс ")</f>
        <v xml:space="preserve">Строительный комплекс </v>
      </c>
    </row>
    <row r="87" spans="1:11" ht="13" x14ac:dyDescent="0.3">
      <c r="A87" s="1" t="str">
        <f ca="1">IFERROR(__xludf.DUMMYFUNCTION("""COMPUTED_VALUE"""),"2527")</f>
        <v>2527</v>
      </c>
      <c r="B87" s="1" t="str">
        <f ca="1">IFERROR(__xludf.DUMMYFUNCTION("""COMPUTED_VALUE"""),"02.03.2024")</f>
        <v>02.03.2024</v>
      </c>
      <c r="C87" s="1" t="str">
        <f ca="1">IFERROR(__xludf.DUMMYFUNCTION("""COMPUTED_VALUE"""),"глина огнеупорная")</f>
        <v>глина огнеупорная</v>
      </c>
      <c r="D87" s="1" t="str">
        <f ca="1">IFERROR(__xludf.DUMMYFUNCTION("""COMPUTED_VALUE"""),"47,70")</f>
        <v>47,70</v>
      </c>
      <c r="E87" s="1" t="str">
        <f ca="1">IFERROR(__xludf.DUMMYFUNCTION("""COMPUTED_VALUE"""),"Стародубов Сергей Михайлович")</f>
        <v>Стародубов Сергей Михайлович</v>
      </c>
      <c r="F87" s="1" t="str">
        <f ca="1">IFERROR(__xludf.DUMMYFUNCTION("""COMPUTED_VALUE"""),"ВОЛЬВО")</f>
        <v>ВОЛЬВО</v>
      </c>
      <c r="G87" s="1" t="str">
        <f ca="1">IFERROR(__xludf.DUMMYFUNCTION("""COMPUTED_VALUE"""),"Н242НУ196")</f>
        <v>Н242НУ196</v>
      </c>
      <c r="H87" s="1" t="str">
        <f ca="1">IFERROR(__xludf.DUMMYFUNCTION("""COMPUTED_VALUE"""),"ООО ""Бускуль"" п. Бускульский")</f>
        <v>ООО "Бускуль" п. Бускульский</v>
      </c>
      <c r="I87" s="1" t="str">
        <f ca="1">IFERROR(__xludf.DUMMYFUNCTION("""COMPUTED_VALUE"""),"ООО ""Строительный комплекс"" , Агаповское шоссе, 9")</f>
        <v>ООО "Строительный комплекс" , Агаповское шоссе, 9</v>
      </c>
      <c r="J87" s="1" t="str">
        <f ca="1">IFERROR(__xludf.DUMMYFUNCTION("""COMPUTED_VALUE"""),"47,70")</f>
        <v>47,70</v>
      </c>
      <c r="K87" s="1" t="str">
        <f ca="1">IFERROR(__xludf.DUMMYFUNCTION("""COMPUTED_VALUE"""),"Строительный комплекс ")</f>
        <v xml:space="preserve">Строительный комплекс </v>
      </c>
    </row>
    <row r="88" spans="1:11" ht="13" x14ac:dyDescent="0.3">
      <c r="A88" s="1" t="str">
        <f ca="1">IFERROR(__xludf.DUMMYFUNCTION("""COMPUTED_VALUE"""),"46")</f>
        <v>46</v>
      </c>
      <c r="B88" s="1" t="str">
        <f ca="1">IFERROR(__xludf.DUMMYFUNCTION("""COMPUTED_VALUE"""),"02.03.2024")</f>
        <v>02.03.2024</v>
      </c>
      <c r="C88" s="1" t="str">
        <f ca="1">IFERROR(__xludf.DUMMYFUNCTION("""COMPUTED_VALUE"""),"Руда")</f>
        <v>Руда</v>
      </c>
      <c r="D88" s="1" t="str">
        <f ca="1">IFERROR(__xludf.DUMMYFUNCTION("""COMPUTED_VALUE"""),"51,10")</f>
        <v>51,10</v>
      </c>
      <c r="E88" s="1" t="str">
        <f ca="1">IFERROR(__xludf.DUMMYFUNCTION("""COMPUTED_VALUE"""),"Карий Иван Иванович")</f>
        <v>Карий Иван Иванович</v>
      </c>
      <c r="F88" s="1" t="str">
        <f ca="1">IFERROR(__xludf.DUMMYFUNCTION("""COMPUTED_VALUE"""),"ВОЛЬВО")</f>
        <v>ВОЛЬВО</v>
      </c>
      <c r="G88" s="1" t="str">
        <f ca="1">IFERROR(__xludf.DUMMYFUNCTION("""COMPUTED_VALUE"""),"Н208МР196")</f>
        <v>Н208МР196</v>
      </c>
      <c r="H8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88" s="1" t="str">
        <f ca="1">IFERROR(__xludf.DUMMYFUNCTION("""COMPUTED_VALUE"""),"г. Гай, ПАО ""Гайский ГОК""")</f>
        <v>г. Гай, ПАО "Гайский ГОК"</v>
      </c>
      <c r="J88" s="1" t="str">
        <f ca="1">IFERROR(__xludf.DUMMYFUNCTION("""COMPUTED_VALUE"""),"51,250")</f>
        <v>51,250</v>
      </c>
      <c r="K88" s="1" t="str">
        <f ca="1">IFERROR(__xludf.DUMMYFUNCTION("""COMPUTED_VALUE"""),"Башкирская Медь")</f>
        <v>Башкирская Медь</v>
      </c>
    </row>
    <row r="89" spans="1:11" ht="13" x14ac:dyDescent="0.3">
      <c r="A89" s="1" t="str">
        <f ca="1">IFERROR(__xludf.DUMMYFUNCTION("""COMPUTED_VALUE"""),"12")</f>
        <v>12</v>
      </c>
      <c r="B89" s="1" t="str">
        <f ca="1">IFERROR(__xludf.DUMMYFUNCTION("""COMPUTED_VALUE"""),"02.03.2024")</f>
        <v>02.03.2024</v>
      </c>
      <c r="C89" s="1" t="str">
        <f ca="1">IFERROR(__xludf.DUMMYFUNCTION("""COMPUTED_VALUE"""),"Щебень из плотных горных пород фр.5-20")</f>
        <v>Щебень из плотных горных пород фр.5-20</v>
      </c>
      <c r="D89" s="1" t="str">
        <f ca="1">IFERROR(__xludf.DUMMYFUNCTION("""COMPUTED_VALUE"""),"53,85")</f>
        <v>53,85</v>
      </c>
      <c r="E89" s="1" t="str">
        <f ca="1">IFERROR(__xludf.DUMMYFUNCTION("""COMPUTED_VALUE"""),"Карий Иван Иванович")</f>
        <v>Карий Иван Иванович</v>
      </c>
      <c r="F89" s="1" t="str">
        <f ca="1">IFERROR(__xludf.DUMMYFUNCTION("""COMPUTED_VALUE"""),"ВОЛЬВО")</f>
        <v>ВОЛЬВО</v>
      </c>
      <c r="G89" s="1" t="str">
        <f ca="1">IFERROR(__xludf.DUMMYFUNCTION("""COMPUTED_VALUE"""),"Н208МР196")</f>
        <v>Н208МР196</v>
      </c>
      <c r="H89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8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89" s="1" t="str">
        <f ca="1">IFERROR(__xludf.DUMMYFUNCTION("""COMPUTED_VALUE"""),"53,950")</f>
        <v>53,950</v>
      </c>
      <c r="K89" s="1" t="str">
        <f ca="1">IFERROR(__xludf.DUMMYFUNCTION("""COMPUTED_VALUE"""),"Башкирская Медь")</f>
        <v>Башкирская Медь</v>
      </c>
    </row>
    <row r="90" spans="1:11" ht="13" x14ac:dyDescent="0.3">
      <c r="A90" s="1" t="str">
        <f ca="1">IFERROR(__xludf.DUMMYFUNCTION("""COMPUTED_VALUE"""),"ННКРС33070")</f>
        <v>ННКРС33070</v>
      </c>
      <c r="B90" s="1" t="str">
        <f ca="1">IFERROR(__xludf.DUMMYFUNCTION("""COMPUTED_VALUE"""),"02.03.2024")</f>
        <v>02.03.2024</v>
      </c>
      <c r="C90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90" s="1" t="str">
        <f ca="1">IFERROR(__xludf.DUMMYFUNCTION("""COMPUTED_VALUE"""),"33,90")</f>
        <v>33,90</v>
      </c>
      <c r="E90" s="1" t="str">
        <f ca="1">IFERROR(__xludf.DUMMYFUNCTION("""COMPUTED_VALUE"""),"Карий Николай Иванович")</f>
        <v>Карий Николай Иванович</v>
      </c>
      <c r="F90" s="1" t="str">
        <f ca="1">IFERROR(__xludf.DUMMYFUNCTION("""COMPUTED_VALUE"""),"ВОЛЬВО")</f>
        <v>ВОЛЬВО</v>
      </c>
      <c r="G90" s="1" t="str">
        <f ca="1">IFERROR(__xludf.DUMMYFUNCTION("""COMPUTED_VALUE"""),"О667РУ196")</f>
        <v>О667РУ196</v>
      </c>
      <c r="H90" s="1" t="str">
        <f ca="1">IFERROR(__xludf.DUMMYFUNCTION("""COMPUTED_VALUE"""),"Гумбейский щебзавод ")</f>
        <v xml:space="preserve">Гумбейский щебзавод </v>
      </c>
      <c r="I90" s="1" t="str">
        <f ca="1">IFERROR(__xludf.DUMMYFUNCTION("""COMPUTED_VALUE"""),"Строительная площадка КХП")</f>
        <v>Строительная площадка КХП</v>
      </c>
      <c r="J90" s="1" t="str">
        <f ca="1">IFERROR(__xludf.DUMMYFUNCTION("""COMPUTED_VALUE"""),"33,90")</f>
        <v>33,90</v>
      </c>
      <c r="K90" s="1" t="str">
        <f ca="1">IFERROR(__xludf.DUMMYFUNCTION("""COMPUTED_VALUE"""),"Синостил")</f>
        <v>Синостил</v>
      </c>
    </row>
    <row r="91" spans="1:11" ht="13" x14ac:dyDescent="0.3">
      <c r="A91" s="1" t="str">
        <f ca="1">IFERROR(__xludf.DUMMYFUNCTION("""COMPUTED_VALUE"""),"ННКРС33060")</f>
        <v>ННКРС33060</v>
      </c>
      <c r="B91" s="1" t="str">
        <f ca="1">IFERROR(__xludf.DUMMYFUNCTION("""COMPUTED_VALUE"""),"02.03.2024")</f>
        <v>02.03.2024</v>
      </c>
      <c r="C91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91" s="1" t="str">
        <f ca="1">IFERROR(__xludf.DUMMYFUNCTION("""COMPUTED_VALUE"""),"37,45")</f>
        <v>37,45</v>
      </c>
      <c r="E91" s="1" t="str">
        <f ca="1">IFERROR(__xludf.DUMMYFUNCTION("""COMPUTED_VALUE"""),"Карий Николай Иванович")</f>
        <v>Карий Николай Иванович</v>
      </c>
      <c r="F91" s="1" t="str">
        <f ca="1">IFERROR(__xludf.DUMMYFUNCTION("""COMPUTED_VALUE"""),"ВОЛЬВО")</f>
        <v>ВОЛЬВО</v>
      </c>
      <c r="G91" s="1" t="str">
        <f ca="1">IFERROR(__xludf.DUMMYFUNCTION("""COMPUTED_VALUE"""),"О667РУ196")</f>
        <v>О667РУ196</v>
      </c>
      <c r="H91" s="1" t="str">
        <f ca="1">IFERROR(__xludf.DUMMYFUNCTION("""COMPUTED_VALUE"""),"Гумбейский щебзавод ")</f>
        <v xml:space="preserve">Гумбейский щебзавод </v>
      </c>
      <c r="I91" s="1" t="str">
        <f ca="1">IFERROR(__xludf.DUMMYFUNCTION("""COMPUTED_VALUE"""),"Строительная площадка КХП")</f>
        <v>Строительная площадка КХП</v>
      </c>
      <c r="J91" s="1" t="str">
        <f ca="1">IFERROR(__xludf.DUMMYFUNCTION("""COMPUTED_VALUE"""),"37,45")</f>
        <v>37,45</v>
      </c>
      <c r="K91" s="1" t="str">
        <f ca="1">IFERROR(__xludf.DUMMYFUNCTION("""COMPUTED_VALUE"""),"Синостил")</f>
        <v>Синостил</v>
      </c>
    </row>
    <row r="92" spans="1:11" ht="13" x14ac:dyDescent="0.3">
      <c r="A92" s="1" t="str">
        <f ca="1">IFERROR(__xludf.DUMMYFUNCTION("""COMPUTED_VALUE"""),"ННКРС33044")</f>
        <v>ННКРС33044</v>
      </c>
      <c r="B92" s="1" t="str">
        <f ca="1">IFERROR(__xludf.DUMMYFUNCTION("""COMPUTED_VALUE"""),"02.03.2024")</f>
        <v>02.03.2024</v>
      </c>
      <c r="C92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92" s="1" t="str">
        <f ca="1">IFERROR(__xludf.DUMMYFUNCTION("""COMPUTED_VALUE"""),"34,60")</f>
        <v>34,60</v>
      </c>
      <c r="E92" s="1" t="str">
        <f ca="1">IFERROR(__xludf.DUMMYFUNCTION("""COMPUTED_VALUE"""),"Карий Николай Иванович")</f>
        <v>Карий Николай Иванович</v>
      </c>
      <c r="F92" s="1" t="str">
        <f ca="1">IFERROR(__xludf.DUMMYFUNCTION("""COMPUTED_VALUE"""),"ВОЛЬВО")</f>
        <v>ВОЛЬВО</v>
      </c>
      <c r="G92" s="1" t="str">
        <f ca="1">IFERROR(__xludf.DUMMYFUNCTION("""COMPUTED_VALUE"""),"О667РУ196")</f>
        <v>О667РУ196</v>
      </c>
      <c r="H92" s="1" t="str">
        <f ca="1">IFERROR(__xludf.DUMMYFUNCTION("""COMPUTED_VALUE"""),"Гумбейский щебзавод ")</f>
        <v xml:space="preserve">Гумбейский щебзавод </v>
      </c>
      <c r="I92" s="1" t="str">
        <f ca="1">IFERROR(__xludf.DUMMYFUNCTION("""COMPUTED_VALUE"""),"Строительная площадка КХП")</f>
        <v>Строительная площадка КХП</v>
      </c>
      <c r="J92" s="1" t="str">
        <f ca="1">IFERROR(__xludf.DUMMYFUNCTION("""COMPUTED_VALUE"""),"34,60")</f>
        <v>34,60</v>
      </c>
      <c r="K92" s="1" t="str">
        <f ca="1">IFERROR(__xludf.DUMMYFUNCTION("""COMPUTED_VALUE"""),"Синостил")</f>
        <v>Синостил</v>
      </c>
    </row>
    <row r="93" spans="1:11" ht="13" x14ac:dyDescent="0.3">
      <c r="A93" s="1" t="str">
        <f ca="1">IFERROR(__xludf.DUMMYFUNCTION("""COMPUTED_VALUE"""),"40")</f>
        <v>40</v>
      </c>
      <c r="B93" s="1" t="str">
        <f ca="1">IFERROR(__xludf.DUMMYFUNCTION("""COMPUTED_VALUE"""),"02.03.2024")</f>
        <v>02.03.2024</v>
      </c>
      <c r="C93" s="1" t="str">
        <f ca="1">IFERROR(__xludf.DUMMYFUNCTION("""COMPUTED_VALUE"""),"Руда")</f>
        <v>Руда</v>
      </c>
      <c r="D93" s="1" t="str">
        <f ca="1">IFERROR(__xludf.DUMMYFUNCTION("""COMPUTED_VALUE"""),"47,40")</f>
        <v>47,40</v>
      </c>
      <c r="E93" s="1" t="str">
        <f ca="1">IFERROR(__xludf.DUMMYFUNCTION("""COMPUTED_VALUE"""),"Баймуратов Ренат Гаффанович")</f>
        <v>Баймуратов Ренат Гаффанович</v>
      </c>
      <c r="F93" s="1" t="str">
        <f ca="1">IFERROR(__xludf.DUMMYFUNCTION("""COMPUTED_VALUE"""),"МЕРСЕДЕС")</f>
        <v>МЕРСЕДЕС</v>
      </c>
      <c r="G93" s="1" t="str">
        <f ca="1">IFERROR(__xludf.DUMMYFUNCTION("""COMPUTED_VALUE"""),"О691НН196")</f>
        <v>О691НН196</v>
      </c>
      <c r="H9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93" s="1" t="str">
        <f ca="1">IFERROR(__xludf.DUMMYFUNCTION("""COMPUTED_VALUE"""),"г. Гай, ПАО ""Гайский ГОК""")</f>
        <v>г. Гай, ПАО "Гайский ГОК"</v>
      </c>
      <c r="J93" s="1" t="str">
        <f ca="1">IFERROR(__xludf.DUMMYFUNCTION("""COMPUTED_VALUE"""),"47,400")</f>
        <v>47,400</v>
      </c>
      <c r="K93" s="1" t="str">
        <f ca="1">IFERROR(__xludf.DUMMYFUNCTION("""COMPUTED_VALUE"""),"Башкирская Медь")</f>
        <v>Башкирская Медь</v>
      </c>
    </row>
    <row r="94" spans="1:11" ht="13" x14ac:dyDescent="0.3">
      <c r="A94" s="1" t="str">
        <f ca="1">IFERROR(__xludf.DUMMYFUNCTION("""COMPUTED_VALUE"""),"4")</f>
        <v>4</v>
      </c>
      <c r="B94" s="1" t="str">
        <f ca="1">IFERROR(__xludf.DUMMYFUNCTION("""COMPUTED_VALUE"""),"01.03.2024")</f>
        <v>01.03.2024</v>
      </c>
      <c r="C94" s="1" t="str">
        <f ca="1">IFERROR(__xludf.DUMMYFUNCTION("""COMPUTED_VALUE"""),"Щебень из плотных горных пород фр.5-20")</f>
        <v>Щебень из плотных горных пород фр.5-20</v>
      </c>
      <c r="D94" s="1" t="str">
        <f ca="1">IFERROR(__xludf.DUMMYFUNCTION("""COMPUTED_VALUE"""),"56,35")</f>
        <v>56,35</v>
      </c>
      <c r="E94" s="1" t="str">
        <f ca="1">IFERROR(__xludf.DUMMYFUNCTION("""COMPUTED_VALUE"""),"Якшимбетов Вилюр Варисович")</f>
        <v>Якшимбетов Вилюр Варисович</v>
      </c>
      <c r="F94" s="1" t="str">
        <f ca="1">IFERROR(__xludf.DUMMYFUNCTION("""COMPUTED_VALUE"""),"ВОЛЬВО")</f>
        <v>ВОЛЬВО</v>
      </c>
      <c r="G94" s="1" t="str">
        <f ca="1">IFERROR(__xludf.DUMMYFUNCTION("""COMPUTED_VALUE"""),"Н182ТС196")</f>
        <v>Н182ТС196</v>
      </c>
      <c r="H94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9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94" s="1" t="str">
        <f ca="1">IFERROR(__xludf.DUMMYFUNCTION("""COMPUTED_VALUE"""),"56,350")</f>
        <v>56,350</v>
      </c>
      <c r="K94" s="1" t="str">
        <f ca="1">IFERROR(__xludf.DUMMYFUNCTION("""COMPUTED_VALUE"""),"Башкирская Медь")</f>
        <v>Башкирская Медь</v>
      </c>
    </row>
    <row r="95" spans="1:11" ht="13" x14ac:dyDescent="0.3">
      <c r="A95" s="1" t="str">
        <f ca="1">IFERROR(__xludf.DUMMYFUNCTION("""COMPUTED_VALUE"""),"16")</f>
        <v>16</v>
      </c>
      <c r="B95" s="1" t="str">
        <f ca="1">IFERROR(__xludf.DUMMYFUNCTION("""COMPUTED_VALUE"""),"02.03.2024")</f>
        <v>02.03.2024</v>
      </c>
      <c r="C95" s="1" t="str">
        <f ca="1">IFERROR(__xludf.DUMMYFUNCTION("""COMPUTED_VALUE"""),"Щебень из плотных горных пород фр.5-20")</f>
        <v>Щебень из плотных горных пород фр.5-20</v>
      </c>
      <c r="D95" s="1" t="str">
        <f ca="1">IFERROR(__xludf.DUMMYFUNCTION("""COMPUTED_VALUE"""),"40,50")</f>
        <v>40,50</v>
      </c>
      <c r="E95" s="1" t="str">
        <f ca="1">IFERROR(__xludf.DUMMYFUNCTION("""COMPUTED_VALUE"""),"Зарафутдинов Радис Шамгунович")</f>
        <v>Зарафутдинов Радис Шамгунович</v>
      </c>
      <c r="F95" s="1" t="str">
        <f ca="1">IFERROR(__xludf.DUMMYFUNCTION("""COMPUTED_VALUE"""),"МЕРСЕДЕС")</f>
        <v>МЕРСЕДЕС</v>
      </c>
      <c r="G95" s="1" t="str">
        <f ca="1">IFERROR(__xludf.DUMMYFUNCTION("""COMPUTED_VALUE"""),"О816РС196")</f>
        <v>О816РС196</v>
      </c>
      <c r="H95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9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95" s="1" t="str">
        <f ca="1">IFERROR(__xludf.DUMMYFUNCTION("""COMPUTED_VALUE"""),"40,400")</f>
        <v>40,400</v>
      </c>
      <c r="K95" s="1" t="str">
        <f ca="1">IFERROR(__xludf.DUMMYFUNCTION("""COMPUTED_VALUE"""),"Башкирская Медь")</f>
        <v>Башкирская Медь</v>
      </c>
    </row>
    <row r="96" spans="1:11" ht="13" x14ac:dyDescent="0.3">
      <c r="A96" s="1" t="str">
        <f ca="1">IFERROR(__xludf.DUMMYFUNCTION("""COMPUTED_VALUE"""),"43")</f>
        <v>43</v>
      </c>
      <c r="B96" s="1" t="str">
        <f ca="1">IFERROR(__xludf.DUMMYFUNCTION("""COMPUTED_VALUE"""),"02.03.2024")</f>
        <v>02.03.2024</v>
      </c>
      <c r="C96" s="1" t="str">
        <f ca="1">IFERROR(__xludf.DUMMYFUNCTION("""COMPUTED_VALUE"""),"Руда")</f>
        <v>Руда</v>
      </c>
      <c r="D96" s="1" t="str">
        <f ca="1">IFERROR(__xludf.DUMMYFUNCTION("""COMPUTED_VALUE"""),"54,10")</f>
        <v>54,10</v>
      </c>
      <c r="E96" s="1" t="str">
        <f ca="1">IFERROR(__xludf.DUMMYFUNCTION("""COMPUTED_VALUE"""),"Сибирёв Артём Николаевич")</f>
        <v>Сибирёв Артём Николаевич</v>
      </c>
      <c r="F96" s="1" t="str">
        <f ca="1">IFERROR(__xludf.DUMMYFUNCTION("""COMPUTED_VALUE"""),"ВОЛЬВО")</f>
        <v>ВОЛЬВО</v>
      </c>
      <c r="G96" s="1" t="str">
        <f ca="1">IFERROR(__xludf.DUMMYFUNCTION("""COMPUTED_VALUE"""),"Н998ОЕ196")</f>
        <v>Н998ОЕ196</v>
      </c>
      <c r="H9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96" s="1" t="str">
        <f ca="1">IFERROR(__xludf.DUMMYFUNCTION("""COMPUTED_VALUE"""),"г. Гай, ПАО ""Гайский ГОК""")</f>
        <v>г. Гай, ПАО "Гайский ГОК"</v>
      </c>
      <c r="J96" s="1" t="str">
        <f ca="1">IFERROR(__xludf.DUMMYFUNCTION("""COMPUTED_VALUE"""),"54,350")</f>
        <v>54,350</v>
      </c>
      <c r="K96" s="1" t="str">
        <f ca="1">IFERROR(__xludf.DUMMYFUNCTION("""COMPUTED_VALUE"""),"Башкирская Медь")</f>
        <v>Башкирская Медь</v>
      </c>
    </row>
    <row r="97" spans="1:11" ht="13" x14ac:dyDescent="0.3">
      <c r="A97" s="1" t="str">
        <f ca="1">IFERROR(__xludf.DUMMYFUNCTION("""COMPUTED_VALUE"""),"108515/       108533")</f>
        <v>108515/       108533</v>
      </c>
      <c r="B97" s="1" t="str">
        <f ca="1">IFERROR(__xludf.DUMMYFUNCTION("""COMPUTED_VALUE"""),"02.03.2024")</f>
        <v>02.03.2024</v>
      </c>
      <c r="C97" s="1" t="str">
        <f ca="1">IFERROR(__xludf.DUMMYFUNCTION("""COMPUTED_VALUE"""),"Шлак гранулированный")</f>
        <v>Шлак гранулированный</v>
      </c>
      <c r="D97" s="1" t="str">
        <f ca="1">IFERROR(__xludf.DUMMYFUNCTION("""COMPUTED_VALUE"""),"53,30")</f>
        <v>53,30</v>
      </c>
      <c r="E97" s="1" t="str">
        <f ca="1">IFERROR(__xludf.DUMMYFUNCTION("""COMPUTED_VALUE"""),"Ахунов Алексей Анатольевич")</f>
        <v>Ахунов Алексей Анатольевич</v>
      </c>
      <c r="F97" s="1" t="str">
        <f ca="1">IFERROR(__xludf.DUMMYFUNCTION("""COMPUTED_VALUE"""),"ВОЛЬВО")</f>
        <v>ВОЛЬВО</v>
      </c>
      <c r="G97" s="1" t="str">
        <f ca="1">IFERROR(__xludf.DUMMYFUNCTION("""COMPUTED_VALUE"""),"О246РС196")</f>
        <v>О246РС196</v>
      </c>
      <c r="H97" s="1" t="str">
        <f ca="1">IFERROR(__xludf.DUMMYFUNCTION("""COMPUTED_VALUE"""),"г. Магнитогорск, ул. Локомотивная, 6А")</f>
        <v>г. Магнитогорск, ул. Локомотивная, 6А</v>
      </c>
      <c r="I97" s="1" t="str">
        <f ca="1">IFERROR(__xludf.DUMMYFUNCTION("""COMPUTED_VALUE"""),"г. Гай, ПАО ""Гайский ГОК""")</f>
        <v>г. Гай, ПАО "Гайский ГОК"</v>
      </c>
      <c r="J97" s="1" t="str">
        <f ca="1">IFERROR(__xludf.DUMMYFUNCTION("""COMPUTED_VALUE"""),"53,300")</f>
        <v>53,300</v>
      </c>
      <c r="K97" s="1" t="str">
        <f ca="1">IFERROR(__xludf.DUMMYFUNCTION("""COMPUTED_VALUE"""),"Гайский ГОК")</f>
        <v>Гайский ГОК</v>
      </c>
    </row>
    <row r="98" spans="1:11" ht="13" x14ac:dyDescent="0.3">
      <c r="A98" s="1" t="str">
        <f ca="1">IFERROR(__xludf.DUMMYFUNCTION("""COMPUTED_VALUE"""),"37")</f>
        <v>37</v>
      </c>
      <c r="B98" s="1" t="str">
        <f ca="1">IFERROR(__xludf.DUMMYFUNCTION("""COMPUTED_VALUE"""),"02.03.2024")</f>
        <v>02.03.2024</v>
      </c>
      <c r="C98" s="1" t="str">
        <f ca="1">IFERROR(__xludf.DUMMYFUNCTION("""COMPUTED_VALUE"""),"Руда")</f>
        <v>Руда</v>
      </c>
      <c r="D98" s="1" t="str">
        <f ca="1">IFERROR(__xludf.DUMMYFUNCTION("""COMPUTED_VALUE"""),"44,50")</f>
        <v>44,50</v>
      </c>
      <c r="E98" s="1" t="str">
        <f ca="1">IFERROR(__xludf.DUMMYFUNCTION("""COMPUTED_VALUE"""),"Сенюшкин Дмитрий Сергеевич")</f>
        <v>Сенюшкин Дмитрий Сергеевич</v>
      </c>
      <c r="F98" s="1" t="str">
        <f ca="1">IFERROR(__xludf.DUMMYFUNCTION("""COMPUTED_VALUE"""),"МЕРСЕДЕС")</f>
        <v>МЕРСЕДЕС</v>
      </c>
      <c r="G98" s="1" t="str">
        <f ca="1">IFERROR(__xludf.DUMMYFUNCTION("""COMPUTED_VALUE"""),"О974ОЕ196")</f>
        <v>О974ОЕ196</v>
      </c>
      <c r="H9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98" s="1" t="str">
        <f ca="1">IFERROR(__xludf.DUMMYFUNCTION("""COMPUTED_VALUE"""),"г. Гай, ПАО ""Гайский ГОК""")</f>
        <v>г. Гай, ПАО "Гайский ГОК"</v>
      </c>
      <c r="J98" s="1" t="str">
        <f ca="1">IFERROR(__xludf.DUMMYFUNCTION("""COMPUTED_VALUE"""),"44,500")</f>
        <v>44,500</v>
      </c>
      <c r="K98" s="1" t="str">
        <f ca="1">IFERROR(__xludf.DUMMYFUNCTION("""COMPUTED_VALUE"""),"Башкирская Медь")</f>
        <v>Башкирская Медь</v>
      </c>
    </row>
    <row r="99" spans="1:11" ht="13" x14ac:dyDescent="0.3">
      <c r="A99" s="1" t="str">
        <f ca="1">IFERROR(__xludf.DUMMYFUNCTION("""COMPUTED_VALUE"""),"18")</f>
        <v>18</v>
      </c>
      <c r="B99" s="1" t="str">
        <f ca="1">IFERROR(__xludf.DUMMYFUNCTION("""COMPUTED_VALUE"""),"02.03.2024")</f>
        <v>02.03.2024</v>
      </c>
      <c r="C99" s="1" t="str">
        <f ca="1">IFERROR(__xludf.DUMMYFUNCTION("""COMPUTED_VALUE"""),"Щебень из плотных горных пород фр.5-20")</f>
        <v>Щебень из плотных горных пород фр.5-20</v>
      </c>
      <c r="D99" s="1" t="str">
        <f ca="1">IFERROR(__xludf.DUMMYFUNCTION("""COMPUTED_VALUE"""),"41,15")</f>
        <v>41,15</v>
      </c>
      <c r="E99" s="1" t="str">
        <f ca="1">IFERROR(__xludf.DUMMYFUNCTION("""COMPUTED_VALUE"""),"Афанасьев Михаил Васильевич")</f>
        <v>Афанасьев Михаил Васильевич</v>
      </c>
      <c r="F99" s="1" t="str">
        <f ca="1">IFERROR(__xludf.DUMMYFUNCTION("""COMPUTED_VALUE"""),"МЕРСЕДЕС")</f>
        <v>МЕРСЕДЕС</v>
      </c>
      <c r="G99" s="1" t="str">
        <f ca="1">IFERROR(__xludf.DUMMYFUNCTION("""COMPUTED_VALUE"""),"О208ОМ196")</f>
        <v>О208ОМ196</v>
      </c>
      <c r="H99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9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99" s="1" t="str">
        <f ca="1">IFERROR(__xludf.DUMMYFUNCTION("""COMPUTED_VALUE"""),"41,250")</f>
        <v>41,250</v>
      </c>
      <c r="K99" s="1" t="str">
        <f ca="1">IFERROR(__xludf.DUMMYFUNCTION("""COMPUTED_VALUE"""),"Башкирская Медь")</f>
        <v>Башкирская Медь</v>
      </c>
    </row>
    <row r="100" spans="1:11" ht="13" x14ac:dyDescent="0.3">
      <c r="A100" s="1" t="str">
        <f ca="1">IFERROR(__xludf.DUMMYFUNCTION("""COMPUTED_VALUE"""),"7")</f>
        <v>7</v>
      </c>
      <c r="B100" s="1" t="str">
        <f ca="1">IFERROR(__xludf.DUMMYFUNCTION("""COMPUTED_VALUE"""),"01.03.2024")</f>
        <v>01.03.2024</v>
      </c>
      <c r="C100" s="1" t="str">
        <f ca="1">IFERROR(__xludf.DUMMYFUNCTION("""COMPUTED_VALUE"""),"Щебень из плотных горных пород фр.5-20")</f>
        <v>Щебень из плотных горных пород фр.5-20</v>
      </c>
      <c r="D100" s="1" t="str">
        <f ca="1">IFERROR(__xludf.DUMMYFUNCTION("""COMPUTED_VALUE"""),"55,60")</f>
        <v>55,60</v>
      </c>
      <c r="E100" s="1" t="str">
        <f ca="1">IFERROR(__xludf.DUMMYFUNCTION("""COMPUTED_VALUE"""),"Саитов Ильнур Муритович")</f>
        <v>Саитов Ильнур Муритович</v>
      </c>
      <c r="F100" s="1" t="str">
        <f ca="1">IFERROR(__xludf.DUMMYFUNCTION("""COMPUTED_VALUE"""),"ВОЛЬВО")</f>
        <v>ВОЛЬВО</v>
      </c>
      <c r="G100" s="1" t="str">
        <f ca="1">IFERROR(__xludf.DUMMYFUNCTION("""COMPUTED_VALUE"""),"Н184ТС196")</f>
        <v>Н184ТС196</v>
      </c>
      <c r="H100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0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00" s="1" t="str">
        <f ca="1">IFERROR(__xludf.DUMMYFUNCTION("""COMPUTED_VALUE"""),"55,600")</f>
        <v>55,600</v>
      </c>
      <c r="K100" s="1" t="str">
        <f ca="1">IFERROR(__xludf.DUMMYFUNCTION("""COMPUTED_VALUE"""),"Башкирская Медь")</f>
        <v>Башкирская Медь</v>
      </c>
    </row>
    <row r="101" spans="1:11" ht="13" x14ac:dyDescent="0.3">
      <c r="A101" s="1" t="str">
        <f ca="1">IFERROR(__xludf.DUMMYFUNCTION("""COMPUTED_VALUE"""),"42")</f>
        <v>42</v>
      </c>
      <c r="B101" s="1" t="str">
        <f ca="1">IFERROR(__xludf.DUMMYFUNCTION("""COMPUTED_VALUE"""),"02.03.2024")</f>
        <v>02.03.2024</v>
      </c>
      <c r="C101" s="1" t="str">
        <f ca="1">IFERROR(__xludf.DUMMYFUNCTION("""COMPUTED_VALUE"""),"Руда")</f>
        <v>Руда</v>
      </c>
      <c r="D101" s="1" t="str">
        <f ca="1">IFERROR(__xludf.DUMMYFUNCTION("""COMPUTED_VALUE"""),"53,60")</f>
        <v>53,60</v>
      </c>
      <c r="E101" s="1" t="str">
        <f ca="1">IFERROR(__xludf.DUMMYFUNCTION("""COMPUTED_VALUE"""),"Саитов Ильнур Муритович")</f>
        <v>Саитов Ильнур Муритович</v>
      </c>
      <c r="F101" s="1" t="str">
        <f ca="1">IFERROR(__xludf.DUMMYFUNCTION("""COMPUTED_VALUE"""),"ВОЛЬВО")</f>
        <v>ВОЛЬВО</v>
      </c>
      <c r="G101" s="1" t="str">
        <f ca="1">IFERROR(__xludf.DUMMYFUNCTION("""COMPUTED_VALUE"""),"Н184ТС196")</f>
        <v>Н184ТС196</v>
      </c>
      <c r="H10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1" s="1" t="str">
        <f ca="1">IFERROR(__xludf.DUMMYFUNCTION("""COMPUTED_VALUE"""),"г. Гай, ПАО ""Гайский ГОК""")</f>
        <v>г. Гай, ПАО "Гайский ГОК"</v>
      </c>
      <c r="J101" s="1" t="str">
        <f ca="1">IFERROR(__xludf.DUMMYFUNCTION("""COMPUTED_VALUE"""),"53,700")</f>
        <v>53,700</v>
      </c>
      <c r="K101" s="1" t="str">
        <f ca="1">IFERROR(__xludf.DUMMYFUNCTION("""COMPUTED_VALUE"""),"Башкирская Медь")</f>
        <v>Башкирская Медь</v>
      </c>
    </row>
    <row r="102" spans="1:11" ht="13" x14ac:dyDescent="0.3">
      <c r="A102" s="1" t="str">
        <f ca="1">IFERROR(__xludf.DUMMYFUNCTION("""COMPUTED_VALUE"""),"39")</f>
        <v>39</v>
      </c>
      <c r="B102" s="1" t="str">
        <f ca="1">IFERROR(__xludf.DUMMYFUNCTION("""COMPUTED_VALUE"""),"02.03.2024")</f>
        <v>02.03.2024</v>
      </c>
      <c r="C102" s="1" t="str">
        <f ca="1">IFERROR(__xludf.DUMMYFUNCTION("""COMPUTED_VALUE"""),"Руда")</f>
        <v>Руда</v>
      </c>
      <c r="D102" s="1" t="str">
        <f ca="1">IFERROR(__xludf.DUMMYFUNCTION("""COMPUTED_VALUE"""),"47,10")</f>
        <v>47,10</v>
      </c>
      <c r="E102" s="1" t="str">
        <f ca="1">IFERROR(__xludf.DUMMYFUNCTION("""COMPUTED_VALUE"""),"Добижа Алексей Васильевич")</f>
        <v>Добижа Алексей Васильевич</v>
      </c>
      <c r="F102" s="1" t="str">
        <f ca="1">IFERROR(__xludf.DUMMYFUNCTION("""COMPUTED_VALUE"""),"МЕРСЕДЕС")</f>
        <v>МЕРСЕДЕС</v>
      </c>
      <c r="G102" s="1" t="str">
        <f ca="1">IFERROR(__xludf.DUMMYFUNCTION("""COMPUTED_VALUE"""),"О840РХ196")</f>
        <v>О840РХ196</v>
      </c>
      <c r="H10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2" s="1" t="str">
        <f ca="1">IFERROR(__xludf.DUMMYFUNCTION("""COMPUTED_VALUE"""),"г. Гай, ПАО ""Гайский ГОК""")</f>
        <v>г. Гай, ПАО "Гайский ГОК"</v>
      </c>
      <c r="J102" s="1" t="str">
        <f ca="1">IFERROR(__xludf.DUMMYFUNCTION("""COMPUTED_VALUE"""),"47,100")</f>
        <v>47,100</v>
      </c>
      <c r="K102" s="1" t="str">
        <f ca="1">IFERROR(__xludf.DUMMYFUNCTION("""COMPUTED_VALUE"""),"Башкирская Медь")</f>
        <v>Башкирская Медь</v>
      </c>
    </row>
    <row r="103" spans="1:11" ht="13" x14ac:dyDescent="0.3">
      <c r="A103" s="1" t="str">
        <f ca="1">IFERROR(__xludf.DUMMYFUNCTION("""COMPUTED_VALUE"""),"38")</f>
        <v>38</v>
      </c>
      <c r="B103" s="1" t="str">
        <f ca="1">IFERROR(__xludf.DUMMYFUNCTION("""COMPUTED_VALUE"""),"02.03.2024")</f>
        <v>02.03.2024</v>
      </c>
      <c r="C103" s="1" t="str">
        <f ca="1">IFERROR(__xludf.DUMMYFUNCTION("""COMPUTED_VALUE"""),"Руда")</f>
        <v>Руда</v>
      </c>
      <c r="D103" s="1" t="str">
        <f ca="1">IFERROR(__xludf.DUMMYFUNCTION("""COMPUTED_VALUE"""),"48,70")</f>
        <v>48,70</v>
      </c>
      <c r="E103" s="1" t="str">
        <f ca="1">IFERROR(__xludf.DUMMYFUNCTION("""COMPUTED_VALUE"""),"Белозеров Игорь Анатольевич")</f>
        <v>Белозеров Игорь Анатольевич</v>
      </c>
      <c r="F103" s="1" t="str">
        <f ca="1">IFERROR(__xludf.DUMMYFUNCTION("""COMPUTED_VALUE"""),"МЕРСЕДЕС")</f>
        <v>МЕРСЕДЕС</v>
      </c>
      <c r="G103" s="1" t="str">
        <f ca="1">IFERROR(__xludf.DUMMYFUNCTION("""COMPUTED_VALUE"""),"О929ОА196")</f>
        <v>О929ОА196</v>
      </c>
      <c r="H10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3" s="1" t="str">
        <f ca="1">IFERROR(__xludf.DUMMYFUNCTION("""COMPUTED_VALUE"""),"г. Гай, ПАО ""Гайский ГОК""")</f>
        <v>г. Гай, ПАО "Гайский ГОК"</v>
      </c>
      <c r="J103" s="1" t="str">
        <f ca="1">IFERROR(__xludf.DUMMYFUNCTION("""COMPUTED_VALUE"""),"48,700")</f>
        <v>48,700</v>
      </c>
      <c r="K103" s="1" t="str">
        <f ca="1">IFERROR(__xludf.DUMMYFUNCTION("""COMPUTED_VALUE"""),"Башкирская Медь")</f>
        <v>Башкирская Медь</v>
      </c>
    </row>
    <row r="104" spans="1:11" ht="13" x14ac:dyDescent="0.3">
      <c r="A104" s="1" t="str">
        <f ca="1">IFERROR(__xludf.DUMMYFUNCTION("""COMPUTED_VALUE"""),"41")</f>
        <v>41</v>
      </c>
      <c r="B104" s="1" t="str">
        <f ca="1">IFERROR(__xludf.DUMMYFUNCTION("""COMPUTED_VALUE"""),"02.03.2024")</f>
        <v>02.03.2024</v>
      </c>
      <c r="C104" s="1" t="str">
        <f ca="1">IFERROR(__xludf.DUMMYFUNCTION("""COMPUTED_VALUE"""),"Руда")</f>
        <v>Руда</v>
      </c>
      <c r="D104" s="1" t="str">
        <f ca="1">IFERROR(__xludf.DUMMYFUNCTION("""COMPUTED_VALUE"""),"46,90")</f>
        <v>46,90</v>
      </c>
      <c r="E104" s="1" t="str">
        <f ca="1">IFERROR(__xludf.DUMMYFUNCTION("""COMPUTED_VALUE"""),"Ерёмин Андрей Юрьевич")</f>
        <v>Ерёмин Андрей Юрьевич</v>
      </c>
      <c r="F104" s="1" t="str">
        <f ca="1">IFERROR(__xludf.DUMMYFUNCTION("""COMPUTED_VALUE"""),"МЕРСЕДЕС")</f>
        <v>МЕРСЕДЕС</v>
      </c>
      <c r="G104" s="1" t="str">
        <f ca="1">IFERROR(__xludf.DUMMYFUNCTION("""COMPUTED_VALUE"""),"О756ОК196")</f>
        <v>О756ОК196</v>
      </c>
      <c r="H10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4" s="1" t="str">
        <f ca="1">IFERROR(__xludf.DUMMYFUNCTION("""COMPUTED_VALUE"""),"г. Гай, ПАО ""Гайский ГОК""")</f>
        <v>г. Гай, ПАО "Гайский ГОК"</v>
      </c>
      <c r="J104" s="1" t="str">
        <f ca="1">IFERROR(__xludf.DUMMYFUNCTION("""COMPUTED_VALUE"""),"47,050")</f>
        <v>47,050</v>
      </c>
      <c r="K104" s="1" t="str">
        <f ca="1">IFERROR(__xludf.DUMMYFUNCTION("""COMPUTED_VALUE"""),"Башкирская Медь")</f>
        <v>Башкирская Медь</v>
      </c>
    </row>
    <row r="105" spans="1:11" ht="13" x14ac:dyDescent="0.3">
      <c r="A105" s="1" t="str">
        <f ca="1">IFERROR(__xludf.DUMMYFUNCTION("""COMPUTED_VALUE"""),"49")</f>
        <v>49</v>
      </c>
      <c r="B105" s="1" t="str">
        <f ca="1">IFERROR(__xludf.DUMMYFUNCTION("""COMPUTED_VALUE"""),"02.03.2024")</f>
        <v>02.03.2024</v>
      </c>
      <c r="C105" s="1" t="str">
        <f ca="1">IFERROR(__xludf.DUMMYFUNCTION("""COMPUTED_VALUE"""),"Руда")</f>
        <v>Руда</v>
      </c>
      <c r="D105" s="1" t="str">
        <f ca="1">IFERROR(__xludf.DUMMYFUNCTION("""COMPUTED_VALUE"""),"41,20")</f>
        <v>41,20</v>
      </c>
      <c r="E105" s="1" t="str">
        <f ca="1">IFERROR(__xludf.DUMMYFUNCTION("""COMPUTED_VALUE"""),"Закиров Замил Закиевич")</f>
        <v>Закиров Замил Закиевич</v>
      </c>
      <c r="F105" s="1" t="str">
        <f ca="1">IFERROR(__xludf.DUMMYFUNCTION("""COMPUTED_VALUE"""),"МЕРСЕДЕС")</f>
        <v>МЕРСЕДЕС</v>
      </c>
      <c r="G105" s="1" t="str">
        <f ca="1">IFERROR(__xludf.DUMMYFUNCTION("""COMPUTED_VALUE"""),"О135ОУ196")</f>
        <v>О135ОУ196</v>
      </c>
      <c r="H10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5" s="1" t="str">
        <f ca="1">IFERROR(__xludf.DUMMYFUNCTION("""COMPUTED_VALUE"""),"г. Гай, ПАО ""Гайский ГОК""")</f>
        <v>г. Гай, ПАО "Гайский ГОК"</v>
      </c>
      <c r="J105" s="1" t="str">
        <f ca="1">IFERROR(__xludf.DUMMYFUNCTION("""COMPUTED_VALUE"""),"41,250")</f>
        <v>41,250</v>
      </c>
      <c r="K105" s="1" t="str">
        <f ca="1">IFERROR(__xludf.DUMMYFUNCTION("""COMPUTED_VALUE"""),"Башкирская Медь")</f>
        <v>Башкирская Медь</v>
      </c>
    </row>
    <row r="106" spans="1:11" ht="13" x14ac:dyDescent="0.3">
      <c r="A106" s="1" t="str">
        <f ca="1">IFERROR(__xludf.DUMMYFUNCTION("""COMPUTED_VALUE"""),"34")</f>
        <v>34</v>
      </c>
      <c r="B106" s="1" t="str">
        <f ca="1">IFERROR(__xludf.DUMMYFUNCTION("""COMPUTED_VALUE"""),"02.03.2024")</f>
        <v>02.03.2024</v>
      </c>
      <c r="C106" s="1" t="str">
        <f ca="1">IFERROR(__xludf.DUMMYFUNCTION("""COMPUTED_VALUE"""),"Руда")</f>
        <v>Руда</v>
      </c>
      <c r="D106" s="1" t="str">
        <f ca="1">IFERROR(__xludf.DUMMYFUNCTION("""COMPUTED_VALUE"""),"41,00")</f>
        <v>41,00</v>
      </c>
      <c r="E106" s="1" t="str">
        <f ca="1">IFERROR(__xludf.DUMMYFUNCTION("""COMPUTED_VALUE"""),"Закиров Замил Закиевич")</f>
        <v>Закиров Замил Закиевич</v>
      </c>
      <c r="F106" s="1" t="str">
        <f ca="1">IFERROR(__xludf.DUMMYFUNCTION("""COMPUTED_VALUE"""),"МЕРСЕДЕС")</f>
        <v>МЕРСЕДЕС</v>
      </c>
      <c r="G106" s="1" t="str">
        <f ca="1">IFERROR(__xludf.DUMMYFUNCTION("""COMPUTED_VALUE"""),"О135ОУ196")</f>
        <v>О135ОУ196</v>
      </c>
      <c r="H10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6" s="1" t="str">
        <f ca="1">IFERROR(__xludf.DUMMYFUNCTION("""COMPUTED_VALUE"""),"г. Гай, ПАО ""Гайский ГОК""")</f>
        <v>г. Гай, ПАО "Гайский ГОК"</v>
      </c>
      <c r="J106" s="1" t="str">
        <f ca="1">IFERROR(__xludf.DUMMYFUNCTION("""COMPUTED_VALUE"""),"41,250")</f>
        <v>41,250</v>
      </c>
      <c r="K106" s="1" t="str">
        <f ca="1">IFERROR(__xludf.DUMMYFUNCTION("""COMPUTED_VALUE"""),"Башкирская Медь")</f>
        <v>Башкирская Медь</v>
      </c>
    </row>
    <row r="107" spans="1:11" ht="13" x14ac:dyDescent="0.3">
      <c r="A107" s="1" t="str">
        <f ca="1">IFERROR(__xludf.DUMMYFUNCTION("""COMPUTED_VALUE"""),"14")</f>
        <v>14</v>
      </c>
      <c r="B107" s="1" t="str">
        <f ca="1">IFERROR(__xludf.DUMMYFUNCTION("""COMPUTED_VALUE"""),"02.03.2024")</f>
        <v>02.03.2024</v>
      </c>
      <c r="C107" s="1" t="str">
        <f ca="1">IFERROR(__xludf.DUMMYFUNCTION("""COMPUTED_VALUE"""),"Щебень из плотных горных пород фр.5-20")</f>
        <v>Щебень из плотных горных пород фр.5-20</v>
      </c>
      <c r="D107" s="1" t="str">
        <f ca="1">IFERROR(__xludf.DUMMYFUNCTION("""COMPUTED_VALUE"""),"41,75")</f>
        <v>41,75</v>
      </c>
      <c r="E107" s="1" t="str">
        <f ca="1">IFERROR(__xludf.DUMMYFUNCTION("""COMPUTED_VALUE"""),"Закиров Замил Закиевич")</f>
        <v>Закиров Замил Закиевич</v>
      </c>
      <c r="F107" s="1" t="str">
        <f ca="1">IFERROR(__xludf.DUMMYFUNCTION("""COMPUTED_VALUE"""),"МЕРСЕДЕС")</f>
        <v>МЕРСЕДЕС</v>
      </c>
      <c r="G107" s="1" t="str">
        <f ca="1">IFERROR(__xludf.DUMMYFUNCTION("""COMPUTED_VALUE"""),"О135ОУ196")</f>
        <v>О135ОУ196</v>
      </c>
      <c r="H107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0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07" s="1" t="str">
        <f ca="1">IFERROR(__xludf.DUMMYFUNCTION("""COMPUTED_VALUE"""),"41,650")</f>
        <v>41,650</v>
      </c>
      <c r="K107" s="1" t="str">
        <f ca="1">IFERROR(__xludf.DUMMYFUNCTION("""COMPUTED_VALUE"""),"Башкирская Медь")</f>
        <v>Башкирская Медь</v>
      </c>
    </row>
    <row r="108" spans="1:11" ht="13" x14ac:dyDescent="0.3">
      <c r="A108" s="1" t="str">
        <f ca="1">IFERROR(__xludf.DUMMYFUNCTION("""COMPUTED_VALUE"""),"33")</f>
        <v>33</v>
      </c>
      <c r="B108" s="1" t="str">
        <f ca="1">IFERROR(__xludf.DUMMYFUNCTION("""COMPUTED_VALUE"""),"02.03.2024")</f>
        <v>02.03.2024</v>
      </c>
      <c r="C108" s="1" t="str">
        <f ca="1">IFERROR(__xludf.DUMMYFUNCTION("""COMPUTED_VALUE"""),"Руда")</f>
        <v>Руда</v>
      </c>
      <c r="D108" s="1" t="str">
        <f ca="1">IFERROR(__xludf.DUMMYFUNCTION("""COMPUTED_VALUE"""),"42,15")</f>
        <v>42,15</v>
      </c>
      <c r="E108" s="1" t="str">
        <f ca="1">IFERROR(__xludf.DUMMYFUNCTION("""COMPUTED_VALUE"""),"Рыбалкин Виталий Ильич")</f>
        <v>Рыбалкин Виталий Ильич</v>
      </c>
      <c r="F108" s="1" t="str">
        <f ca="1">IFERROR(__xludf.DUMMYFUNCTION("""COMPUTED_VALUE"""),"МЕРСЕДЕС")</f>
        <v>МЕРСЕДЕС</v>
      </c>
      <c r="G108" s="1" t="str">
        <f ca="1">IFERROR(__xludf.DUMMYFUNCTION("""COMPUTED_VALUE"""),"О669РО196")</f>
        <v>О669РО196</v>
      </c>
      <c r="H10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8" s="1" t="str">
        <f ca="1">IFERROR(__xludf.DUMMYFUNCTION("""COMPUTED_VALUE"""),"г. Гай, ПАО ""Гайский ГОК""")</f>
        <v>г. Гай, ПАО "Гайский ГОК"</v>
      </c>
      <c r="J108" s="1" t="str">
        <f ca="1">IFERROR(__xludf.DUMMYFUNCTION("""COMPUTED_VALUE"""),"42,100")</f>
        <v>42,100</v>
      </c>
      <c r="K108" s="1" t="str">
        <f ca="1">IFERROR(__xludf.DUMMYFUNCTION("""COMPUTED_VALUE"""),"Башкирская Медь")</f>
        <v>Башкирская Медь</v>
      </c>
    </row>
    <row r="109" spans="1:11" ht="13" x14ac:dyDescent="0.3">
      <c r="A109" s="1" t="str">
        <f ca="1">IFERROR(__xludf.DUMMYFUNCTION("""COMPUTED_VALUE"""),"50")</f>
        <v>50</v>
      </c>
      <c r="B109" s="1" t="str">
        <f ca="1">IFERROR(__xludf.DUMMYFUNCTION("""COMPUTED_VALUE"""),"02.03.2024")</f>
        <v>02.03.2024</v>
      </c>
      <c r="C109" s="1" t="str">
        <f ca="1">IFERROR(__xludf.DUMMYFUNCTION("""COMPUTED_VALUE"""),"Руда")</f>
        <v>Руда</v>
      </c>
      <c r="D109" s="1" t="str">
        <f ca="1">IFERROR(__xludf.DUMMYFUNCTION("""COMPUTED_VALUE"""),"46,35")</f>
        <v>46,35</v>
      </c>
      <c r="E109" s="1" t="str">
        <f ca="1">IFERROR(__xludf.DUMMYFUNCTION("""COMPUTED_VALUE"""),"Рыбалкин Виталий Ильич")</f>
        <v>Рыбалкин Виталий Ильич</v>
      </c>
      <c r="F109" s="1" t="str">
        <f ca="1">IFERROR(__xludf.DUMMYFUNCTION("""COMPUTED_VALUE"""),"МЕРСЕДЕС")</f>
        <v>МЕРСЕДЕС</v>
      </c>
      <c r="G109" s="1" t="str">
        <f ca="1">IFERROR(__xludf.DUMMYFUNCTION("""COMPUTED_VALUE"""),"О669РО196")</f>
        <v>О669РО196</v>
      </c>
      <c r="H10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09" s="1" t="str">
        <f ca="1">IFERROR(__xludf.DUMMYFUNCTION("""COMPUTED_VALUE"""),"г. Гай, ПАО ""Гайский ГОК""")</f>
        <v>г. Гай, ПАО "Гайский ГОК"</v>
      </c>
      <c r="J109" s="1" t="str">
        <f ca="1">IFERROR(__xludf.DUMMYFUNCTION("""COMPUTED_VALUE"""),"46,350")</f>
        <v>46,350</v>
      </c>
      <c r="K109" s="1" t="str">
        <f ca="1">IFERROR(__xludf.DUMMYFUNCTION("""COMPUTED_VALUE"""),"Башкирская Медь")</f>
        <v>Башкирская Медь</v>
      </c>
    </row>
    <row r="110" spans="1:11" ht="13" x14ac:dyDescent="0.3">
      <c r="A110" s="1" t="str">
        <f ca="1">IFERROR(__xludf.DUMMYFUNCTION("""COMPUTED_VALUE"""),"108608/         108617")</f>
        <v>108608/         108617</v>
      </c>
      <c r="B110" s="1" t="str">
        <f ca="1">IFERROR(__xludf.DUMMYFUNCTION("""COMPUTED_VALUE"""),"02.03.2024")</f>
        <v>02.03.2024</v>
      </c>
      <c r="C110" s="1" t="str">
        <f ca="1">IFERROR(__xludf.DUMMYFUNCTION("""COMPUTED_VALUE"""),"Шлак гранулированный")</f>
        <v>Шлак гранулированный</v>
      </c>
      <c r="D110" s="1" t="str">
        <f ca="1">IFERROR(__xludf.DUMMYFUNCTION("""COMPUTED_VALUE"""),"44,10")</f>
        <v>44,10</v>
      </c>
      <c r="E110" s="1" t="str">
        <f ca="1">IFERROR(__xludf.DUMMYFUNCTION("""COMPUTED_VALUE"""),"Бондарев Андрей Александрович")</f>
        <v>Бондарев Андрей Александрович</v>
      </c>
      <c r="F110" s="1" t="str">
        <f ca="1">IFERROR(__xludf.DUMMYFUNCTION("""COMPUTED_VALUE"""),"ВОЛЬВО")</f>
        <v>ВОЛЬВО</v>
      </c>
      <c r="G110" s="1" t="str">
        <f ca="1">IFERROR(__xludf.DUMMYFUNCTION("""COMPUTED_VALUE"""),"О411ОА196
")</f>
        <v xml:space="preserve">О411ОА196
</v>
      </c>
      <c r="H110" s="1" t="str">
        <f ca="1">IFERROR(__xludf.DUMMYFUNCTION("""COMPUTED_VALUE"""),"г. Магнитогорск, ул. Локомотивная, 6А")</f>
        <v>г. Магнитогорск, ул. Локомотивная, 6А</v>
      </c>
      <c r="I110" s="1" t="str">
        <f ca="1">IFERROR(__xludf.DUMMYFUNCTION("""COMPUTED_VALUE"""),"г. Гай, ПАО ""Гайский ГОК""")</f>
        <v>г. Гай, ПАО "Гайский ГОК"</v>
      </c>
      <c r="J110" s="1" t="str">
        <f ca="1">IFERROR(__xludf.DUMMYFUNCTION("""COMPUTED_VALUE"""),"44,100")</f>
        <v>44,100</v>
      </c>
      <c r="K110" s="1" t="str">
        <f ca="1">IFERROR(__xludf.DUMMYFUNCTION("""COMPUTED_VALUE"""),"Гайский ГОК")</f>
        <v>Гайский ГОК</v>
      </c>
    </row>
    <row r="111" spans="1:11" ht="13" x14ac:dyDescent="0.3">
      <c r="A111" s="1" t="str">
        <f ca="1">IFERROR(__xludf.DUMMYFUNCTION("""COMPUTED_VALUE"""),"56")</f>
        <v>56</v>
      </c>
      <c r="B111" s="1" t="str">
        <f ca="1">IFERROR(__xludf.DUMMYFUNCTION("""COMPUTED_VALUE"""),"03.03.2024")</f>
        <v>03.03.2024</v>
      </c>
      <c r="C111" s="1" t="str">
        <f ca="1">IFERROR(__xludf.DUMMYFUNCTION("""COMPUTED_VALUE"""),"Руда")</f>
        <v>Руда</v>
      </c>
      <c r="D111" s="1" t="str">
        <f ca="1">IFERROR(__xludf.DUMMYFUNCTION("""COMPUTED_VALUE"""),"41,45")</f>
        <v>41,45</v>
      </c>
      <c r="E111" s="1" t="str">
        <f ca="1">IFERROR(__xludf.DUMMYFUNCTION("""COMPUTED_VALUE"""),"Петухов Дмитрий Анатольевич")</f>
        <v>Петухов Дмитрий Анатольевич</v>
      </c>
      <c r="F111" s="1" t="str">
        <f ca="1">IFERROR(__xludf.DUMMYFUNCTION("""COMPUTED_VALUE"""),"SHACMAN")</f>
        <v>SHACMAN</v>
      </c>
      <c r="G111" s="1" t="str">
        <f ca="1">IFERROR(__xludf.DUMMYFUNCTION("""COMPUTED_VALUE"""),"У645ВО774")</f>
        <v>У645ВО774</v>
      </c>
      <c r="H11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11" s="1" t="str">
        <f ca="1">IFERROR(__xludf.DUMMYFUNCTION("""COMPUTED_VALUE"""),"г. Гай, ПАО ""Гайский ГОК""")</f>
        <v>г. Гай, ПАО "Гайский ГОК"</v>
      </c>
      <c r="J111" s="1" t="str">
        <f ca="1">IFERROR(__xludf.DUMMYFUNCTION("""COMPUTED_VALUE"""),"41,450")</f>
        <v>41,450</v>
      </c>
      <c r="K111" s="1" t="str">
        <f ca="1">IFERROR(__xludf.DUMMYFUNCTION("""COMPUTED_VALUE"""),"Башкирская Медь")</f>
        <v>Башкирская Медь</v>
      </c>
    </row>
    <row r="112" spans="1:11" ht="13" x14ac:dyDescent="0.3">
      <c r="A112" s="1" t="str">
        <f ca="1">IFERROR(__xludf.DUMMYFUNCTION("""COMPUTED_VALUE"""),"61")</f>
        <v>61</v>
      </c>
      <c r="B112" s="1" t="str">
        <f ca="1">IFERROR(__xludf.DUMMYFUNCTION("""COMPUTED_VALUE"""),"03.03.2024")</f>
        <v>03.03.2024</v>
      </c>
      <c r="C112" s="1" t="str">
        <f ca="1">IFERROR(__xludf.DUMMYFUNCTION("""COMPUTED_VALUE"""),"Руда")</f>
        <v>Руда</v>
      </c>
      <c r="D112" s="1" t="str">
        <f ca="1">IFERROR(__xludf.DUMMYFUNCTION("""COMPUTED_VALUE"""),"34,60")</f>
        <v>34,60</v>
      </c>
      <c r="E112" s="1" t="str">
        <f ca="1">IFERROR(__xludf.DUMMYFUNCTION("""COMPUTED_VALUE"""),"Петухов Дмитрий Анатольевич")</f>
        <v>Петухов Дмитрий Анатольевич</v>
      </c>
      <c r="F112" s="1" t="str">
        <f ca="1">IFERROR(__xludf.DUMMYFUNCTION("""COMPUTED_VALUE"""),"SHACMAN")</f>
        <v>SHACMAN</v>
      </c>
      <c r="G112" s="1" t="str">
        <f ca="1">IFERROR(__xludf.DUMMYFUNCTION("""COMPUTED_VALUE"""),"У645ВО774")</f>
        <v>У645ВО774</v>
      </c>
      <c r="H11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12" s="1" t="str">
        <f ca="1">IFERROR(__xludf.DUMMYFUNCTION("""COMPUTED_VALUE"""),"г. Гай, ПАО ""Гайский ГОК""")</f>
        <v>г. Гай, ПАО "Гайский ГОК"</v>
      </c>
      <c r="J112" s="1" t="str">
        <f ca="1">IFERROR(__xludf.DUMMYFUNCTION("""COMPUTED_VALUE"""),"35,050")</f>
        <v>35,050</v>
      </c>
      <c r="K112" s="1" t="str">
        <f ca="1">IFERROR(__xludf.DUMMYFUNCTION("""COMPUTED_VALUE"""),"Башкирская Медь")</f>
        <v>Башкирская Медь</v>
      </c>
    </row>
    <row r="113" spans="1:11" ht="13" x14ac:dyDescent="0.3">
      <c r="A113" s="1" t="str">
        <f ca="1">IFERROR(__xludf.DUMMYFUNCTION("""COMPUTED_VALUE"""),"55")</f>
        <v>55</v>
      </c>
      <c r="B113" s="1" t="str">
        <f ca="1">IFERROR(__xludf.DUMMYFUNCTION("""COMPUTED_VALUE"""),"03.03.2024")</f>
        <v>03.03.2024</v>
      </c>
      <c r="C113" s="1" t="str">
        <f ca="1">IFERROR(__xludf.DUMMYFUNCTION("""COMPUTED_VALUE"""),"Руда")</f>
        <v>Руда</v>
      </c>
      <c r="D113" s="1" t="str">
        <f ca="1">IFERROR(__xludf.DUMMYFUNCTION("""COMPUTED_VALUE"""),"41,35")</f>
        <v>41,35</v>
      </c>
      <c r="E113" s="1" t="str">
        <f ca="1">IFERROR(__xludf.DUMMYFUNCTION("""COMPUTED_VALUE"""),"Цюман Евгений Владимирович")</f>
        <v>Цюман Евгений Владимирович</v>
      </c>
      <c r="F113" s="1" t="str">
        <f ca="1">IFERROR(__xludf.DUMMYFUNCTION("""COMPUTED_VALUE"""),"SHACMAN")</f>
        <v>SHACMAN</v>
      </c>
      <c r="G113" s="1" t="str">
        <f ca="1">IFERROR(__xludf.DUMMYFUNCTION("""COMPUTED_VALUE"""),"Х319АЕ774")</f>
        <v>Х319АЕ774</v>
      </c>
      <c r="H11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13" s="1" t="str">
        <f ca="1">IFERROR(__xludf.DUMMYFUNCTION("""COMPUTED_VALUE"""),"г. Гай, ПАО ""Гайский ГОК""")</f>
        <v>г. Гай, ПАО "Гайский ГОК"</v>
      </c>
      <c r="J113" s="1" t="str">
        <f ca="1">IFERROR(__xludf.DUMMYFUNCTION("""COMPUTED_VALUE"""),"41,250")</f>
        <v>41,250</v>
      </c>
      <c r="K113" s="1" t="str">
        <f ca="1">IFERROR(__xludf.DUMMYFUNCTION("""COMPUTED_VALUE"""),"Башкирская Медь")</f>
        <v>Башкирская Медь</v>
      </c>
    </row>
    <row r="114" spans="1:11" ht="13" x14ac:dyDescent="0.3">
      <c r="A114" s="1" t="str">
        <f ca="1">IFERROR(__xludf.DUMMYFUNCTION("""COMPUTED_VALUE"""),"60")</f>
        <v>60</v>
      </c>
      <c r="B114" s="1" t="str">
        <f ca="1">IFERROR(__xludf.DUMMYFUNCTION("""COMPUTED_VALUE"""),"03.03.2024")</f>
        <v>03.03.2024</v>
      </c>
      <c r="C114" s="1" t="str">
        <f ca="1">IFERROR(__xludf.DUMMYFUNCTION("""COMPUTED_VALUE"""),"Руда")</f>
        <v>Руда</v>
      </c>
      <c r="D114" s="1" t="str">
        <f ca="1">IFERROR(__xludf.DUMMYFUNCTION("""COMPUTED_VALUE"""),"37,30")</f>
        <v>37,30</v>
      </c>
      <c r="E114" s="1" t="str">
        <f ca="1">IFERROR(__xludf.DUMMYFUNCTION("""COMPUTED_VALUE"""),"Цюман Евгений Владимирович")</f>
        <v>Цюман Евгений Владимирович</v>
      </c>
      <c r="F114" s="1" t="str">
        <f ca="1">IFERROR(__xludf.DUMMYFUNCTION("""COMPUTED_VALUE"""),"SHACMAN")</f>
        <v>SHACMAN</v>
      </c>
      <c r="G114" s="1" t="str">
        <f ca="1">IFERROR(__xludf.DUMMYFUNCTION("""COMPUTED_VALUE"""),"Х319АЕ774")</f>
        <v>Х319АЕ774</v>
      </c>
      <c r="H11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14" s="1" t="str">
        <f ca="1">IFERROR(__xludf.DUMMYFUNCTION("""COMPUTED_VALUE"""),"г. Гай, ПАО ""Гайский ГОК""")</f>
        <v>г. Гай, ПАО "Гайский ГОК"</v>
      </c>
      <c r="J114" s="1" t="str">
        <f ca="1">IFERROR(__xludf.DUMMYFUNCTION("""COMPUTED_VALUE"""),"37,600")</f>
        <v>37,600</v>
      </c>
      <c r="K114" s="1" t="str">
        <f ca="1">IFERROR(__xludf.DUMMYFUNCTION("""COMPUTED_VALUE"""),"Башкирская Медь")</f>
        <v>Башкирская Медь</v>
      </c>
    </row>
    <row r="115" spans="1:11" ht="13" x14ac:dyDescent="0.3">
      <c r="A115" s="1" t="str">
        <f ca="1">IFERROR(__xludf.DUMMYFUNCTION("""COMPUTED_VALUE"""),"107992 / 108044")</f>
        <v>107992 / 108044</v>
      </c>
      <c r="B115" s="1" t="str">
        <f ca="1">IFERROR(__xludf.DUMMYFUNCTION("""COMPUTED_VALUE"""),"03.03.2024")</f>
        <v>03.03.2024</v>
      </c>
      <c r="C115" s="1" t="str">
        <f ca="1">IFERROR(__xludf.DUMMYFUNCTION("""COMPUTED_VALUE"""),"Шлак гранулированный")</f>
        <v>Шлак гранулированный</v>
      </c>
      <c r="D115" s="1" t="str">
        <f ca="1">IFERROR(__xludf.DUMMYFUNCTION("""COMPUTED_VALUE"""),"44,65")</f>
        <v>44,65</v>
      </c>
      <c r="E115" s="1" t="str">
        <f ca="1">IFERROR(__xludf.DUMMYFUNCTION("""COMPUTED_VALUE"""),"Ершов Дмитрий Андреевич")</f>
        <v>Ершов Дмитрий Андреевич</v>
      </c>
      <c r="F115" s="1" t="str">
        <f ca="1">IFERROR(__xludf.DUMMYFUNCTION("""COMPUTED_VALUE"""),"HOWO")</f>
        <v>HOWO</v>
      </c>
      <c r="G115" s="1" t="str">
        <f ca="1">IFERROR(__xludf.DUMMYFUNCTION("""COMPUTED_VALUE"""),"Н953ВР774")</f>
        <v>Н953ВР774</v>
      </c>
      <c r="H115" s="1" t="str">
        <f ca="1">IFERROR(__xludf.DUMMYFUNCTION("""COMPUTED_VALUE"""),"г. Магнитогорск, ул. Локомотивная, 6А")</f>
        <v>г. Магнитогорск, ул. Локомотивная, 6А</v>
      </c>
      <c r="I115" s="1" t="str">
        <f ca="1">IFERROR(__xludf.DUMMYFUNCTION("""COMPUTED_VALUE"""),"г. Гай, ПАО ""Гайский ГОК""")</f>
        <v>г. Гай, ПАО "Гайский ГОК"</v>
      </c>
      <c r="J115" s="1" t="str">
        <f ca="1">IFERROR(__xludf.DUMMYFUNCTION("""COMPUTED_VALUE"""),"44,650")</f>
        <v>44,650</v>
      </c>
      <c r="K115" s="1" t="str">
        <f ca="1">IFERROR(__xludf.DUMMYFUNCTION("""COMPUTED_VALUE"""),"Гайский ГОК")</f>
        <v>Гайский ГОК</v>
      </c>
    </row>
    <row r="116" spans="1:11" ht="13" x14ac:dyDescent="0.3">
      <c r="A116" s="1" t="str">
        <f ca="1">IFERROR(__xludf.DUMMYFUNCTION("""COMPUTED_VALUE"""),"101203 / 104943")</f>
        <v>101203 / 104943</v>
      </c>
      <c r="B116" s="1" t="str">
        <f ca="1">IFERROR(__xludf.DUMMYFUNCTION("""COMPUTED_VALUE"""),"03.03.2024")</f>
        <v>03.03.2024</v>
      </c>
      <c r="C116" s="1" t="str">
        <f ca="1">IFERROR(__xludf.DUMMYFUNCTION("""COMPUTED_VALUE"""),"Шлак гранулированный")</f>
        <v>Шлак гранулированный</v>
      </c>
      <c r="D116" s="1" t="str">
        <f ca="1">IFERROR(__xludf.DUMMYFUNCTION("""COMPUTED_VALUE"""),"39,50")</f>
        <v>39,50</v>
      </c>
      <c r="E116" s="1" t="str">
        <f ca="1">IFERROR(__xludf.DUMMYFUNCTION("""COMPUTED_VALUE"""),"Тухватуллин Халит Хамитович")</f>
        <v>Тухватуллин Халит Хамитович</v>
      </c>
      <c r="F116" s="1" t="str">
        <f ca="1">IFERROR(__xludf.DUMMYFUNCTION("""COMPUTED_VALUE"""),"HOWO")</f>
        <v>HOWO</v>
      </c>
      <c r="G116" s="1" t="str">
        <f ca="1">IFERROR(__xludf.DUMMYFUNCTION("""COMPUTED_VALUE"""),"Н206ВР774")</f>
        <v>Н206ВР774</v>
      </c>
      <c r="H116" s="1" t="str">
        <f ca="1">IFERROR(__xludf.DUMMYFUNCTION("""COMPUTED_VALUE"""),"г. Магнитогорск, ул. Локомотивная, 6А")</f>
        <v>г. Магнитогорск, ул. Локомотивная, 6А</v>
      </c>
      <c r="I116" s="1" t="str">
        <f ca="1">IFERROR(__xludf.DUMMYFUNCTION("""COMPUTED_VALUE"""),"г. Гай, ПАО ""Гайский ГОК""")</f>
        <v>г. Гай, ПАО "Гайский ГОК"</v>
      </c>
      <c r="J116" s="1" t="str">
        <f ca="1">IFERROR(__xludf.DUMMYFUNCTION("""COMPUTED_VALUE"""),"39,500")</f>
        <v>39,500</v>
      </c>
      <c r="K116" s="1" t="str">
        <f ca="1">IFERROR(__xludf.DUMMYFUNCTION("""COMPUTED_VALUE"""),"Гайский ГОК")</f>
        <v>Гайский ГОК</v>
      </c>
    </row>
    <row r="117" spans="1:11" ht="13" x14ac:dyDescent="0.3">
      <c r="A117" s="1" t="str">
        <f ca="1">IFERROR(__xludf.DUMMYFUNCTION("""COMPUTED_VALUE"""),"106754 /106733 /106657")</f>
        <v>106754 /106733 /106657</v>
      </c>
      <c r="B117" s="1" t="str">
        <f ca="1">IFERROR(__xludf.DUMMYFUNCTION("""COMPUTED_VALUE"""),"03.03.2024")</f>
        <v>03.03.2024</v>
      </c>
      <c r="C117" s="1" t="str">
        <f ca="1">IFERROR(__xludf.DUMMYFUNCTION("""COMPUTED_VALUE"""),"Шлак гранулированный")</f>
        <v>Шлак гранулированный</v>
      </c>
      <c r="D117" s="1" t="str">
        <f ca="1">IFERROR(__xludf.DUMMYFUNCTION("""COMPUTED_VALUE"""),"40,30")</f>
        <v>40,30</v>
      </c>
      <c r="E117" s="1" t="str">
        <f ca="1">IFERROR(__xludf.DUMMYFUNCTION("""COMPUTED_VALUE"""),"Попов Павел Сергеевич")</f>
        <v>Попов Павел Сергеевич</v>
      </c>
      <c r="F117" s="1" t="str">
        <f ca="1">IFERROR(__xludf.DUMMYFUNCTION("""COMPUTED_VALUE"""),"HOWO")</f>
        <v>HOWO</v>
      </c>
      <c r="G117" s="1" t="str">
        <f ca="1">IFERROR(__xludf.DUMMYFUNCTION("""COMPUTED_VALUE"""),"А141ВО774")</f>
        <v>А141ВО774</v>
      </c>
      <c r="H117" s="1" t="str">
        <f ca="1">IFERROR(__xludf.DUMMYFUNCTION("""COMPUTED_VALUE"""),"г. Магнитогорск, ул. Локомотивная, 6А")</f>
        <v>г. Магнитогорск, ул. Локомотивная, 6А</v>
      </c>
      <c r="I117" s="1" t="str">
        <f ca="1">IFERROR(__xludf.DUMMYFUNCTION("""COMPUTED_VALUE"""),"г. Гай, ПАО ""Гайский ГОК""")</f>
        <v>г. Гай, ПАО "Гайский ГОК"</v>
      </c>
      <c r="J117" s="1" t="str">
        <f ca="1">IFERROR(__xludf.DUMMYFUNCTION("""COMPUTED_VALUE"""),"40,300")</f>
        <v>40,300</v>
      </c>
      <c r="K117" s="1" t="str">
        <f ca="1">IFERROR(__xludf.DUMMYFUNCTION("""COMPUTED_VALUE"""),"Гайский ГОК")</f>
        <v>Гайский ГОК</v>
      </c>
    </row>
    <row r="118" spans="1:11" ht="13" x14ac:dyDescent="0.3">
      <c r="A118" s="1" t="str">
        <f ca="1">IFERROR(__xludf.DUMMYFUNCTION("""COMPUTED_VALUE"""),"106023 / 106057 / 106094")</f>
        <v>106023 / 106057 / 106094</v>
      </c>
      <c r="B118" s="1" t="str">
        <f ca="1">IFERROR(__xludf.DUMMYFUNCTION("""COMPUTED_VALUE"""),"03.03.2024")</f>
        <v>03.03.2024</v>
      </c>
      <c r="C118" s="1" t="str">
        <f ca="1">IFERROR(__xludf.DUMMYFUNCTION("""COMPUTED_VALUE"""),"Шлак гранулированный")</f>
        <v>Шлак гранулированный</v>
      </c>
      <c r="D118" s="1" t="str">
        <f ca="1">IFERROR(__xludf.DUMMYFUNCTION("""COMPUTED_VALUE"""),"41,00")</f>
        <v>41,00</v>
      </c>
      <c r="E118" s="1" t="str">
        <f ca="1">IFERROR(__xludf.DUMMYFUNCTION("""COMPUTED_VALUE"""),"Сынгызов Азамат Ишмухаметович")</f>
        <v>Сынгызов Азамат Ишмухаметович</v>
      </c>
      <c r="F118" s="1" t="str">
        <f ca="1">IFERROR(__xludf.DUMMYFUNCTION("""COMPUTED_VALUE"""),"HOWO")</f>
        <v>HOWO</v>
      </c>
      <c r="G118" s="1" t="str">
        <f ca="1">IFERROR(__xludf.DUMMYFUNCTION("""COMPUTED_VALUE"""),"Н929ВР774")</f>
        <v>Н929ВР774</v>
      </c>
      <c r="H118" s="1" t="str">
        <f ca="1">IFERROR(__xludf.DUMMYFUNCTION("""COMPUTED_VALUE"""),"г. Магнитогорск, ул. Локомотивная, 6А")</f>
        <v>г. Магнитогорск, ул. Локомотивная, 6А</v>
      </c>
      <c r="I118" s="1" t="str">
        <f ca="1">IFERROR(__xludf.DUMMYFUNCTION("""COMPUTED_VALUE"""),"г. Гай, ПАО ""Гайский ГОК""")</f>
        <v>г. Гай, ПАО "Гайский ГОК"</v>
      </c>
      <c r="J118" s="1" t="str">
        <f ca="1">IFERROR(__xludf.DUMMYFUNCTION("""COMPUTED_VALUE"""),"41,000")</f>
        <v>41,000</v>
      </c>
      <c r="K118" s="1" t="str">
        <f ca="1">IFERROR(__xludf.DUMMYFUNCTION("""COMPUTED_VALUE"""),"Гайский ГОК")</f>
        <v>Гайский ГОК</v>
      </c>
    </row>
    <row r="119" spans="1:11" ht="13" x14ac:dyDescent="0.3">
      <c r="A119" s="1" t="str">
        <f ca="1">IFERROR(__xludf.DUMMYFUNCTION("""COMPUTED_VALUE"""),"106124 / 106059 / 106026")</f>
        <v>106124 / 106059 / 106026</v>
      </c>
      <c r="B119" s="1" t="str">
        <f ca="1">IFERROR(__xludf.DUMMYFUNCTION("""COMPUTED_VALUE"""),"03.03.2024")</f>
        <v>03.03.2024</v>
      </c>
      <c r="C119" s="1" t="str">
        <f ca="1">IFERROR(__xludf.DUMMYFUNCTION("""COMPUTED_VALUE"""),"Шлак гранулированный")</f>
        <v>Шлак гранулированный</v>
      </c>
      <c r="D119" s="1" t="str">
        <f ca="1">IFERROR(__xludf.DUMMYFUNCTION("""COMPUTED_VALUE"""),"34,45")</f>
        <v>34,45</v>
      </c>
      <c r="E119" s="1" t="str">
        <f ca="1">IFERROR(__xludf.DUMMYFUNCTION("""COMPUTED_VALUE"""),"Агумбаев Дмитрий Булатович")</f>
        <v>Агумбаев Дмитрий Булатович</v>
      </c>
      <c r="F119" s="1" t="str">
        <f ca="1">IFERROR(__xludf.DUMMYFUNCTION("""COMPUTED_VALUE"""),"HOWO")</f>
        <v>HOWO</v>
      </c>
      <c r="G119" s="1" t="str">
        <f ca="1">IFERROR(__xludf.DUMMYFUNCTION("""COMPUTED_VALUE"""),"Х374АТ774")</f>
        <v>Х374АТ774</v>
      </c>
      <c r="H119" s="1" t="str">
        <f ca="1">IFERROR(__xludf.DUMMYFUNCTION("""COMPUTED_VALUE"""),"г. Магнитогорск, ул. Локомотивная, 6А")</f>
        <v>г. Магнитогорск, ул. Локомотивная, 6А</v>
      </c>
      <c r="I119" s="1" t="str">
        <f ca="1">IFERROR(__xludf.DUMMYFUNCTION("""COMPUTED_VALUE"""),"г. Гай, ПАО ""Гайский ГОК""")</f>
        <v>г. Гай, ПАО "Гайский ГОК"</v>
      </c>
      <c r="J119" s="1" t="str">
        <f ca="1">IFERROR(__xludf.DUMMYFUNCTION("""COMPUTED_VALUE"""),"34,450")</f>
        <v>34,450</v>
      </c>
      <c r="K119" s="1" t="str">
        <f ca="1">IFERROR(__xludf.DUMMYFUNCTION("""COMPUTED_VALUE"""),"Гайский ГОК")</f>
        <v>Гайский ГОК</v>
      </c>
    </row>
    <row r="120" spans="1:11" ht="13" x14ac:dyDescent="0.3">
      <c r="A120" s="1" t="str">
        <f ca="1">IFERROR(__xludf.DUMMYFUNCTION("""COMPUTED_VALUE"""),"108237 / 108145")</f>
        <v>108237 / 108145</v>
      </c>
      <c r="B120" s="1" t="str">
        <f ca="1">IFERROR(__xludf.DUMMYFUNCTION("""COMPUTED_VALUE"""),"03.03.2024")</f>
        <v>03.03.2024</v>
      </c>
      <c r="C120" s="1" t="str">
        <f ca="1">IFERROR(__xludf.DUMMYFUNCTION("""COMPUTED_VALUE"""),"Шлак гранулированный")</f>
        <v>Шлак гранулированный</v>
      </c>
      <c r="D120" s="1" t="str">
        <f ca="1">IFERROR(__xludf.DUMMYFUNCTION("""COMPUTED_VALUE"""),"42,80")</f>
        <v>42,80</v>
      </c>
      <c r="E120" s="1" t="str">
        <f ca="1">IFERROR(__xludf.DUMMYFUNCTION("""COMPUTED_VALUE"""),"Кунаккулов Наиль Насибуллович")</f>
        <v>Кунаккулов Наиль Насибуллович</v>
      </c>
      <c r="F120" s="1" t="str">
        <f ca="1">IFERROR(__xludf.DUMMYFUNCTION("""COMPUTED_VALUE"""),"SHACMAN")</f>
        <v>SHACMAN</v>
      </c>
      <c r="G120" s="1" t="str">
        <f ca="1">IFERROR(__xludf.DUMMYFUNCTION("""COMPUTED_VALUE"""),"Н255ВТ774")</f>
        <v>Н255ВТ774</v>
      </c>
      <c r="H120" s="1" t="str">
        <f ca="1">IFERROR(__xludf.DUMMYFUNCTION("""COMPUTED_VALUE"""),"г. Магнитогорск, ул. Локомотивная, 6А")</f>
        <v>г. Магнитогорск, ул. Локомотивная, 6А</v>
      </c>
      <c r="I120" s="1" t="str">
        <f ca="1">IFERROR(__xludf.DUMMYFUNCTION("""COMPUTED_VALUE"""),"г. Гай, ПАО ""Гайский ГОК""")</f>
        <v>г. Гай, ПАО "Гайский ГОК"</v>
      </c>
      <c r="J120" s="1" t="str">
        <f ca="1">IFERROR(__xludf.DUMMYFUNCTION("""COMPUTED_VALUE"""),"42,800")</f>
        <v>42,800</v>
      </c>
      <c r="K120" s="1" t="str">
        <f ca="1">IFERROR(__xludf.DUMMYFUNCTION("""COMPUTED_VALUE"""),"Гайский ГОК")</f>
        <v>Гайский ГОК</v>
      </c>
    </row>
    <row r="121" spans="1:11" ht="13" x14ac:dyDescent="0.3">
      <c r="A121" s="1" t="str">
        <f ca="1">IFERROR(__xludf.DUMMYFUNCTION("""COMPUTED_VALUE"""),"ННКРС33074")</f>
        <v>ННКРС33074</v>
      </c>
      <c r="B121" s="1" t="str">
        <f ca="1">IFERROR(__xludf.DUMMYFUNCTION("""COMPUTED_VALUE"""),"03.03.2024")</f>
        <v>03.03.2024</v>
      </c>
      <c r="C121" s="1" t="str">
        <f ca="1">IFERROR(__xludf.DUMMYFUNCTION("""COMPUTED_VALUE"""),"Отсев фр. 0-5 мм")</f>
        <v>Отсев фр. 0-5 мм</v>
      </c>
      <c r="D121" s="1" t="str">
        <f ca="1">IFERROR(__xludf.DUMMYFUNCTION("""COMPUTED_VALUE"""),"31,80")</f>
        <v>31,80</v>
      </c>
      <c r="E121" s="1" t="str">
        <f ca="1">IFERROR(__xludf.DUMMYFUNCTION("""COMPUTED_VALUE"""),"Атаман Кирилл Анатольевич")</f>
        <v>Атаман Кирилл Анатольевич</v>
      </c>
      <c r="F121" s="1" t="str">
        <f ca="1">IFERROR(__xludf.DUMMYFUNCTION("""COMPUTED_VALUE"""),"FAW")</f>
        <v>FAW</v>
      </c>
      <c r="G121" s="1" t="str">
        <f ca="1">IFERROR(__xludf.DUMMYFUNCTION("""COMPUTED_VALUE"""),"Н504КК774")</f>
        <v>Н504КК774</v>
      </c>
      <c r="H121" s="1" t="str">
        <f ca="1">IFERROR(__xludf.DUMMYFUNCTION("""COMPUTED_VALUE"""),"с. Новобурановка")</f>
        <v>с. Новобурановка</v>
      </c>
      <c r="I121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21" s="1" t="str">
        <f ca="1">IFERROR(__xludf.DUMMYFUNCTION("""COMPUTED_VALUE"""),"31,80")</f>
        <v>31,80</v>
      </c>
      <c r="K121" s="1" t="str">
        <f ca="1">IFERROR(__xludf.DUMMYFUNCTION("""COMPUTED_VALUE"""),"ПрокатМонтаж")</f>
        <v>ПрокатМонтаж</v>
      </c>
    </row>
    <row r="122" spans="1:11" ht="13" x14ac:dyDescent="0.3">
      <c r="A122" s="1" t="str">
        <f ca="1">IFERROR(__xludf.DUMMYFUNCTION("""COMPUTED_VALUE"""),"ННКРС33086")</f>
        <v>ННКРС33086</v>
      </c>
      <c r="B122" s="1" t="str">
        <f ca="1">IFERROR(__xludf.DUMMYFUNCTION("""COMPUTED_VALUE"""),"03.03.2024")</f>
        <v>03.03.2024</v>
      </c>
      <c r="C122" s="1" t="str">
        <f ca="1">IFERROR(__xludf.DUMMYFUNCTION("""COMPUTED_VALUE"""),"Отсев фр. 0-5 мм")</f>
        <v>Отсев фр. 0-5 мм</v>
      </c>
      <c r="D122" s="1" t="str">
        <f ca="1">IFERROR(__xludf.DUMMYFUNCTION("""COMPUTED_VALUE"""),"36,35")</f>
        <v>36,35</v>
      </c>
      <c r="E122" s="1" t="str">
        <f ca="1">IFERROR(__xludf.DUMMYFUNCTION("""COMPUTED_VALUE"""),"Атаман Кирилл Анатольевич")</f>
        <v>Атаман Кирилл Анатольевич</v>
      </c>
      <c r="F122" s="1" t="str">
        <f ca="1">IFERROR(__xludf.DUMMYFUNCTION("""COMPUTED_VALUE"""),"FAW")</f>
        <v>FAW</v>
      </c>
      <c r="G122" s="1" t="str">
        <f ca="1">IFERROR(__xludf.DUMMYFUNCTION("""COMPUTED_VALUE"""),"Н504КК774")</f>
        <v>Н504КК774</v>
      </c>
      <c r="H122" s="1" t="str">
        <f ca="1">IFERROR(__xludf.DUMMYFUNCTION("""COMPUTED_VALUE"""),"с. Новобурановка")</f>
        <v>с. Новобурановка</v>
      </c>
      <c r="I12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22" s="1" t="str">
        <f ca="1">IFERROR(__xludf.DUMMYFUNCTION("""COMPUTED_VALUE"""),"36,35")</f>
        <v>36,35</v>
      </c>
      <c r="K122" s="1" t="str">
        <f ca="1">IFERROR(__xludf.DUMMYFUNCTION("""COMPUTED_VALUE"""),"ПрокатМонтаж")</f>
        <v>ПрокатМонтаж</v>
      </c>
    </row>
    <row r="123" spans="1:11" ht="13" x14ac:dyDescent="0.3">
      <c r="A123" s="1" t="str">
        <f ca="1">IFERROR(__xludf.DUMMYFUNCTION("""COMPUTED_VALUE"""),"108719 / 108744")</f>
        <v>108719 / 108744</v>
      </c>
      <c r="B123" s="1" t="str">
        <f ca="1">IFERROR(__xludf.DUMMYFUNCTION("""COMPUTED_VALUE"""),"03.03.2024")</f>
        <v>03.03.2024</v>
      </c>
      <c r="C123" s="1" t="str">
        <f ca="1">IFERROR(__xludf.DUMMYFUNCTION("""COMPUTED_VALUE"""),"Шлак гранулированный")</f>
        <v>Шлак гранулированный</v>
      </c>
      <c r="D123" s="1" t="str">
        <f ca="1">IFERROR(__xludf.DUMMYFUNCTION("""COMPUTED_VALUE"""),"39,35")</f>
        <v>39,35</v>
      </c>
      <c r="E123" s="1" t="str">
        <f ca="1">IFERROR(__xludf.DUMMYFUNCTION("""COMPUTED_VALUE"""),"Нургалин Ильшат Абдулхакович")</f>
        <v>Нургалин Ильшат Абдулхакович</v>
      </c>
      <c r="F123" s="1" t="str">
        <f ca="1">IFERROR(__xludf.DUMMYFUNCTION("""COMPUTED_VALUE"""),"FAW")</f>
        <v>FAW</v>
      </c>
      <c r="G123" s="1" t="str">
        <f ca="1">IFERROR(__xludf.DUMMYFUNCTION("""COMPUTED_VALUE"""),"Т951КМ774")</f>
        <v>Т951КМ774</v>
      </c>
      <c r="H123" s="1" t="str">
        <f ca="1">IFERROR(__xludf.DUMMYFUNCTION("""COMPUTED_VALUE"""),"г. Магнитогорск, ул. Локомотивная, 6А")</f>
        <v>г. Магнитогорск, ул. Локомотивная, 6А</v>
      </c>
      <c r="I123" s="1" t="str">
        <f ca="1">IFERROR(__xludf.DUMMYFUNCTION("""COMPUTED_VALUE"""),"г. Гай, ПАО ""Гайский ГОК""")</f>
        <v>г. Гай, ПАО "Гайский ГОК"</v>
      </c>
      <c r="J123" s="1" t="str">
        <f ca="1">IFERROR(__xludf.DUMMYFUNCTION("""COMPUTED_VALUE"""),"39,350")</f>
        <v>39,350</v>
      </c>
      <c r="K123" s="1" t="str">
        <f ca="1">IFERROR(__xludf.DUMMYFUNCTION("""COMPUTED_VALUE"""),"Гайский ГОК")</f>
        <v>Гайский ГОК</v>
      </c>
    </row>
    <row r="124" spans="1:11" ht="13" x14ac:dyDescent="0.3">
      <c r="A124" s="1" t="str">
        <f ca="1">IFERROR(__xludf.DUMMYFUNCTION("""COMPUTED_VALUE"""),"108754 / 108640")</f>
        <v>108754 / 108640</v>
      </c>
      <c r="B124" s="1" t="str">
        <f ca="1">IFERROR(__xludf.DUMMYFUNCTION("""COMPUTED_VALUE"""),"03.03.2024")</f>
        <v>03.03.2024</v>
      </c>
      <c r="C124" s="1" t="str">
        <f ca="1">IFERROR(__xludf.DUMMYFUNCTION("""COMPUTED_VALUE"""),"Шлак гранулированный")</f>
        <v>Шлак гранулированный</v>
      </c>
      <c r="D124" s="1" t="str">
        <f ca="1">IFERROR(__xludf.DUMMYFUNCTION("""COMPUTED_VALUE"""),"40,20")</f>
        <v>40,20</v>
      </c>
      <c r="E124" s="1" t="str">
        <f ca="1">IFERROR(__xludf.DUMMYFUNCTION("""COMPUTED_VALUE"""),"Поликарпов Константин Юрьевич")</f>
        <v>Поликарпов Константин Юрьевич</v>
      </c>
      <c r="F124" s="1" t="str">
        <f ca="1">IFERROR(__xludf.DUMMYFUNCTION("""COMPUTED_VALUE"""),"FAW")</f>
        <v>FAW</v>
      </c>
      <c r="G124" s="1" t="str">
        <f ca="1">IFERROR(__xludf.DUMMYFUNCTION("""COMPUTED_VALUE"""),"С621КМ774")</f>
        <v>С621КМ774</v>
      </c>
      <c r="H124" s="1" t="str">
        <f ca="1">IFERROR(__xludf.DUMMYFUNCTION("""COMPUTED_VALUE"""),"г. Магнитогорск, ул. Локомотивная, 6А")</f>
        <v>г. Магнитогорск, ул. Локомотивная, 6А</v>
      </c>
      <c r="I124" s="1" t="str">
        <f ca="1">IFERROR(__xludf.DUMMYFUNCTION("""COMPUTED_VALUE"""),"г. Гай, ПАО ""Гайский ГОК""")</f>
        <v>г. Гай, ПАО "Гайский ГОК"</v>
      </c>
      <c r="J124" s="1" t="str">
        <f ca="1">IFERROR(__xludf.DUMMYFUNCTION("""COMPUTED_VALUE"""),"40,200")</f>
        <v>40,200</v>
      </c>
      <c r="K124" s="1" t="str">
        <f ca="1">IFERROR(__xludf.DUMMYFUNCTION("""COMPUTED_VALUE"""),"Гайский ГОК")</f>
        <v>Гайский ГОК</v>
      </c>
    </row>
    <row r="125" spans="1:11" ht="13" x14ac:dyDescent="0.3">
      <c r="A125" s="1" t="str">
        <f ca="1">IFERROR(__xludf.DUMMYFUNCTION("""COMPUTED_VALUE"""),"51")</f>
        <v>51</v>
      </c>
      <c r="B125" s="1" t="str">
        <f ca="1">IFERROR(__xludf.DUMMYFUNCTION("""COMPUTED_VALUE"""),"02.03.2024")</f>
        <v>02.03.2024</v>
      </c>
      <c r="C125" s="1" t="str">
        <f ca="1">IFERROR(__xludf.DUMMYFUNCTION("""COMPUTED_VALUE"""),"Руда")</f>
        <v>Руда</v>
      </c>
      <c r="D125" s="1" t="str">
        <f ca="1">IFERROR(__xludf.DUMMYFUNCTION("""COMPUTED_VALUE"""),"51,05")</f>
        <v>51,05</v>
      </c>
      <c r="E125" s="1" t="str">
        <f ca="1">IFERROR(__xludf.DUMMYFUNCTION("""COMPUTED_VALUE"""),"Алексеев Алексей Сергеевич")</f>
        <v>Алексеев Алексей Сергеевич</v>
      </c>
      <c r="F125" s="1" t="str">
        <f ca="1">IFERROR(__xludf.DUMMYFUNCTION("""COMPUTED_VALUE"""),"SITRAK")</f>
        <v>SITRAK</v>
      </c>
      <c r="G125" s="1" t="str">
        <f ca="1">IFERROR(__xludf.DUMMYFUNCTION("""COMPUTED_VALUE"""),"Н854ВН774")</f>
        <v>Н854ВН774</v>
      </c>
      <c r="H12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25" s="1" t="str">
        <f ca="1">IFERROR(__xludf.DUMMYFUNCTION("""COMPUTED_VALUE"""),"г. Гай, ПАО ""Гайский ГОК""")</f>
        <v>г. Гай, ПАО "Гайский ГОК"</v>
      </c>
      <c r="J125" s="1" t="str">
        <f ca="1">IFERROR(__xludf.DUMMYFUNCTION("""COMPUTED_VALUE"""),"51,100")</f>
        <v>51,100</v>
      </c>
      <c r="K125" s="1" t="str">
        <f ca="1">IFERROR(__xludf.DUMMYFUNCTION("""COMPUTED_VALUE"""),"Башкирская Медь")</f>
        <v>Башкирская Медь</v>
      </c>
    </row>
    <row r="126" spans="1:11" ht="13" x14ac:dyDescent="0.3">
      <c r="A126" s="1" t="str">
        <f ca="1">IFERROR(__xludf.DUMMYFUNCTION("""COMPUTED_VALUE"""),"52")</f>
        <v>52</v>
      </c>
      <c r="B126" s="1" t="str">
        <f ca="1">IFERROR(__xludf.DUMMYFUNCTION("""COMPUTED_VALUE"""),"03.03.2024")</f>
        <v>03.03.2024</v>
      </c>
      <c r="C126" s="1" t="str">
        <f ca="1">IFERROR(__xludf.DUMMYFUNCTION("""COMPUTED_VALUE"""),"Руда")</f>
        <v>Руда</v>
      </c>
      <c r="D126" s="1" t="str">
        <f ca="1">IFERROR(__xludf.DUMMYFUNCTION("""COMPUTED_VALUE"""),"38,70")</f>
        <v>38,70</v>
      </c>
      <c r="E126" s="1" t="str">
        <f ca="1">IFERROR(__xludf.DUMMYFUNCTION("""COMPUTED_VALUE"""),"Беркумбаев Алмаз Тулепович")</f>
        <v>Беркумбаев Алмаз Тулепович</v>
      </c>
      <c r="F126" s="1" t="str">
        <f ca="1">IFERROR(__xludf.DUMMYFUNCTION("""COMPUTED_VALUE"""),"SHACMAN")</f>
        <v>SHACMAN</v>
      </c>
      <c r="G126" s="1" t="str">
        <f ca="1">IFERROR(__xludf.DUMMYFUNCTION("""COMPUTED_VALUE"""),"Н186ВР774")</f>
        <v>Н186ВР774</v>
      </c>
      <c r="H12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26" s="1" t="str">
        <f ca="1">IFERROR(__xludf.DUMMYFUNCTION("""COMPUTED_VALUE"""),"г. Гай, ПАО ""Гайский ГОК""")</f>
        <v>г. Гай, ПАО "Гайский ГОК"</v>
      </c>
      <c r="J126" s="1" t="str">
        <f ca="1">IFERROR(__xludf.DUMMYFUNCTION("""COMPUTED_VALUE"""),"39,350")</f>
        <v>39,350</v>
      </c>
      <c r="K126" s="1" t="str">
        <f ca="1">IFERROR(__xludf.DUMMYFUNCTION("""COMPUTED_VALUE"""),"Башкирская Медь")</f>
        <v>Башкирская Медь</v>
      </c>
    </row>
    <row r="127" spans="1:11" ht="13" x14ac:dyDescent="0.3">
      <c r="A127" s="1" t="str">
        <f ca="1">IFERROR(__xludf.DUMMYFUNCTION("""COMPUTED_VALUE"""),"108620/       108525")</f>
        <v>108620/       108525</v>
      </c>
      <c r="B127" s="1" t="str">
        <f ca="1">IFERROR(__xludf.DUMMYFUNCTION("""COMPUTED_VALUE"""),"02.03.2024")</f>
        <v>02.03.2024</v>
      </c>
      <c r="C127" s="1" t="str">
        <f ca="1">IFERROR(__xludf.DUMMYFUNCTION("""COMPUTED_VALUE"""),"Шлак гранулированный")</f>
        <v>Шлак гранулированный</v>
      </c>
      <c r="D127" s="1" t="str">
        <f ca="1">IFERROR(__xludf.DUMMYFUNCTION("""COMPUTED_VALUE"""),"43,10")</f>
        <v>43,10</v>
      </c>
      <c r="E127" s="1" t="str">
        <f ca="1">IFERROR(__xludf.DUMMYFUNCTION("""COMPUTED_VALUE"""),"Осипов Юрий Михайлович")</f>
        <v>Осипов Юрий Михайлович</v>
      </c>
      <c r="F127" s="1" t="str">
        <f ca="1">IFERROR(__xludf.DUMMYFUNCTION("""COMPUTED_VALUE"""),"МЕРСЕДЕС")</f>
        <v>МЕРСЕДЕС</v>
      </c>
      <c r="G127" s="1" t="str">
        <f ca="1">IFERROR(__xludf.DUMMYFUNCTION("""COMPUTED_VALUE"""),"О305СС196")</f>
        <v>О305СС196</v>
      </c>
      <c r="H127" s="1" t="str">
        <f ca="1">IFERROR(__xludf.DUMMYFUNCTION("""COMPUTED_VALUE"""),"г. Магнитогорск, ул. Локомотивная, 6А")</f>
        <v>г. Магнитогорск, ул. Локомотивная, 6А</v>
      </c>
      <c r="I127" s="1" t="str">
        <f ca="1">IFERROR(__xludf.DUMMYFUNCTION("""COMPUTED_VALUE"""),"г. Гай, ПАО ""Гайский ГОК""")</f>
        <v>г. Гай, ПАО "Гайский ГОК"</v>
      </c>
      <c r="J127" s="1" t="str">
        <f ca="1">IFERROR(__xludf.DUMMYFUNCTION("""COMPUTED_VALUE"""),"43,100")</f>
        <v>43,100</v>
      </c>
      <c r="K127" s="1" t="str">
        <f ca="1">IFERROR(__xludf.DUMMYFUNCTION("""COMPUTED_VALUE"""),"Гайский ГОК")</f>
        <v>Гайский ГОК</v>
      </c>
    </row>
    <row r="128" spans="1:11" ht="13" x14ac:dyDescent="0.3">
      <c r="A128" s="1" t="str">
        <f ca="1">IFERROR(__xludf.DUMMYFUNCTION("""COMPUTED_VALUE"""),"4")</f>
        <v>4</v>
      </c>
      <c r="B128" s="1" t="str">
        <f ca="1">IFERROR(__xludf.DUMMYFUNCTION("""COMPUTED_VALUE"""),"03.03.2024")</f>
        <v>03.03.2024</v>
      </c>
      <c r="C128" s="1" t="str">
        <f ca="1">IFERROR(__xludf.DUMMYFUNCTION("""COMPUTED_VALUE"""),"Щебень из плотных горных пород фр.5-20")</f>
        <v>Щебень из плотных горных пород фр.5-20</v>
      </c>
      <c r="D128" s="1" t="str">
        <f ca="1">IFERROR(__xludf.DUMMYFUNCTION("""COMPUTED_VALUE"""),"38,15")</f>
        <v>38,15</v>
      </c>
      <c r="E128" s="1" t="str">
        <f ca="1">IFERROR(__xludf.DUMMYFUNCTION("""COMPUTED_VALUE"""),"Осипов Юрий Михайлович")</f>
        <v>Осипов Юрий Михайлович</v>
      </c>
      <c r="F128" s="1" t="str">
        <f ca="1">IFERROR(__xludf.DUMMYFUNCTION("""COMPUTED_VALUE"""),"МЕРСЕДЕС")</f>
        <v>МЕРСЕДЕС</v>
      </c>
      <c r="G128" s="1" t="str">
        <f ca="1">IFERROR(__xludf.DUMMYFUNCTION("""COMPUTED_VALUE"""),"О305СС196")</f>
        <v>О305СС196</v>
      </c>
      <c r="H128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2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28" s="1" t="str">
        <f ca="1">IFERROR(__xludf.DUMMYFUNCTION("""COMPUTED_VALUE"""),"38,150")</f>
        <v>38,150</v>
      </c>
      <c r="K128" s="1" t="str">
        <f ca="1">IFERROR(__xludf.DUMMYFUNCTION("""COMPUTED_VALUE"""),"Башкирская Медь")</f>
        <v>Башкирская Медь</v>
      </c>
    </row>
    <row r="129" spans="1:11" ht="13" x14ac:dyDescent="0.3">
      <c r="A129" s="1" t="str">
        <f ca="1">IFERROR(__xludf.DUMMYFUNCTION("""COMPUTED_VALUE"""),"64")</f>
        <v>64</v>
      </c>
      <c r="B129" s="1" t="str">
        <f ca="1">IFERROR(__xludf.DUMMYFUNCTION("""COMPUTED_VALUE"""),"03.03.2024")</f>
        <v>03.03.2024</v>
      </c>
      <c r="C129" s="1" t="str">
        <f ca="1">IFERROR(__xludf.DUMMYFUNCTION("""COMPUTED_VALUE"""),"Руда")</f>
        <v>Руда</v>
      </c>
      <c r="D129" s="1" t="str">
        <f ca="1">IFERROR(__xludf.DUMMYFUNCTION("""COMPUTED_VALUE"""),"43,35")</f>
        <v>43,35</v>
      </c>
      <c r="E129" s="1" t="str">
        <f ca="1">IFERROR(__xludf.DUMMYFUNCTION("""COMPUTED_VALUE"""),"Осипов Юрий Михайлович")</f>
        <v>Осипов Юрий Михайлович</v>
      </c>
      <c r="F129" s="1" t="str">
        <f ca="1">IFERROR(__xludf.DUMMYFUNCTION("""COMPUTED_VALUE"""),"МЕРСЕДЕС")</f>
        <v>МЕРСЕДЕС</v>
      </c>
      <c r="G129" s="1" t="str">
        <f ca="1">IFERROR(__xludf.DUMMYFUNCTION("""COMPUTED_VALUE"""),"О305СС196")</f>
        <v>О305СС196</v>
      </c>
      <c r="H12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29" s="1" t="str">
        <f ca="1">IFERROR(__xludf.DUMMYFUNCTION("""COMPUTED_VALUE"""),"г. Гай, ПАО ""Гайский ГОК""")</f>
        <v>г. Гай, ПАО "Гайский ГОК"</v>
      </c>
      <c r="J129" s="1" t="str">
        <f ca="1">IFERROR(__xludf.DUMMYFUNCTION("""COMPUTED_VALUE"""),"43,600")</f>
        <v>43,600</v>
      </c>
      <c r="K129" s="1" t="str">
        <f ca="1">IFERROR(__xludf.DUMMYFUNCTION("""COMPUTED_VALUE"""),"Башкирская Медь")</f>
        <v>Башкирская Медь</v>
      </c>
    </row>
    <row r="130" spans="1:11" ht="13" x14ac:dyDescent="0.3">
      <c r="A130" s="1" t="str">
        <f ca="1">IFERROR(__xludf.DUMMYFUNCTION("""COMPUTED_VALUE"""),"2528")</f>
        <v>2528</v>
      </c>
      <c r="B130" s="1" t="str">
        <f ca="1">IFERROR(__xludf.DUMMYFUNCTION("""COMPUTED_VALUE"""),"03.03.2024")</f>
        <v>03.03.2024</v>
      </c>
      <c r="C130" s="1" t="str">
        <f ca="1">IFERROR(__xludf.DUMMYFUNCTION("""COMPUTED_VALUE"""),"глина огнеупорная")</f>
        <v>глина огнеупорная</v>
      </c>
      <c r="D130" s="1" t="str">
        <f ca="1">IFERROR(__xludf.DUMMYFUNCTION("""COMPUTED_VALUE"""),"48,80")</f>
        <v>48,80</v>
      </c>
      <c r="E130" s="1" t="str">
        <f ca="1">IFERROR(__xludf.DUMMYFUNCTION("""COMPUTED_VALUE"""),"Якшимбетов Вилюр Варисович")</f>
        <v>Якшимбетов Вилюр Варисович</v>
      </c>
      <c r="F130" s="1" t="str">
        <f ca="1">IFERROR(__xludf.DUMMYFUNCTION("""COMPUTED_VALUE"""),"ВОЛЬВО")</f>
        <v>ВОЛЬВО</v>
      </c>
      <c r="G130" s="1" t="str">
        <f ca="1">IFERROR(__xludf.DUMMYFUNCTION("""COMPUTED_VALUE"""),"Н182ТС196")</f>
        <v>Н182ТС196</v>
      </c>
      <c r="H130" s="1" t="str">
        <f ca="1">IFERROR(__xludf.DUMMYFUNCTION("""COMPUTED_VALUE"""),"ООО ""Бускуль"" п. Бускульский")</f>
        <v>ООО "Бускуль" п. Бускульский</v>
      </c>
      <c r="I130" s="1" t="str">
        <f ca="1">IFERROR(__xludf.DUMMYFUNCTION("""COMPUTED_VALUE"""),"ООО ""Строительный комплекс"" , Агаповское шоссе, 9")</f>
        <v>ООО "Строительный комплекс" , Агаповское шоссе, 9</v>
      </c>
      <c r="J130" s="1" t="str">
        <f ca="1">IFERROR(__xludf.DUMMYFUNCTION("""COMPUTED_VALUE"""),"48,80")</f>
        <v>48,80</v>
      </c>
      <c r="K130" s="1" t="str">
        <f ca="1">IFERROR(__xludf.DUMMYFUNCTION("""COMPUTED_VALUE"""),"Строительный комплекс ")</f>
        <v xml:space="preserve">Строительный комплекс </v>
      </c>
    </row>
    <row r="131" spans="1:11" ht="13" x14ac:dyDescent="0.3">
      <c r="A131" s="1" t="str">
        <f ca="1">IFERROR(__xludf.DUMMYFUNCTION("""COMPUTED_VALUE"""),"108848 / 108782")</f>
        <v>108848 / 108782</v>
      </c>
      <c r="B131" s="1" t="str">
        <f ca="1">IFERROR(__xludf.DUMMYFUNCTION("""COMPUTED_VALUE"""),"03.03.2024")</f>
        <v>03.03.2024</v>
      </c>
      <c r="C131" s="1" t="str">
        <f ca="1">IFERROR(__xludf.DUMMYFUNCTION("""COMPUTED_VALUE"""),"Шлак гранулированный")</f>
        <v>Шлак гранулированный</v>
      </c>
      <c r="D131" s="1" t="str">
        <f ca="1">IFERROR(__xludf.DUMMYFUNCTION("""COMPUTED_VALUE"""),"52,30")</f>
        <v>52,30</v>
      </c>
      <c r="E131" s="1" t="str">
        <f ca="1">IFERROR(__xludf.DUMMYFUNCTION("""COMPUTED_VALUE"""),"Якшимбетов Вилюр Варисович")</f>
        <v>Якшимбетов Вилюр Варисович</v>
      </c>
      <c r="F131" s="1" t="str">
        <f ca="1">IFERROR(__xludf.DUMMYFUNCTION("""COMPUTED_VALUE"""),"ВОЛЬВО")</f>
        <v>ВОЛЬВО</v>
      </c>
      <c r="G131" s="1" t="str">
        <f ca="1">IFERROR(__xludf.DUMMYFUNCTION("""COMPUTED_VALUE"""),"Н182ТС196")</f>
        <v>Н182ТС196</v>
      </c>
      <c r="H131" s="1" t="str">
        <f ca="1">IFERROR(__xludf.DUMMYFUNCTION("""COMPUTED_VALUE"""),"г. Магнитогорск, ул. Локомотивная, 6А")</f>
        <v>г. Магнитогорск, ул. Локомотивная, 6А</v>
      </c>
      <c r="I131" s="1" t="str">
        <f ca="1">IFERROR(__xludf.DUMMYFUNCTION("""COMPUTED_VALUE"""),"г. Гай, ПАО ""Гайский ГОК""")</f>
        <v>г. Гай, ПАО "Гайский ГОК"</v>
      </c>
      <c r="J131" s="1" t="str">
        <f ca="1">IFERROR(__xludf.DUMMYFUNCTION("""COMPUTED_VALUE"""),"52,300")</f>
        <v>52,300</v>
      </c>
      <c r="K131" s="1" t="str">
        <f ca="1">IFERROR(__xludf.DUMMYFUNCTION("""COMPUTED_VALUE"""),"Гайский ГОК")</f>
        <v>Гайский ГОК</v>
      </c>
    </row>
    <row r="132" spans="1:11" ht="13" x14ac:dyDescent="0.3">
      <c r="A132" s="1" t="str">
        <f ca="1">IFERROR(__xludf.DUMMYFUNCTION("""COMPUTED_VALUE"""),"2530")</f>
        <v>2530</v>
      </c>
      <c r="B132" s="1" t="str">
        <f ca="1">IFERROR(__xludf.DUMMYFUNCTION("""COMPUTED_VALUE"""),"03.03.2024")</f>
        <v>03.03.2024</v>
      </c>
      <c r="C132" s="1" t="str">
        <f ca="1">IFERROR(__xludf.DUMMYFUNCTION("""COMPUTED_VALUE"""),"глина огнеупорная")</f>
        <v>глина огнеупорная</v>
      </c>
      <c r="D132" s="1" t="str">
        <f ca="1">IFERROR(__xludf.DUMMYFUNCTION("""COMPUTED_VALUE"""),"53,26")</f>
        <v>53,26</v>
      </c>
      <c r="E132" s="1" t="str">
        <f ca="1">IFERROR(__xludf.DUMMYFUNCTION("""COMPUTED_VALUE"""),"Стародубов Сергей Михайлович")</f>
        <v>Стародубов Сергей Михайлович</v>
      </c>
      <c r="F132" s="1" t="str">
        <f ca="1">IFERROR(__xludf.DUMMYFUNCTION("""COMPUTED_VALUE"""),"ВОЛЬВО")</f>
        <v>ВОЛЬВО</v>
      </c>
      <c r="G132" s="1" t="str">
        <f ca="1">IFERROR(__xludf.DUMMYFUNCTION("""COMPUTED_VALUE"""),"Н242НУ196")</f>
        <v>Н242НУ196</v>
      </c>
      <c r="H132" s="1" t="str">
        <f ca="1">IFERROR(__xludf.DUMMYFUNCTION("""COMPUTED_VALUE"""),"ООО ""Бускуль"" п. Бускульский")</f>
        <v>ООО "Бускуль" п. Бускульский</v>
      </c>
      <c r="I132" s="1" t="str">
        <f ca="1">IFERROR(__xludf.DUMMYFUNCTION("""COMPUTED_VALUE"""),"ООО ""Строительный комплекс"" , Агаповское шоссе, 9")</f>
        <v>ООО "Строительный комплекс" , Агаповское шоссе, 9</v>
      </c>
      <c r="J132" s="1" t="str">
        <f ca="1">IFERROR(__xludf.DUMMYFUNCTION("""COMPUTED_VALUE"""),"53,26")</f>
        <v>53,26</v>
      </c>
      <c r="K132" s="1" t="str">
        <f ca="1">IFERROR(__xludf.DUMMYFUNCTION("""COMPUTED_VALUE"""),"Строительный комплекс ")</f>
        <v xml:space="preserve">Строительный комплекс </v>
      </c>
    </row>
    <row r="133" spans="1:11" ht="13" x14ac:dyDescent="0.3">
      <c r="A133" s="1" t="str">
        <f ca="1">IFERROR(__xludf.DUMMYFUNCTION("""COMPUTED_VALUE"""),"108665/         108690")</f>
        <v>108665/         108690</v>
      </c>
      <c r="B133" s="1" t="str">
        <f ca="1">IFERROR(__xludf.DUMMYFUNCTION("""COMPUTED_VALUE"""),"03.03.2024")</f>
        <v>03.03.2024</v>
      </c>
      <c r="C133" s="1" t="str">
        <f ca="1">IFERROR(__xludf.DUMMYFUNCTION("""COMPUTED_VALUE"""),"Шлак гранулированный")</f>
        <v>Шлак гранулированный</v>
      </c>
      <c r="D133" s="1" t="str">
        <f ca="1">IFERROR(__xludf.DUMMYFUNCTION("""COMPUTED_VALUE"""),"45,15")</f>
        <v>45,15</v>
      </c>
      <c r="E133" s="1" t="str">
        <f ca="1">IFERROR(__xludf.DUMMYFUNCTION("""COMPUTED_VALUE"""),"Зарафутдинов Радис Шамгунович")</f>
        <v>Зарафутдинов Радис Шамгунович</v>
      </c>
      <c r="F133" s="1" t="str">
        <f ca="1">IFERROR(__xludf.DUMMYFUNCTION("""COMPUTED_VALUE"""),"МЕРСЕДЕС")</f>
        <v>МЕРСЕДЕС</v>
      </c>
      <c r="G133" s="1" t="str">
        <f ca="1">IFERROR(__xludf.DUMMYFUNCTION("""COMPUTED_VALUE"""),"О816РС196")</f>
        <v>О816РС196</v>
      </c>
      <c r="H133" s="1" t="str">
        <f ca="1">IFERROR(__xludf.DUMMYFUNCTION("""COMPUTED_VALUE"""),"г. Магнитогорск, ул. Локомотивная, 6А")</f>
        <v>г. Магнитогорск, ул. Локомотивная, 6А</v>
      </c>
      <c r="I133" s="1" t="str">
        <f ca="1">IFERROR(__xludf.DUMMYFUNCTION("""COMPUTED_VALUE"""),"г. Гай, ПАО ""Гайский ГОК""")</f>
        <v>г. Гай, ПАО "Гайский ГОК"</v>
      </c>
      <c r="J133" s="1" t="str">
        <f ca="1">IFERROR(__xludf.DUMMYFUNCTION("""COMPUTED_VALUE"""),"45,150")</f>
        <v>45,150</v>
      </c>
      <c r="K133" s="1" t="str">
        <f ca="1">IFERROR(__xludf.DUMMYFUNCTION("""COMPUTED_VALUE"""),"Гайский ГОК")</f>
        <v>Гайский ГОК</v>
      </c>
    </row>
    <row r="134" spans="1:11" ht="13" x14ac:dyDescent="0.3">
      <c r="A134" s="1" t="str">
        <f ca="1">IFERROR(__xludf.DUMMYFUNCTION("""COMPUTED_VALUE"""),"ННКРС33080")</f>
        <v>ННКРС33080</v>
      </c>
      <c r="B134" s="1" t="str">
        <f ca="1">IFERROR(__xludf.DUMMYFUNCTION("""COMPUTED_VALUE"""),"03.03.2024")</f>
        <v>03.03.2024</v>
      </c>
      <c r="C134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34" s="1" t="str">
        <f ca="1">IFERROR(__xludf.DUMMYFUNCTION("""COMPUTED_VALUE"""),"32,50")</f>
        <v>32,50</v>
      </c>
      <c r="E134" s="1" t="str">
        <f ca="1">IFERROR(__xludf.DUMMYFUNCTION("""COMPUTED_VALUE"""),"Марьин Андрей Геннадьевич")</f>
        <v>Марьин Андрей Геннадьевич</v>
      </c>
      <c r="F134" s="1" t="str">
        <f ca="1">IFERROR(__xludf.DUMMYFUNCTION("""COMPUTED_VALUE"""),"ВОЛЬВО")</f>
        <v>ВОЛЬВО</v>
      </c>
      <c r="G134" s="1" t="str">
        <f ca="1">IFERROR(__xludf.DUMMYFUNCTION("""COMPUTED_VALUE"""),"Н180ТС196")</f>
        <v>Н180ТС196</v>
      </c>
      <c r="H134" s="1" t="str">
        <f ca="1">IFERROR(__xludf.DUMMYFUNCTION("""COMPUTED_VALUE"""),"Гумбейский щебзавод ")</f>
        <v xml:space="preserve">Гумбейский щебзавод </v>
      </c>
      <c r="I134" s="1" t="str">
        <f ca="1">IFERROR(__xludf.DUMMYFUNCTION("""COMPUTED_VALUE"""),"Строительная площадка КХП")</f>
        <v>Строительная площадка КХП</v>
      </c>
      <c r="J134" s="1" t="str">
        <f ca="1">IFERROR(__xludf.DUMMYFUNCTION("""COMPUTED_VALUE"""),"32,50")</f>
        <v>32,50</v>
      </c>
      <c r="K134" s="1" t="str">
        <f ca="1">IFERROR(__xludf.DUMMYFUNCTION("""COMPUTED_VALUE"""),"Синостил")</f>
        <v>Синостил</v>
      </c>
    </row>
    <row r="135" spans="1:11" ht="13" x14ac:dyDescent="0.3">
      <c r="A135" s="1" t="str">
        <f ca="1">IFERROR(__xludf.DUMMYFUNCTION("""COMPUTED_VALUE"""),"ННКРС33087")</f>
        <v>ННКРС33087</v>
      </c>
      <c r="B135" s="1" t="str">
        <f ca="1">IFERROR(__xludf.DUMMYFUNCTION("""COMPUTED_VALUE"""),"03.03.2024")</f>
        <v>03.03.2024</v>
      </c>
      <c r="C135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35" s="1" t="str">
        <f ca="1">IFERROR(__xludf.DUMMYFUNCTION("""COMPUTED_VALUE"""),"35,95")</f>
        <v>35,95</v>
      </c>
      <c r="E135" s="1" t="str">
        <f ca="1">IFERROR(__xludf.DUMMYFUNCTION("""COMPUTED_VALUE"""),"Марьин Андрей Геннадьевич")</f>
        <v>Марьин Андрей Геннадьевич</v>
      </c>
      <c r="F135" s="1" t="str">
        <f ca="1">IFERROR(__xludf.DUMMYFUNCTION("""COMPUTED_VALUE"""),"ВОЛЬВО")</f>
        <v>ВОЛЬВО</v>
      </c>
      <c r="G135" s="1" t="str">
        <f ca="1">IFERROR(__xludf.DUMMYFUNCTION("""COMPUTED_VALUE"""),"Н180ТС196")</f>
        <v>Н180ТС196</v>
      </c>
      <c r="H135" s="1" t="str">
        <f ca="1">IFERROR(__xludf.DUMMYFUNCTION("""COMPUTED_VALUE"""),"Гумбейский щебзавод ")</f>
        <v xml:space="preserve">Гумбейский щебзавод </v>
      </c>
      <c r="I135" s="1" t="str">
        <f ca="1">IFERROR(__xludf.DUMMYFUNCTION("""COMPUTED_VALUE"""),"Строительная площадка КХП")</f>
        <v>Строительная площадка КХП</v>
      </c>
      <c r="J135" s="1" t="str">
        <f ca="1">IFERROR(__xludf.DUMMYFUNCTION("""COMPUTED_VALUE"""),"35,95")</f>
        <v>35,95</v>
      </c>
      <c r="K135" s="1" t="str">
        <f ca="1">IFERROR(__xludf.DUMMYFUNCTION("""COMPUTED_VALUE"""),"Синостил")</f>
        <v>Синостил</v>
      </c>
    </row>
    <row r="136" spans="1:11" ht="13" x14ac:dyDescent="0.3">
      <c r="A136" s="1" t="str">
        <f ca="1">IFERROR(__xludf.DUMMYFUNCTION("""COMPUTED_VALUE"""),"ННКРС33093")</f>
        <v>ННКРС33093</v>
      </c>
      <c r="B136" s="1" t="str">
        <f ca="1">IFERROR(__xludf.DUMMYFUNCTION("""COMPUTED_VALUE"""),"03.03.2024")</f>
        <v>03.03.2024</v>
      </c>
      <c r="C136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36" s="1" t="str">
        <f ca="1">IFERROR(__xludf.DUMMYFUNCTION("""COMPUTED_VALUE"""),"35,75")</f>
        <v>35,75</v>
      </c>
      <c r="E136" s="1" t="str">
        <f ca="1">IFERROR(__xludf.DUMMYFUNCTION("""COMPUTED_VALUE"""),"Марьин Андрей Геннадьевич")</f>
        <v>Марьин Андрей Геннадьевич</v>
      </c>
      <c r="F136" s="1" t="str">
        <f ca="1">IFERROR(__xludf.DUMMYFUNCTION("""COMPUTED_VALUE"""),"ВОЛЬВО")</f>
        <v>ВОЛЬВО</v>
      </c>
      <c r="G136" s="1" t="str">
        <f ca="1">IFERROR(__xludf.DUMMYFUNCTION("""COMPUTED_VALUE"""),"Н180ТС196")</f>
        <v>Н180ТС196</v>
      </c>
      <c r="H136" s="1" t="str">
        <f ca="1">IFERROR(__xludf.DUMMYFUNCTION("""COMPUTED_VALUE"""),"Гумбейский щебзавод ")</f>
        <v xml:space="preserve">Гумбейский щебзавод </v>
      </c>
      <c r="I136" s="1" t="str">
        <f ca="1">IFERROR(__xludf.DUMMYFUNCTION("""COMPUTED_VALUE"""),"Строительная площадка КХП")</f>
        <v>Строительная площадка КХП</v>
      </c>
      <c r="J136" s="1" t="str">
        <f ca="1">IFERROR(__xludf.DUMMYFUNCTION("""COMPUTED_VALUE"""),"35,75")</f>
        <v>35,75</v>
      </c>
      <c r="K136" s="1" t="str">
        <f ca="1">IFERROR(__xludf.DUMMYFUNCTION("""COMPUTED_VALUE"""),"Синостил")</f>
        <v>Синостил</v>
      </c>
    </row>
    <row r="137" spans="1:11" ht="13" x14ac:dyDescent="0.3">
      <c r="A137" s="1" t="str">
        <f ca="1">IFERROR(__xludf.DUMMYFUNCTION("""COMPUTED_VALUE"""),"ННКРС33090")</f>
        <v>ННКРС33090</v>
      </c>
      <c r="B137" s="1" t="str">
        <f ca="1">IFERROR(__xludf.DUMMYFUNCTION("""COMPUTED_VALUE"""),"03.03.2024")</f>
        <v>03.03.2024</v>
      </c>
      <c r="C137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37" s="1" t="str">
        <f ca="1">IFERROR(__xludf.DUMMYFUNCTION("""COMPUTED_VALUE"""),"32,70")</f>
        <v>32,70</v>
      </c>
      <c r="E137" s="1" t="str">
        <f ca="1">IFERROR(__xludf.DUMMYFUNCTION("""COMPUTED_VALUE"""),"Карий Николай Иванович")</f>
        <v>Карий Николай Иванович</v>
      </c>
      <c r="F137" s="1" t="str">
        <f ca="1">IFERROR(__xludf.DUMMYFUNCTION("""COMPUTED_VALUE"""),"ВОЛЬВО")</f>
        <v>ВОЛЬВО</v>
      </c>
      <c r="G137" s="1" t="str">
        <f ca="1">IFERROR(__xludf.DUMMYFUNCTION("""COMPUTED_VALUE"""),"О667РУ196")</f>
        <v>О667РУ196</v>
      </c>
      <c r="H137" s="1" t="str">
        <f ca="1">IFERROR(__xludf.DUMMYFUNCTION("""COMPUTED_VALUE"""),"Гумбейский щебзавод ")</f>
        <v xml:space="preserve">Гумбейский щебзавод </v>
      </c>
      <c r="I137" s="1" t="str">
        <f ca="1">IFERROR(__xludf.DUMMYFUNCTION("""COMPUTED_VALUE"""),"Строительная площадка КХП")</f>
        <v>Строительная площадка КХП</v>
      </c>
      <c r="J137" s="1" t="str">
        <f ca="1">IFERROR(__xludf.DUMMYFUNCTION("""COMPUTED_VALUE"""),"32,70")</f>
        <v>32,70</v>
      </c>
      <c r="K137" s="1" t="str">
        <f ca="1">IFERROR(__xludf.DUMMYFUNCTION("""COMPUTED_VALUE"""),"Синостил")</f>
        <v>Синостил</v>
      </c>
    </row>
    <row r="138" spans="1:11" ht="13" x14ac:dyDescent="0.3">
      <c r="A138" s="1" t="str">
        <f ca="1">IFERROR(__xludf.DUMMYFUNCTION("""COMPUTED_VALUE"""),"ННКРС33082")</f>
        <v>ННКРС33082</v>
      </c>
      <c r="B138" s="1" t="str">
        <f ca="1">IFERROR(__xludf.DUMMYFUNCTION("""COMPUTED_VALUE"""),"03.03.2024")</f>
        <v>03.03.2024</v>
      </c>
      <c r="C138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38" s="1" t="str">
        <f ca="1">IFERROR(__xludf.DUMMYFUNCTION("""COMPUTED_VALUE"""),"35,95")</f>
        <v>35,95</v>
      </c>
      <c r="E138" s="1" t="str">
        <f ca="1">IFERROR(__xludf.DUMMYFUNCTION("""COMPUTED_VALUE"""),"Карий Николай Иванович")</f>
        <v>Карий Николай Иванович</v>
      </c>
      <c r="F138" s="1" t="str">
        <f ca="1">IFERROR(__xludf.DUMMYFUNCTION("""COMPUTED_VALUE"""),"ВОЛЬВО")</f>
        <v>ВОЛЬВО</v>
      </c>
      <c r="G138" s="1" t="str">
        <f ca="1">IFERROR(__xludf.DUMMYFUNCTION("""COMPUTED_VALUE"""),"О667РУ196")</f>
        <v>О667РУ196</v>
      </c>
      <c r="H138" s="1" t="str">
        <f ca="1">IFERROR(__xludf.DUMMYFUNCTION("""COMPUTED_VALUE"""),"Гумбейский щебзавод ")</f>
        <v xml:space="preserve">Гумбейский щебзавод </v>
      </c>
      <c r="I138" s="1" t="str">
        <f ca="1">IFERROR(__xludf.DUMMYFUNCTION("""COMPUTED_VALUE"""),"Строительная площадка КХП")</f>
        <v>Строительная площадка КХП</v>
      </c>
      <c r="J138" s="1" t="str">
        <f ca="1">IFERROR(__xludf.DUMMYFUNCTION("""COMPUTED_VALUE"""),"35,95")</f>
        <v>35,95</v>
      </c>
      <c r="K138" s="1" t="str">
        <f ca="1">IFERROR(__xludf.DUMMYFUNCTION("""COMPUTED_VALUE"""),"Синостил")</f>
        <v>Синостил</v>
      </c>
    </row>
    <row r="139" spans="1:11" ht="13" x14ac:dyDescent="0.3">
      <c r="A139" s="1" t="str">
        <f ca="1">IFERROR(__xludf.DUMMYFUNCTION("""COMPUTED_VALUE"""),"ННКРС33075")</f>
        <v>ННКРС33075</v>
      </c>
      <c r="B139" s="1" t="str">
        <f ca="1">IFERROR(__xludf.DUMMYFUNCTION("""COMPUTED_VALUE"""),"03.03.2024")</f>
        <v>03.03.2024</v>
      </c>
      <c r="C139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39" s="1" t="str">
        <f ca="1">IFERROR(__xludf.DUMMYFUNCTION("""COMPUTED_VALUE"""),"35,15")</f>
        <v>35,15</v>
      </c>
      <c r="E139" s="1" t="str">
        <f ca="1">IFERROR(__xludf.DUMMYFUNCTION("""COMPUTED_VALUE"""),"Карий Николай Иванович")</f>
        <v>Карий Николай Иванович</v>
      </c>
      <c r="F139" s="1" t="str">
        <f ca="1">IFERROR(__xludf.DUMMYFUNCTION("""COMPUTED_VALUE"""),"ВОЛЬВО")</f>
        <v>ВОЛЬВО</v>
      </c>
      <c r="G139" s="1" t="str">
        <f ca="1">IFERROR(__xludf.DUMMYFUNCTION("""COMPUTED_VALUE"""),"О667РУ196")</f>
        <v>О667РУ196</v>
      </c>
      <c r="H139" s="1" t="str">
        <f ca="1">IFERROR(__xludf.DUMMYFUNCTION("""COMPUTED_VALUE"""),"Гумбейский щебзавод ")</f>
        <v xml:space="preserve">Гумбейский щебзавод </v>
      </c>
      <c r="I139" s="1" t="str">
        <f ca="1">IFERROR(__xludf.DUMMYFUNCTION("""COMPUTED_VALUE"""),"Строительная площадка КХП")</f>
        <v>Строительная площадка КХП</v>
      </c>
      <c r="J139" s="1" t="str">
        <f ca="1">IFERROR(__xludf.DUMMYFUNCTION("""COMPUTED_VALUE"""),"35,15")</f>
        <v>35,15</v>
      </c>
      <c r="K139" s="1" t="str">
        <f ca="1">IFERROR(__xludf.DUMMYFUNCTION("""COMPUTED_VALUE"""),"Синостил")</f>
        <v>Синостил</v>
      </c>
    </row>
    <row r="140" spans="1:11" ht="13" x14ac:dyDescent="0.3">
      <c r="A140" s="1" t="str">
        <f ca="1">IFERROR(__xludf.DUMMYFUNCTION("""COMPUTED_VALUE"""),"6")</f>
        <v>6</v>
      </c>
      <c r="B140" s="1" t="str">
        <f ca="1">IFERROR(__xludf.DUMMYFUNCTION("""COMPUTED_VALUE"""),"03.03.2024")</f>
        <v>03.03.2024</v>
      </c>
      <c r="C140" s="1" t="str">
        <f ca="1">IFERROR(__xludf.DUMMYFUNCTION("""COMPUTED_VALUE"""),"Щебень из плотных горных пород фр.5-20")</f>
        <v>Щебень из плотных горных пород фр.5-20</v>
      </c>
      <c r="D140" s="1" t="str">
        <f ca="1">IFERROR(__xludf.DUMMYFUNCTION("""COMPUTED_VALUE"""),"57,25")</f>
        <v>57,25</v>
      </c>
      <c r="E140" s="1" t="str">
        <f ca="1">IFERROR(__xludf.DUMMYFUNCTION("""COMPUTED_VALUE"""),"Ахунов Алексей Анатольевич")</f>
        <v>Ахунов Алексей Анатольевич</v>
      </c>
      <c r="F140" s="1" t="str">
        <f ca="1">IFERROR(__xludf.DUMMYFUNCTION("""COMPUTED_VALUE"""),"ВОЛЬВО")</f>
        <v>ВОЛЬВО</v>
      </c>
      <c r="G140" s="1" t="str">
        <f ca="1">IFERROR(__xludf.DUMMYFUNCTION("""COMPUTED_VALUE"""),"О246РС196")</f>
        <v>О246РС196</v>
      </c>
      <c r="H140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4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40" s="1" t="str">
        <f ca="1">IFERROR(__xludf.DUMMYFUNCTION("""COMPUTED_VALUE"""),"56,950")</f>
        <v>56,950</v>
      </c>
      <c r="K140" s="1" t="str">
        <f ca="1">IFERROR(__xludf.DUMMYFUNCTION("""COMPUTED_VALUE"""),"Башкирская Медь")</f>
        <v>Башкирская Медь</v>
      </c>
    </row>
    <row r="141" spans="1:11" ht="13" x14ac:dyDescent="0.3">
      <c r="A141" s="1" t="str">
        <f ca="1">IFERROR(__xludf.DUMMYFUNCTION("""COMPUTED_VALUE"""),"63")</f>
        <v>63</v>
      </c>
      <c r="B141" s="1" t="str">
        <f ca="1">IFERROR(__xludf.DUMMYFUNCTION("""COMPUTED_VALUE"""),"03.03.2024")</f>
        <v>03.03.2024</v>
      </c>
      <c r="C141" s="1" t="str">
        <f ca="1">IFERROR(__xludf.DUMMYFUNCTION("""COMPUTED_VALUE"""),"Руда")</f>
        <v>Руда</v>
      </c>
      <c r="D141" s="1" t="str">
        <f ca="1">IFERROR(__xludf.DUMMYFUNCTION("""COMPUTED_VALUE"""),"54,05")</f>
        <v>54,05</v>
      </c>
      <c r="E141" s="1" t="str">
        <f ca="1">IFERROR(__xludf.DUMMYFUNCTION("""COMPUTED_VALUE"""),"Ахунов Алексей Анатольевич")</f>
        <v>Ахунов Алексей Анатольевич</v>
      </c>
      <c r="F141" s="1" t="str">
        <f ca="1">IFERROR(__xludf.DUMMYFUNCTION("""COMPUTED_VALUE"""),"ВОЛЬВО")</f>
        <v>ВОЛЬВО</v>
      </c>
      <c r="G141" s="1" t="str">
        <f ca="1">IFERROR(__xludf.DUMMYFUNCTION("""COMPUTED_VALUE"""),"О246РС196")</f>
        <v>О246РС196</v>
      </c>
      <c r="H14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1" s="1" t="str">
        <f ca="1">IFERROR(__xludf.DUMMYFUNCTION("""COMPUTED_VALUE"""),"г. Гай, ПАО ""Гайский ГОК""")</f>
        <v>г. Гай, ПАО "Гайский ГОК"</v>
      </c>
      <c r="J141" s="1" t="str">
        <f ca="1">IFERROR(__xludf.DUMMYFUNCTION("""COMPUTED_VALUE"""),"54,850")</f>
        <v>54,850</v>
      </c>
      <c r="K141" s="1" t="str">
        <f ca="1">IFERROR(__xludf.DUMMYFUNCTION("""COMPUTED_VALUE"""),"Башкирская Медь")</f>
        <v>Башкирская Медь</v>
      </c>
    </row>
    <row r="142" spans="1:11" ht="13" x14ac:dyDescent="0.3">
      <c r="A142" s="1" t="str">
        <f ca="1">IFERROR(__xludf.DUMMYFUNCTION("""COMPUTED_VALUE"""),"5")</f>
        <v>5</v>
      </c>
      <c r="B142" s="1" t="str">
        <f ca="1">IFERROR(__xludf.DUMMYFUNCTION("""COMPUTED_VALUE"""),"03.03.2024")</f>
        <v>03.03.2024</v>
      </c>
      <c r="C142" s="1" t="str">
        <f ca="1">IFERROR(__xludf.DUMMYFUNCTION("""COMPUTED_VALUE"""),"Щебень из плотных горных пород фр.5-20")</f>
        <v>Щебень из плотных горных пород фр.5-20</v>
      </c>
      <c r="D142" s="1" t="str">
        <f ca="1">IFERROR(__xludf.DUMMYFUNCTION("""COMPUTED_VALUE"""),"54,65")</f>
        <v>54,65</v>
      </c>
      <c r="E142" s="1" t="str">
        <f ca="1">IFERROR(__xludf.DUMMYFUNCTION("""COMPUTED_VALUE"""),"Карий Иван Иванович")</f>
        <v>Карий Иван Иванович</v>
      </c>
      <c r="F142" s="1" t="str">
        <f ca="1">IFERROR(__xludf.DUMMYFUNCTION("""COMPUTED_VALUE"""),"ВОЛЬВО")</f>
        <v>ВОЛЬВО</v>
      </c>
      <c r="G142" s="1" t="str">
        <f ca="1">IFERROR(__xludf.DUMMYFUNCTION("""COMPUTED_VALUE"""),"Н208МР196")</f>
        <v>Н208МР196</v>
      </c>
      <c r="H142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4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42" s="1" t="str">
        <f ca="1">IFERROR(__xludf.DUMMYFUNCTION("""COMPUTED_VALUE"""),"54,850")</f>
        <v>54,850</v>
      </c>
      <c r="K142" s="1" t="str">
        <f ca="1">IFERROR(__xludf.DUMMYFUNCTION("""COMPUTED_VALUE"""),"Башкирская Медь")</f>
        <v>Башкирская Медь</v>
      </c>
    </row>
    <row r="143" spans="1:11" ht="13" x14ac:dyDescent="0.3">
      <c r="A143" s="1" t="str">
        <f ca="1">IFERROR(__xludf.DUMMYFUNCTION("""COMPUTED_VALUE"""),"62")</f>
        <v>62</v>
      </c>
      <c r="B143" s="1" t="str">
        <f ca="1">IFERROR(__xludf.DUMMYFUNCTION("""COMPUTED_VALUE"""),"03.03.2024")</f>
        <v>03.03.2024</v>
      </c>
      <c r="C143" s="1" t="str">
        <f ca="1">IFERROR(__xludf.DUMMYFUNCTION("""COMPUTED_VALUE"""),"Руда")</f>
        <v>Руда</v>
      </c>
      <c r="D143" s="1" t="str">
        <f ca="1">IFERROR(__xludf.DUMMYFUNCTION("""COMPUTED_VALUE"""),"56,65")</f>
        <v>56,65</v>
      </c>
      <c r="E143" s="1" t="str">
        <f ca="1">IFERROR(__xludf.DUMMYFUNCTION("""COMPUTED_VALUE"""),"Карий Иван Иванович")</f>
        <v>Карий Иван Иванович</v>
      </c>
      <c r="F143" s="1" t="str">
        <f ca="1">IFERROR(__xludf.DUMMYFUNCTION("""COMPUTED_VALUE"""),"ВОЛЬВО")</f>
        <v>ВОЛЬВО</v>
      </c>
      <c r="G143" s="1" t="str">
        <f ca="1">IFERROR(__xludf.DUMMYFUNCTION("""COMPUTED_VALUE"""),"Н208МР196")</f>
        <v>Н208МР196</v>
      </c>
      <c r="H14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3" s="1" t="str">
        <f ca="1">IFERROR(__xludf.DUMMYFUNCTION("""COMPUTED_VALUE"""),"г. Гай, ПАО ""Гайский ГОК""")</f>
        <v>г. Гай, ПАО "Гайский ГОК"</v>
      </c>
      <c r="J143" s="1" t="str">
        <f ca="1">IFERROR(__xludf.DUMMYFUNCTION("""COMPUTED_VALUE"""),"57,000")</f>
        <v>57,000</v>
      </c>
      <c r="K143" s="1" t="str">
        <f ca="1">IFERROR(__xludf.DUMMYFUNCTION("""COMPUTED_VALUE"""),"Башкирская Медь")</f>
        <v>Башкирская Медь</v>
      </c>
    </row>
    <row r="144" spans="1:11" ht="13" x14ac:dyDescent="0.3">
      <c r="A144" s="1" t="str">
        <f ca="1">IFERROR(__xludf.DUMMYFUNCTION("""COMPUTED_VALUE"""),"65")</f>
        <v>65</v>
      </c>
      <c r="B144" s="1" t="str">
        <f ca="1">IFERROR(__xludf.DUMMYFUNCTION("""COMPUTED_VALUE"""),"03.03.2024")</f>
        <v>03.03.2024</v>
      </c>
      <c r="C144" s="1" t="str">
        <f ca="1">IFERROR(__xludf.DUMMYFUNCTION("""COMPUTED_VALUE"""),"Руда")</f>
        <v>Руда</v>
      </c>
      <c r="D144" s="1" t="str">
        <f ca="1">IFERROR(__xludf.DUMMYFUNCTION("""COMPUTED_VALUE"""),"52,30")</f>
        <v>52,30</v>
      </c>
      <c r="E144" s="1" t="str">
        <f ca="1">IFERROR(__xludf.DUMMYFUNCTION("""COMPUTED_VALUE"""),"Хаюрлин Нуржан Ситканович")</f>
        <v>Хаюрлин Нуржан Ситканович</v>
      </c>
      <c r="F144" s="1" t="str">
        <f ca="1">IFERROR(__xludf.DUMMYFUNCTION("""COMPUTED_VALUE"""),"ВОЛЬВО")</f>
        <v>ВОЛЬВО</v>
      </c>
      <c r="G144" s="1" t="str">
        <f ca="1">IFERROR(__xludf.DUMMYFUNCTION("""COMPUTED_VALUE"""),"О845ЕЕ196")</f>
        <v>О845ЕЕ196</v>
      </c>
      <c r="H14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4" s="1" t="str">
        <f ca="1">IFERROR(__xludf.DUMMYFUNCTION("""COMPUTED_VALUE"""),"г. Гай, ПАО ""Гайский ГОК""")</f>
        <v>г. Гай, ПАО "Гайский ГОК"</v>
      </c>
      <c r="J144" s="1" t="str">
        <f ca="1">IFERROR(__xludf.DUMMYFUNCTION("""COMPUTED_VALUE"""),"52,300")</f>
        <v>52,300</v>
      </c>
      <c r="K144" s="1" t="str">
        <f ca="1">IFERROR(__xludf.DUMMYFUNCTION("""COMPUTED_VALUE"""),"Башкирская Медь")</f>
        <v>Башкирская Медь</v>
      </c>
    </row>
    <row r="145" spans="1:11" ht="13" x14ac:dyDescent="0.3">
      <c r="A145" s="1" t="str">
        <f ca="1">IFERROR(__xludf.DUMMYFUNCTION("""COMPUTED_VALUE"""),"66")</f>
        <v>66</v>
      </c>
      <c r="B145" s="1" t="str">
        <f ca="1">IFERROR(__xludf.DUMMYFUNCTION("""COMPUTED_VALUE"""),"03.03.2024")</f>
        <v>03.03.2024</v>
      </c>
      <c r="C145" s="1" t="str">
        <f ca="1">IFERROR(__xludf.DUMMYFUNCTION("""COMPUTED_VALUE"""),"Руда")</f>
        <v>Руда</v>
      </c>
      <c r="D145" s="1" t="str">
        <f ca="1">IFERROR(__xludf.DUMMYFUNCTION("""COMPUTED_VALUE"""),"53,65")</f>
        <v>53,65</v>
      </c>
      <c r="E145" s="1" t="str">
        <f ca="1">IFERROR(__xludf.DUMMYFUNCTION("""COMPUTED_VALUE"""),"Еременков Валерий Владимирович")</f>
        <v>Еременков Валерий Владимирович</v>
      </c>
      <c r="F145" s="1" t="str">
        <f ca="1">IFERROR(__xludf.DUMMYFUNCTION("""COMPUTED_VALUE"""),"ВОЛЬВО")</f>
        <v>ВОЛЬВО</v>
      </c>
      <c r="G145" s="1" t="str">
        <f ca="1">IFERROR(__xludf.DUMMYFUNCTION("""COMPUTED_VALUE"""),"О145ОТ196")</f>
        <v>О145ОТ196</v>
      </c>
      <c r="H14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5" s="1" t="str">
        <f ca="1">IFERROR(__xludf.DUMMYFUNCTION("""COMPUTED_VALUE"""),"г. Гай, ПАО ""Гайский ГОК""")</f>
        <v>г. Гай, ПАО "Гайский ГОК"</v>
      </c>
      <c r="J145" s="1" t="str">
        <f ca="1">IFERROR(__xludf.DUMMYFUNCTION("""COMPUTED_VALUE"""),"53,650")</f>
        <v>53,650</v>
      </c>
      <c r="K145" s="1" t="str">
        <f ca="1">IFERROR(__xludf.DUMMYFUNCTION("""COMPUTED_VALUE"""),"Башкирская Медь")</f>
        <v>Башкирская Медь</v>
      </c>
    </row>
    <row r="146" spans="1:11" ht="13" x14ac:dyDescent="0.3">
      <c r="A146" s="1" t="str">
        <f ca="1">IFERROR(__xludf.DUMMYFUNCTION("""COMPUTED_VALUE"""),"57")</f>
        <v>57</v>
      </c>
      <c r="B146" s="1" t="str">
        <f ca="1">IFERROR(__xludf.DUMMYFUNCTION("""COMPUTED_VALUE"""),"03.03.2024")</f>
        <v>03.03.2024</v>
      </c>
      <c r="C146" s="1" t="str">
        <f ca="1">IFERROR(__xludf.DUMMYFUNCTION("""COMPUTED_VALUE"""),"Руда")</f>
        <v>Руда</v>
      </c>
      <c r="D146" s="1" t="str">
        <f ca="1">IFERROR(__xludf.DUMMYFUNCTION("""COMPUTED_VALUE"""),"52,65")</f>
        <v>52,65</v>
      </c>
      <c r="E146" s="1" t="str">
        <f ca="1">IFERROR(__xludf.DUMMYFUNCTION("""COMPUTED_VALUE"""),"Сибирёв Артём Николаевич")</f>
        <v>Сибирёв Артём Николаевич</v>
      </c>
      <c r="F146" s="1" t="str">
        <f ca="1">IFERROR(__xludf.DUMMYFUNCTION("""COMPUTED_VALUE"""),"ВОЛЬВО")</f>
        <v>ВОЛЬВО</v>
      </c>
      <c r="G146" s="1" t="str">
        <f ca="1">IFERROR(__xludf.DUMMYFUNCTION("""COMPUTED_VALUE"""),"Н998ОЕ196")</f>
        <v>Н998ОЕ196</v>
      </c>
      <c r="H14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6" s="1" t="str">
        <f ca="1">IFERROR(__xludf.DUMMYFUNCTION("""COMPUTED_VALUE"""),"г. Гай, ПАО ""Гайский ГОК""")</f>
        <v>г. Гай, ПАО "Гайский ГОК"</v>
      </c>
      <c r="J146" s="1" t="str">
        <f ca="1">IFERROR(__xludf.DUMMYFUNCTION("""COMPUTED_VALUE"""),"53,350")</f>
        <v>53,350</v>
      </c>
      <c r="K146" s="1" t="str">
        <f ca="1">IFERROR(__xludf.DUMMYFUNCTION("""COMPUTED_VALUE"""),"Башкирская Медь")</f>
        <v>Башкирская Медь</v>
      </c>
    </row>
    <row r="147" spans="1:11" ht="13" x14ac:dyDescent="0.3">
      <c r="A147" s="1" t="str">
        <f ca="1">IFERROR(__xludf.DUMMYFUNCTION("""COMPUTED_VALUE"""),"58")</f>
        <v>58</v>
      </c>
      <c r="B147" s="1" t="str">
        <f ca="1">IFERROR(__xludf.DUMMYFUNCTION("""COMPUTED_VALUE"""),"03.03.2024")</f>
        <v>03.03.2024</v>
      </c>
      <c r="C147" s="1" t="str">
        <f ca="1">IFERROR(__xludf.DUMMYFUNCTION("""COMPUTED_VALUE"""),"Руда")</f>
        <v>Руда</v>
      </c>
      <c r="D147" s="1" t="str">
        <f ca="1">IFERROR(__xludf.DUMMYFUNCTION("""COMPUTED_VALUE"""),"44,00")</f>
        <v>44,00</v>
      </c>
      <c r="E147" s="1" t="str">
        <f ca="1">IFERROR(__xludf.DUMMYFUNCTION("""COMPUTED_VALUE"""),"Байбулатов Халит Ханифович")</f>
        <v>Байбулатов Халит Ханифович</v>
      </c>
      <c r="F147" s="1" t="str">
        <f ca="1">IFERROR(__xludf.DUMMYFUNCTION("""COMPUTED_VALUE"""),"МЕРСЕДЕС")</f>
        <v>МЕРСЕДЕС</v>
      </c>
      <c r="G147" s="1" t="str">
        <f ca="1">IFERROR(__xludf.DUMMYFUNCTION("""COMPUTED_VALUE"""),"О761ОК196")</f>
        <v>О761ОК196</v>
      </c>
      <c r="H14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7" s="1" t="str">
        <f ca="1">IFERROR(__xludf.DUMMYFUNCTION("""COMPUTED_VALUE"""),"г. Гай, ПАО ""Гайский ГОК""")</f>
        <v>г. Гай, ПАО "Гайский ГОК"</v>
      </c>
      <c r="J147" s="1" t="str">
        <f ca="1">IFERROR(__xludf.DUMMYFUNCTION("""COMPUTED_VALUE"""),"44,000")</f>
        <v>44,000</v>
      </c>
      <c r="K147" s="1" t="str">
        <f ca="1">IFERROR(__xludf.DUMMYFUNCTION("""COMPUTED_VALUE"""),"Башкирская Медь")</f>
        <v>Башкирская Медь</v>
      </c>
    </row>
    <row r="148" spans="1:11" ht="13" x14ac:dyDescent="0.3">
      <c r="A148" s="1" t="str">
        <f ca="1">IFERROR(__xludf.DUMMYFUNCTION("""COMPUTED_VALUE"""),"12")</f>
        <v>12</v>
      </c>
      <c r="B148" s="1" t="str">
        <f ca="1">IFERROR(__xludf.DUMMYFUNCTION("""COMPUTED_VALUE"""),"03.03.2024")</f>
        <v>03.03.2024</v>
      </c>
      <c r="C148" s="1" t="str">
        <f ca="1">IFERROR(__xludf.DUMMYFUNCTION("""COMPUTED_VALUE"""),"Щебень из плотных горных пород фр.5-20")</f>
        <v>Щебень из плотных горных пород фр.5-20</v>
      </c>
      <c r="D148" s="1" t="str">
        <f ca="1">IFERROR(__xludf.DUMMYFUNCTION("""COMPUTED_VALUE"""),"43,95")</f>
        <v>43,95</v>
      </c>
      <c r="E148" s="1" t="str">
        <f ca="1">IFERROR(__xludf.DUMMYFUNCTION("""COMPUTED_VALUE"""),"Бондарев Андрей Александрович")</f>
        <v>Бондарев Андрей Александрович</v>
      </c>
      <c r="F148" s="1" t="str">
        <f ca="1">IFERROR(__xludf.DUMMYFUNCTION("""COMPUTED_VALUE"""),"ВОЛЬВО")</f>
        <v>ВОЛЬВО</v>
      </c>
      <c r="G148" s="1" t="str">
        <f ca="1">IFERROR(__xludf.DUMMYFUNCTION("""COMPUTED_VALUE"""),"О411ОА196
")</f>
        <v xml:space="preserve">О411ОА196
</v>
      </c>
      <c r="H148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4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48" s="1" t="str">
        <f ca="1">IFERROR(__xludf.DUMMYFUNCTION("""COMPUTED_VALUE"""),"43,500")</f>
        <v>43,500</v>
      </c>
      <c r="K148" s="1" t="str">
        <f ca="1">IFERROR(__xludf.DUMMYFUNCTION("""COMPUTED_VALUE"""),"Башкирская Медь")</f>
        <v>Башкирская Медь</v>
      </c>
    </row>
    <row r="149" spans="1:11" ht="13" x14ac:dyDescent="0.3">
      <c r="A149" s="1" t="str">
        <f ca="1">IFERROR(__xludf.DUMMYFUNCTION("""COMPUTED_VALUE"""),"74")</f>
        <v>74</v>
      </c>
      <c r="B149" s="1" t="str">
        <f ca="1">IFERROR(__xludf.DUMMYFUNCTION("""COMPUTED_VALUE"""),"03.03.2024")</f>
        <v>03.03.2024</v>
      </c>
      <c r="C149" s="1" t="str">
        <f ca="1">IFERROR(__xludf.DUMMYFUNCTION("""COMPUTED_VALUE"""),"Руда")</f>
        <v>Руда</v>
      </c>
      <c r="D149" s="1" t="str">
        <f ca="1">IFERROR(__xludf.DUMMYFUNCTION("""COMPUTED_VALUE"""),"45,20")</f>
        <v>45,20</v>
      </c>
      <c r="E149" s="1" t="str">
        <f ca="1">IFERROR(__xludf.DUMMYFUNCTION("""COMPUTED_VALUE"""),"Бондарев Андрей Александрович")</f>
        <v>Бондарев Андрей Александрович</v>
      </c>
      <c r="F149" s="1" t="str">
        <f ca="1">IFERROR(__xludf.DUMMYFUNCTION("""COMPUTED_VALUE"""),"ВОЛЬВО")</f>
        <v>ВОЛЬВО</v>
      </c>
      <c r="G149" s="1" t="str">
        <f ca="1">IFERROR(__xludf.DUMMYFUNCTION("""COMPUTED_VALUE"""),"О411ОА196
")</f>
        <v xml:space="preserve">О411ОА196
</v>
      </c>
      <c r="H14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49" s="1" t="str">
        <f ca="1">IFERROR(__xludf.DUMMYFUNCTION("""COMPUTED_VALUE"""),"г. Гай, ПАО ""Гайский ГОК""")</f>
        <v>г. Гай, ПАО "Гайский ГОК"</v>
      </c>
      <c r="J149" s="1" t="str">
        <f ca="1">IFERROR(__xludf.DUMMYFUNCTION("""COMPUTED_VALUE"""),"45,750")</f>
        <v>45,750</v>
      </c>
      <c r="K149" s="1" t="str">
        <f ca="1">IFERROR(__xludf.DUMMYFUNCTION("""COMPUTED_VALUE"""),"Башкирская Медь")</f>
        <v>Башкирская Медь</v>
      </c>
    </row>
    <row r="150" spans="1:11" ht="13" x14ac:dyDescent="0.3">
      <c r="A150" s="1" t="str">
        <f ca="1">IFERROR(__xludf.DUMMYFUNCTION("""COMPUTED_VALUE"""),"73")</f>
        <v>73</v>
      </c>
      <c r="B150" s="1" t="str">
        <f ca="1">IFERROR(__xludf.DUMMYFUNCTION("""COMPUTED_VALUE"""),"03.03.2024")</f>
        <v>03.03.2024</v>
      </c>
      <c r="C150" s="1" t="str">
        <f ca="1">IFERROR(__xludf.DUMMYFUNCTION("""COMPUTED_VALUE"""),"Руда")</f>
        <v>Руда</v>
      </c>
      <c r="D150" s="1" t="str">
        <f ca="1">IFERROR(__xludf.DUMMYFUNCTION("""COMPUTED_VALUE"""),"43,00")</f>
        <v>43,00</v>
      </c>
      <c r="E150" s="1" t="str">
        <f ca="1">IFERROR(__xludf.DUMMYFUNCTION("""COMPUTED_VALUE"""),"Шумилин Евгений Валерьевич")</f>
        <v>Шумилин Евгений Валерьевич</v>
      </c>
      <c r="F150" s="1" t="str">
        <f ca="1">IFERROR(__xludf.DUMMYFUNCTION("""COMPUTED_VALUE"""),"ВОЛЬВО")</f>
        <v>ВОЛЬВО</v>
      </c>
      <c r="G150" s="1" t="str">
        <f ca="1">IFERROR(__xludf.DUMMYFUNCTION("""COMPUTED_VALUE"""),"О158ОХ196")</f>
        <v>О158ОХ196</v>
      </c>
      <c r="H15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50" s="1" t="str">
        <f ca="1">IFERROR(__xludf.DUMMYFUNCTION("""COMPUTED_VALUE"""),"г. Гай, ПАО ""Гайский ГОК""")</f>
        <v>г. Гай, ПАО "Гайский ГОК"</v>
      </c>
      <c r="J150" s="1" t="str">
        <f ca="1">IFERROR(__xludf.DUMMYFUNCTION("""COMPUTED_VALUE"""),"43,000")</f>
        <v>43,000</v>
      </c>
      <c r="K150" s="1" t="str">
        <f ca="1">IFERROR(__xludf.DUMMYFUNCTION("""COMPUTED_VALUE"""),"Башкирская Медь")</f>
        <v>Башкирская Медь</v>
      </c>
    </row>
    <row r="151" spans="1:11" ht="13" x14ac:dyDescent="0.3">
      <c r="A151" s="1" t="str">
        <f ca="1">IFERROR(__xludf.DUMMYFUNCTION("""COMPUTED_VALUE"""),"10")</f>
        <v>10</v>
      </c>
      <c r="B151" s="1" t="str">
        <f ca="1">IFERROR(__xludf.DUMMYFUNCTION("""COMPUTED_VALUE"""),"03.03.2024")</f>
        <v>03.03.2024</v>
      </c>
      <c r="C151" s="1" t="str">
        <f ca="1">IFERROR(__xludf.DUMMYFUNCTION("""COMPUTED_VALUE"""),"Щебень из плотных горных пород фр.5-20")</f>
        <v>Щебень из плотных горных пород фр.5-20</v>
      </c>
      <c r="D151" s="1" t="str">
        <f ca="1">IFERROR(__xludf.DUMMYFUNCTION("""COMPUTED_VALUE"""),"42,85")</f>
        <v>42,85</v>
      </c>
      <c r="E151" s="1" t="str">
        <f ca="1">IFERROR(__xludf.DUMMYFUNCTION("""COMPUTED_VALUE"""),"Закиров Замил Закиевич")</f>
        <v>Закиров Замил Закиевич</v>
      </c>
      <c r="F151" s="1" t="str">
        <f ca="1">IFERROR(__xludf.DUMMYFUNCTION("""COMPUTED_VALUE"""),"МЕРСЕДЕС")</f>
        <v>МЕРСЕДЕС</v>
      </c>
      <c r="G151" s="1" t="str">
        <f ca="1">IFERROR(__xludf.DUMMYFUNCTION("""COMPUTED_VALUE"""),"О135ОУ196")</f>
        <v>О135ОУ196</v>
      </c>
      <c r="H151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5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51" s="1" t="str">
        <f ca="1">IFERROR(__xludf.DUMMYFUNCTION("""COMPUTED_VALUE"""),"42,450")</f>
        <v>42,450</v>
      </c>
      <c r="K151" s="1" t="str">
        <f ca="1">IFERROR(__xludf.DUMMYFUNCTION("""COMPUTED_VALUE"""),"Башкирская Медь")</f>
        <v>Башкирская Медь</v>
      </c>
    </row>
    <row r="152" spans="1:11" ht="13" x14ac:dyDescent="0.3">
      <c r="A152" s="1" t="str">
        <f ca="1">IFERROR(__xludf.DUMMYFUNCTION("""COMPUTED_VALUE"""),"68")</f>
        <v>68</v>
      </c>
      <c r="B152" s="1" t="str">
        <f ca="1">IFERROR(__xludf.DUMMYFUNCTION("""COMPUTED_VALUE"""),"03.03.2024")</f>
        <v>03.03.2024</v>
      </c>
      <c r="C152" s="1" t="str">
        <f ca="1">IFERROR(__xludf.DUMMYFUNCTION("""COMPUTED_VALUE"""),"Руда")</f>
        <v>Руда</v>
      </c>
      <c r="D152" s="1" t="str">
        <f ca="1">IFERROR(__xludf.DUMMYFUNCTION("""COMPUTED_VALUE"""),"44,25")</f>
        <v>44,25</v>
      </c>
      <c r="E152" s="1" t="str">
        <f ca="1">IFERROR(__xludf.DUMMYFUNCTION("""COMPUTED_VALUE"""),"Закиров Замил Закиевич")</f>
        <v>Закиров Замил Закиевич</v>
      </c>
      <c r="F152" s="1" t="str">
        <f ca="1">IFERROR(__xludf.DUMMYFUNCTION("""COMPUTED_VALUE"""),"МЕРСЕДЕС")</f>
        <v>МЕРСЕДЕС</v>
      </c>
      <c r="G152" s="1" t="str">
        <f ca="1">IFERROR(__xludf.DUMMYFUNCTION("""COMPUTED_VALUE"""),"О135ОУ196")</f>
        <v>О135ОУ196</v>
      </c>
      <c r="H15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52" s="1" t="str">
        <f ca="1">IFERROR(__xludf.DUMMYFUNCTION("""COMPUTED_VALUE"""),"г. Гай, ПАО ""Гайский ГОК""")</f>
        <v>г. Гай, ПАО "Гайский ГОК"</v>
      </c>
      <c r="J152" s="1" t="str">
        <f ca="1">IFERROR(__xludf.DUMMYFUNCTION("""COMPUTED_VALUE"""),"44,400")</f>
        <v>44,400</v>
      </c>
      <c r="K152" s="1" t="str">
        <f ca="1">IFERROR(__xludf.DUMMYFUNCTION("""COMPUTED_VALUE"""),"Башкирская Медь")</f>
        <v>Башкирская Медь</v>
      </c>
    </row>
    <row r="153" spans="1:11" ht="13" x14ac:dyDescent="0.3">
      <c r="A153" s="1" t="str">
        <f ca="1">IFERROR(__xludf.DUMMYFUNCTION("""COMPUTED_VALUE"""),"54")</f>
        <v>54</v>
      </c>
      <c r="B153" s="1" t="str">
        <f ca="1">IFERROR(__xludf.DUMMYFUNCTION("""COMPUTED_VALUE"""),"03.03.2024")</f>
        <v>03.03.2024</v>
      </c>
      <c r="C153" s="1" t="str">
        <f ca="1">IFERROR(__xludf.DUMMYFUNCTION("""COMPUTED_VALUE"""),"Руда")</f>
        <v>Руда</v>
      </c>
      <c r="D153" s="1" t="str">
        <f ca="1">IFERROR(__xludf.DUMMYFUNCTION("""COMPUTED_VALUE"""),"38,55")</f>
        <v>38,55</v>
      </c>
      <c r="E153" s="1" t="str">
        <f ca="1">IFERROR(__xludf.DUMMYFUNCTION("""COMPUTED_VALUE"""),"Добижа Алексей Васильевич")</f>
        <v>Добижа Алексей Васильевич</v>
      </c>
      <c r="F153" s="1" t="str">
        <f ca="1">IFERROR(__xludf.DUMMYFUNCTION("""COMPUTED_VALUE"""),"МЕРСЕДЕС")</f>
        <v>МЕРСЕДЕС</v>
      </c>
      <c r="G153" s="1" t="str">
        <f ca="1">IFERROR(__xludf.DUMMYFUNCTION("""COMPUTED_VALUE"""),"О840РХ196")</f>
        <v>О840РХ196</v>
      </c>
      <c r="H15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53" s="1" t="str">
        <f ca="1">IFERROR(__xludf.DUMMYFUNCTION("""COMPUTED_VALUE"""),"г. Гай, ПАО ""Гайский ГОК""")</f>
        <v>г. Гай, ПАО "Гайский ГОК"</v>
      </c>
      <c r="J153" s="1" t="str">
        <f ca="1">IFERROR(__xludf.DUMMYFUNCTION("""COMPUTED_VALUE"""),"38,550")</f>
        <v>38,550</v>
      </c>
      <c r="K153" s="1" t="str">
        <f ca="1">IFERROR(__xludf.DUMMYFUNCTION("""COMPUTED_VALUE"""),"Башкирская Медь")</f>
        <v>Башкирская Медь</v>
      </c>
    </row>
    <row r="154" spans="1:11" ht="13" x14ac:dyDescent="0.3">
      <c r="A154" s="1" t="str">
        <f ca="1">IFERROR(__xludf.DUMMYFUNCTION("""COMPUTED_VALUE"""),"59")</f>
        <v>59</v>
      </c>
      <c r="B154" s="1" t="str">
        <f ca="1">IFERROR(__xludf.DUMMYFUNCTION("""COMPUTED_VALUE"""),"03.03.2024")</f>
        <v>03.03.2024</v>
      </c>
      <c r="C154" s="1" t="str">
        <f ca="1">IFERROR(__xludf.DUMMYFUNCTION("""COMPUTED_VALUE"""),"Руда")</f>
        <v>Руда</v>
      </c>
      <c r="D154" s="1" t="str">
        <f ca="1">IFERROR(__xludf.DUMMYFUNCTION("""COMPUTED_VALUE"""),"47,25")</f>
        <v>47,25</v>
      </c>
      <c r="E154" s="1" t="str">
        <f ca="1">IFERROR(__xludf.DUMMYFUNCTION("""COMPUTED_VALUE"""),"Добижа Алексей Васильевич")</f>
        <v>Добижа Алексей Васильевич</v>
      </c>
      <c r="F154" s="1" t="str">
        <f ca="1">IFERROR(__xludf.DUMMYFUNCTION("""COMPUTED_VALUE"""),"МЕРСЕДЕС")</f>
        <v>МЕРСЕДЕС</v>
      </c>
      <c r="G154" s="1" t="str">
        <f ca="1">IFERROR(__xludf.DUMMYFUNCTION("""COMPUTED_VALUE"""),"О840РХ196")</f>
        <v>О840РХ196</v>
      </c>
      <c r="H15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54" s="1" t="str">
        <f ca="1">IFERROR(__xludf.DUMMYFUNCTION("""COMPUTED_VALUE"""),"г. Гай, ПАО ""Гайский ГОК""")</f>
        <v>г. Гай, ПАО "Гайский ГОК"</v>
      </c>
      <c r="J154" s="1" t="str">
        <f ca="1">IFERROR(__xludf.DUMMYFUNCTION("""COMPUTED_VALUE"""),"47,250")</f>
        <v>47,250</v>
      </c>
      <c r="K154" s="1" t="str">
        <f ca="1">IFERROR(__xludf.DUMMYFUNCTION("""COMPUTED_VALUE"""),"Башкирская Медь")</f>
        <v>Башкирская Медь</v>
      </c>
    </row>
    <row r="155" spans="1:11" ht="13" x14ac:dyDescent="0.3">
      <c r="A155" s="1" t="str">
        <f ca="1">IFERROR(__xludf.DUMMYFUNCTION("""COMPUTED_VALUE"""),"67")</f>
        <v>67</v>
      </c>
      <c r="B155" s="1" t="str">
        <f ca="1">IFERROR(__xludf.DUMMYFUNCTION("""COMPUTED_VALUE"""),"03.03.2024")</f>
        <v>03.03.2024</v>
      </c>
      <c r="C155" s="1" t="str">
        <f ca="1">IFERROR(__xludf.DUMMYFUNCTION("""COMPUTED_VALUE"""),"Руда")</f>
        <v>Руда</v>
      </c>
      <c r="D155" s="1" t="str">
        <f ca="1">IFERROR(__xludf.DUMMYFUNCTION("""COMPUTED_VALUE"""),"43,40")</f>
        <v>43,40</v>
      </c>
      <c r="E155" s="1" t="str">
        <f ca="1">IFERROR(__xludf.DUMMYFUNCTION("""COMPUTED_VALUE"""),"Рыбалкин Виталий Ильич")</f>
        <v>Рыбалкин Виталий Ильич</v>
      </c>
      <c r="F155" s="1" t="str">
        <f ca="1">IFERROR(__xludf.DUMMYFUNCTION("""COMPUTED_VALUE"""),"МЕРСЕДЕС")</f>
        <v>МЕРСЕДЕС</v>
      </c>
      <c r="G155" s="1" t="str">
        <f ca="1">IFERROR(__xludf.DUMMYFUNCTION("""COMPUTED_VALUE"""),"О669РО196")</f>
        <v>О669РО196</v>
      </c>
      <c r="H15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55" s="1" t="str">
        <f ca="1">IFERROR(__xludf.DUMMYFUNCTION("""COMPUTED_VALUE"""),"г. Гай, ПАО ""Гайский ГОК""")</f>
        <v>г. Гай, ПАО "Гайский ГОК"</v>
      </c>
      <c r="J155" s="1" t="str">
        <f ca="1">IFERROR(__xludf.DUMMYFUNCTION("""COMPUTED_VALUE"""),"43,400")</f>
        <v>43,400</v>
      </c>
      <c r="K155" s="1" t="str">
        <f ca="1">IFERROR(__xludf.DUMMYFUNCTION("""COMPUTED_VALUE"""),"Башкирская Медь")</f>
        <v>Башкирская Медь</v>
      </c>
    </row>
    <row r="156" spans="1:11" ht="13" x14ac:dyDescent="0.3">
      <c r="A156" s="1" t="str">
        <f ca="1">IFERROR(__xludf.DUMMYFUNCTION("""COMPUTED_VALUE"""),"108799 / 108907")</f>
        <v>108799 / 108907</v>
      </c>
      <c r="B156" s="1" t="str">
        <f ca="1">IFERROR(__xludf.DUMMYFUNCTION("""COMPUTED_VALUE"""),"03.03.2024")</f>
        <v>03.03.2024</v>
      </c>
      <c r="C156" s="1" t="str">
        <f ca="1">IFERROR(__xludf.DUMMYFUNCTION("""COMPUTED_VALUE"""),"Шлак гранулированный")</f>
        <v>Шлак гранулированный</v>
      </c>
      <c r="D156" s="1" t="str">
        <f ca="1">IFERROR(__xludf.DUMMYFUNCTION("""COMPUTED_VALUE"""),"48,20")</f>
        <v>48,20</v>
      </c>
      <c r="E156" s="1" t="str">
        <f ca="1">IFERROR(__xludf.DUMMYFUNCTION("""COMPUTED_VALUE"""),"Афанасьев Михаил Васильевич")</f>
        <v>Афанасьев Михаил Васильевич</v>
      </c>
      <c r="F156" s="1" t="str">
        <f ca="1">IFERROR(__xludf.DUMMYFUNCTION("""COMPUTED_VALUE"""),"МЕРСЕДЕС")</f>
        <v>МЕРСЕДЕС</v>
      </c>
      <c r="G156" s="1" t="str">
        <f ca="1">IFERROR(__xludf.DUMMYFUNCTION("""COMPUTED_VALUE"""),"О208ОМ196")</f>
        <v>О208ОМ196</v>
      </c>
      <c r="H156" s="1" t="str">
        <f ca="1">IFERROR(__xludf.DUMMYFUNCTION("""COMPUTED_VALUE"""),"г. Магнитогорск, ул. Локомотивная, 6А")</f>
        <v>г. Магнитогорск, ул. Локомотивная, 6А</v>
      </c>
      <c r="I156" s="1" t="str">
        <f ca="1">IFERROR(__xludf.DUMMYFUNCTION("""COMPUTED_VALUE"""),"г. Гай, ПАО ""Гайский ГОК""")</f>
        <v>г. Гай, ПАО "Гайский ГОК"</v>
      </c>
      <c r="J156" s="1" t="str">
        <f ca="1">IFERROR(__xludf.DUMMYFUNCTION("""COMPUTED_VALUE"""),"48,200")</f>
        <v>48,200</v>
      </c>
      <c r="K156" s="1" t="str">
        <f ca="1">IFERROR(__xludf.DUMMYFUNCTION("""COMPUTED_VALUE"""),"Гайский ГОК")</f>
        <v>Гайский ГОК</v>
      </c>
    </row>
    <row r="157" spans="1:11" ht="13" x14ac:dyDescent="0.3">
      <c r="A157" s="1" t="str">
        <f ca="1">IFERROR(__xludf.DUMMYFUNCTION("""COMPUTED_VALUE"""),"108824 / 108885")</f>
        <v>108824 / 108885</v>
      </c>
      <c r="B157" s="1" t="str">
        <f ca="1">IFERROR(__xludf.DUMMYFUNCTION("""COMPUTED_VALUE"""),"04.03.2024")</f>
        <v>04.03.2024</v>
      </c>
      <c r="C157" s="1" t="str">
        <f ca="1">IFERROR(__xludf.DUMMYFUNCTION("""COMPUTED_VALUE"""),"Шлак гранулированный")</f>
        <v>Шлак гранулированный</v>
      </c>
      <c r="D157" s="1" t="str">
        <f ca="1">IFERROR(__xludf.DUMMYFUNCTION("""COMPUTED_VALUE"""),"39,95")</f>
        <v>39,95</v>
      </c>
      <c r="E157" s="1" t="str">
        <f ca="1">IFERROR(__xludf.DUMMYFUNCTION("""COMPUTED_VALUE"""),"Доронов Алексей Николаевич")</f>
        <v>Доронов Алексей Николаевич</v>
      </c>
      <c r="F157" s="1" t="str">
        <f ca="1">IFERROR(__xludf.DUMMYFUNCTION("""COMPUTED_VALUE"""),"SHACMAN")</f>
        <v>SHACMAN</v>
      </c>
      <c r="G157" s="1" t="str">
        <f ca="1">IFERROR(__xludf.DUMMYFUNCTION("""COMPUTED_VALUE"""),"У645ВО774")</f>
        <v>У645ВО774</v>
      </c>
      <c r="H157" s="1" t="str">
        <f ca="1">IFERROR(__xludf.DUMMYFUNCTION("""COMPUTED_VALUE"""),"г. Магнитогорск, ул. Локомотивная, 6А")</f>
        <v>г. Магнитогорск, ул. Локомотивная, 6А</v>
      </c>
      <c r="I157" s="1" t="str">
        <f ca="1">IFERROR(__xludf.DUMMYFUNCTION("""COMPUTED_VALUE"""),"г. Гай, ПАО ""Гайский ГОК""")</f>
        <v>г. Гай, ПАО "Гайский ГОК"</v>
      </c>
      <c r="J157" s="1" t="str">
        <f ca="1">IFERROR(__xludf.DUMMYFUNCTION("""COMPUTED_VALUE"""),"39,950")</f>
        <v>39,950</v>
      </c>
      <c r="K157" s="1" t="str">
        <f ca="1">IFERROR(__xludf.DUMMYFUNCTION("""COMPUTED_VALUE"""),"Гайский ГОК")</f>
        <v>Гайский ГОК</v>
      </c>
    </row>
    <row r="158" spans="1:11" ht="13" x14ac:dyDescent="0.3">
      <c r="A158" s="1" t="str">
        <f ca="1">IFERROR(__xludf.DUMMYFUNCTION("""COMPUTED_VALUE"""),"108882 / 108895")</f>
        <v>108882 / 108895</v>
      </c>
      <c r="B158" s="1" t="str">
        <f ca="1">IFERROR(__xludf.DUMMYFUNCTION("""COMPUTED_VALUE"""),"04.03.2024")</f>
        <v>04.03.2024</v>
      </c>
      <c r="C158" s="1" t="str">
        <f ca="1">IFERROR(__xludf.DUMMYFUNCTION("""COMPUTED_VALUE"""),"Шлак гранулированный")</f>
        <v>Шлак гранулированный</v>
      </c>
      <c r="D158" s="1" t="str">
        <f ca="1">IFERROR(__xludf.DUMMYFUNCTION("""COMPUTED_VALUE"""),"40,90")</f>
        <v>40,90</v>
      </c>
      <c r="E158" s="1" t="str">
        <f ca="1">IFERROR(__xludf.DUMMYFUNCTION("""COMPUTED_VALUE"""),"Сычев Василий Владимирович")</f>
        <v>Сычев Василий Владимирович</v>
      </c>
      <c r="F158" s="1" t="str">
        <f ca="1">IFERROR(__xludf.DUMMYFUNCTION("""COMPUTED_VALUE"""),"SHACMAN")</f>
        <v>SHACMAN</v>
      </c>
      <c r="G158" s="1" t="str">
        <f ca="1">IFERROR(__xludf.DUMMYFUNCTION("""COMPUTED_VALUE"""),"Х319АЕ774")</f>
        <v>Х319АЕ774</v>
      </c>
      <c r="H158" s="1" t="str">
        <f ca="1">IFERROR(__xludf.DUMMYFUNCTION("""COMPUTED_VALUE"""),"г. Магнитогорск, ул. Локомотивная, 6А")</f>
        <v>г. Магнитогорск, ул. Локомотивная, 6А</v>
      </c>
      <c r="I158" s="1" t="str">
        <f ca="1">IFERROR(__xludf.DUMMYFUNCTION("""COMPUTED_VALUE"""),"г. Гай, ПАО ""Гайский ГОК""")</f>
        <v>г. Гай, ПАО "Гайский ГОК"</v>
      </c>
      <c r="J158" s="1" t="str">
        <f ca="1">IFERROR(__xludf.DUMMYFUNCTION("""COMPUTED_VALUE"""),"40,900")</f>
        <v>40,900</v>
      </c>
      <c r="K158" s="1" t="str">
        <f ca="1">IFERROR(__xludf.DUMMYFUNCTION("""COMPUTED_VALUE"""),"Гайский ГОК")</f>
        <v>Гайский ГОК</v>
      </c>
    </row>
    <row r="159" spans="1:11" ht="13" x14ac:dyDescent="0.3">
      <c r="A159" s="1" t="str">
        <f ca="1">IFERROR(__xludf.DUMMYFUNCTION("""COMPUTED_VALUE"""),"88")</f>
        <v>88</v>
      </c>
      <c r="B159" s="1" t="str">
        <f ca="1">IFERROR(__xludf.DUMMYFUNCTION("""COMPUTED_VALUE"""),"04.03.2024")</f>
        <v>04.03.2024</v>
      </c>
      <c r="C159" s="1" t="str">
        <f ca="1">IFERROR(__xludf.DUMMYFUNCTION("""COMPUTED_VALUE"""),"Руда")</f>
        <v>Руда</v>
      </c>
      <c r="D159" s="1" t="str">
        <f ca="1">IFERROR(__xludf.DUMMYFUNCTION("""COMPUTED_VALUE"""),"38,10")</f>
        <v>38,10</v>
      </c>
      <c r="E159" s="1" t="str">
        <f ca="1">IFERROR(__xludf.DUMMYFUNCTION("""COMPUTED_VALUE"""),"Сычев Василий Владимирович")</f>
        <v>Сычев Василий Владимирович</v>
      </c>
      <c r="F159" s="1" t="str">
        <f ca="1">IFERROR(__xludf.DUMMYFUNCTION("""COMPUTED_VALUE"""),"SHACMAN")</f>
        <v>SHACMAN</v>
      </c>
      <c r="G159" s="1" t="str">
        <f ca="1">IFERROR(__xludf.DUMMYFUNCTION("""COMPUTED_VALUE"""),"Х319АЕ774")</f>
        <v>Х319АЕ774</v>
      </c>
      <c r="H15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59" s="1" t="str">
        <f ca="1">IFERROR(__xludf.DUMMYFUNCTION("""COMPUTED_VALUE"""),"г. Гай, ПАО ""Гайский ГОК""")</f>
        <v>г. Гай, ПАО "Гайский ГОК"</v>
      </c>
      <c r="J159" s="1" t="str">
        <f ca="1">IFERROR(__xludf.DUMMYFUNCTION("""COMPUTED_VALUE"""),"38,150")</f>
        <v>38,150</v>
      </c>
      <c r="K159" s="1" t="str">
        <f ca="1">IFERROR(__xludf.DUMMYFUNCTION("""COMPUTED_VALUE"""),"Башкирская Медь")</f>
        <v>Башкирская Медь</v>
      </c>
    </row>
    <row r="160" spans="1:11" ht="13" x14ac:dyDescent="0.3">
      <c r="A160" s="1" t="str">
        <f ca="1">IFERROR(__xludf.DUMMYFUNCTION("""COMPUTED_VALUE"""),"87")</f>
        <v>87</v>
      </c>
      <c r="B160" s="1" t="str">
        <f ca="1">IFERROR(__xludf.DUMMYFUNCTION("""COMPUTED_VALUE"""),"04.03.2024")</f>
        <v>04.03.2024</v>
      </c>
      <c r="C160" s="1" t="str">
        <f ca="1">IFERROR(__xludf.DUMMYFUNCTION("""COMPUTED_VALUE"""),"Руда")</f>
        <v>Руда</v>
      </c>
      <c r="D160" s="1" t="str">
        <f ca="1">IFERROR(__xludf.DUMMYFUNCTION("""COMPUTED_VALUE"""),"36,55")</f>
        <v>36,55</v>
      </c>
      <c r="E160" s="1" t="str">
        <f ca="1">IFERROR(__xludf.DUMMYFUNCTION("""COMPUTED_VALUE"""),"Доронов Алексей Николаевич")</f>
        <v>Доронов Алексей Николаевич</v>
      </c>
      <c r="F160" s="1" t="str">
        <f ca="1">IFERROR(__xludf.DUMMYFUNCTION("""COMPUTED_VALUE"""),"SHACMAN")</f>
        <v>SHACMAN</v>
      </c>
      <c r="G160" s="1" t="str">
        <f ca="1">IFERROR(__xludf.DUMMYFUNCTION("""COMPUTED_VALUE"""),"У645ВО774")</f>
        <v>У645ВО774</v>
      </c>
      <c r="H16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60" s="1" t="str">
        <f ca="1">IFERROR(__xludf.DUMMYFUNCTION("""COMPUTED_VALUE"""),"г. Гай, ПАО ""Гайский ГОК""")</f>
        <v>г. Гай, ПАО "Гайский ГОК"</v>
      </c>
      <c r="J160" s="1" t="str">
        <f ca="1">IFERROR(__xludf.DUMMYFUNCTION("""COMPUTED_VALUE"""),"37,350")</f>
        <v>37,350</v>
      </c>
      <c r="K160" s="1" t="str">
        <f ca="1">IFERROR(__xludf.DUMMYFUNCTION("""COMPUTED_VALUE"""),"Башкирская Медь")</f>
        <v>Башкирская Медь</v>
      </c>
    </row>
    <row r="161" spans="1:11" ht="13" x14ac:dyDescent="0.3">
      <c r="A161" s="1" t="str">
        <f ca="1">IFERROR(__xludf.DUMMYFUNCTION("""COMPUTED_VALUE"""),"101663")</f>
        <v>101663</v>
      </c>
      <c r="B161" s="1" t="str">
        <f ca="1">IFERROR(__xludf.DUMMYFUNCTION("""COMPUTED_VALUE"""),"04.03.2024")</f>
        <v>04.03.2024</v>
      </c>
      <c r="C161" s="1" t="str">
        <f ca="1">IFERROR(__xludf.DUMMYFUNCTION("""COMPUTED_VALUE"""),"Щебень 5-20")</f>
        <v>Щебень 5-20</v>
      </c>
      <c r="D161" s="1" t="str">
        <f ca="1">IFERROR(__xludf.DUMMYFUNCTION("""COMPUTED_VALUE"""),"30,54")</f>
        <v>30,54</v>
      </c>
      <c r="E161" s="1" t="str">
        <f ca="1">IFERROR(__xludf.DUMMYFUNCTION("""COMPUTED_VALUE"""),"Котов Иван Эдуардович")</f>
        <v>Котов Иван Эдуардович</v>
      </c>
      <c r="F161" s="1" t="str">
        <f ca="1">IFERROR(__xludf.DUMMYFUNCTION("""COMPUTED_VALUE"""),"HOWO")</f>
        <v>HOWO</v>
      </c>
      <c r="G161" s="1" t="str">
        <f ca="1">IFERROR(__xludf.DUMMYFUNCTION("""COMPUTED_VALUE"""),"В732АО774")</f>
        <v>В732АО774</v>
      </c>
      <c r="H161" s="1" t="str">
        <f ca="1">IFERROR(__xludf.DUMMYFUNCTION("""COMPUTED_VALUE"""),"г. Магнитогорск, КПП № 23 ПАО ""ММК""")</f>
        <v>г. Магнитогорск, КПП № 23 ПАО "ММК"</v>
      </c>
      <c r="I161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1" s="1" t="str">
        <f ca="1">IFERROR(__xludf.DUMMYFUNCTION("""COMPUTED_VALUE"""),"30,54")</f>
        <v>30,54</v>
      </c>
      <c r="K161" s="1" t="str">
        <f ca="1">IFERROR(__xludf.DUMMYFUNCTION("""COMPUTED_VALUE"""),"ПрокатМонтаж")</f>
        <v>ПрокатМонтаж</v>
      </c>
    </row>
    <row r="162" spans="1:11" ht="13" x14ac:dyDescent="0.3">
      <c r="A162" s="1" t="str">
        <f ca="1">IFERROR(__xludf.DUMMYFUNCTION("""COMPUTED_VALUE"""),"101654")</f>
        <v>101654</v>
      </c>
      <c r="B162" s="1" t="str">
        <f ca="1">IFERROR(__xludf.DUMMYFUNCTION("""COMPUTED_VALUE"""),"04.03.2024")</f>
        <v>04.03.2024</v>
      </c>
      <c r="C162" s="1" t="str">
        <f ca="1">IFERROR(__xludf.DUMMYFUNCTION("""COMPUTED_VALUE"""),"Щебень 5-20")</f>
        <v>Щебень 5-20</v>
      </c>
      <c r="D162" s="1" t="str">
        <f ca="1">IFERROR(__xludf.DUMMYFUNCTION("""COMPUTED_VALUE"""),"30,40")</f>
        <v>30,40</v>
      </c>
      <c r="E162" s="1" t="str">
        <f ca="1">IFERROR(__xludf.DUMMYFUNCTION("""COMPUTED_VALUE"""),"Котов Иван Эдуардович")</f>
        <v>Котов Иван Эдуардович</v>
      </c>
      <c r="F162" s="1" t="str">
        <f ca="1">IFERROR(__xludf.DUMMYFUNCTION("""COMPUTED_VALUE"""),"HOWO")</f>
        <v>HOWO</v>
      </c>
      <c r="G162" s="1" t="str">
        <f ca="1">IFERROR(__xludf.DUMMYFUNCTION("""COMPUTED_VALUE"""),"В732АО774")</f>
        <v>В732АО774</v>
      </c>
      <c r="H162" s="1" t="str">
        <f ca="1">IFERROR(__xludf.DUMMYFUNCTION("""COMPUTED_VALUE"""),"г. Магнитогорск, КПП № 23 ПАО ""ММК""")</f>
        <v>г. Магнитогорск, КПП № 23 ПАО "ММК"</v>
      </c>
      <c r="I16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2" s="1" t="str">
        <f ca="1">IFERROR(__xludf.DUMMYFUNCTION("""COMPUTED_VALUE"""),"30,40")</f>
        <v>30,40</v>
      </c>
      <c r="K162" s="1" t="str">
        <f ca="1">IFERROR(__xludf.DUMMYFUNCTION("""COMPUTED_VALUE"""),"ПрокатМонтаж")</f>
        <v>ПрокатМонтаж</v>
      </c>
    </row>
    <row r="163" spans="1:11" ht="13" x14ac:dyDescent="0.3">
      <c r="A163" s="1" t="str">
        <f ca="1">IFERROR(__xludf.DUMMYFUNCTION("""COMPUTED_VALUE"""),"101646")</f>
        <v>101646</v>
      </c>
      <c r="B163" s="1" t="str">
        <f ca="1">IFERROR(__xludf.DUMMYFUNCTION("""COMPUTED_VALUE"""),"04.03.2024")</f>
        <v>04.03.2024</v>
      </c>
      <c r="C163" s="1" t="str">
        <f ca="1">IFERROR(__xludf.DUMMYFUNCTION("""COMPUTED_VALUE"""),"Щебень 5-20")</f>
        <v>Щебень 5-20</v>
      </c>
      <c r="D163" s="1" t="str">
        <f ca="1">IFERROR(__xludf.DUMMYFUNCTION("""COMPUTED_VALUE"""),"29,46")</f>
        <v>29,46</v>
      </c>
      <c r="E163" s="1" t="str">
        <f ca="1">IFERROR(__xludf.DUMMYFUNCTION("""COMPUTED_VALUE"""),"Котов Иван Эдуардович")</f>
        <v>Котов Иван Эдуардович</v>
      </c>
      <c r="F163" s="1" t="str">
        <f ca="1">IFERROR(__xludf.DUMMYFUNCTION("""COMPUTED_VALUE"""),"HOWO")</f>
        <v>HOWO</v>
      </c>
      <c r="G163" s="1" t="str">
        <f ca="1">IFERROR(__xludf.DUMMYFUNCTION("""COMPUTED_VALUE"""),"В732АО774")</f>
        <v>В732АО774</v>
      </c>
      <c r="H163" s="1" t="str">
        <f ca="1">IFERROR(__xludf.DUMMYFUNCTION("""COMPUTED_VALUE"""),"г. Магнитогорск, КПП № 23 ПАО ""ММК""")</f>
        <v>г. Магнитогорск, КПП № 23 ПАО "ММК"</v>
      </c>
      <c r="I163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3" s="1" t="str">
        <f ca="1">IFERROR(__xludf.DUMMYFUNCTION("""COMPUTED_VALUE"""),"29,46")</f>
        <v>29,46</v>
      </c>
      <c r="K163" s="1" t="str">
        <f ca="1">IFERROR(__xludf.DUMMYFUNCTION("""COMPUTED_VALUE"""),"ПрокатМонтаж")</f>
        <v>ПрокатМонтаж</v>
      </c>
    </row>
    <row r="164" spans="1:11" ht="13" x14ac:dyDescent="0.3">
      <c r="A164" s="1" t="str">
        <f ca="1">IFERROR(__xludf.DUMMYFUNCTION("""COMPUTED_VALUE"""),"101638")</f>
        <v>101638</v>
      </c>
      <c r="B164" s="1" t="str">
        <f ca="1">IFERROR(__xludf.DUMMYFUNCTION("""COMPUTED_VALUE"""),"04.03.2024")</f>
        <v>04.03.2024</v>
      </c>
      <c r="C164" s="1" t="str">
        <f ca="1">IFERROR(__xludf.DUMMYFUNCTION("""COMPUTED_VALUE"""),"Щебень 5-20")</f>
        <v>Щебень 5-20</v>
      </c>
      <c r="D164" s="1" t="str">
        <f ca="1">IFERROR(__xludf.DUMMYFUNCTION("""COMPUTED_VALUE"""),"30,00")</f>
        <v>30,00</v>
      </c>
      <c r="E164" s="1" t="str">
        <f ca="1">IFERROR(__xludf.DUMMYFUNCTION("""COMPUTED_VALUE"""),"Котов Иван Эдуардович")</f>
        <v>Котов Иван Эдуардович</v>
      </c>
      <c r="F164" s="1" t="str">
        <f ca="1">IFERROR(__xludf.DUMMYFUNCTION("""COMPUTED_VALUE"""),"HOWO")</f>
        <v>HOWO</v>
      </c>
      <c r="G164" s="1" t="str">
        <f ca="1">IFERROR(__xludf.DUMMYFUNCTION("""COMPUTED_VALUE"""),"В732АО774")</f>
        <v>В732АО774</v>
      </c>
      <c r="H164" s="1" t="str">
        <f ca="1">IFERROR(__xludf.DUMMYFUNCTION("""COMPUTED_VALUE"""),"г. Магнитогорск, КПП № 23 ПАО ""ММК""")</f>
        <v>г. Магнитогорск, КПП № 23 ПАО "ММК"</v>
      </c>
      <c r="I164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4" s="1" t="str">
        <f ca="1">IFERROR(__xludf.DUMMYFUNCTION("""COMPUTED_VALUE"""),"30,00")</f>
        <v>30,00</v>
      </c>
      <c r="K164" s="1" t="str">
        <f ca="1">IFERROR(__xludf.DUMMYFUNCTION("""COMPUTED_VALUE"""),"ПрокатМонтаж")</f>
        <v>ПрокатМонтаж</v>
      </c>
    </row>
    <row r="165" spans="1:11" ht="13" x14ac:dyDescent="0.3">
      <c r="A165" s="1" t="str">
        <f ca="1">IFERROR(__xludf.DUMMYFUNCTION("""COMPUTED_VALUE"""),"101639")</f>
        <v>101639</v>
      </c>
      <c r="B165" s="1" t="str">
        <f ca="1">IFERROR(__xludf.DUMMYFUNCTION("""COMPUTED_VALUE"""),"04.03.2024")</f>
        <v>04.03.2024</v>
      </c>
      <c r="C165" s="1" t="str">
        <f ca="1">IFERROR(__xludf.DUMMYFUNCTION("""COMPUTED_VALUE"""),"Щебень 5-20")</f>
        <v>Щебень 5-20</v>
      </c>
      <c r="D165" s="1" t="str">
        <f ca="1">IFERROR(__xludf.DUMMYFUNCTION("""COMPUTED_VALUE"""),"30,08")</f>
        <v>30,08</v>
      </c>
      <c r="E165" s="1" t="str">
        <f ca="1">IFERROR(__xludf.DUMMYFUNCTION("""COMPUTED_VALUE"""),"Ефремов Сергей Михайлович")</f>
        <v>Ефремов Сергей Михайлович</v>
      </c>
      <c r="F165" s="1" t="str">
        <f ca="1">IFERROR(__xludf.DUMMYFUNCTION("""COMPUTED_VALUE"""),"JAC")</f>
        <v>JAC</v>
      </c>
      <c r="G165" s="1" t="str">
        <f ca="1">IFERROR(__xludf.DUMMYFUNCTION("""COMPUTED_VALUE"""),"М648ВА774")</f>
        <v>М648ВА774</v>
      </c>
      <c r="H165" s="1" t="str">
        <f ca="1">IFERROR(__xludf.DUMMYFUNCTION("""COMPUTED_VALUE"""),"г. Магнитогорск, КПП № 23 ПАО ""ММК""")</f>
        <v>г. Магнитогорск, КПП № 23 ПАО "ММК"</v>
      </c>
      <c r="I165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5" s="1" t="str">
        <f ca="1">IFERROR(__xludf.DUMMYFUNCTION("""COMPUTED_VALUE"""),"30,08")</f>
        <v>30,08</v>
      </c>
      <c r="K165" s="1" t="str">
        <f ca="1">IFERROR(__xludf.DUMMYFUNCTION("""COMPUTED_VALUE"""),"ПрокатМонтаж")</f>
        <v>ПрокатМонтаж</v>
      </c>
    </row>
    <row r="166" spans="1:11" ht="13" x14ac:dyDescent="0.3">
      <c r="A166" s="1" t="str">
        <f ca="1">IFERROR(__xludf.DUMMYFUNCTION("""COMPUTED_VALUE"""),"101647")</f>
        <v>101647</v>
      </c>
      <c r="B166" s="1" t="str">
        <f ca="1">IFERROR(__xludf.DUMMYFUNCTION("""COMPUTED_VALUE"""),"04.03.2024")</f>
        <v>04.03.2024</v>
      </c>
      <c r="C166" s="1" t="str">
        <f ca="1">IFERROR(__xludf.DUMMYFUNCTION("""COMPUTED_VALUE"""),"Щебень 5-20")</f>
        <v>Щебень 5-20</v>
      </c>
      <c r="D166" s="1" t="str">
        <f ca="1">IFERROR(__xludf.DUMMYFUNCTION("""COMPUTED_VALUE"""),"30,20")</f>
        <v>30,20</v>
      </c>
      <c r="E166" s="1" t="str">
        <f ca="1">IFERROR(__xludf.DUMMYFUNCTION("""COMPUTED_VALUE"""),"Ефремов Сергей Михайлович")</f>
        <v>Ефремов Сергей Михайлович</v>
      </c>
      <c r="F166" s="1" t="str">
        <f ca="1">IFERROR(__xludf.DUMMYFUNCTION("""COMPUTED_VALUE"""),"JAC")</f>
        <v>JAC</v>
      </c>
      <c r="G166" s="1" t="str">
        <f ca="1">IFERROR(__xludf.DUMMYFUNCTION("""COMPUTED_VALUE"""),"М648ВА774")</f>
        <v>М648ВА774</v>
      </c>
      <c r="H166" s="1" t="str">
        <f ca="1">IFERROR(__xludf.DUMMYFUNCTION("""COMPUTED_VALUE"""),"г. Магнитогорск, КПП № 23 ПАО ""ММК""")</f>
        <v>г. Магнитогорск, КПП № 23 ПАО "ММК"</v>
      </c>
      <c r="I166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6" s="1" t="str">
        <f ca="1">IFERROR(__xludf.DUMMYFUNCTION("""COMPUTED_VALUE"""),"30,20")</f>
        <v>30,20</v>
      </c>
      <c r="K166" s="1" t="str">
        <f ca="1">IFERROR(__xludf.DUMMYFUNCTION("""COMPUTED_VALUE"""),"ПрокатМонтаж")</f>
        <v>ПрокатМонтаж</v>
      </c>
    </row>
    <row r="167" spans="1:11" ht="13" x14ac:dyDescent="0.3">
      <c r="A167" s="1" t="str">
        <f ca="1">IFERROR(__xludf.DUMMYFUNCTION("""COMPUTED_VALUE"""),"101655")</f>
        <v>101655</v>
      </c>
      <c r="B167" s="1" t="str">
        <f ca="1">IFERROR(__xludf.DUMMYFUNCTION("""COMPUTED_VALUE"""),"04.03.2024")</f>
        <v>04.03.2024</v>
      </c>
      <c r="C167" s="1" t="str">
        <f ca="1">IFERROR(__xludf.DUMMYFUNCTION("""COMPUTED_VALUE"""),"Щебень 5-20")</f>
        <v>Щебень 5-20</v>
      </c>
      <c r="D167" s="1" t="str">
        <f ca="1">IFERROR(__xludf.DUMMYFUNCTION("""COMPUTED_VALUE"""),"31,08")</f>
        <v>31,08</v>
      </c>
      <c r="E167" s="1" t="str">
        <f ca="1">IFERROR(__xludf.DUMMYFUNCTION("""COMPUTED_VALUE"""),"Ефремов Сергей Михайлович")</f>
        <v>Ефремов Сергей Михайлович</v>
      </c>
      <c r="F167" s="1" t="str">
        <f ca="1">IFERROR(__xludf.DUMMYFUNCTION("""COMPUTED_VALUE"""),"JAC")</f>
        <v>JAC</v>
      </c>
      <c r="G167" s="1" t="str">
        <f ca="1">IFERROR(__xludf.DUMMYFUNCTION("""COMPUTED_VALUE"""),"М648ВА774")</f>
        <v>М648ВА774</v>
      </c>
      <c r="H167" s="1" t="str">
        <f ca="1">IFERROR(__xludf.DUMMYFUNCTION("""COMPUTED_VALUE"""),"г. Магнитогорск, КПП № 23 ПАО ""ММК""")</f>
        <v>г. Магнитогорск, КПП № 23 ПАО "ММК"</v>
      </c>
      <c r="I167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7" s="1" t="str">
        <f ca="1">IFERROR(__xludf.DUMMYFUNCTION("""COMPUTED_VALUE"""),"31,08")</f>
        <v>31,08</v>
      </c>
      <c r="K167" s="1" t="str">
        <f ca="1">IFERROR(__xludf.DUMMYFUNCTION("""COMPUTED_VALUE"""),"ПрокатМонтаж")</f>
        <v>ПрокатМонтаж</v>
      </c>
    </row>
    <row r="168" spans="1:11" ht="13" x14ac:dyDescent="0.3">
      <c r="A168" s="1" t="str">
        <f ca="1">IFERROR(__xludf.DUMMYFUNCTION("""COMPUTED_VALUE"""),"101664")</f>
        <v>101664</v>
      </c>
      <c r="B168" s="1" t="str">
        <f ca="1">IFERROR(__xludf.DUMMYFUNCTION("""COMPUTED_VALUE"""),"04.03.2024")</f>
        <v>04.03.2024</v>
      </c>
      <c r="C168" s="1" t="str">
        <f ca="1">IFERROR(__xludf.DUMMYFUNCTION("""COMPUTED_VALUE"""),"Щебень 5-20")</f>
        <v>Щебень 5-20</v>
      </c>
      <c r="D168" s="1" t="str">
        <f ca="1">IFERROR(__xludf.DUMMYFUNCTION("""COMPUTED_VALUE"""),"30,74")</f>
        <v>30,74</v>
      </c>
      <c r="E168" s="1" t="str">
        <f ca="1">IFERROR(__xludf.DUMMYFUNCTION("""COMPUTED_VALUE"""),"Ефремов Сергей Михайлович")</f>
        <v>Ефремов Сергей Михайлович</v>
      </c>
      <c r="F168" s="1" t="str">
        <f ca="1">IFERROR(__xludf.DUMMYFUNCTION("""COMPUTED_VALUE"""),"JAC")</f>
        <v>JAC</v>
      </c>
      <c r="G168" s="1" t="str">
        <f ca="1">IFERROR(__xludf.DUMMYFUNCTION("""COMPUTED_VALUE"""),"М648ВА774")</f>
        <v>М648ВА774</v>
      </c>
      <c r="H168" s="1" t="str">
        <f ca="1">IFERROR(__xludf.DUMMYFUNCTION("""COMPUTED_VALUE"""),"г. Магнитогорск, КПП № 23 ПАО ""ММК""")</f>
        <v>г. Магнитогорск, КПП № 23 ПАО "ММК"</v>
      </c>
      <c r="I168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8" s="1" t="str">
        <f ca="1">IFERROR(__xludf.DUMMYFUNCTION("""COMPUTED_VALUE"""),"30,74")</f>
        <v>30,74</v>
      </c>
      <c r="K168" s="1" t="str">
        <f ca="1">IFERROR(__xludf.DUMMYFUNCTION("""COMPUTED_VALUE"""),"ПрокатМонтаж")</f>
        <v>ПрокатМонтаж</v>
      </c>
    </row>
    <row r="169" spans="1:11" ht="13" x14ac:dyDescent="0.3">
      <c r="A169" s="1" t="str">
        <f ca="1">IFERROR(__xludf.DUMMYFUNCTION("""COMPUTED_VALUE"""),"791")</f>
        <v>791</v>
      </c>
      <c r="B169" s="1" t="str">
        <f ca="1">IFERROR(__xludf.DUMMYFUNCTION("""COMPUTED_VALUE"""),"04.03.2024")</f>
        <v>04.03.2024</v>
      </c>
      <c r="C169" s="1" t="str">
        <f ca="1">IFERROR(__xludf.DUMMYFUNCTION("""COMPUTED_VALUE"""),"Песок")</f>
        <v>Песок</v>
      </c>
      <c r="D169" s="1" t="str">
        <f ca="1">IFERROR(__xludf.DUMMYFUNCTION("""COMPUTED_VALUE"""),"31,95")</f>
        <v>31,95</v>
      </c>
      <c r="E169" s="1" t="str">
        <f ca="1">IFERROR(__xludf.DUMMYFUNCTION("""COMPUTED_VALUE"""),"Атаман Кирилл Анатольевич")</f>
        <v>Атаман Кирилл Анатольевич</v>
      </c>
      <c r="F169" s="1" t="str">
        <f ca="1">IFERROR(__xludf.DUMMYFUNCTION("""COMPUTED_VALUE"""),"FAW")</f>
        <v>FAW</v>
      </c>
      <c r="G169" s="1" t="str">
        <f ca="1">IFERROR(__xludf.DUMMYFUNCTION("""COMPUTED_VALUE"""),"Н504КК774")</f>
        <v>Н504КК774</v>
      </c>
      <c r="H169" s="1" t="str">
        <f ca="1">IFERROR(__xludf.DUMMYFUNCTION("""COMPUTED_VALUE"""),"Карьер Трест МС, п. Агаповка")</f>
        <v>Карьер Трест МС, п. Агаповка</v>
      </c>
      <c r="I169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69" s="1" t="str">
        <f ca="1">IFERROR(__xludf.DUMMYFUNCTION("""COMPUTED_VALUE"""),"31,95")</f>
        <v>31,95</v>
      </c>
      <c r="K169" s="1" t="str">
        <f ca="1">IFERROR(__xludf.DUMMYFUNCTION("""COMPUTED_VALUE"""),"ПрокатМонтаж")</f>
        <v>ПрокатМонтаж</v>
      </c>
    </row>
    <row r="170" spans="1:11" ht="13" x14ac:dyDescent="0.3">
      <c r="A170" s="1" t="str">
        <f ca="1">IFERROR(__xludf.DUMMYFUNCTION("""COMPUTED_VALUE"""),"808")</f>
        <v>808</v>
      </c>
      <c r="B170" s="1" t="str">
        <f ca="1">IFERROR(__xludf.DUMMYFUNCTION("""COMPUTED_VALUE"""),"04.03.2024")</f>
        <v>04.03.2024</v>
      </c>
      <c r="C170" s="1" t="str">
        <f ca="1">IFERROR(__xludf.DUMMYFUNCTION("""COMPUTED_VALUE"""),"Песок")</f>
        <v>Песок</v>
      </c>
      <c r="D170" s="1" t="str">
        <f ca="1">IFERROR(__xludf.DUMMYFUNCTION("""COMPUTED_VALUE"""),"30,85")</f>
        <v>30,85</v>
      </c>
      <c r="E170" s="1" t="str">
        <f ca="1">IFERROR(__xludf.DUMMYFUNCTION("""COMPUTED_VALUE"""),"Атаман Кирилл Анатольевич")</f>
        <v>Атаман Кирилл Анатольевич</v>
      </c>
      <c r="F170" s="1" t="str">
        <f ca="1">IFERROR(__xludf.DUMMYFUNCTION("""COMPUTED_VALUE"""),"FAW")</f>
        <v>FAW</v>
      </c>
      <c r="G170" s="1" t="str">
        <f ca="1">IFERROR(__xludf.DUMMYFUNCTION("""COMPUTED_VALUE"""),"Н504КК774")</f>
        <v>Н504КК774</v>
      </c>
      <c r="H170" s="1" t="str">
        <f ca="1">IFERROR(__xludf.DUMMYFUNCTION("""COMPUTED_VALUE"""),"Карьер Трест МС, п. Агаповка")</f>
        <v>Карьер Трест МС, п. Агаповка</v>
      </c>
      <c r="I170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70" s="1" t="str">
        <f ca="1">IFERROR(__xludf.DUMMYFUNCTION("""COMPUTED_VALUE"""),"30,85")</f>
        <v>30,85</v>
      </c>
      <c r="K170" s="1" t="str">
        <f ca="1">IFERROR(__xludf.DUMMYFUNCTION("""COMPUTED_VALUE"""),"ПрокатМонтаж")</f>
        <v>ПрокатМонтаж</v>
      </c>
    </row>
    <row r="171" spans="1:11" ht="13" x14ac:dyDescent="0.3">
      <c r="A171" s="1" t="str">
        <f ca="1">IFERROR(__xludf.DUMMYFUNCTION("""COMPUTED_VALUE"""),"820")</f>
        <v>820</v>
      </c>
      <c r="B171" s="1" t="str">
        <f ca="1">IFERROR(__xludf.DUMMYFUNCTION("""COMPUTED_VALUE"""),"04.03.2024")</f>
        <v>04.03.2024</v>
      </c>
      <c r="C171" s="1" t="str">
        <f ca="1">IFERROR(__xludf.DUMMYFUNCTION("""COMPUTED_VALUE"""),"Песок")</f>
        <v>Песок</v>
      </c>
      <c r="D171" s="1" t="str">
        <f ca="1">IFERROR(__xludf.DUMMYFUNCTION("""COMPUTED_VALUE"""),"33,40")</f>
        <v>33,40</v>
      </c>
      <c r="E171" s="1" t="str">
        <f ca="1">IFERROR(__xludf.DUMMYFUNCTION("""COMPUTED_VALUE"""),"Атаман Кирилл Анатольевич")</f>
        <v>Атаман Кирилл Анатольевич</v>
      </c>
      <c r="F171" s="1" t="str">
        <f ca="1">IFERROR(__xludf.DUMMYFUNCTION("""COMPUTED_VALUE"""),"FAW")</f>
        <v>FAW</v>
      </c>
      <c r="G171" s="1" t="str">
        <f ca="1">IFERROR(__xludf.DUMMYFUNCTION("""COMPUTED_VALUE"""),"Н504КК774")</f>
        <v>Н504КК774</v>
      </c>
      <c r="H171" s="1" t="str">
        <f ca="1">IFERROR(__xludf.DUMMYFUNCTION("""COMPUTED_VALUE"""),"Карьер Трест МС, п. Агаповка")</f>
        <v>Карьер Трест МС, п. Агаповка</v>
      </c>
      <c r="I171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71" s="1" t="str">
        <f ca="1">IFERROR(__xludf.DUMMYFUNCTION("""COMPUTED_VALUE"""),"33,40")</f>
        <v>33,40</v>
      </c>
      <c r="K171" s="1" t="str">
        <f ca="1">IFERROR(__xludf.DUMMYFUNCTION("""COMPUTED_VALUE"""),"ПрокатМонтаж")</f>
        <v>ПрокатМонтаж</v>
      </c>
    </row>
    <row r="172" spans="1:11" ht="13" x14ac:dyDescent="0.3">
      <c r="A172" s="1" t="str">
        <f ca="1">IFERROR(__xludf.DUMMYFUNCTION("""COMPUTED_VALUE"""),"788")</f>
        <v>788</v>
      </c>
      <c r="B172" s="1" t="str">
        <f ca="1">IFERROR(__xludf.DUMMYFUNCTION("""COMPUTED_VALUE"""),"04.03.2024")</f>
        <v>04.03.2024</v>
      </c>
      <c r="C172" s="1" t="str">
        <f ca="1">IFERROR(__xludf.DUMMYFUNCTION("""COMPUTED_VALUE"""),"Песок")</f>
        <v>Песок</v>
      </c>
      <c r="D172" s="1" t="str">
        <f ca="1">IFERROR(__xludf.DUMMYFUNCTION("""COMPUTED_VALUE"""),"45,75")</f>
        <v>45,75</v>
      </c>
      <c r="E172" s="1" t="str">
        <f ca="1">IFERROR(__xludf.DUMMYFUNCTION("""COMPUTED_VALUE"""),"Нургалин Ильшат Абдулхакович")</f>
        <v>Нургалин Ильшат Абдулхакович</v>
      </c>
      <c r="F172" s="1" t="str">
        <f ca="1">IFERROR(__xludf.DUMMYFUNCTION("""COMPUTED_VALUE"""),"FAW")</f>
        <v>FAW</v>
      </c>
      <c r="G172" s="1" t="str">
        <f ca="1">IFERROR(__xludf.DUMMYFUNCTION("""COMPUTED_VALUE"""),"Т951КМ774")</f>
        <v>Т951КМ774</v>
      </c>
      <c r="H172" s="1" t="str">
        <f ca="1">IFERROR(__xludf.DUMMYFUNCTION("""COMPUTED_VALUE"""),"Карьер Трест МС, п. Агаповка")</f>
        <v>Карьер Трест МС, п. Агаповка</v>
      </c>
      <c r="I17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72" s="1" t="str">
        <f ca="1">IFERROR(__xludf.DUMMYFUNCTION("""COMPUTED_VALUE"""),"45,75")</f>
        <v>45,75</v>
      </c>
      <c r="K172" s="1" t="str">
        <f ca="1">IFERROR(__xludf.DUMMYFUNCTION("""COMPUTED_VALUE"""),"ПрокатМонтаж")</f>
        <v>ПрокатМонтаж</v>
      </c>
    </row>
    <row r="173" spans="1:11" ht="13" x14ac:dyDescent="0.3">
      <c r="A173" s="1" t="str">
        <f ca="1">IFERROR(__xludf.DUMMYFUNCTION("""COMPUTED_VALUE"""),"809")</f>
        <v>809</v>
      </c>
      <c r="B173" s="1" t="str">
        <f ca="1">IFERROR(__xludf.DUMMYFUNCTION("""COMPUTED_VALUE"""),"04.03.2024")</f>
        <v>04.03.2024</v>
      </c>
      <c r="C173" s="1" t="str">
        <f ca="1">IFERROR(__xludf.DUMMYFUNCTION("""COMPUTED_VALUE"""),"Песок")</f>
        <v>Песок</v>
      </c>
      <c r="D173" s="1" t="str">
        <f ca="1">IFERROR(__xludf.DUMMYFUNCTION("""COMPUTED_VALUE"""),"43,00")</f>
        <v>43,00</v>
      </c>
      <c r="E173" s="1" t="str">
        <f ca="1">IFERROR(__xludf.DUMMYFUNCTION("""COMPUTED_VALUE"""),"Нургалин Ильшат Абдулхакович")</f>
        <v>Нургалин Ильшат Абдулхакович</v>
      </c>
      <c r="F173" s="1" t="str">
        <f ca="1">IFERROR(__xludf.DUMMYFUNCTION("""COMPUTED_VALUE"""),"FAW")</f>
        <v>FAW</v>
      </c>
      <c r="G173" s="1" t="str">
        <f ca="1">IFERROR(__xludf.DUMMYFUNCTION("""COMPUTED_VALUE"""),"Т951КМ774")</f>
        <v>Т951КМ774</v>
      </c>
      <c r="H173" s="1" t="str">
        <f ca="1">IFERROR(__xludf.DUMMYFUNCTION("""COMPUTED_VALUE"""),"Карьер Трест МС, п. Агаповка")</f>
        <v>Карьер Трест МС, п. Агаповка</v>
      </c>
      <c r="I173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73" s="1" t="str">
        <f ca="1">IFERROR(__xludf.DUMMYFUNCTION("""COMPUTED_VALUE"""),"43,00")</f>
        <v>43,00</v>
      </c>
      <c r="K173" s="1" t="str">
        <f ca="1">IFERROR(__xludf.DUMMYFUNCTION("""COMPUTED_VALUE"""),"ПрокатМонтаж")</f>
        <v>ПрокатМонтаж</v>
      </c>
    </row>
    <row r="174" spans="1:11" ht="13" x14ac:dyDescent="0.3">
      <c r="A174" s="1" t="str">
        <f ca="1">IFERROR(__xludf.DUMMYFUNCTION("""COMPUTED_VALUE"""),"821")</f>
        <v>821</v>
      </c>
      <c r="B174" s="1" t="str">
        <f ca="1">IFERROR(__xludf.DUMMYFUNCTION("""COMPUTED_VALUE"""),"04.03.2024")</f>
        <v>04.03.2024</v>
      </c>
      <c r="C174" s="1" t="str">
        <f ca="1">IFERROR(__xludf.DUMMYFUNCTION("""COMPUTED_VALUE"""),"Песок")</f>
        <v>Песок</v>
      </c>
      <c r="D174" s="1" t="str">
        <f ca="1">IFERROR(__xludf.DUMMYFUNCTION("""COMPUTED_VALUE"""),"44,15")</f>
        <v>44,15</v>
      </c>
      <c r="E174" s="1" t="str">
        <f ca="1">IFERROR(__xludf.DUMMYFUNCTION("""COMPUTED_VALUE"""),"Нургалин Ильшат Абдулхакович")</f>
        <v>Нургалин Ильшат Абдулхакович</v>
      </c>
      <c r="F174" s="1" t="str">
        <f ca="1">IFERROR(__xludf.DUMMYFUNCTION("""COMPUTED_VALUE"""),"FAW")</f>
        <v>FAW</v>
      </c>
      <c r="G174" s="1" t="str">
        <f ca="1">IFERROR(__xludf.DUMMYFUNCTION("""COMPUTED_VALUE"""),"Т951КМ774")</f>
        <v>Т951КМ774</v>
      </c>
      <c r="H174" s="1" t="str">
        <f ca="1">IFERROR(__xludf.DUMMYFUNCTION("""COMPUTED_VALUE"""),"Карьер Трест МС, п. Агаповка")</f>
        <v>Карьер Трест МС, п. Агаповка</v>
      </c>
      <c r="I174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174" s="1" t="str">
        <f ca="1">IFERROR(__xludf.DUMMYFUNCTION("""COMPUTED_VALUE"""),"44,15")</f>
        <v>44,15</v>
      </c>
      <c r="K174" s="1" t="str">
        <f ca="1">IFERROR(__xludf.DUMMYFUNCTION("""COMPUTED_VALUE"""),"ПрокатМонтаж")</f>
        <v>ПрокатМонтаж</v>
      </c>
    </row>
    <row r="175" spans="1:11" ht="13" x14ac:dyDescent="0.3">
      <c r="A175" s="1" t="str">
        <f ca="1">IFERROR(__xludf.DUMMYFUNCTION("""COMPUTED_VALUE"""),"2538")</f>
        <v>2538</v>
      </c>
      <c r="B175" s="1" t="str">
        <f ca="1">IFERROR(__xludf.DUMMYFUNCTION("""COMPUTED_VALUE"""),"04.03.2024")</f>
        <v>04.03.2024</v>
      </c>
      <c r="C175" s="1" t="str">
        <f ca="1">IFERROR(__xludf.DUMMYFUNCTION("""COMPUTED_VALUE"""),"глина огнеупорная")</f>
        <v>глина огнеупорная</v>
      </c>
      <c r="D175" s="1" t="str">
        <f ca="1">IFERROR(__xludf.DUMMYFUNCTION("""COMPUTED_VALUE"""),"34,58")</f>
        <v>34,58</v>
      </c>
      <c r="E175" s="1" t="str">
        <f ca="1">IFERROR(__xludf.DUMMYFUNCTION("""COMPUTED_VALUE"""),"Поликарпов Константин Юрьевич")</f>
        <v>Поликарпов Константин Юрьевич</v>
      </c>
      <c r="F175" s="1" t="str">
        <f ca="1">IFERROR(__xludf.DUMMYFUNCTION("""COMPUTED_VALUE"""),"FAW")</f>
        <v>FAW</v>
      </c>
      <c r="G175" s="1" t="str">
        <f ca="1">IFERROR(__xludf.DUMMYFUNCTION("""COMPUTED_VALUE"""),"С621КМ774")</f>
        <v>С621КМ774</v>
      </c>
      <c r="H175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17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175" s="1" t="str">
        <f ca="1">IFERROR(__xludf.DUMMYFUNCTION("""COMPUTED_VALUE"""),"34,58")</f>
        <v>34,58</v>
      </c>
      <c r="K175" s="1" t="str">
        <f ca="1">IFERROR(__xludf.DUMMYFUNCTION("""COMPUTED_VALUE"""),"АТУ")</f>
        <v>АТУ</v>
      </c>
    </row>
    <row r="176" spans="1:11" ht="13" x14ac:dyDescent="0.3">
      <c r="A176" s="1" t="str">
        <f ca="1">IFERROR(__xludf.DUMMYFUNCTION("""COMPUTED_VALUE"""),"75")</f>
        <v>75</v>
      </c>
      <c r="B176" s="1" t="str">
        <f ca="1">IFERROR(__xludf.DUMMYFUNCTION("""COMPUTED_VALUE"""),"04.03.2024")</f>
        <v>04.03.2024</v>
      </c>
      <c r="C176" s="1" t="str">
        <f ca="1">IFERROR(__xludf.DUMMYFUNCTION("""COMPUTED_VALUE"""),"Руда")</f>
        <v>Руда</v>
      </c>
      <c r="D176" s="1" t="str">
        <f ca="1">IFERROR(__xludf.DUMMYFUNCTION("""COMPUTED_VALUE"""),"40,65")</f>
        <v>40,65</v>
      </c>
      <c r="E176" s="1" t="str">
        <f ca="1">IFERROR(__xludf.DUMMYFUNCTION("""COMPUTED_VALUE"""),"Ершов Дмитрий Андреевич")</f>
        <v>Ершов Дмитрий Андреевич</v>
      </c>
      <c r="F176" s="1" t="str">
        <f ca="1">IFERROR(__xludf.DUMMYFUNCTION("""COMPUTED_VALUE"""),"HOWO")</f>
        <v>HOWO</v>
      </c>
      <c r="G176" s="1" t="str">
        <f ca="1">IFERROR(__xludf.DUMMYFUNCTION("""COMPUTED_VALUE"""),"Н953ВР774")</f>
        <v>Н953ВР774</v>
      </c>
      <c r="H17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76" s="1" t="str">
        <f ca="1">IFERROR(__xludf.DUMMYFUNCTION("""COMPUTED_VALUE"""),"г. Гай, ПАО ""Гайский ГОК""")</f>
        <v>г. Гай, ПАО "Гайский ГОК"</v>
      </c>
      <c r="J176" s="1" t="str">
        <f ca="1">IFERROR(__xludf.DUMMYFUNCTION("""COMPUTED_VALUE"""),"40,650")</f>
        <v>40,650</v>
      </c>
      <c r="K176" s="1" t="str">
        <f ca="1">IFERROR(__xludf.DUMMYFUNCTION("""COMPUTED_VALUE"""),"Башкирская Медь")</f>
        <v>Башкирская Медь</v>
      </c>
    </row>
    <row r="177" spans="1:11" ht="13" x14ac:dyDescent="0.3">
      <c r="A177" s="1" t="str">
        <f ca="1">IFERROR(__xludf.DUMMYFUNCTION("""COMPUTED_VALUE"""),"72")</f>
        <v>72</v>
      </c>
      <c r="B177" s="1" t="str">
        <f ca="1">IFERROR(__xludf.DUMMYFUNCTION("""COMPUTED_VALUE"""),"04.03.2024")</f>
        <v>04.03.2024</v>
      </c>
      <c r="C177" s="1" t="str">
        <f ca="1">IFERROR(__xludf.DUMMYFUNCTION("""COMPUTED_VALUE"""),"Руда")</f>
        <v>Руда</v>
      </c>
      <c r="D177" s="1" t="str">
        <f ca="1">IFERROR(__xludf.DUMMYFUNCTION("""COMPUTED_VALUE"""),"40,05")</f>
        <v>40,05</v>
      </c>
      <c r="E177" s="1" t="str">
        <f ca="1">IFERROR(__xludf.DUMMYFUNCTION("""COMPUTED_VALUE"""),"Сынгызов Азамат Ишмухаметович")</f>
        <v>Сынгызов Азамат Ишмухаметович</v>
      </c>
      <c r="F177" s="1" t="str">
        <f ca="1">IFERROR(__xludf.DUMMYFUNCTION("""COMPUTED_VALUE"""),"HOWO")</f>
        <v>HOWO</v>
      </c>
      <c r="G177" s="1" t="str">
        <f ca="1">IFERROR(__xludf.DUMMYFUNCTION("""COMPUTED_VALUE"""),"Н929ВР774")</f>
        <v>Н929ВР774</v>
      </c>
      <c r="H17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77" s="1" t="str">
        <f ca="1">IFERROR(__xludf.DUMMYFUNCTION("""COMPUTED_VALUE"""),"г. Гай, ПАО ""Гайский ГОК""")</f>
        <v>г. Гай, ПАО "Гайский ГОК"</v>
      </c>
      <c r="J177" s="1" t="str">
        <f ca="1">IFERROR(__xludf.DUMMYFUNCTION("""COMPUTED_VALUE"""),"40,050")</f>
        <v>40,050</v>
      </c>
      <c r="K177" s="1" t="str">
        <f ca="1">IFERROR(__xludf.DUMMYFUNCTION("""COMPUTED_VALUE"""),"Башкирская Медь")</f>
        <v>Башкирская Медь</v>
      </c>
    </row>
    <row r="178" spans="1:11" ht="13" x14ac:dyDescent="0.3">
      <c r="A178" s="1" t="str">
        <f ca="1">IFERROR(__xludf.DUMMYFUNCTION("""COMPUTED_VALUE"""),"70")</f>
        <v>70</v>
      </c>
      <c r="B178" s="1" t="str">
        <f ca="1">IFERROR(__xludf.DUMMYFUNCTION("""COMPUTED_VALUE"""),"04.03.2024")</f>
        <v>04.03.2024</v>
      </c>
      <c r="C178" s="1" t="str">
        <f ca="1">IFERROR(__xludf.DUMMYFUNCTION("""COMPUTED_VALUE"""),"Руда")</f>
        <v>Руда</v>
      </c>
      <c r="D178" s="1" t="str">
        <f ca="1">IFERROR(__xludf.DUMMYFUNCTION("""COMPUTED_VALUE"""),"38,70")</f>
        <v>38,70</v>
      </c>
      <c r="E178" s="1" t="str">
        <f ca="1">IFERROR(__xludf.DUMMYFUNCTION("""COMPUTED_VALUE"""),"Агумбаев Дмитрий Булатович")</f>
        <v>Агумбаев Дмитрий Булатович</v>
      </c>
      <c r="F178" s="1" t="str">
        <f ca="1">IFERROR(__xludf.DUMMYFUNCTION("""COMPUTED_VALUE"""),"HOWO")</f>
        <v>HOWO</v>
      </c>
      <c r="G178" s="1" t="str">
        <f ca="1">IFERROR(__xludf.DUMMYFUNCTION("""COMPUTED_VALUE"""),"Х374АТ774")</f>
        <v>Х374АТ774</v>
      </c>
      <c r="H17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78" s="1" t="str">
        <f ca="1">IFERROR(__xludf.DUMMYFUNCTION("""COMPUTED_VALUE"""),"г. Гай, ПАО ""Гайский ГОК""")</f>
        <v>г. Гай, ПАО "Гайский ГОК"</v>
      </c>
      <c r="J178" s="1" t="str">
        <f ca="1">IFERROR(__xludf.DUMMYFUNCTION("""COMPUTED_VALUE"""),"38,700")</f>
        <v>38,700</v>
      </c>
      <c r="K178" s="1" t="str">
        <f ca="1">IFERROR(__xludf.DUMMYFUNCTION("""COMPUTED_VALUE"""),"Башкирская Медь")</f>
        <v>Башкирская Медь</v>
      </c>
    </row>
    <row r="179" spans="1:11" ht="13" x14ac:dyDescent="0.3">
      <c r="A179" s="1" t="str">
        <f ca="1">IFERROR(__xludf.DUMMYFUNCTION("""COMPUTED_VALUE"""),"69")</f>
        <v>69</v>
      </c>
      <c r="B179" s="1" t="str">
        <f ca="1">IFERROR(__xludf.DUMMYFUNCTION("""COMPUTED_VALUE"""),"04.03.2024")</f>
        <v>04.03.2024</v>
      </c>
      <c r="C179" s="1" t="str">
        <f ca="1">IFERROR(__xludf.DUMMYFUNCTION("""COMPUTED_VALUE"""),"Руда")</f>
        <v>Руда</v>
      </c>
      <c r="D179" s="1" t="str">
        <f ca="1">IFERROR(__xludf.DUMMYFUNCTION("""COMPUTED_VALUE"""),"42,20")</f>
        <v>42,20</v>
      </c>
      <c r="E179" s="1" t="str">
        <f ca="1">IFERROR(__xludf.DUMMYFUNCTION("""COMPUTED_VALUE"""),"Тухватуллин Халит Хамитович")</f>
        <v>Тухватуллин Халит Хамитович</v>
      </c>
      <c r="F179" s="1" t="str">
        <f ca="1">IFERROR(__xludf.DUMMYFUNCTION("""COMPUTED_VALUE"""),"HOWO")</f>
        <v>HOWO</v>
      </c>
      <c r="G179" s="1" t="str">
        <f ca="1">IFERROR(__xludf.DUMMYFUNCTION("""COMPUTED_VALUE"""),"Н206ВР774")</f>
        <v>Н206ВР774</v>
      </c>
      <c r="H17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79" s="1" t="str">
        <f ca="1">IFERROR(__xludf.DUMMYFUNCTION("""COMPUTED_VALUE"""),"г. Гай, ПАО ""Гайский ГОК""")</f>
        <v>г. Гай, ПАО "Гайский ГОК"</v>
      </c>
      <c r="J179" s="1" t="str">
        <f ca="1">IFERROR(__xludf.DUMMYFUNCTION("""COMPUTED_VALUE"""),"42,850")</f>
        <v>42,850</v>
      </c>
      <c r="K179" s="1" t="str">
        <f ca="1">IFERROR(__xludf.DUMMYFUNCTION("""COMPUTED_VALUE"""),"Башкирская Медь")</f>
        <v>Башкирская Медь</v>
      </c>
    </row>
    <row r="180" spans="1:11" ht="13" x14ac:dyDescent="0.3">
      <c r="A180" s="1" t="str">
        <f ca="1">IFERROR(__xludf.DUMMYFUNCTION("""COMPUTED_VALUE"""),"77")</f>
        <v>77</v>
      </c>
      <c r="B180" s="1" t="str">
        <f ca="1">IFERROR(__xludf.DUMMYFUNCTION("""COMPUTED_VALUE"""),"04.03.2024")</f>
        <v>04.03.2024</v>
      </c>
      <c r="C180" s="1" t="str">
        <f ca="1">IFERROR(__xludf.DUMMYFUNCTION("""COMPUTED_VALUE"""),"Руда")</f>
        <v>Руда</v>
      </c>
      <c r="D180" s="1" t="str">
        <f ca="1">IFERROR(__xludf.DUMMYFUNCTION("""COMPUTED_VALUE"""),"39,65")</f>
        <v>39,65</v>
      </c>
      <c r="E180" s="1" t="str">
        <f ca="1">IFERROR(__xludf.DUMMYFUNCTION("""COMPUTED_VALUE"""),"Попов Павел Сергеевич")</f>
        <v>Попов Павел Сергеевич</v>
      </c>
      <c r="F180" s="1" t="str">
        <f ca="1">IFERROR(__xludf.DUMMYFUNCTION("""COMPUTED_VALUE"""),"HOWO")</f>
        <v>HOWO</v>
      </c>
      <c r="G180" s="1" t="str">
        <f ca="1">IFERROR(__xludf.DUMMYFUNCTION("""COMPUTED_VALUE"""),"А141ВО774")</f>
        <v>А141ВО774</v>
      </c>
      <c r="H18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80" s="1" t="str">
        <f ca="1">IFERROR(__xludf.DUMMYFUNCTION("""COMPUTED_VALUE"""),"г. Гай, ПАО ""Гайский ГОК""")</f>
        <v>г. Гай, ПАО "Гайский ГОК"</v>
      </c>
      <c r="J180" s="1" t="str">
        <f ca="1">IFERROR(__xludf.DUMMYFUNCTION("""COMPUTED_VALUE"""),"40,550")</f>
        <v>40,550</v>
      </c>
      <c r="K180" s="1" t="str">
        <f ca="1">IFERROR(__xludf.DUMMYFUNCTION("""COMPUTED_VALUE"""),"Башкирская Медь")</f>
        <v>Башкирская Медь</v>
      </c>
    </row>
    <row r="181" spans="1:11" ht="13" x14ac:dyDescent="0.3">
      <c r="A181" s="1" t="str">
        <f ca="1">IFERROR(__xludf.DUMMYFUNCTION("""COMPUTED_VALUE"""),"71")</f>
        <v>71</v>
      </c>
      <c r="B181" s="1" t="str">
        <f ca="1">IFERROR(__xludf.DUMMYFUNCTION("""COMPUTED_VALUE"""),"04.03.2024")</f>
        <v>04.03.2024</v>
      </c>
      <c r="C181" s="1" t="str">
        <f ca="1">IFERROR(__xludf.DUMMYFUNCTION("""COMPUTED_VALUE"""),"Руда")</f>
        <v>Руда</v>
      </c>
      <c r="D181" s="1" t="str">
        <f ca="1">IFERROR(__xludf.DUMMYFUNCTION("""COMPUTED_VALUE"""),"46,75")</f>
        <v>46,75</v>
      </c>
      <c r="E181" s="1" t="str">
        <f ca="1">IFERROR(__xludf.DUMMYFUNCTION("""COMPUTED_VALUE"""),"Кунаккулов Наиль Насибуллович")</f>
        <v>Кунаккулов Наиль Насибуллович</v>
      </c>
      <c r="F181" s="1" t="str">
        <f ca="1">IFERROR(__xludf.DUMMYFUNCTION("""COMPUTED_VALUE"""),"SHACMAN")</f>
        <v>SHACMAN</v>
      </c>
      <c r="G181" s="1" t="str">
        <f ca="1">IFERROR(__xludf.DUMMYFUNCTION("""COMPUTED_VALUE"""),"Н255ВТ774")</f>
        <v>Н255ВТ774</v>
      </c>
      <c r="H18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81" s="1" t="str">
        <f ca="1">IFERROR(__xludf.DUMMYFUNCTION("""COMPUTED_VALUE"""),"г. Гай, ПАО ""Гайский ГОК""")</f>
        <v>г. Гай, ПАО "Гайский ГОК"</v>
      </c>
      <c r="J181" s="1" t="str">
        <f ca="1">IFERROR(__xludf.DUMMYFUNCTION("""COMPUTED_VALUE"""),"47,050")</f>
        <v>47,050</v>
      </c>
      <c r="K181" s="1" t="str">
        <f ca="1">IFERROR(__xludf.DUMMYFUNCTION("""COMPUTED_VALUE"""),"Башкирская Медь")</f>
        <v>Башкирская Медь</v>
      </c>
    </row>
    <row r="182" spans="1:11" ht="13" x14ac:dyDescent="0.3">
      <c r="A182" s="1" t="str">
        <f ca="1">IFERROR(__xludf.DUMMYFUNCTION("""COMPUTED_VALUE"""),"104375 / 104372")</f>
        <v>104375 / 104372</v>
      </c>
      <c r="B182" s="1" t="str">
        <f ca="1">IFERROR(__xludf.DUMMYFUNCTION("""COMPUTED_VALUE"""),"04.03.2024")</f>
        <v>04.03.2024</v>
      </c>
      <c r="C182" s="1" t="str">
        <f ca="1">IFERROR(__xludf.DUMMYFUNCTION("""COMPUTED_VALUE"""),"Шлак гранулированный")</f>
        <v>Шлак гранулированный</v>
      </c>
      <c r="D182" s="1" t="str">
        <f ca="1">IFERROR(__xludf.DUMMYFUNCTION("""COMPUTED_VALUE"""),"40,95")</f>
        <v>40,95</v>
      </c>
      <c r="E182" s="1" t="str">
        <f ca="1">IFERROR(__xludf.DUMMYFUNCTION("""COMPUTED_VALUE"""),"Огарков Виталий Павлович")</f>
        <v>Огарков Виталий Павлович</v>
      </c>
      <c r="F182" s="1" t="str">
        <f ca="1">IFERROR(__xludf.DUMMYFUNCTION("""COMPUTED_VALUE"""),"HOWO")</f>
        <v>HOWO</v>
      </c>
      <c r="G182" s="1" t="str">
        <f ca="1">IFERROR(__xludf.DUMMYFUNCTION("""COMPUTED_VALUE"""),"Н234ВР774")</f>
        <v>Н234ВР774</v>
      </c>
      <c r="H182" s="1" t="str">
        <f ca="1">IFERROR(__xludf.DUMMYFUNCTION("""COMPUTED_VALUE"""),"г. Магнитогорск, ул. Локомотивная, 6А")</f>
        <v>г. Магнитогорск, ул. Локомотивная, 6А</v>
      </c>
      <c r="I182" s="1" t="str">
        <f ca="1">IFERROR(__xludf.DUMMYFUNCTION("""COMPUTED_VALUE"""),"г. Гай, ПАО ""Гайский ГОК""")</f>
        <v>г. Гай, ПАО "Гайский ГОК"</v>
      </c>
      <c r="J182" s="1" t="str">
        <f ca="1">IFERROR(__xludf.DUMMYFUNCTION("""COMPUTED_VALUE"""),"40,950")</f>
        <v>40,950</v>
      </c>
      <c r="K182" s="1" t="str">
        <f ca="1">IFERROR(__xludf.DUMMYFUNCTION("""COMPUTED_VALUE"""),"Гайский ГОК")</f>
        <v>Гайский ГОК</v>
      </c>
    </row>
    <row r="183" spans="1:11" ht="13" x14ac:dyDescent="0.3">
      <c r="A183" s="1" t="str">
        <f ca="1">IFERROR(__xludf.DUMMYFUNCTION("""COMPUTED_VALUE"""),"108804 / 108843")</f>
        <v>108804 / 108843</v>
      </c>
      <c r="B183" s="1" t="str">
        <f ca="1">IFERROR(__xludf.DUMMYFUNCTION("""COMPUTED_VALUE"""),"04.03.2024")</f>
        <v>04.03.2024</v>
      </c>
      <c r="C183" s="1" t="str">
        <f ca="1">IFERROR(__xludf.DUMMYFUNCTION("""COMPUTED_VALUE"""),"Шлак гранулированный")</f>
        <v>Шлак гранулированный</v>
      </c>
      <c r="D183" s="1" t="str">
        <f ca="1">IFERROR(__xludf.DUMMYFUNCTION("""COMPUTED_VALUE"""),"46,65")</f>
        <v>46,65</v>
      </c>
      <c r="E183" s="1" t="str">
        <f ca="1">IFERROR(__xludf.DUMMYFUNCTION("""COMPUTED_VALUE"""),"Алексеев Алексей Сергеевич")</f>
        <v>Алексеев Алексей Сергеевич</v>
      </c>
      <c r="F183" s="1" t="str">
        <f ca="1">IFERROR(__xludf.DUMMYFUNCTION("""COMPUTED_VALUE"""),"SITRAK")</f>
        <v>SITRAK</v>
      </c>
      <c r="G183" s="1" t="str">
        <f ca="1">IFERROR(__xludf.DUMMYFUNCTION("""COMPUTED_VALUE"""),"Н854ВН774")</f>
        <v>Н854ВН774</v>
      </c>
      <c r="H183" s="1" t="str">
        <f ca="1">IFERROR(__xludf.DUMMYFUNCTION("""COMPUTED_VALUE"""),"г. Магнитогорск, ул. Локомотивная, 6А")</f>
        <v>г. Магнитогорск, ул. Локомотивная, 6А</v>
      </c>
      <c r="I183" s="1" t="str">
        <f ca="1">IFERROR(__xludf.DUMMYFUNCTION("""COMPUTED_VALUE"""),"г. Гай, ПАО ""Гайский ГОК""")</f>
        <v>г. Гай, ПАО "Гайский ГОК"</v>
      </c>
      <c r="J183" s="1" t="str">
        <f ca="1">IFERROR(__xludf.DUMMYFUNCTION("""COMPUTED_VALUE"""),"46,650")</f>
        <v>46,650</v>
      </c>
      <c r="K183" s="1" t="str">
        <f ca="1">IFERROR(__xludf.DUMMYFUNCTION("""COMPUTED_VALUE"""),"Гайский ГОК")</f>
        <v>Гайский ГОК</v>
      </c>
    </row>
    <row r="184" spans="1:11" ht="13" x14ac:dyDescent="0.3">
      <c r="A184" s="1" t="str">
        <f ca="1">IFERROR(__xludf.DUMMYFUNCTION("""COMPUTED_VALUE"""),"108770 / 108772")</f>
        <v>108770 / 108772</v>
      </c>
      <c r="B184" s="1" t="str">
        <f ca="1">IFERROR(__xludf.DUMMYFUNCTION("""COMPUTED_VALUE"""),"04.03.2024")</f>
        <v>04.03.2024</v>
      </c>
      <c r="C184" s="1" t="str">
        <f ca="1">IFERROR(__xludf.DUMMYFUNCTION("""COMPUTED_VALUE"""),"Шлак гранулированный")</f>
        <v>Шлак гранулированный</v>
      </c>
      <c r="D184" s="1" t="str">
        <f ca="1">IFERROR(__xludf.DUMMYFUNCTION("""COMPUTED_VALUE"""),"47,30")</f>
        <v>47,30</v>
      </c>
      <c r="E184" s="1" t="str">
        <f ca="1">IFERROR(__xludf.DUMMYFUNCTION("""COMPUTED_VALUE"""),"Басарыгин Александр Евгеньевич")</f>
        <v>Басарыгин Александр Евгеньевич</v>
      </c>
      <c r="F184" s="1" t="str">
        <f ca="1">IFERROR(__xludf.DUMMYFUNCTION("""COMPUTED_VALUE"""),"SITRAK")</f>
        <v>SITRAK</v>
      </c>
      <c r="G184" s="1" t="str">
        <f ca="1">IFERROR(__xludf.DUMMYFUNCTION("""COMPUTED_VALUE"""),"Н384ВР774")</f>
        <v>Н384ВР774</v>
      </c>
      <c r="H184" s="1" t="str">
        <f ca="1">IFERROR(__xludf.DUMMYFUNCTION("""COMPUTED_VALUE"""),"г. Магнитогорск, ул. Локомотивная, 6А")</f>
        <v>г. Магнитогорск, ул. Локомотивная, 6А</v>
      </c>
      <c r="I184" s="1" t="str">
        <f ca="1">IFERROR(__xludf.DUMMYFUNCTION("""COMPUTED_VALUE"""),"г. Гай, ПАО ""Гайский ГОК""")</f>
        <v>г. Гай, ПАО "Гайский ГОК"</v>
      </c>
      <c r="J184" s="1" t="str">
        <f ca="1">IFERROR(__xludf.DUMMYFUNCTION("""COMPUTED_VALUE"""),"47,300")</f>
        <v>47,300</v>
      </c>
      <c r="K184" s="1" t="str">
        <f ca="1">IFERROR(__xludf.DUMMYFUNCTION("""COMPUTED_VALUE"""),"Гайский ГОК")</f>
        <v>Гайский ГОК</v>
      </c>
    </row>
    <row r="185" spans="1:11" ht="13" x14ac:dyDescent="0.3">
      <c r="A185" s="1" t="str">
        <f ca="1">IFERROR(__xludf.DUMMYFUNCTION("""COMPUTED_VALUE"""),"108889 / 108884")</f>
        <v>108889 / 108884</v>
      </c>
      <c r="B185" s="1" t="str">
        <f ca="1">IFERROR(__xludf.DUMMYFUNCTION("""COMPUTED_VALUE"""),"04.03.2024")</f>
        <v>04.03.2024</v>
      </c>
      <c r="C185" s="1" t="str">
        <f ca="1">IFERROR(__xludf.DUMMYFUNCTION("""COMPUTED_VALUE"""),"Шлак гранулированный")</f>
        <v>Шлак гранулированный</v>
      </c>
      <c r="D185" s="1" t="str">
        <f ca="1">IFERROR(__xludf.DUMMYFUNCTION("""COMPUTED_VALUE"""),"44,65")</f>
        <v>44,65</v>
      </c>
      <c r="E185" s="1" t="str">
        <f ca="1">IFERROR(__xludf.DUMMYFUNCTION("""COMPUTED_VALUE"""),"Соколов Максим Сергеевич")</f>
        <v>Соколов Максим Сергеевич</v>
      </c>
      <c r="F185" s="1" t="str">
        <f ca="1">IFERROR(__xludf.DUMMYFUNCTION("""COMPUTED_VALUE"""),"SHACMAN")</f>
        <v>SHACMAN</v>
      </c>
      <c r="G185" s="1" t="str">
        <f ca="1">IFERROR(__xludf.DUMMYFUNCTION("""COMPUTED_VALUE"""),"Н186ВР774")</f>
        <v>Н186ВР774</v>
      </c>
      <c r="H185" s="1" t="str">
        <f ca="1">IFERROR(__xludf.DUMMYFUNCTION("""COMPUTED_VALUE"""),"г. Магнитогорск, ул. Локомотивная, 6А")</f>
        <v>г. Магнитогорск, ул. Локомотивная, 6А</v>
      </c>
      <c r="I185" s="1" t="str">
        <f ca="1">IFERROR(__xludf.DUMMYFUNCTION("""COMPUTED_VALUE"""),"г. Гай, ПАО ""Гайский ГОК""")</f>
        <v>г. Гай, ПАО "Гайский ГОК"</v>
      </c>
      <c r="J185" s="1" t="str">
        <f ca="1">IFERROR(__xludf.DUMMYFUNCTION("""COMPUTED_VALUE"""),"44,650")</f>
        <v>44,650</v>
      </c>
      <c r="K185" s="1" t="str">
        <f ca="1">IFERROR(__xludf.DUMMYFUNCTION("""COMPUTED_VALUE"""),"Гайский ГОК")</f>
        <v>Гайский ГОК</v>
      </c>
    </row>
    <row r="186" spans="1:11" ht="13" x14ac:dyDescent="0.3">
      <c r="A186" s="1" t="str">
        <f ca="1">IFERROR(__xludf.DUMMYFUNCTION("""COMPUTED_VALUE"""),"79")</f>
        <v>79</v>
      </c>
      <c r="B186" s="1" t="str">
        <f ca="1">IFERROR(__xludf.DUMMYFUNCTION("""COMPUTED_VALUE"""),"04.03.2024")</f>
        <v>04.03.2024</v>
      </c>
      <c r="C186" s="1" t="str">
        <f ca="1">IFERROR(__xludf.DUMMYFUNCTION("""COMPUTED_VALUE"""),"Руда")</f>
        <v>Руда</v>
      </c>
      <c r="D186" s="1" t="str">
        <f ca="1">IFERROR(__xludf.DUMMYFUNCTION("""COMPUTED_VALUE"""),"41,55")</f>
        <v>41,55</v>
      </c>
      <c r="E186" s="1" t="str">
        <f ca="1">IFERROR(__xludf.DUMMYFUNCTION("""COMPUTED_VALUE"""),"Медведев Олег Александрович")</f>
        <v>Медведев Олег Александрович</v>
      </c>
      <c r="F186" s="1" t="str">
        <f ca="1">IFERROR(__xludf.DUMMYFUNCTION("""COMPUTED_VALUE"""),"МЕРСЕДЕС")</f>
        <v>МЕРСЕДЕС</v>
      </c>
      <c r="G186" s="1" t="str">
        <f ca="1">IFERROR(__xludf.DUMMYFUNCTION("""COMPUTED_VALUE"""),"О722ОА196")</f>
        <v>О722ОА196</v>
      </c>
      <c r="H18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86" s="1" t="str">
        <f ca="1">IFERROR(__xludf.DUMMYFUNCTION("""COMPUTED_VALUE"""),"г. Гай, ПАО ""Гайский ГОК""")</f>
        <v>г. Гай, ПАО "Гайский ГОК"</v>
      </c>
      <c r="J186" s="1" t="str">
        <f ca="1">IFERROR(__xludf.DUMMYFUNCTION("""COMPUTED_VALUE"""),"41,550")</f>
        <v>41,550</v>
      </c>
      <c r="K186" s="1" t="str">
        <f ca="1">IFERROR(__xludf.DUMMYFUNCTION("""COMPUTED_VALUE"""),"Башкирская Медь")</f>
        <v>Башкирская Медь</v>
      </c>
    </row>
    <row r="187" spans="1:11" ht="13" x14ac:dyDescent="0.3">
      <c r="A187" s="1" t="str">
        <f ca="1">IFERROR(__xludf.DUMMYFUNCTION("""COMPUTED_VALUE"""),"2535")</f>
        <v>2535</v>
      </c>
      <c r="B187" s="1" t="str">
        <f ca="1">IFERROR(__xludf.DUMMYFUNCTION("""COMPUTED_VALUE"""),"04.03.2024")</f>
        <v>04.03.2024</v>
      </c>
      <c r="C187" s="1" t="str">
        <f ca="1">IFERROR(__xludf.DUMMYFUNCTION("""COMPUTED_VALUE"""),"глина огнеупорная")</f>
        <v>глина огнеупорная</v>
      </c>
      <c r="D187" s="1" t="str">
        <f ca="1">IFERROR(__xludf.DUMMYFUNCTION("""COMPUTED_VALUE"""),"50,62")</f>
        <v>50,62</v>
      </c>
      <c r="E187" s="1" t="str">
        <f ca="1">IFERROR(__xludf.DUMMYFUNCTION("""COMPUTED_VALUE"""),"Стародубов Сергей Михайлович")</f>
        <v>Стародубов Сергей Михайлович</v>
      </c>
      <c r="F187" s="1" t="str">
        <f ca="1">IFERROR(__xludf.DUMMYFUNCTION("""COMPUTED_VALUE"""),"ВОЛЬВО")</f>
        <v>ВОЛЬВО</v>
      </c>
      <c r="G187" s="1" t="str">
        <f ca="1">IFERROR(__xludf.DUMMYFUNCTION("""COMPUTED_VALUE"""),"Н242НУ196")</f>
        <v>Н242НУ196</v>
      </c>
      <c r="H187" s="1" t="str">
        <f ca="1">IFERROR(__xludf.DUMMYFUNCTION("""COMPUTED_VALUE"""),"ООО ""Бускуль"" п. Бускульский")</f>
        <v>ООО "Бускуль" п. Бускульский</v>
      </c>
      <c r="I187" s="1" t="str">
        <f ca="1">IFERROR(__xludf.DUMMYFUNCTION("""COMPUTED_VALUE"""),"ООО ""Строительный комплекс"" , Агаповское шоссе, 9")</f>
        <v>ООО "Строительный комплекс" , Агаповское шоссе, 9</v>
      </c>
      <c r="J187" s="1" t="str">
        <f ca="1">IFERROR(__xludf.DUMMYFUNCTION("""COMPUTED_VALUE"""),"50,62")</f>
        <v>50,62</v>
      </c>
      <c r="K187" s="1" t="str">
        <f ca="1">IFERROR(__xludf.DUMMYFUNCTION("""COMPUTED_VALUE"""),"Строительный комплекс ")</f>
        <v xml:space="preserve">Строительный комплекс </v>
      </c>
    </row>
    <row r="188" spans="1:11" ht="13" x14ac:dyDescent="0.3">
      <c r="A188" s="1" t="str">
        <f ca="1">IFERROR(__xludf.DUMMYFUNCTION("""COMPUTED_VALUE"""),"АТУК2403001")</f>
        <v>АТУК2403001</v>
      </c>
      <c r="B188" s="1" t="str">
        <f ca="1">IFERROR(__xludf.DUMMYFUNCTION("""COMPUTED_VALUE"""),"04.03.2024")</f>
        <v>04.03.2024</v>
      </c>
      <c r="C188" s="1" t="str">
        <f ca="1">IFERROR(__xludf.DUMMYFUNCTION("""COMPUTED_VALUE"""),"глина огнеупорная")</f>
        <v>глина огнеупорная</v>
      </c>
      <c r="D188" s="1" t="str">
        <f ca="1">IFERROR(__xludf.DUMMYFUNCTION("""COMPUTED_VALUE"""),"53,60")</f>
        <v>53,60</v>
      </c>
      <c r="E188" s="1" t="str">
        <f ca="1">IFERROR(__xludf.DUMMYFUNCTION("""COMPUTED_VALUE"""),"Еременков Валерий Владимирович")</f>
        <v>Еременков Валерий Владимирович</v>
      </c>
      <c r="F188" s="1" t="str">
        <f ca="1">IFERROR(__xludf.DUMMYFUNCTION("""COMPUTED_VALUE"""),"ВОЛЬВО")</f>
        <v>ВОЛЬВО</v>
      </c>
      <c r="G188" s="1" t="str">
        <f ca="1">IFERROR(__xludf.DUMMYFUNCTION("""COMPUTED_VALUE"""),"О145ОТ196")</f>
        <v>О145ОТ196</v>
      </c>
      <c r="H18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18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188" s="1" t="str">
        <f ca="1">IFERROR(__xludf.DUMMYFUNCTION("""COMPUTED_VALUE"""),"53,600")</f>
        <v>53,600</v>
      </c>
      <c r="K188" s="1" t="str">
        <f ca="1">IFERROR(__xludf.DUMMYFUNCTION("""COMPUTED_VALUE"""),"АТУ")</f>
        <v>АТУ</v>
      </c>
    </row>
    <row r="189" spans="1:11" ht="13" x14ac:dyDescent="0.3">
      <c r="A189" s="1" t="str">
        <f ca="1">IFERROR(__xludf.DUMMYFUNCTION("""COMPUTED_VALUE"""),"АТУК2403002")</f>
        <v>АТУК2403002</v>
      </c>
      <c r="B189" s="1" t="str">
        <f ca="1">IFERROR(__xludf.DUMMYFUNCTION("""COMPUTED_VALUE"""),"04.03.2024")</f>
        <v>04.03.2024</v>
      </c>
      <c r="C189" s="1" t="str">
        <f ca="1">IFERROR(__xludf.DUMMYFUNCTION("""COMPUTED_VALUE"""),"глина огнеупорная")</f>
        <v>глина огнеупорная</v>
      </c>
      <c r="D189" s="1" t="str">
        <f ca="1">IFERROR(__xludf.DUMMYFUNCTION("""COMPUTED_VALUE"""),"41,45")</f>
        <v>41,45</v>
      </c>
      <c r="E189" s="1" t="str">
        <f ca="1">IFERROR(__xludf.DUMMYFUNCTION("""COMPUTED_VALUE"""),"Шумилин Евгений Валерьевич")</f>
        <v>Шумилин Евгений Валерьевич</v>
      </c>
      <c r="F189" s="1" t="str">
        <f ca="1">IFERROR(__xludf.DUMMYFUNCTION("""COMPUTED_VALUE"""),"ВОЛЬВО")</f>
        <v>ВОЛЬВО</v>
      </c>
      <c r="G189" s="1" t="str">
        <f ca="1">IFERROR(__xludf.DUMMYFUNCTION("""COMPUTED_VALUE"""),"О158ОХ196")</f>
        <v>О158ОХ196</v>
      </c>
      <c r="H18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18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189" s="1" t="str">
        <f ca="1">IFERROR(__xludf.DUMMYFUNCTION("""COMPUTED_VALUE"""),"41,450")</f>
        <v>41,450</v>
      </c>
      <c r="K189" s="1" t="str">
        <f ca="1">IFERROR(__xludf.DUMMYFUNCTION("""COMPUTED_VALUE"""),"АТУ")</f>
        <v>АТУ</v>
      </c>
    </row>
    <row r="190" spans="1:11" ht="13" x14ac:dyDescent="0.3">
      <c r="A190" s="1" t="str">
        <f ca="1">IFERROR(__xludf.DUMMYFUNCTION("""COMPUTED_VALUE"""),"ННКРС33160")</f>
        <v>ННКРС33160</v>
      </c>
      <c r="B190" s="1" t="str">
        <f ca="1">IFERROR(__xludf.DUMMYFUNCTION("""COMPUTED_VALUE"""),"04.03.2024")</f>
        <v>04.03.2024</v>
      </c>
      <c r="C190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90" s="1" t="str">
        <f ca="1">IFERROR(__xludf.DUMMYFUNCTION("""COMPUTED_VALUE"""),"32,95")</f>
        <v>32,95</v>
      </c>
      <c r="E190" s="1" t="str">
        <f ca="1">IFERROR(__xludf.DUMMYFUNCTION("""COMPUTED_VALUE"""),"Марьин Андрей Геннадьевич")</f>
        <v>Марьин Андрей Геннадьевич</v>
      </c>
      <c r="F190" s="1" t="str">
        <f ca="1">IFERROR(__xludf.DUMMYFUNCTION("""COMPUTED_VALUE"""),"ВОЛЬВО")</f>
        <v>ВОЛЬВО</v>
      </c>
      <c r="G190" s="1" t="str">
        <f ca="1">IFERROR(__xludf.DUMMYFUNCTION("""COMPUTED_VALUE"""),"Н180ТС196")</f>
        <v>Н180ТС196</v>
      </c>
      <c r="H190" s="1" t="str">
        <f ca="1">IFERROR(__xludf.DUMMYFUNCTION("""COMPUTED_VALUE"""),"Гумбейский щебзавод ")</f>
        <v xml:space="preserve">Гумбейский щебзавод </v>
      </c>
      <c r="I190" s="1" t="str">
        <f ca="1">IFERROR(__xludf.DUMMYFUNCTION("""COMPUTED_VALUE"""),"Строительная площадка КХП")</f>
        <v>Строительная площадка КХП</v>
      </c>
      <c r="J190" s="1" t="str">
        <f ca="1">IFERROR(__xludf.DUMMYFUNCTION("""COMPUTED_VALUE"""),"32,95")</f>
        <v>32,95</v>
      </c>
      <c r="K190" s="1" t="str">
        <f ca="1">IFERROR(__xludf.DUMMYFUNCTION("""COMPUTED_VALUE"""),"Синостил")</f>
        <v>Синостил</v>
      </c>
    </row>
    <row r="191" spans="1:11" ht="13" x14ac:dyDescent="0.3">
      <c r="A191" s="1" t="str">
        <f ca="1">IFERROR(__xludf.DUMMYFUNCTION("""COMPUTED_VALUE"""),"ННКРС33142")</f>
        <v>ННКРС33142</v>
      </c>
      <c r="B191" s="1" t="str">
        <f ca="1">IFERROR(__xludf.DUMMYFUNCTION("""COMPUTED_VALUE"""),"04.03.2024")</f>
        <v>04.03.2024</v>
      </c>
      <c r="C191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91" s="1" t="str">
        <f ca="1">IFERROR(__xludf.DUMMYFUNCTION("""COMPUTED_VALUE"""),"34,60")</f>
        <v>34,60</v>
      </c>
      <c r="E191" s="1" t="str">
        <f ca="1">IFERROR(__xludf.DUMMYFUNCTION("""COMPUTED_VALUE"""),"Марьин Андрей Геннадьевич")</f>
        <v>Марьин Андрей Геннадьевич</v>
      </c>
      <c r="F191" s="1" t="str">
        <f ca="1">IFERROR(__xludf.DUMMYFUNCTION("""COMPUTED_VALUE"""),"ВОЛЬВО")</f>
        <v>ВОЛЬВО</v>
      </c>
      <c r="G191" s="1" t="str">
        <f ca="1">IFERROR(__xludf.DUMMYFUNCTION("""COMPUTED_VALUE"""),"Н180ТС196")</f>
        <v>Н180ТС196</v>
      </c>
      <c r="H191" s="1" t="str">
        <f ca="1">IFERROR(__xludf.DUMMYFUNCTION("""COMPUTED_VALUE"""),"Гумбейский щебзавод ")</f>
        <v xml:space="preserve">Гумбейский щебзавод </v>
      </c>
      <c r="I191" s="1" t="str">
        <f ca="1">IFERROR(__xludf.DUMMYFUNCTION("""COMPUTED_VALUE"""),"Строительная площадка КХП")</f>
        <v>Строительная площадка КХП</v>
      </c>
      <c r="J191" s="1" t="str">
        <f ca="1">IFERROR(__xludf.DUMMYFUNCTION("""COMPUTED_VALUE"""),"34,60")</f>
        <v>34,60</v>
      </c>
      <c r="K191" s="1" t="str">
        <f ca="1">IFERROR(__xludf.DUMMYFUNCTION("""COMPUTED_VALUE"""),"Синостил")</f>
        <v>Синостил</v>
      </c>
    </row>
    <row r="192" spans="1:11" ht="13" x14ac:dyDescent="0.3">
      <c r="A192" s="1" t="str">
        <f ca="1">IFERROR(__xludf.DUMMYFUNCTION("""COMPUTED_VALUE"""),"ННКРС33123")</f>
        <v>ННКРС33123</v>
      </c>
      <c r="B192" s="1" t="str">
        <f ca="1">IFERROR(__xludf.DUMMYFUNCTION("""COMPUTED_VALUE"""),"04.03.2024")</f>
        <v>04.03.2024</v>
      </c>
      <c r="C192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192" s="1" t="str">
        <f ca="1">IFERROR(__xludf.DUMMYFUNCTION("""COMPUTED_VALUE"""),"39,50")</f>
        <v>39,50</v>
      </c>
      <c r="E192" s="1" t="str">
        <f ca="1">IFERROR(__xludf.DUMMYFUNCTION("""COMPUTED_VALUE"""),"Марьин Андрей Геннадьевич")</f>
        <v>Марьин Андрей Геннадьевич</v>
      </c>
      <c r="F192" s="1" t="str">
        <f ca="1">IFERROR(__xludf.DUMMYFUNCTION("""COMPUTED_VALUE"""),"ВОЛЬВО")</f>
        <v>ВОЛЬВО</v>
      </c>
      <c r="G192" s="1" t="str">
        <f ca="1">IFERROR(__xludf.DUMMYFUNCTION("""COMPUTED_VALUE"""),"Н180ТС196")</f>
        <v>Н180ТС196</v>
      </c>
      <c r="H192" s="1" t="str">
        <f ca="1">IFERROR(__xludf.DUMMYFUNCTION("""COMPUTED_VALUE"""),"Гумбейский щебзавод ")</f>
        <v xml:space="preserve">Гумбейский щебзавод </v>
      </c>
      <c r="I192" s="1" t="str">
        <f ca="1">IFERROR(__xludf.DUMMYFUNCTION("""COMPUTED_VALUE"""),"Строительная площадка КХП")</f>
        <v>Строительная площадка КХП</v>
      </c>
      <c r="J192" s="1" t="str">
        <f ca="1">IFERROR(__xludf.DUMMYFUNCTION("""COMPUTED_VALUE"""),"39,50")</f>
        <v>39,50</v>
      </c>
      <c r="K192" s="1" t="str">
        <f ca="1">IFERROR(__xludf.DUMMYFUNCTION("""COMPUTED_VALUE"""),"Синостил")</f>
        <v>Синостил</v>
      </c>
    </row>
    <row r="193" spans="1:11" ht="13" x14ac:dyDescent="0.3">
      <c r="A193" s="1" t="str">
        <f ca="1">IFERROR(__xludf.DUMMYFUNCTION("""COMPUTED_VALUE"""),"АТУК2403003")</f>
        <v>АТУК2403003</v>
      </c>
      <c r="B193" s="1" t="str">
        <f ca="1">IFERROR(__xludf.DUMMYFUNCTION("""COMPUTED_VALUE"""),"04.03.2024")</f>
        <v>04.03.2024</v>
      </c>
      <c r="C193" s="1" t="str">
        <f ca="1">IFERROR(__xludf.DUMMYFUNCTION("""COMPUTED_VALUE"""),"глина огнеупорная")</f>
        <v>глина огнеупорная</v>
      </c>
      <c r="D193" s="1" t="str">
        <f ca="1">IFERROR(__xludf.DUMMYFUNCTION("""COMPUTED_VALUE"""),"41,05")</f>
        <v>41,05</v>
      </c>
      <c r="E193" s="1" t="str">
        <f ca="1">IFERROR(__xludf.DUMMYFUNCTION("""COMPUTED_VALUE"""),"Байбулатов Халит Ханифович")</f>
        <v>Байбулатов Халит Ханифович</v>
      </c>
      <c r="F193" s="1" t="str">
        <f ca="1">IFERROR(__xludf.DUMMYFUNCTION("""COMPUTED_VALUE"""),"МЕРСЕДЕС")</f>
        <v>МЕРСЕДЕС</v>
      </c>
      <c r="G193" s="1" t="str">
        <f ca="1">IFERROR(__xludf.DUMMYFUNCTION("""COMPUTED_VALUE"""),"О761ОК196")</f>
        <v>О761ОК196</v>
      </c>
      <c r="H19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19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193" s="1" t="str">
        <f ca="1">IFERROR(__xludf.DUMMYFUNCTION("""COMPUTED_VALUE"""),"41,050")</f>
        <v>41,050</v>
      </c>
      <c r="K193" s="1" t="str">
        <f ca="1">IFERROR(__xludf.DUMMYFUNCTION("""COMPUTED_VALUE"""),"АТУ")</f>
        <v>АТУ</v>
      </c>
    </row>
    <row r="194" spans="1:11" ht="13" x14ac:dyDescent="0.3">
      <c r="A194" s="1" t="str">
        <f ca="1">IFERROR(__xludf.DUMMYFUNCTION("""COMPUTED_VALUE"""),"АТУК2403004")</f>
        <v>АТУК2403004</v>
      </c>
      <c r="B194" s="1" t="str">
        <f ca="1">IFERROR(__xludf.DUMMYFUNCTION("""COMPUTED_VALUE"""),"04.03.2024")</f>
        <v>04.03.2024</v>
      </c>
      <c r="C194" s="1" t="str">
        <f ca="1">IFERROR(__xludf.DUMMYFUNCTION("""COMPUTED_VALUE"""),"глина огнеупорная")</f>
        <v>глина огнеупорная</v>
      </c>
      <c r="D194" s="1" t="str">
        <f ca="1">IFERROR(__xludf.DUMMYFUNCTION("""COMPUTED_VALUE"""),"54,65")</f>
        <v>54,65</v>
      </c>
      <c r="E194" s="1" t="str">
        <f ca="1">IFERROR(__xludf.DUMMYFUNCTION("""COMPUTED_VALUE"""),"Хаюрлин Нуржан Ситканович")</f>
        <v>Хаюрлин Нуржан Ситканович</v>
      </c>
      <c r="F194" s="1" t="str">
        <f ca="1">IFERROR(__xludf.DUMMYFUNCTION("""COMPUTED_VALUE"""),"ВОЛЬВО")</f>
        <v>ВОЛЬВО</v>
      </c>
      <c r="G194" s="1" t="str">
        <f ca="1">IFERROR(__xludf.DUMMYFUNCTION("""COMPUTED_VALUE"""),"О845ЕЕ196")</f>
        <v>О845ЕЕ196</v>
      </c>
      <c r="H19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19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194" s="1" t="str">
        <f ca="1">IFERROR(__xludf.DUMMYFUNCTION("""COMPUTED_VALUE"""),"54,650")</f>
        <v>54,650</v>
      </c>
      <c r="K194" s="1" t="str">
        <f ca="1">IFERROR(__xludf.DUMMYFUNCTION("""COMPUTED_VALUE"""),"АТУ")</f>
        <v>АТУ</v>
      </c>
    </row>
    <row r="195" spans="1:11" ht="13" x14ac:dyDescent="0.3">
      <c r="A195" s="1" t="str">
        <f ca="1">IFERROR(__xludf.DUMMYFUNCTION("""COMPUTED_VALUE"""),"6")</f>
        <v>6</v>
      </c>
      <c r="B195" s="1" t="str">
        <f ca="1">IFERROR(__xludf.DUMMYFUNCTION("""COMPUTED_VALUE"""),"04.03.2024")</f>
        <v>04.03.2024</v>
      </c>
      <c r="C195" s="1" t="str">
        <f ca="1">IFERROR(__xludf.DUMMYFUNCTION("""COMPUTED_VALUE"""),"Щебень из плотных горных пород фр.5-20")</f>
        <v>Щебень из плотных горных пород фр.5-20</v>
      </c>
      <c r="D195" s="1" t="str">
        <f ca="1">IFERROR(__xludf.DUMMYFUNCTION("""COMPUTED_VALUE"""),"42,80")</f>
        <v>42,80</v>
      </c>
      <c r="E195" s="1" t="str">
        <f ca="1">IFERROR(__xludf.DUMMYFUNCTION("""COMPUTED_VALUE"""),"Осипов Юрий Михайлович")</f>
        <v>Осипов Юрий Михайлович</v>
      </c>
      <c r="F195" s="1" t="str">
        <f ca="1">IFERROR(__xludf.DUMMYFUNCTION("""COMPUTED_VALUE"""),"МЕРСЕДЕС")</f>
        <v>МЕРСЕДЕС</v>
      </c>
      <c r="G195" s="1" t="str">
        <f ca="1">IFERROR(__xludf.DUMMYFUNCTION("""COMPUTED_VALUE"""),"О305СС196")</f>
        <v>О305СС196</v>
      </c>
      <c r="H195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9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95" s="1" t="str">
        <f ca="1">IFERROR(__xludf.DUMMYFUNCTION("""COMPUTED_VALUE"""),"42,850")</f>
        <v>42,850</v>
      </c>
      <c r="K195" s="1" t="str">
        <f ca="1">IFERROR(__xludf.DUMMYFUNCTION("""COMPUTED_VALUE"""),"Башкирская Медь")</f>
        <v>Башкирская Медь</v>
      </c>
    </row>
    <row r="196" spans="1:11" ht="13" x14ac:dyDescent="0.3">
      <c r="A196" s="1" t="str">
        <f ca="1">IFERROR(__xludf.DUMMYFUNCTION("""COMPUTED_VALUE"""),"85")</f>
        <v>85</v>
      </c>
      <c r="B196" s="1" t="str">
        <f ca="1">IFERROR(__xludf.DUMMYFUNCTION("""COMPUTED_VALUE"""),"04.03.2024")</f>
        <v>04.03.2024</v>
      </c>
      <c r="C196" s="1" t="str">
        <f ca="1">IFERROR(__xludf.DUMMYFUNCTION("""COMPUTED_VALUE"""),"Руда")</f>
        <v>Руда</v>
      </c>
      <c r="D196" s="1" t="str">
        <f ca="1">IFERROR(__xludf.DUMMYFUNCTION("""COMPUTED_VALUE"""),"46,70")</f>
        <v>46,70</v>
      </c>
      <c r="E196" s="1" t="str">
        <f ca="1">IFERROR(__xludf.DUMMYFUNCTION("""COMPUTED_VALUE"""),"Осипов Юрий Михайлович")</f>
        <v>Осипов Юрий Михайлович</v>
      </c>
      <c r="F196" s="1" t="str">
        <f ca="1">IFERROR(__xludf.DUMMYFUNCTION("""COMPUTED_VALUE"""),"МЕРСЕДЕС")</f>
        <v>МЕРСЕДЕС</v>
      </c>
      <c r="G196" s="1" t="str">
        <f ca="1">IFERROR(__xludf.DUMMYFUNCTION("""COMPUTED_VALUE"""),"О305СС196")</f>
        <v>О305СС196</v>
      </c>
      <c r="H19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96" s="1" t="str">
        <f ca="1">IFERROR(__xludf.DUMMYFUNCTION("""COMPUTED_VALUE"""),"г. Гай, ПАО ""Гайский ГОК""")</f>
        <v>г. Гай, ПАО "Гайский ГОК"</v>
      </c>
      <c r="J196" s="1" t="str">
        <f ca="1">IFERROR(__xludf.DUMMYFUNCTION("""COMPUTED_VALUE"""),"46,700")</f>
        <v>46,700</v>
      </c>
      <c r="K196" s="1" t="str">
        <f ca="1">IFERROR(__xludf.DUMMYFUNCTION("""COMPUTED_VALUE"""),"Башкирская Медь")</f>
        <v>Башкирская Медь</v>
      </c>
    </row>
    <row r="197" spans="1:11" ht="13" x14ac:dyDescent="0.3">
      <c r="A197" s="1" t="str">
        <f ca="1">IFERROR(__xludf.DUMMYFUNCTION("""COMPUTED_VALUE"""),"84")</f>
        <v>84</v>
      </c>
      <c r="B197" s="1" t="str">
        <f ca="1">IFERROR(__xludf.DUMMYFUNCTION("""COMPUTED_VALUE"""),"04.03.2024")</f>
        <v>04.03.2024</v>
      </c>
      <c r="C197" s="1" t="str">
        <f ca="1">IFERROR(__xludf.DUMMYFUNCTION("""COMPUTED_VALUE"""),"Руда")</f>
        <v>Руда</v>
      </c>
      <c r="D197" s="1" t="str">
        <f ca="1">IFERROR(__xludf.DUMMYFUNCTION("""COMPUTED_VALUE"""),"47,70")</f>
        <v>47,70</v>
      </c>
      <c r="E197" s="1" t="str">
        <f ca="1">IFERROR(__xludf.DUMMYFUNCTION("""COMPUTED_VALUE"""),"Толстых Николай Владимирович")</f>
        <v>Толстых Николай Владимирович</v>
      </c>
      <c r="F197" s="1" t="str">
        <f ca="1">IFERROR(__xludf.DUMMYFUNCTION("""COMPUTED_VALUE"""),"МЕРСЕДЕС")</f>
        <v>МЕРСЕДЕС</v>
      </c>
      <c r="G197" s="1" t="str">
        <f ca="1">IFERROR(__xludf.DUMMYFUNCTION("""COMPUTED_VALUE"""),"О396НО196")</f>
        <v>О396НО196</v>
      </c>
      <c r="H19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197" s="1" t="str">
        <f ca="1">IFERROR(__xludf.DUMMYFUNCTION("""COMPUTED_VALUE"""),"г. Гай, ПАО ""Гайский ГОК""")</f>
        <v>г. Гай, ПАО "Гайский ГОК"</v>
      </c>
      <c r="J197" s="1" t="str">
        <f ca="1">IFERROR(__xludf.DUMMYFUNCTION("""COMPUTED_VALUE"""),"47,700")</f>
        <v>47,700</v>
      </c>
      <c r="K197" s="1" t="str">
        <f ca="1">IFERROR(__xludf.DUMMYFUNCTION("""COMPUTED_VALUE"""),"Башкирская Медь")</f>
        <v>Башкирская Медь</v>
      </c>
    </row>
    <row r="198" spans="1:11" ht="13" x14ac:dyDescent="0.3">
      <c r="A198" s="1" t="str">
        <f ca="1">IFERROR(__xludf.DUMMYFUNCTION("""COMPUTED_VALUE"""),"АТУК2403005")</f>
        <v>АТУК2403005</v>
      </c>
      <c r="B198" s="1" t="str">
        <f ca="1">IFERROR(__xludf.DUMMYFUNCTION("""COMPUTED_VALUE"""),"04.03.2024")</f>
        <v>04.03.2024</v>
      </c>
      <c r="C198" s="1" t="str">
        <f ca="1">IFERROR(__xludf.DUMMYFUNCTION("""COMPUTED_VALUE"""),"глина огнеупорная")</f>
        <v>глина огнеупорная</v>
      </c>
      <c r="D198" s="1" t="str">
        <f ca="1">IFERROR(__xludf.DUMMYFUNCTION("""COMPUTED_VALUE"""),"41,50")</f>
        <v>41,50</v>
      </c>
      <c r="E198" s="1" t="str">
        <f ca="1">IFERROR(__xludf.DUMMYFUNCTION("""COMPUTED_VALUE"""),"Лычагин Дмитрий Васильевич")</f>
        <v>Лычагин Дмитрий Васильевич</v>
      </c>
      <c r="F198" s="1" t="str">
        <f ca="1">IFERROR(__xludf.DUMMYFUNCTION("""COMPUTED_VALUE"""),"ВОЛЬВО")</f>
        <v>ВОЛЬВО</v>
      </c>
      <c r="G198" s="1" t="str">
        <f ca="1">IFERROR(__xludf.DUMMYFUNCTION("""COMPUTED_VALUE"""),"Н179ОХ196")</f>
        <v>Н179ОХ196</v>
      </c>
      <c r="H19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19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198" s="1" t="str">
        <f ca="1">IFERROR(__xludf.DUMMYFUNCTION("""COMPUTED_VALUE"""),"41,500")</f>
        <v>41,500</v>
      </c>
      <c r="K198" s="1" t="str">
        <f ca="1">IFERROR(__xludf.DUMMYFUNCTION("""COMPUTED_VALUE"""),"АТУ")</f>
        <v>АТУ</v>
      </c>
    </row>
    <row r="199" spans="1:11" ht="13" x14ac:dyDescent="0.3">
      <c r="A199" s="1" t="str">
        <f ca="1">IFERROR(__xludf.DUMMYFUNCTION("""COMPUTED_VALUE"""),"2")</f>
        <v>2</v>
      </c>
      <c r="B199" s="1" t="str">
        <f ca="1">IFERROR(__xludf.DUMMYFUNCTION("""COMPUTED_VALUE"""),"03.03.2024")</f>
        <v>03.03.2024</v>
      </c>
      <c r="C199" s="1" t="str">
        <f ca="1">IFERROR(__xludf.DUMMYFUNCTION("""COMPUTED_VALUE"""),"Щебень из плотных горных пород фр.5-20")</f>
        <v>Щебень из плотных горных пород фр.5-20</v>
      </c>
      <c r="D199" s="1" t="str">
        <f ca="1">IFERROR(__xludf.DUMMYFUNCTION("""COMPUTED_VALUE"""),"42,25")</f>
        <v>42,25</v>
      </c>
      <c r="E199" s="1" t="str">
        <f ca="1">IFERROR(__xludf.DUMMYFUNCTION("""COMPUTED_VALUE"""),"Зарафутдинов Радис Шамгунович")</f>
        <v>Зарафутдинов Радис Шамгунович</v>
      </c>
      <c r="F199" s="1" t="str">
        <f ca="1">IFERROR(__xludf.DUMMYFUNCTION("""COMPUTED_VALUE"""),"МЕРСЕДЕС")</f>
        <v>МЕРСЕДЕС</v>
      </c>
      <c r="G199" s="1" t="str">
        <f ca="1">IFERROR(__xludf.DUMMYFUNCTION("""COMPUTED_VALUE"""),"О816РС196")</f>
        <v>О816РС196</v>
      </c>
      <c r="H199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19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199" s="1" t="str">
        <f ca="1">IFERROR(__xludf.DUMMYFUNCTION("""COMPUTED_VALUE"""),"42,350")</f>
        <v>42,350</v>
      </c>
      <c r="K199" s="1" t="str">
        <f ca="1">IFERROR(__xludf.DUMMYFUNCTION("""COMPUTED_VALUE"""),"Башкирская Медь")</f>
        <v>Башкирская Медь</v>
      </c>
    </row>
    <row r="200" spans="1:11" ht="13" x14ac:dyDescent="0.3">
      <c r="A200" s="1" t="str">
        <f ca="1">IFERROR(__xludf.DUMMYFUNCTION("""COMPUTED_VALUE"""),"81")</f>
        <v>81</v>
      </c>
      <c r="B200" s="1" t="str">
        <f ca="1">IFERROR(__xludf.DUMMYFUNCTION("""COMPUTED_VALUE"""),"04.03.2024")</f>
        <v>04.03.2024</v>
      </c>
      <c r="C200" s="1" t="str">
        <f ca="1">IFERROR(__xludf.DUMMYFUNCTION("""COMPUTED_VALUE"""),"Руда")</f>
        <v>Руда</v>
      </c>
      <c r="D200" s="1" t="str">
        <f ca="1">IFERROR(__xludf.DUMMYFUNCTION("""COMPUTED_VALUE"""),"44,50")</f>
        <v>44,50</v>
      </c>
      <c r="E200" s="1" t="str">
        <f ca="1">IFERROR(__xludf.DUMMYFUNCTION("""COMPUTED_VALUE"""),"Зарафутдинов Радис Шамгунович")</f>
        <v>Зарафутдинов Радис Шамгунович</v>
      </c>
      <c r="F200" s="1" t="str">
        <f ca="1">IFERROR(__xludf.DUMMYFUNCTION("""COMPUTED_VALUE"""),"МЕРСЕДЕС")</f>
        <v>МЕРСЕДЕС</v>
      </c>
      <c r="G200" s="1" t="str">
        <f ca="1">IFERROR(__xludf.DUMMYFUNCTION("""COMPUTED_VALUE"""),"О816РС196")</f>
        <v>О816РС196</v>
      </c>
      <c r="H20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0" s="1" t="str">
        <f ca="1">IFERROR(__xludf.DUMMYFUNCTION("""COMPUTED_VALUE"""),"г. Гай, ПАО ""Гайский ГОК""")</f>
        <v>г. Гай, ПАО "Гайский ГОК"</v>
      </c>
      <c r="J200" s="1" t="str">
        <f ca="1">IFERROR(__xludf.DUMMYFUNCTION("""COMPUTED_VALUE"""),"44,650")</f>
        <v>44,650</v>
      </c>
      <c r="K200" s="1" t="str">
        <f ca="1">IFERROR(__xludf.DUMMYFUNCTION("""COMPUTED_VALUE"""),"Башкирская Медь")</f>
        <v>Башкирская Медь</v>
      </c>
    </row>
    <row r="201" spans="1:11" ht="13" x14ac:dyDescent="0.3">
      <c r="A201" s="1" t="str">
        <f ca="1">IFERROR(__xludf.DUMMYFUNCTION("""COMPUTED_VALUE"""),"83")</f>
        <v>83</v>
      </c>
      <c r="B201" s="1" t="str">
        <f ca="1">IFERROR(__xludf.DUMMYFUNCTION("""COMPUTED_VALUE"""),"04.03.2024")</f>
        <v>04.03.2024</v>
      </c>
      <c r="C201" s="1" t="str">
        <f ca="1">IFERROR(__xludf.DUMMYFUNCTION("""COMPUTED_VALUE"""),"Руда")</f>
        <v>Руда</v>
      </c>
      <c r="D201" s="1" t="str">
        <f ca="1">IFERROR(__xludf.DUMMYFUNCTION("""COMPUTED_VALUE"""),"50,85")</f>
        <v>50,85</v>
      </c>
      <c r="E201" s="1" t="str">
        <f ca="1">IFERROR(__xludf.DUMMYFUNCTION("""COMPUTED_VALUE"""),"Шагалеев Данис Рашитович")</f>
        <v>Шагалеев Данис Рашитович</v>
      </c>
      <c r="F201" s="1" t="str">
        <f ca="1">IFERROR(__xludf.DUMMYFUNCTION("""COMPUTED_VALUE"""),"МЕРСЕДЕС")</f>
        <v>МЕРСЕДЕС</v>
      </c>
      <c r="G201" s="1" t="str">
        <f ca="1">IFERROR(__xludf.DUMMYFUNCTION("""COMPUTED_VALUE"""),"О320РМ196")</f>
        <v>О320РМ196</v>
      </c>
      <c r="H20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1" s="1" t="str">
        <f ca="1">IFERROR(__xludf.DUMMYFUNCTION("""COMPUTED_VALUE"""),"г. Гай, ПАО ""Гайский ГОК""")</f>
        <v>г. Гай, ПАО "Гайский ГОК"</v>
      </c>
      <c r="J201" s="1" t="str">
        <f ca="1">IFERROR(__xludf.DUMMYFUNCTION("""COMPUTED_VALUE"""),"50,850")</f>
        <v>50,850</v>
      </c>
      <c r="K201" s="1" t="str">
        <f ca="1">IFERROR(__xludf.DUMMYFUNCTION("""COMPUTED_VALUE"""),"Башкирская Медь")</f>
        <v>Башкирская Медь</v>
      </c>
    </row>
    <row r="202" spans="1:11" ht="13" x14ac:dyDescent="0.3">
      <c r="A202" s="1" t="str">
        <f ca="1">IFERROR(__xludf.DUMMYFUNCTION("""COMPUTED_VALUE"""),"АТУК2403006")</f>
        <v>АТУК2403006</v>
      </c>
      <c r="B202" s="1" t="str">
        <f ca="1">IFERROR(__xludf.DUMMYFUNCTION("""COMPUTED_VALUE"""),"04.03.2024")</f>
        <v>04.03.2024</v>
      </c>
      <c r="C202" s="1" t="str">
        <f ca="1">IFERROR(__xludf.DUMMYFUNCTION("""COMPUTED_VALUE"""),"глина огнеупорная")</f>
        <v>глина огнеупорная</v>
      </c>
      <c r="D202" s="1" t="str">
        <f ca="1">IFERROR(__xludf.DUMMYFUNCTION("""COMPUTED_VALUE"""),"53,50")</f>
        <v>53,50</v>
      </c>
      <c r="E202" s="1" t="str">
        <f ca="1">IFERROR(__xludf.DUMMYFUNCTION("""COMPUTED_VALUE"""),"Якшимбетов Вилюр Варисович")</f>
        <v>Якшимбетов Вилюр Варисович</v>
      </c>
      <c r="F202" s="1" t="str">
        <f ca="1">IFERROR(__xludf.DUMMYFUNCTION("""COMPUTED_VALUE"""),"ВОЛЬВО")</f>
        <v>ВОЛЬВО</v>
      </c>
      <c r="G202" s="1" t="str">
        <f ca="1">IFERROR(__xludf.DUMMYFUNCTION("""COMPUTED_VALUE"""),"Н182ТС196")</f>
        <v>Н182ТС196</v>
      </c>
      <c r="H20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0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02" s="1" t="str">
        <f ca="1">IFERROR(__xludf.DUMMYFUNCTION("""COMPUTED_VALUE"""),"53,500")</f>
        <v>53,500</v>
      </c>
      <c r="K202" s="1" t="str">
        <f ca="1">IFERROR(__xludf.DUMMYFUNCTION("""COMPUTED_VALUE"""),"АТУ")</f>
        <v>АТУ</v>
      </c>
    </row>
    <row r="203" spans="1:11" ht="13" x14ac:dyDescent="0.3">
      <c r="A203" s="1" t="str">
        <f ca="1">IFERROR(__xludf.DUMMYFUNCTION("""COMPUTED_VALUE"""),"АТУК2403007")</f>
        <v>АТУК2403007</v>
      </c>
      <c r="B203" s="1" t="str">
        <f ca="1">IFERROR(__xludf.DUMMYFUNCTION("""COMPUTED_VALUE"""),"04.03.2024")</f>
        <v>04.03.2024</v>
      </c>
      <c r="C203" s="1" t="str">
        <f ca="1">IFERROR(__xludf.DUMMYFUNCTION("""COMPUTED_VALUE"""),"глина огнеупорная")</f>
        <v>глина огнеупорная</v>
      </c>
      <c r="D203" s="1" t="str">
        <f ca="1">IFERROR(__xludf.DUMMYFUNCTION("""COMPUTED_VALUE"""),"42,35")</f>
        <v>42,35</v>
      </c>
      <c r="E203" s="1" t="str">
        <f ca="1">IFERROR(__xludf.DUMMYFUNCTION("""COMPUTED_VALUE"""),"Бондарев Андрей Александрович")</f>
        <v>Бондарев Андрей Александрович</v>
      </c>
      <c r="F203" s="1" t="str">
        <f ca="1">IFERROR(__xludf.DUMMYFUNCTION("""COMPUTED_VALUE"""),"ВОЛЬВО")</f>
        <v>ВОЛЬВО</v>
      </c>
      <c r="G203" s="1" t="str">
        <f ca="1">IFERROR(__xludf.DUMMYFUNCTION("""COMPUTED_VALUE"""),"О411ОА196
")</f>
        <v xml:space="preserve">О411ОА196
</v>
      </c>
      <c r="H20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0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03" s="1" t="str">
        <f ca="1">IFERROR(__xludf.DUMMYFUNCTION("""COMPUTED_VALUE"""),"42,350")</f>
        <v>42,350</v>
      </c>
      <c r="K203" s="1" t="str">
        <f ca="1">IFERROR(__xludf.DUMMYFUNCTION("""COMPUTED_VALUE"""),"АТУ")</f>
        <v>АТУ</v>
      </c>
    </row>
    <row r="204" spans="1:11" ht="13" x14ac:dyDescent="0.3">
      <c r="A204" s="1" t="str">
        <f ca="1">IFERROR(__xludf.DUMMYFUNCTION("""COMPUTED_VALUE"""),"82")</f>
        <v>82</v>
      </c>
      <c r="B204" s="1" t="str">
        <f ca="1">IFERROR(__xludf.DUMMYFUNCTION("""COMPUTED_VALUE"""),"04.03.2024")</f>
        <v>04.03.2024</v>
      </c>
      <c r="C204" s="1" t="str">
        <f ca="1">IFERROR(__xludf.DUMMYFUNCTION("""COMPUTED_VALUE"""),"Руда")</f>
        <v>Руда</v>
      </c>
      <c r="D204" s="1" t="str">
        <f ca="1">IFERROR(__xludf.DUMMYFUNCTION("""COMPUTED_VALUE"""),"45,95")</f>
        <v>45,95</v>
      </c>
      <c r="E204" s="1" t="str">
        <f ca="1">IFERROR(__xludf.DUMMYFUNCTION("""COMPUTED_VALUE"""),"Гибадатов Ильфат Ринатович")</f>
        <v>Гибадатов Ильфат Ринатович</v>
      </c>
      <c r="F204" s="1" t="str">
        <f ca="1">IFERROR(__xludf.DUMMYFUNCTION("""COMPUTED_VALUE"""),"МЕРСЕДЕС")</f>
        <v>МЕРСЕДЕС</v>
      </c>
      <c r="G204" s="1" t="str">
        <f ca="1">IFERROR(__xludf.DUMMYFUNCTION("""COMPUTED_VALUE"""),"О951РО196")</f>
        <v>О951РО196</v>
      </c>
      <c r="H20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4" s="1" t="str">
        <f ca="1">IFERROR(__xludf.DUMMYFUNCTION("""COMPUTED_VALUE"""),"г. Гай, ПАО ""Гайский ГОК""")</f>
        <v>г. Гай, ПАО "Гайский ГОК"</v>
      </c>
      <c r="J204" s="1" t="str">
        <f ca="1">IFERROR(__xludf.DUMMYFUNCTION("""COMPUTED_VALUE"""),"45,950")</f>
        <v>45,950</v>
      </c>
      <c r="K204" s="1" t="str">
        <f ca="1">IFERROR(__xludf.DUMMYFUNCTION("""COMPUTED_VALUE"""),"Башкирская Медь")</f>
        <v>Башкирская Медь</v>
      </c>
    </row>
    <row r="205" spans="1:11" ht="13" x14ac:dyDescent="0.3">
      <c r="A205" s="1" t="str">
        <f ca="1">IFERROR(__xludf.DUMMYFUNCTION("""COMPUTED_VALUE"""),"80")</f>
        <v>80</v>
      </c>
      <c r="B205" s="1" t="str">
        <f ca="1">IFERROR(__xludf.DUMMYFUNCTION("""COMPUTED_VALUE"""),"04.03.2024")</f>
        <v>04.03.2024</v>
      </c>
      <c r="C205" s="1" t="str">
        <f ca="1">IFERROR(__xludf.DUMMYFUNCTION("""COMPUTED_VALUE"""),"Руда")</f>
        <v>Руда</v>
      </c>
      <c r="D205" s="1" t="str">
        <f ca="1">IFERROR(__xludf.DUMMYFUNCTION("""COMPUTED_VALUE"""),"40,75")</f>
        <v>40,75</v>
      </c>
      <c r="E205" s="1" t="str">
        <f ca="1">IFERROR(__xludf.DUMMYFUNCTION("""COMPUTED_VALUE"""),"Сенюшкин Дмитрий Сергеевич")</f>
        <v>Сенюшкин Дмитрий Сергеевич</v>
      </c>
      <c r="F205" s="1" t="str">
        <f ca="1">IFERROR(__xludf.DUMMYFUNCTION("""COMPUTED_VALUE"""),"МЕРСЕДЕС")</f>
        <v>МЕРСЕДЕС</v>
      </c>
      <c r="G205" s="1" t="str">
        <f ca="1">IFERROR(__xludf.DUMMYFUNCTION("""COMPUTED_VALUE"""),"О974ОЕ196")</f>
        <v>О974ОЕ196</v>
      </c>
      <c r="H20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5" s="1" t="str">
        <f ca="1">IFERROR(__xludf.DUMMYFUNCTION("""COMPUTED_VALUE"""),"г. Гай, ПАО ""Гайский ГОК""")</f>
        <v>г. Гай, ПАО "Гайский ГОК"</v>
      </c>
      <c r="J205" s="1" t="str">
        <f ca="1">IFERROR(__xludf.DUMMYFUNCTION("""COMPUTED_VALUE"""),"40,350")</f>
        <v>40,350</v>
      </c>
      <c r="K205" s="1" t="str">
        <f ca="1">IFERROR(__xludf.DUMMYFUNCTION("""COMPUTED_VALUE"""),"Башкирская Медь")</f>
        <v>Башкирская Медь</v>
      </c>
    </row>
    <row r="206" spans="1:11" ht="13" x14ac:dyDescent="0.3">
      <c r="A206" s="1" t="str">
        <f ca="1">IFERROR(__xludf.DUMMYFUNCTION("""COMPUTED_VALUE"""),"78")</f>
        <v>78</v>
      </c>
      <c r="B206" s="1" t="str">
        <f ca="1">IFERROR(__xludf.DUMMYFUNCTION("""COMPUTED_VALUE"""),"04.03.2024")</f>
        <v>04.03.2024</v>
      </c>
      <c r="C206" s="1" t="str">
        <f ca="1">IFERROR(__xludf.DUMMYFUNCTION("""COMPUTED_VALUE"""),"Руда")</f>
        <v>Руда</v>
      </c>
      <c r="D206" s="1" t="str">
        <f ca="1">IFERROR(__xludf.DUMMYFUNCTION("""COMPUTED_VALUE"""),"40,35")</f>
        <v>40,35</v>
      </c>
      <c r="E206" s="1" t="str">
        <f ca="1">IFERROR(__xludf.DUMMYFUNCTION("""COMPUTED_VALUE"""),"Кунаков Ильгиз Кувандыкович")</f>
        <v>Кунаков Ильгиз Кувандыкович</v>
      </c>
      <c r="F206" s="1" t="str">
        <f ca="1">IFERROR(__xludf.DUMMYFUNCTION("""COMPUTED_VALUE"""),"МЕРСЕДЕС")</f>
        <v>МЕРСЕДЕС</v>
      </c>
      <c r="G206" s="1" t="str">
        <f ca="1">IFERROR(__xludf.DUMMYFUNCTION("""COMPUTED_VALUE"""),"О534РТ196")</f>
        <v>О534РТ196</v>
      </c>
      <c r="H20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6" s="1" t="str">
        <f ca="1">IFERROR(__xludf.DUMMYFUNCTION("""COMPUTED_VALUE"""),"г. Гай, ПАО ""Гайский ГОК""")</f>
        <v>г. Гай, ПАО "Гайский ГОК"</v>
      </c>
      <c r="J206" s="1" t="str">
        <f ca="1">IFERROR(__xludf.DUMMYFUNCTION("""COMPUTED_VALUE"""),"39,950")</f>
        <v>39,950</v>
      </c>
      <c r="K206" s="1" t="str">
        <f ca="1">IFERROR(__xludf.DUMMYFUNCTION("""COMPUTED_VALUE"""),"Башкирская Медь")</f>
        <v>Башкирская Медь</v>
      </c>
    </row>
    <row r="207" spans="1:11" ht="13" x14ac:dyDescent="0.3">
      <c r="A207" s="1" t="str">
        <f ca="1">IFERROR(__xludf.DUMMYFUNCTION("""COMPUTED_VALUE"""),"АТУК2403008")</f>
        <v>АТУК2403008</v>
      </c>
      <c r="B207" s="1" t="str">
        <f ca="1">IFERROR(__xludf.DUMMYFUNCTION("""COMPUTED_VALUE"""),"04.03.2024")</f>
        <v>04.03.2024</v>
      </c>
      <c r="C207" s="1" t="str">
        <f ca="1">IFERROR(__xludf.DUMMYFUNCTION("""COMPUTED_VALUE"""),"глина огнеупорная")</f>
        <v>глина огнеупорная</v>
      </c>
      <c r="D207" s="1" t="str">
        <f ca="1">IFERROR(__xludf.DUMMYFUNCTION("""COMPUTED_VALUE"""),"53,80")</f>
        <v>53,80</v>
      </c>
      <c r="E207" s="1" t="str">
        <f ca="1">IFERROR(__xludf.DUMMYFUNCTION("""COMPUTED_VALUE"""),"Саитов Ильнур Муритович")</f>
        <v>Саитов Ильнур Муритович</v>
      </c>
      <c r="F207" s="1" t="str">
        <f ca="1">IFERROR(__xludf.DUMMYFUNCTION("""COMPUTED_VALUE"""),"ВОЛЬВО")</f>
        <v>ВОЛЬВО</v>
      </c>
      <c r="G207" s="1" t="str">
        <f ca="1">IFERROR(__xludf.DUMMYFUNCTION("""COMPUTED_VALUE"""),"Н184ТС196")</f>
        <v>Н184ТС196</v>
      </c>
      <c r="H20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0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07" s="1" t="str">
        <f ca="1">IFERROR(__xludf.DUMMYFUNCTION("""COMPUTED_VALUE"""),"53,800")</f>
        <v>53,800</v>
      </c>
      <c r="K207" s="1" t="str">
        <f ca="1">IFERROR(__xludf.DUMMYFUNCTION("""COMPUTED_VALUE"""),"АТУ")</f>
        <v>АТУ</v>
      </c>
    </row>
    <row r="208" spans="1:11" ht="13" x14ac:dyDescent="0.3">
      <c r="A208" s="1" t="str">
        <f ca="1">IFERROR(__xludf.DUMMYFUNCTION("""COMPUTED_VALUE"""),"АТУК2403009")</f>
        <v>АТУК2403009</v>
      </c>
      <c r="B208" s="1" t="str">
        <f ca="1">IFERROR(__xludf.DUMMYFUNCTION("""COMPUTED_VALUE"""),"04.03.2024")</f>
        <v>04.03.2024</v>
      </c>
      <c r="C208" s="1" t="str">
        <f ca="1">IFERROR(__xludf.DUMMYFUNCTION("""COMPUTED_VALUE"""),"глина огнеупорная")</f>
        <v>глина огнеупорная</v>
      </c>
      <c r="D208" s="1" t="str">
        <f ca="1">IFERROR(__xludf.DUMMYFUNCTION("""COMPUTED_VALUE"""),"52,10")</f>
        <v>52,10</v>
      </c>
      <c r="E208" s="1" t="str">
        <f ca="1">IFERROR(__xludf.DUMMYFUNCTION("""COMPUTED_VALUE"""),"Сибирёв Артём Николаевич")</f>
        <v>Сибирёв Артём Николаевич</v>
      </c>
      <c r="F208" s="1" t="str">
        <f ca="1">IFERROR(__xludf.DUMMYFUNCTION("""COMPUTED_VALUE"""),"ВОЛЬВО")</f>
        <v>ВОЛЬВО</v>
      </c>
      <c r="G208" s="1" t="str">
        <f ca="1">IFERROR(__xludf.DUMMYFUNCTION("""COMPUTED_VALUE"""),"Н998ОЕ196")</f>
        <v>Н998ОЕ196</v>
      </c>
      <c r="H20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0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08" s="1" t="str">
        <f ca="1">IFERROR(__xludf.DUMMYFUNCTION("""COMPUTED_VALUE"""),"52,100")</f>
        <v>52,100</v>
      </c>
      <c r="K208" s="1" t="str">
        <f ca="1">IFERROR(__xludf.DUMMYFUNCTION("""COMPUTED_VALUE"""),"АТУ")</f>
        <v>АТУ</v>
      </c>
    </row>
    <row r="209" spans="1:11" ht="13" x14ac:dyDescent="0.3">
      <c r="A209" s="1" t="str">
        <f ca="1">IFERROR(__xludf.DUMMYFUNCTION("""COMPUTED_VALUE"""),"76")</f>
        <v>76</v>
      </c>
      <c r="B209" s="1" t="str">
        <f ca="1">IFERROR(__xludf.DUMMYFUNCTION("""COMPUTED_VALUE"""),"04.03.2024")</f>
        <v>04.03.2024</v>
      </c>
      <c r="C209" s="1" t="str">
        <f ca="1">IFERROR(__xludf.DUMMYFUNCTION("""COMPUTED_VALUE"""),"Руда")</f>
        <v>Руда</v>
      </c>
      <c r="D209" s="1" t="str">
        <f ca="1">IFERROR(__xludf.DUMMYFUNCTION("""COMPUTED_VALUE"""),"43,65")</f>
        <v>43,65</v>
      </c>
      <c r="E209" s="1" t="str">
        <f ca="1">IFERROR(__xludf.DUMMYFUNCTION("""COMPUTED_VALUE"""),"Зинатуллин Ильшат Ильясович")</f>
        <v>Зинатуллин Ильшат Ильясович</v>
      </c>
      <c r="F209" s="1" t="str">
        <f ca="1">IFERROR(__xludf.DUMMYFUNCTION("""COMPUTED_VALUE"""),"МЕРСЕДЕС")</f>
        <v>МЕРСЕДЕС</v>
      </c>
      <c r="G209" s="1" t="str">
        <f ca="1">IFERROR(__xludf.DUMMYFUNCTION("""COMPUTED_VALUE"""),"О183ОМ196")</f>
        <v>О183ОМ196</v>
      </c>
      <c r="H20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09" s="1" t="str">
        <f ca="1">IFERROR(__xludf.DUMMYFUNCTION("""COMPUTED_VALUE"""),"г. Гай, ПАО ""Гайский ГОК""")</f>
        <v>г. Гай, ПАО "Гайский ГОК"</v>
      </c>
      <c r="J209" s="1" t="str">
        <f ca="1">IFERROR(__xludf.DUMMYFUNCTION("""COMPUTED_VALUE"""),"43,650")</f>
        <v>43,650</v>
      </c>
      <c r="K209" s="1" t="str">
        <f ca="1">IFERROR(__xludf.DUMMYFUNCTION("""COMPUTED_VALUE"""),"Башкирская Медь")</f>
        <v>Башкирская Медь</v>
      </c>
    </row>
    <row r="210" spans="1:11" ht="13" x14ac:dyDescent="0.3">
      <c r="A210" s="1" t="str">
        <f ca="1">IFERROR(__xludf.DUMMYFUNCTION("""COMPUTED_VALUE"""),"86")</f>
        <v>86</v>
      </c>
      <c r="B210" s="1" t="str">
        <f ca="1">IFERROR(__xludf.DUMMYFUNCTION("""COMPUTED_VALUE"""),"04.03.2024")</f>
        <v>04.03.2024</v>
      </c>
      <c r="C210" s="1" t="str">
        <f ca="1">IFERROR(__xludf.DUMMYFUNCTION("""COMPUTED_VALUE"""),"Руда")</f>
        <v>Руда</v>
      </c>
      <c r="D210" s="1" t="str">
        <f ca="1">IFERROR(__xludf.DUMMYFUNCTION("""COMPUTED_VALUE"""),"46,80")</f>
        <v>46,80</v>
      </c>
      <c r="E210" s="1" t="str">
        <f ca="1">IFERROR(__xludf.DUMMYFUNCTION("""COMPUTED_VALUE"""),"Зинатуллин Ильшат Ильясович")</f>
        <v>Зинатуллин Ильшат Ильясович</v>
      </c>
      <c r="F210" s="1" t="str">
        <f ca="1">IFERROR(__xludf.DUMMYFUNCTION("""COMPUTED_VALUE"""),"МЕРСЕДЕС")</f>
        <v>МЕРСЕДЕС</v>
      </c>
      <c r="G210" s="1" t="str">
        <f ca="1">IFERROR(__xludf.DUMMYFUNCTION("""COMPUTED_VALUE"""),"О183ОМ196")</f>
        <v>О183ОМ196</v>
      </c>
      <c r="H21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10" s="1" t="str">
        <f ca="1">IFERROR(__xludf.DUMMYFUNCTION("""COMPUTED_VALUE"""),"г. Гай, ПАО ""Гайский ГОК""")</f>
        <v>г. Гай, ПАО "Гайский ГОК"</v>
      </c>
      <c r="J210" s="1" t="str">
        <f ca="1">IFERROR(__xludf.DUMMYFUNCTION("""COMPUTED_VALUE"""),"46,800")</f>
        <v>46,800</v>
      </c>
      <c r="K210" s="1" t="str">
        <f ca="1">IFERROR(__xludf.DUMMYFUNCTION("""COMPUTED_VALUE"""),"Башкирская Медь")</f>
        <v>Башкирская Медь</v>
      </c>
    </row>
    <row r="211" spans="1:11" ht="13" x14ac:dyDescent="0.3">
      <c r="A211" s="1" t="str">
        <f ca="1">IFERROR(__xludf.DUMMYFUNCTION("""COMPUTED_VALUE"""),"АТУК2403010")</f>
        <v>АТУК2403010</v>
      </c>
      <c r="B211" s="1" t="str">
        <f ca="1">IFERROR(__xludf.DUMMYFUNCTION("""COMPUTED_VALUE"""),"04.03.2024")</f>
        <v>04.03.2024</v>
      </c>
      <c r="C211" s="1" t="str">
        <f ca="1">IFERROR(__xludf.DUMMYFUNCTION("""COMPUTED_VALUE"""),"глина огнеупорная")</f>
        <v>глина огнеупорная</v>
      </c>
      <c r="D211" s="1" t="str">
        <f ca="1">IFERROR(__xludf.DUMMYFUNCTION("""COMPUTED_VALUE"""),"51,10")</f>
        <v>51,10</v>
      </c>
      <c r="E211" s="1" t="str">
        <f ca="1">IFERROR(__xludf.DUMMYFUNCTION("""COMPUTED_VALUE"""),"Ахунов Алексей Анатольевич")</f>
        <v>Ахунов Алексей Анатольевич</v>
      </c>
      <c r="F211" s="1" t="str">
        <f ca="1">IFERROR(__xludf.DUMMYFUNCTION("""COMPUTED_VALUE"""),"ВОЛЬВО")</f>
        <v>ВОЛЬВО</v>
      </c>
      <c r="G211" s="1" t="str">
        <f ca="1">IFERROR(__xludf.DUMMYFUNCTION("""COMPUTED_VALUE"""),"О246РС196")</f>
        <v>О246РС196</v>
      </c>
      <c r="H21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1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11" s="1" t="str">
        <f ca="1">IFERROR(__xludf.DUMMYFUNCTION("""COMPUTED_VALUE"""),"51,100")</f>
        <v>51,100</v>
      </c>
      <c r="K211" s="1" t="str">
        <f ca="1">IFERROR(__xludf.DUMMYFUNCTION("""COMPUTED_VALUE"""),"АТУ")</f>
        <v>АТУ</v>
      </c>
    </row>
    <row r="212" spans="1:11" ht="13" x14ac:dyDescent="0.3">
      <c r="A212" s="1" t="str">
        <f ca="1">IFERROR(__xludf.DUMMYFUNCTION("""COMPUTED_VALUE"""),"АТУК2403011")</f>
        <v>АТУК2403011</v>
      </c>
      <c r="B212" s="1" t="str">
        <f ca="1">IFERROR(__xludf.DUMMYFUNCTION("""COMPUTED_VALUE"""),"04.03.2024")</f>
        <v>04.03.2024</v>
      </c>
      <c r="C212" s="1" t="str">
        <f ca="1">IFERROR(__xludf.DUMMYFUNCTION("""COMPUTED_VALUE"""),"глина огнеупорная")</f>
        <v>глина огнеупорная</v>
      </c>
      <c r="D212" s="1" t="str">
        <f ca="1">IFERROR(__xludf.DUMMYFUNCTION("""COMPUTED_VALUE"""),"44,80")</f>
        <v>44,80</v>
      </c>
      <c r="E212" s="1" t="str">
        <f ca="1">IFERROR(__xludf.DUMMYFUNCTION("""COMPUTED_VALUE"""),"Марусов Владимир Анатольевич")</f>
        <v>Марусов Владимир Анатольевич</v>
      </c>
      <c r="F212" s="1" t="str">
        <f ca="1">IFERROR(__xludf.DUMMYFUNCTION("""COMPUTED_VALUE"""),"МЕРСЕДЕС")</f>
        <v>МЕРСЕДЕС</v>
      </c>
      <c r="G212" s="1" t="str">
        <f ca="1">IFERROR(__xludf.DUMMYFUNCTION("""COMPUTED_VALUE"""),"О740ОН196")</f>
        <v>О740ОН196</v>
      </c>
      <c r="H21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1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12" s="1" t="str">
        <f ca="1">IFERROR(__xludf.DUMMYFUNCTION("""COMPUTED_VALUE"""),"44,800")</f>
        <v>44,800</v>
      </c>
      <c r="K212" s="1" t="str">
        <f ca="1">IFERROR(__xludf.DUMMYFUNCTION("""COMPUTED_VALUE"""),"АТУ")</f>
        <v>АТУ</v>
      </c>
    </row>
    <row r="213" spans="1:11" ht="13" x14ac:dyDescent="0.3">
      <c r="A213" s="1" t="str">
        <f ca="1">IFERROR(__xludf.DUMMYFUNCTION("""COMPUTED_VALUE"""),"АТУК2403012")</f>
        <v>АТУК2403012</v>
      </c>
      <c r="B213" s="1" t="str">
        <f ca="1">IFERROR(__xludf.DUMMYFUNCTION("""COMPUTED_VALUE"""),"04.03.2024")</f>
        <v>04.03.2024</v>
      </c>
      <c r="C213" s="1" t="str">
        <f ca="1">IFERROR(__xludf.DUMMYFUNCTION("""COMPUTED_VALUE"""),"глина огнеупорная")</f>
        <v>глина огнеупорная</v>
      </c>
      <c r="D213" s="1" t="str">
        <f ca="1">IFERROR(__xludf.DUMMYFUNCTION("""COMPUTED_VALUE"""),"43,30")</f>
        <v>43,30</v>
      </c>
      <c r="E213" s="1" t="str">
        <f ca="1">IFERROR(__xludf.DUMMYFUNCTION("""COMPUTED_VALUE"""),"Белозеров Игорь Анатольевич")</f>
        <v>Белозеров Игорь Анатольевич</v>
      </c>
      <c r="F213" s="1" t="str">
        <f ca="1">IFERROR(__xludf.DUMMYFUNCTION("""COMPUTED_VALUE"""),"МЕРСЕДЕС")</f>
        <v>МЕРСЕДЕС</v>
      </c>
      <c r="G213" s="1" t="str">
        <f ca="1">IFERROR(__xludf.DUMMYFUNCTION("""COMPUTED_VALUE"""),"О929ОА196")</f>
        <v>О929ОА196</v>
      </c>
      <c r="H21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1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13" s="1" t="str">
        <f ca="1">IFERROR(__xludf.DUMMYFUNCTION("""COMPUTED_VALUE"""),"43,300")</f>
        <v>43,300</v>
      </c>
      <c r="K213" s="1" t="str">
        <f ca="1">IFERROR(__xludf.DUMMYFUNCTION("""COMPUTED_VALUE"""),"АТУ")</f>
        <v>АТУ</v>
      </c>
    </row>
    <row r="214" spans="1:11" ht="13" x14ac:dyDescent="0.3">
      <c r="A214" s="1" t="str">
        <f ca="1">IFERROR(__xludf.DUMMYFUNCTION("""COMPUTED_VALUE"""),"АТУК2403013")</f>
        <v>АТУК2403013</v>
      </c>
      <c r="B214" s="1" t="str">
        <f ca="1">IFERROR(__xludf.DUMMYFUNCTION("""COMPUTED_VALUE"""),"05.03.2024")</f>
        <v>05.03.2024</v>
      </c>
      <c r="C214" s="1" t="str">
        <f ca="1">IFERROR(__xludf.DUMMYFUNCTION("""COMPUTED_VALUE"""),"глина огнеупорная")</f>
        <v>глина огнеупорная</v>
      </c>
      <c r="D214" s="1" t="str">
        <f ca="1">IFERROR(__xludf.DUMMYFUNCTION("""COMPUTED_VALUE"""),"42,20")</f>
        <v>42,20</v>
      </c>
      <c r="E214" s="1" t="str">
        <f ca="1">IFERROR(__xludf.DUMMYFUNCTION("""COMPUTED_VALUE"""),"Афанасьев Михаил Васильевич")</f>
        <v>Афанасьев Михаил Васильевич</v>
      </c>
      <c r="F214" s="1" t="str">
        <f ca="1">IFERROR(__xludf.DUMMYFUNCTION("""COMPUTED_VALUE"""),"МЕРСЕДЕС")</f>
        <v>МЕРСЕДЕС</v>
      </c>
      <c r="G214" s="1" t="str">
        <f ca="1">IFERROR(__xludf.DUMMYFUNCTION("""COMPUTED_VALUE"""),"О208ОМ196")</f>
        <v>О208ОМ196</v>
      </c>
      <c r="H21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1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14" s="1" t="str">
        <f ca="1">IFERROR(__xludf.DUMMYFUNCTION("""COMPUTED_VALUE"""),"42,200")</f>
        <v>42,200</v>
      </c>
      <c r="K214" s="1" t="str">
        <f ca="1">IFERROR(__xludf.DUMMYFUNCTION("""COMPUTED_VALUE"""),"АТУ")</f>
        <v>АТУ</v>
      </c>
    </row>
    <row r="215" spans="1:11" ht="13" x14ac:dyDescent="0.3">
      <c r="A215" s="1" t="str">
        <f ca="1">IFERROR(__xludf.DUMMYFUNCTION("""COMPUTED_VALUE"""),"89")</f>
        <v>89</v>
      </c>
      <c r="B215" s="1" t="str">
        <f ca="1">IFERROR(__xludf.DUMMYFUNCTION("""COMPUTED_VALUE"""),"05.03.2024")</f>
        <v>05.03.2024</v>
      </c>
      <c r="C215" s="1" t="str">
        <f ca="1">IFERROR(__xludf.DUMMYFUNCTION("""COMPUTED_VALUE"""),"Руда")</f>
        <v>Руда</v>
      </c>
      <c r="D215" s="1" t="str">
        <f ca="1">IFERROR(__xludf.DUMMYFUNCTION("""COMPUTED_VALUE"""),"39,55")</f>
        <v>39,55</v>
      </c>
      <c r="E215" s="1" t="str">
        <f ca="1">IFERROR(__xludf.DUMMYFUNCTION("""COMPUTED_VALUE"""),"Добижа Алексей Васильевич")</f>
        <v>Добижа Алексей Васильевич</v>
      </c>
      <c r="F215" s="1" t="str">
        <f ca="1">IFERROR(__xludf.DUMMYFUNCTION("""COMPUTED_VALUE"""),"МЕРСЕДЕС")</f>
        <v>МЕРСЕДЕС</v>
      </c>
      <c r="G215" s="1" t="str">
        <f ca="1">IFERROR(__xludf.DUMMYFUNCTION("""COMPUTED_VALUE"""),"О840РХ196")</f>
        <v>О840РХ196</v>
      </c>
      <c r="H21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15" s="1" t="str">
        <f ca="1">IFERROR(__xludf.DUMMYFUNCTION("""COMPUTED_VALUE"""),"г. Гай, ПАО ""Гайский ГОК""")</f>
        <v>г. Гай, ПАО "Гайский ГОК"</v>
      </c>
      <c r="J215" s="1" t="str">
        <f ca="1">IFERROR(__xludf.DUMMYFUNCTION("""COMPUTED_VALUE"""),"39,550")</f>
        <v>39,550</v>
      </c>
      <c r="K215" s="1" t="str">
        <f ca="1">IFERROR(__xludf.DUMMYFUNCTION("""COMPUTED_VALUE"""),"Башкирская Медь")</f>
        <v>Башкирская Медь</v>
      </c>
    </row>
    <row r="216" spans="1:11" ht="13" x14ac:dyDescent="0.3">
      <c r="A216" s="1" t="str">
        <f ca="1">IFERROR(__xludf.DUMMYFUNCTION("""COMPUTED_VALUE"""),"44")</f>
        <v>44</v>
      </c>
      <c r="B216" s="1" t="str">
        <f ca="1">IFERROR(__xludf.DUMMYFUNCTION("""COMPUTED_VALUE"""),"04.03.2024")</f>
        <v>04.03.2024</v>
      </c>
      <c r="C216" s="1" t="str">
        <f ca="1">IFERROR(__xludf.DUMMYFUNCTION("""COMPUTED_VALUE"""),"Щебень из плотных горных пород фр.5-20")</f>
        <v>Щебень из плотных горных пород фр.5-20</v>
      </c>
      <c r="D216" s="1" t="str">
        <f ca="1">IFERROR(__xludf.DUMMYFUNCTION("""COMPUTED_VALUE"""),"44,10")</f>
        <v>44,10</v>
      </c>
      <c r="E216" s="1" t="str">
        <f ca="1">IFERROR(__xludf.DUMMYFUNCTION("""COMPUTED_VALUE"""),"Закиров Замил Закиевич")</f>
        <v>Закиров Замил Закиевич</v>
      </c>
      <c r="F216" s="1" t="str">
        <f ca="1">IFERROR(__xludf.DUMMYFUNCTION("""COMPUTED_VALUE"""),"МЕРСЕДЕС")</f>
        <v>МЕРСЕДЕС</v>
      </c>
      <c r="G216" s="1" t="str">
        <f ca="1">IFERROR(__xludf.DUMMYFUNCTION("""COMPUTED_VALUE"""),"О135ОУ196")</f>
        <v>О135ОУ196</v>
      </c>
      <c r="H216" s="1" t="str">
        <f ca="1">IFERROR(__xludf.DUMMYFUNCTION("""COMPUTED_VALUE"""),"Оренбургская область, городской округ Новотроицк, посёлок Новорудный")</f>
        <v>Оренбургская область, городской округ Новотроицк, посёлок Новорудный</v>
      </c>
      <c r="I21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216" s="1" t="str">
        <f ca="1">IFERROR(__xludf.DUMMYFUNCTION("""COMPUTED_VALUE"""),"43,800")</f>
        <v>43,800</v>
      </c>
      <c r="K216" s="1" t="str">
        <f ca="1">IFERROR(__xludf.DUMMYFUNCTION("""COMPUTED_VALUE"""),"Башкирская Медь")</f>
        <v>Башкирская Медь</v>
      </c>
    </row>
    <row r="217" spans="1:11" ht="13" x14ac:dyDescent="0.3">
      <c r="A217" s="1" t="str">
        <f ca="1">IFERROR(__xludf.DUMMYFUNCTION("""COMPUTED_VALUE"""),"90")</f>
        <v>90</v>
      </c>
      <c r="B217" s="1" t="str">
        <f ca="1">IFERROR(__xludf.DUMMYFUNCTION("""COMPUTED_VALUE"""),"04.03.2024")</f>
        <v>04.03.2024</v>
      </c>
      <c r="C217" s="1" t="str">
        <f ca="1">IFERROR(__xludf.DUMMYFUNCTION("""COMPUTED_VALUE"""),"Руда")</f>
        <v>Руда</v>
      </c>
      <c r="D217" s="1" t="str">
        <f ca="1">IFERROR(__xludf.DUMMYFUNCTION("""COMPUTED_VALUE"""),"42,00")</f>
        <v>42,00</v>
      </c>
      <c r="E217" s="1" t="str">
        <f ca="1">IFERROR(__xludf.DUMMYFUNCTION("""COMPUTED_VALUE"""),"Закиров Замил Закиевич")</f>
        <v>Закиров Замил Закиевич</v>
      </c>
      <c r="F217" s="1" t="str">
        <f ca="1">IFERROR(__xludf.DUMMYFUNCTION("""COMPUTED_VALUE"""),"МЕРСЕДЕС")</f>
        <v>МЕРСЕДЕС</v>
      </c>
      <c r="G217" s="1" t="str">
        <f ca="1">IFERROR(__xludf.DUMMYFUNCTION("""COMPUTED_VALUE"""),"О135ОУ196")</f>
        <v>О135ОУ196</v>
      </c>
      <c r="H21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17" s="1" t="str">
        <f ca="1">IFERROR(__xludf.DUMMYFUNCTION("""COMPUTED_VALUE"""),"г. Гай, ПАО ""Гайский ГОК""")</f>
        <v>г. Гай, ПАО "Гайский ГОК"</v>
      </c>
      <c r="J217" s="1" t="str">
        <f ca="1">IFERROR(__xludf.DUMMYFUNCTION("""COMPUTED_VALUE"""),"42,150")</f>
        <v>42,150</v>
      </c>
      <c r="K217" s="1" t="str">
        <f ca="1">IFERROR(__xludf.DUMMYFUNCTION("""COMPUTED_VALUE"""),"Башкирская Медь")</f>
        <v>Башкирская Медь</v>
      </c>
    </row>
    <row r="218" spans="1:11" ht="13" x14ac:dyDescent="0.3">
      <c r="A218" s="1" t="str">
        <f ca="1">IFERROR(__xludf.DUMMYFUNCTION("""COMPUTED_VALUE"""),"91")</f>
        <v>91</v>
      </c>
      <c r="B218" s="1" t="str">
        <f ca="1">IFERROR(__xludf.DUMMYFUNCTION("""COMPUTED_VALUE"""),"05.03.2024")</f>
        <v>05.03.2024</v>
      </c>
      <c r="C218" s="1" t="str">
        <f ca="1">IFERROR(__xludf.DUMMYFUNCTION("""COMPUTED_VALUE"""),"Руда")</f>
        <v>Руда</v>
      </c>
      <c r="D218" s="1" t="str">
        <f ca="1">IFERROR(__xludf.DUMMYFUNCTION("""COMPUTED_VALUE"""),"40,20")</f>
        <v>40,20</v>
      </c>
      <c r="E218" s="1" t="str">
        <f ca="1">IFERROR(__xludf.DUMMYFUNCTION("""COMPUTED_VALUE"""),"Рыбалкин Виталий Ильич")</f>
        <v>Рыбалкин Виталий Ильич</v>
      </c>
      <c r="F218" s="1" t="str">
        <f ca="1">IFERROR(__xludf.DUMMYFUNCTION("""COMPUTED_VALUE"""),"МЕРСЕДЕС")</f>
        <v>МЕРСЕДЕС</v>
      </c>
      <c r="G218" s="1" t="str">
        <f ca="1">IFERROR(__xludf.DUMMYFUNCTION("""COMPUTED_VALUE"""),"О669РО196")</f>
        <v>О669РО196</v>
      </c>
      <c r="H21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18" s="1" t="str">
        <f ca="1">IFERROR(__xludf.DUMMYFUNCTION("""COMPUTED_VALUE"""),"г. Гай, ПАО ""Гайский ГОК""")</f>
        <v>г. Гай, ПАО "Гайский ГОК"</v>
      </c>
      <c r="J218" s="1" t="str">
        <f ca="1">IFERROR(__xludf.DUMMYFUNCTION("""COMPUTED_VALUE"""),"40,200")</f>
        <v>40,200</v>
      </c>
      <c r="K218" s="1" t="str">
        <f ca="1">IFERROR(__xludf.DUMMYFUNCTION("""COMPUTED_VALUE"""),"Башкирская Медь")</f>
        <v>Башкирская Медь</v>
      </c>
    </row>
    <row r="219" spans="1:11" ht="13" x14ac:dyDescent="0.3">
      <c r="A219" s="1" t="str">
        <f ca="1">IFERROR(__xludf.DUMMYFUNCTION("""COMPUTED_VALUE"""),"АТУК2403014")</f>
        <v>АТУК2403014</v>
      </c>
      <c r="B219" s="1" t="str">
        <f ca="1">IFERROR(__xludf.DUMMYFUNCTION("""COMPUTED_VALUE"""),"04.03.2024")</f>
        <v>04.03.2024</v>
      </c>
      <c r="C219" s="1" t="str">
        <f ca="1">IFERROR(__xludf.DUMMYFUNCTION("""COMPUTED_VALUE"""),"глина огнеупорная")</f>
        <v>глина огнеупорная</v>
      </c>
      <c r="D219" s="1" t="str">
        <f ca="1">IFERROR(__xludf.DUMMYFUNCTION("""COMPUTED_VALUE"""),"55,35")</f>
        <v>55,35</v>
      </c>
      <c r="E219" s="1" t="str">
        <f ca="1">IFERROR(__xludf.DUMMYFUNCTION("""COMPUTED_VALUE"""),"Карий Иван Иванович")</f>
        <v>Карий Иван Иванович</v>
      </c>
      <c r="F219" s="1" t="str">
        <f ca="1">IFERROR(__xludf.DUMMYFUNCTION("""COMPUTED_VALUE"""),"ВОЛЬВО")</f>
        <v>ВОЛЬВО</v>
      </c>
      <c r="G219" s="1" t="str">
        <f ca="1">IFERROR(__xludf.DUMMYFUNCTION("""COMPUTED_VALUE"""),"Н208МР196")</f>
        <v>Н208МР196</v>
      </c>
      <c r="H21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1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19" s="1" t="str">
        <f ca="1">IFERROR(__xludf.DUMMYFUNCTION("""COMPUTED_VALUE"""),"55,350")</f>
        <v>55,350</v>
      </c>
      <c r="K219" s="1" t="str">
        <f ca="1">IFERROR(__xludf.DUMMYFUNCTION("""COMPUTED_VALUE"""),"АТУ")</f>
        <v>АТУ</v>
      </c>
    </row>
    <row r="220" spans="1:11" ht="13" x14ac:dyDescent="0.3">
      <c r="A220" s="1" t="str">
        <f ca="1">IFERROR(__xludf.DUMMYFUNCTION("""COMPUTED_VALUE"""),"АТУК2403015")</f>
        <v>АТУК2403015</v>
      </c>
      <c r="B220" s="1" t="str">
        <f ca="1">IFERROR(__xludf.DUMMYFUNCTION("""COMPUTED_VALUE"""),"04.03.2024")</f>
        <v>04.03.2024</v>
      </c>
      <c r="C220" s="1" t="str">
        <f ca="1">IFERROR(__xludf.DUMMYFUNCTION("""COMPUTED_VALUE"""),"глина огнеупорная")</f>
        <v>глина огнеупорная</v>
      </c>
      <c r="D220" s="1" t="str">
        <f ca="1">IFERROR(__xludf.DUMMYFUNCTION("""COMPUTED_VALUE"""),"44,45")</f>
        <v>44,45</v>
      </c>
      <c r="E220" s="1" t="str">
        <f ca="1">IFERROR(__xludf.DUMMYFUNCTION("""COMPUTED_VALUE"""),"Лученко Андрей Владимирович")</f>
        <v>Лученко Андрей Владимирович</v>
      </c>
      <c r="F220" s="1" t="str">
        <f ca="1">IFERROR(__xludf.DUMMYFUNCTION("""COMPUTED_VALUE"""),"МЕРСЕДЕС")</f>
        <v>МЕРСЕДЕС</v>
      </c>
      <c r="G220" s="1" t="str">
        <f ca="1">IFERROR(__xludf.DUMMYFUNCTION("""COMPUTED_VALUE"""),"О407НТ196")</f>
        <v>О407НТ196</v>
      </c>
      <c r="H22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2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20" s="1" t="str">
        <f ca="1">IFERROR(__xludf.DUMMYFUNCTION("""COMPUTED_VALUE"""),"44,450")</f>
        <v>44,450</v>
      </c>
      <c r="K220" s="1" t="str">
        <f ca="1">IFERROR(__xludf.DUMMYFUNCTION("""COMPUTED_VALUE"""),"АТУ")</f>
        <v>АТУ</v>
      </c>
    </row>
    <row r="221" spans="1:11" ht="13" x14ac:dyDescent="0.3">
      <c r="A221" s="1" t="str">
        <f ca="1">IFERROR(__xludf.DUMMYFUNCTION("""COMPUTED_VALUE"""),"101666")</f>
        <v>101666</v>
      </c>
      <c r="B221" s="1" t="str">
        <f ca="1">IFERROR(__xludf.DUMMYFUNCTION("""COMPUTED_VALUE"""),"05.03.2024")</f>
        <v>05.03.2024</v>
      </c>
      <c r="C221" s="1" t="str">
        <f ca="1">IFERROR(__xludf.DUMMYFUNCTION("""COMPUTED_VALUE"""),"Щебень 5-20")</f>
        <v>Щебень 5-20</v>
      </c>
      <c r="D221" s="1" t="str">
        <f ca="1">IFERROR(__xludf.DUMMYFUNCTION("""COMPUTED_VALUE"""),"28,14")</f>
        <v>28,14</v>
      </c>
      <c r="E221" s="1" t="str">
        <f ca="1">IFERROR(__xludf.DUMMYFUNCTION("""COMPUTED_VALUE"""),"Ефремов Сергей Михайлович")</f>
        <v>Ефремов Сергей Михайлович</v>
      </c>
      <c r="F221" s="1" t="str">
        <f ca="1">IFERROR(__xludf.DUMMYFUNCTION("""COMPUTED_VALUE"""),"JAC")</f>
        <v>JAC</v>
      </c>
      <c r="G221" s="1" t="str">
        <f ca="1">IFERROR(__xludf.DUMMYFUNCTION("""COMPUTED_VALUE"""),"М648ВА774")</f>
        <v>М648ВА774</v>
      </c>
      <c r="H221" s="1" t="str">
        <f ca="1">IFERROR(__xludf.DUMMYFUNCTION("""COMPUTED_VALUE"""),"г. Магнитогорск, КПП № 23 ПАО ""ММК""")</f>
        <v>г. Магнитогорск, КПП № 23 ПАО "ММК"</v>
      </c>
      <c r="I221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1" s="1" t="str">
        <f ca="1">IFERROR(__xludf.DUMMYFUNCTION("""COMPUTED_VALUE"""),"28,14")</f>
        <v>28,14</v>
      </c>
      <c r="K221" s="1" t="str">
        <f ca="1">IFERROR(__xludf.DUMMYFUNCTION("""COMPUTED_VALUE"""),"ПрокатМонтаж")</f>
        <v>ПрокатМонтаж</v>
      </c>
    </row>
    <row r="222" spans="1:11" ht="13" x14ac:dyDescent="0.3">
      <c r="A222" s="1" t="str">
        <f ca="1">IFERROR(__xludf.DUMMYFUNCTION("""COMPUTED_VALUE"""),"101679")</f>
        <v>101679</v>
      </c>
      <c r="B222" s="1" t="str">
        <f ca="1">IFERROR(__xludf.DUMMYFUNCTION("""COMPUTED_VALUE"""),"05.03.2024")</f>
        <v>05.03.2024</v>
      </c>
      <c r="C222" s="1" t="str">
        <f ca="1">IFERROR(__xludf.DUMMYFUNCTION("""COMPUTED_VALUE"""),"Щебень 5-20")</f>
        <v>Щебень 5-20</v>
      </c>
      <c r="D222" s="1" t="str">
        <f ca="1">IFERROR(__xludf.DUMMYFUNCTION("""COMPUTED_VALUE"""),"33,48")</f>
        <v>33,48</v>
      </c>
      <c r="E222" s="1" t="str">
        <f ca="1">IFERROR(__xludf.DUMMYFUNCTION("""COMPUTED_VALUE"""),"Ефремов Сергей Михайлович")</f>
        <v>Ефремов Сергей Михайлович</v>
      </c>
      <c r="F222" s="1" t="str">
        <f ca="1">IFERROR(__xludf.DUMMYFUNCTION("""COMPUTED_VALUE"""),"JAC")</f>
        <v>JAC</v>
      </c>
      <c r="G222" s="1" t="str">
        <f ca="1">IFERROR(__xludf.DUMMYFUNCTION("""COMPUTED_VALUE"""),"М648ВА774")</f>
        <v>М648ВА774</v>
      </c>
      <c r="H222" s="1" t="str">
        <f ca="1">IFERROR(__xludf.DUMMYFUNCTION("""COMPUTED_VALUE"""),"г. Магнитогорск, КПП № 23 ПАО ""ММК""")</f>
        <v>г. Магнитогорск, КПП № 23 ПАО "ММК"</v>
      </c>
      <c r="I22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2" s="1" t="str">
        <f ca="1">IFERROR(__xludf.DUMMYFUNCTION("""COMPUTED_VALUE"""),"33,48")</f>
        <v>33,48</v>
      </c>
      <c r="K222" s="1" t="str">
        <f ca="1">IFERROR(__xludf.DUMMYFUNCTION("""COMPUTED_VALUE"""),"ПрокатМонтаж")</f>
        <v>ПрокатМонтаж</v>
      </c>
    </row>
    <row r="223" spans="1:11" ht="13" x14ac:dyDescent="0.3">
      <c r="A223" s="1" t="str">
        <f ca="1">IFERROR(__xludf.DUMMYFUNCTION("""COMPUTED_VALUE"""),"101687")</f>
        <v>101687</v>
      </c>
      <c r="B223" s="1" t="str">
        <f ca="1">IFERROR(__xludf.DUMMYFUNCTION("""COMPUTED_VALUE"""),"05.03.2024")</f>
        <v>05.03.2024</v>
      </c>
      <c r="C223" s="1" t="str">
        <f ca="1">IFERROR(__xludf.DUMMYFUNCTION("""COMPUTED_VALUE"""),"Щебень 5-20")</f>
        <v>Щебень 5-20</v>
      </c>
      <c r="D223" s="1" t="str">
        <f ca="1">IFERROR(__xludf.DUMMYFUNCTION("""COMPUTED_VALUE"""),"33,50")</f>
        <v>33,50</v>
      </c>
      <c r="E223" s="1" t="str">
        <f ca="1">IFERROR(__xludf.DUMMYFUNCTION("""COMPUTED_VALUE"""),"Ефремов Сергей Михайлович")</f>
        <v>Ефремов Сергей Михайлович</v>
      </c>
      <c r="F223" s="1" t="str">
        <f ca="1">IFERROR(__xludf.DUMMYFUNCTION("""COMPUTED_VALUE"""),"JAC")</f>
        <v>JAC</v>
      </c>
      <c r="G223" s="1" t="str">
        <f ca="1">IFERROR(__xludf.DUMMYFUNCTION("""COMPUTED_VALUE"""),"М648ВА774")</f>
        <v>М648ВА774</v>
      </c>
      <c r="H223" s="1" t="str">
        <f ca="1">IFERROR(__xludf.DUMMYFUNCTION("""COMPUTED_VALUE"""),"г. Магнитогорск, КПП № 23 ПАО ""ММК""")</f>
        <v>г. Магнитогорск, КПП № 23 ПАО "ММК"</v>
      </c>
      <c r="I223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3" s="1" t="str">
        <f ca="1">IFERROR(__xludf.DUMMYFUNCTION("""COMPUTED_VALUE"""),"33,50")</f>
        <v>33,50</v>
      </c>
      <c r="K223" s="1" t="str">
        <f ca="1">IFERROR(__xludf.DUMMYFUNCTION("""COMPUTED_VALUE"""),"ПрокатМонтаж")</f>
        <v>ПрокатМонтаж</v>
      </c>
    </row>
    <row r="224" spans="1:11" ht="13" x14ac:dyDescent="0.3">
      <c r="A224" s="1" t="str">
        <f ca="1">IFERROR(__xludf.DUMMYFUNCTION("""COMPUTED_VALUE"""),"101693")</f>
        <v>101693</v>
      </c>
      <c r="B224" s="1" t="str">
        <f ca="1">IFERROR(__xludf.DUMMYFUNCTION("""COMPUTED_VALUE"""),"05.03.2024")</f>
        <v>05.03.2024</v>
      </c>
      <c r="C224" s="1" t="str">
        <f ca="1">IFERROR(__xludf.DUMMYFUNCTION("""COMPUTED_VALUE"""),"Щебень 5-20")</f>
        <v>Щебень 5-20</v>
      </c>
      <c r="D224" s="1" t="str">
        <f ca="1">IFERROR(__xludf.DUMMYFUNCTION("""COMPUTED_VALUE"""),"34,10")</f>
        <v>34,10</v>
      </c>
      <c r="E224" s="1" t="str">
        <f ca="1">IFERROR(__xludf.DUMMYFUNCTION("""COMPUTED_VALUE"""),"Ефремов Сергей Михайлович")</f>
        <v>Ефремов Сергей Михайлович</v>
      </c>
      <c r="F224" s="1" t="str">
        <f ca="1">IFERROR(__xludf.DUMMYFUNCTION("""COMPUTED_VALUE"""),"JAC")</f>
        <v>JAC</v>
      </c>
      <c r="G224" s="1" t="str">
        <f ca="1">IFERROR(__xludf.DUMMYFUNCTION("""COMPUTED_VALUE"""),"М648ВА774")</f>
        <v>М648ВА774</v>
      </c>
      <c r="H224" s="1" t="str">
        <f ca="1">IFERROR(__xludf.DUMMYFUNCTION("""COMPUTED_VALUE"""),"г. Магнитогорск, КПП № 23 ПАО ""ММК""")</f>
        <v>г. Магнитогорск, КПП № 23 ПАО "ММК"</v>
      </c>
      <c r="I224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4" s="1" t="str">
        <f ca="1">IFERROR(__xludf.DUMMYFUNCTION("""COMPUTED_VALUE"""),"34,10")</f>
        <v>34,10</v>
      </c>
      <c r="K224" s="1" t="str">
        <f ca="1">IFERROR(__xludf.DUMMYFUNCTION("""COMPUTED_VALUE"""),"ПрокатМонтаж")</f>
        <v>ПрокатМонтаж</v>
      </c>
    </row>
    <row r="225" spans="1:11" ht="13" x14ac:dyDescent="0.3">
      <c r="A225" s="1" t="str">
        <f ca="1">IFERROR(__xludf.DUMMYFUNCTION("""COMPUTED_VALUE"""),"101686")</f>
        <v>101686</v>
      </c>
      <c r="B225" s="1" t="str">
        <f ca="1">IFERROR(__xludf.DUMMYFUNCTION("""COMPUTED_VALUE"""),"05.03.2024")</f>
        <v>05.03.2024</v>
      </c>
      <c r="C225" s="1" t="str">
        <f ca="1">IFERROR(__xludf.DUMMYFUNCTION("""COMPUTED_VALUE"""),"Щебень 5-20")</f>
        <v>Щебень 5-20</v>
      </c>
      <c r="D225" s="1" t="str">
        <f ca="1">IFERROR(__xludf.DUMMYFUNCTION("""COMPUTED_VALUE"""),"30,62")</f>
        <v>30,62</v>
      </c>
      <c r="E225" s="1" t="str">
        <f ca="1">IFERROR(__xludf.DUMMYFUNCTION("""COMPUTED_VALUE"""),"Котов Иван Эдуардович")</f>
        <v>Котов Иван Эдуардович</v>
      </c>
      <c r="F225" s="1" t="str">
        <f ca="1">IFERROR(__xludf.DUMMYFUNCTION("""COMPUTED_VALUE"""),"HOWO")</f>
        <v>HOWO</v>
      </c>
      <c r="G225" s="1" t="str">
        <f ca="1">IFERROR(__xludf.DUMMYFUNCTION("""COMPUTED_VALUE"""),"В732АО774")</f>
        <v>В732АО774</v>
      </c>
      <c r="H225" s="1" t="str">
        <f ca="1">IFERROR(__xludf.DUMMYFUNCTION("""COMPUTED_VALUE"""),"г. Магнитогорск, КПП № 23 ПАО ""ММК""")</f>
        <v>г. Магнитогорск, КПП № 23 ПАО "ММК"</v>
      </c>
      <c r="I225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5" s="1" t="str">
        <f ca="1">IFERROR(__xludf.DUMMYFUNCTION("""COMPUTED_VALUE"""),"30,62")</f>
        <v>30,62</v>
      </c>
      <c r="K225" s="1" t="str">
        <f ca="1">IFERROR(__xludf.DUMMYFUNCTION("""COMPUTED_VALUE"""),"ПрокатМонтаж")</f>
        <v>ПрокатМонтаж</v>
      </c>
    </row>
    <row r="226" spans="1:11" ht="13" x14ac:dyDescent="0.3">
      <c r="A226" s="1" t="str">
        <f ca="1">IFERROR(__xludf.DUMMYFUNCTION("""COMPUTED_VALUE"""),"101677")</f>
        <v>101677</v>
      </c>
      <c r="B226" s="1" t="str">
        <f ca="1">IFERROR(__xludf.DUMMYFUNCTION("""COMPUTED_VALUE"""),"05.03.2024")</f>
        <v>05.03.2024</v>
      </c>
      <c r="C226" s="1" t="str">
        <f ca="1">IFERROR(__xludf.DUMMYFUNCTION("""COMPUTED_VALUE"""),"Щебень 5-20")</f>
        <v>Щебень 5-20</v>
      </c>
      <c r="D226" s="1" t="str">
        <f ca="1">IFERROR(__xludf.DUMMYFUNCTION("""COMPUTED_VALUE"""),"30,40")</f>
        <v>30,40</v>
      </c>
      <c r="E226" s="1" t="str">
        <f ca="1">IFERROR(__xludf.DUMMYFUNCTION("""COMPUTED_VALUE"""),"Котов Иван Эдуардович")</f>
        <v>Котов Иван Эдуардович</v>
      </c>
      <c r="F226" s="1" t="str">
        <f ca="1">IFERROR(__xludf.DUMMYFUNCTION("""COMPUTED_VALUE"""),"HOWO")</f>
        <v>HOWO</v>
      </c>
      <c r="G226" s="1" t="str">
        <f ca="1">IFERROR(__xludf.DUMMYFUNCTION("""COMPUTED_VALUE"""),"В732АО774")</f>
        <v>В732АО774</v>
      </c>
      <c r="H226" s="1" t="str">
        <f ca="1">IFERROR(__xludf.DUMMYFUNCTION("""COMPUTED_VALUE"""),"г. Магнитогорск, КПП № 23 ПАО ""ММК""")</f>
        <v>г. Магнитогорск, КПП № 23 ПАО "ММК"</v>
      </c>
      <c r="I226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6" s="1" t="str">
        <f ca="1">IFERROR(__xludf.DUMMYFUNCTION("""COMPUTED_VALUE"""),"30,40")</f>
        <v>30,40</v>
      </c>
      <c r="K226" s="1" t="str">
        <f ca="1">IFERROR(__xludf.DUMMYFUNCTION("""COMPUTED_VALUE"""),"ПрокатМонтаж")</f>
        <v>ПрокатМонтаж</v>
      </c>
    </row>
    <row r="227" spans="1:11" ht="13" x14ac:dyDescent="0.3">
      <c r="A227" s="1" t="str">
        <f ca="1">IFERROR(__xludf.DUMMYFUNCTION("""COMPUTED_VALUE"""),"101665")</f>
        <v>101665</v>
      </c>
      <c r="B227" s="1" t="str">
        <f ca="1">IFERROR(__xludf.DUMMYFUNCTION("""COMPUTED_VALUE"""),"05.03.2024")</f>
        <v>05.03.2024</v>
      </c>
      <c r="C227" s="1" t="str">
        <f ca="1">IFERROR(__xludf.DUMMYFUNCTION("""COMPUTED_VALUE"""),"Щебень 5-20")</f>
        <v>Щебень 5-20</v>
      </c>
      <c r="D227" s="1" t="str">
        <f ca="1">IFERROR(__xludf.DUMMYFUNCTION("""COMPUTED_VALUE"""),"28,74")</f>
        <v>28,74</v>
      </c>
      <c r="E227" s="1" t="str">
        <f ca="1">IFERROR(__xludf.DUMMYFUNCTION("""COMPUTED_VALUE"""),"Котов Иван Эдуардович")</f>
        <v>Котов Иван Эдуардович</v>
      </c>
      <c r="F227" s="1" t="str">
        <f ca="1">IFERROR(__xludf.DUMMYFUNCTION("""COMPUTED_VALUE"""),"HOWO")</f>
        <v>HOWO</v>
      </c>
      <c r="G227" s="1" t="str">
        <f ca="1">IFERROR(__xludf.DUMMYFUNCTION("""COMPUTED_VALUE"""),"В732АО774")</f>
        <v>В732АО774</v>
      </c>
      <c r="H227" s="1" t="str">
        <f ca="1">IFERROR(__xludf.DUMMYFUNCTION("""COMPUTED_VALUE"""),"г. Магнитогорск, КПП № 23 ПАО ""ММК""")</f>
        <v>г. Магнитогорск, КПП № 23 ПАО "ММК"</v>
      </c>
      <c r="I227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7" s="1" t="str">
        <f ca="1">IFERROR(__xludf.DUMMYFUNCTION("""COMPUTED_VALUE"""),"28,74")</f>
        <v>28,74</v>
      </c>
      <c r="K227" s="1" t="str">
        <f ca="1">IFERROR(__xludf.DUMMYFUNCTION("""COMPUTED_VALUE"""),"ПрокатМонтаж")</f>
        <v>ПрокатМонтаж</v>
      </c>
    </row>
    <row r="228" spans="1:11" ht="13" x14ac:dyDescent="0.3">
      <c r="A228" s="1" t="str">
        <f ca="1">IFERROR(__xludf.DUMMYFUNCTION("""COMPUTED_VALUE"""),"826")</f>
        <v>826</v>
      </c>
      <c r="B228" s="1" t="str">
        <f ca="1">IFERROR(__xludf.DUMMYFUNCTION("""COMPUTED_VALUE"""),"05.03.2024")</f>
        <v>05.03.2024</v>
      </c>
      <c r="C228" s="1" t="str">
        <f ca="1">IFERROR(__xludf.DUMMYFUNCTION("""COMPUTED_VALUE"""),"Песок")</f>
        <v>Песок</v>
      </c>
      <c r="D228" s="1" t="str">
        <f ca="1">IFERROR(__xludf.DUMMYFUNCTION("""COMPUTED_VALUE"""),"38,95")</f>
        <v>38,95</v>
      </c>
      <c r="E228" s="1" t="str">
        <f ca="1">IFERROR(__xludf.DUMMYFUNCTION("""COMPUTED_VALUE"""),"Руковицын Виктор Анатольевич")</f>
        <v>Руковицын Виктор Анатольевич</v>
      </c>
      <c r="F228" s="1" t="str">
        <f ca="1">IFERROR(__xludf.DUMMYFUNCTION("""COMPUTED_VALUE"""),"FAW")</f>
        <v>FAW</v>
      </c>
      <c r="G228" s="1" t="str">
        <f ca="1">IFERROR(__xludf.DUMMYFUNCTION("""COMPUTED_VALUE"""),"С621КМ774")</f>
        <v>С621КМ774</v>
      </c>
      <c r="H228" s="1" t="str">
        <f ca="1">IFERROR(__xludf.DUMMYFUNCTION("""COMPUTED_VALUE"""),"Карьер Трест МС, п. Агаповка")</f>
        <v>Карьер Трест МС, п. Агаповка</v>
      </c>
      <c r="I228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8" s="1" t="str">
        <f ca="1">IFERROR(__xludf.DUMMYFUNCTION("""COMPUTED_VALUE"""),"38,95")</f>
        <v>38,95</v>
      </c>
      <c r="K228" s="1" t="str">
        <f ca="1">IFERROR(__xludf.DUMMYFUNCTION("""COMPUTED_VALUE"""),"ПрокатМонтаж")</f>
        <v>ПрокатМонтаж</v>
      </c>
    </row>
    <row r="229" spans="1:11" ht="13" x14ac:dyDescent="0.3">
      <c r="A229" s="1" t="str">
        <f ca="1">IFERROR(__xludf.DUMMYFUNCTION("""COMPUTED_VALUE"""),"841")</f>
        <v>841</v>
      </c>
      <c r="B229" s="1" t="str">
        <f ca="1">IFERROR(__xludf.DUMMYFUNCTION("""COMPUTED_VALUE"""),"05.03.2024")</f>
        <v>05.03.2024</v>
      </c>
      <c r="C229" s="1" t="str">
        <f ca="1">IFERROR(__xludf.DUMMYFUNCTION("""COMPUTED_VALUE"""),"Песок")</f>
        <v>Песок</v>
      </c>
      <c r="D229" s="1" t="str">
        <f ca="1">IFERROR(__xludf.DUMMYFUNCTION("""COMPUTED_VALUE"""),"42,00")</f>
        <v>42,00</v>
      </c>
      <c r="E229" s="1" t="str">
        <f ca="1">IFERROR(__xludf.DUMMYFUNCTION("""COMPUTED_VALUE"""),"Руковицын Виктор Анатольевич")</f>
        <v>Руковицын Виктор Анатольевич</v>
      </c>
      <c r="F229" s="1" t="str">
        <f ca="1">IFERROR(__xludf.DUMMYFUNCTION("""COMPUTED_VALUE"""),"FAW")</f>
        <v>FAW</v>
      </c>
      <c r="G229" s="1" t="str">
        <f ca="1">IFERROR(__xludf.DUMMYFUNCTION("""COMPUTED_VALUE"""),"С621КМ774")</f>
        <v>С621КМ774</v>
      </c>
      <c r="H229" s="1" t="str">
        <f ca="1">IFERROR(__xludf.DUMMYFUNCTION("""COMPUTED_VALUE"""),"Карьер Трест МС, п. Агаповка")</f>
        <v>Карьер Трест МС, п. Агаповка</v>
      </c>
      <c r="I229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29" s="1" t="str">
        <f ca="1">IFERROR(__xludf.DUMMYFUNCTION("""COMPUTED_VALUE"""),"42,00")</f>
        <v>42,00</v>
      </c>
      <c r="K229" s="1" t="str">
        <f ca="1">IFERROR(__xludf.DUMMYFUNCTION("""COMPUTED_VALUE"""),"ПрокатМонтаж")</f>
        <v>ПрокатМонтаж</v>
      </c>
    </row>
    <row r="230" spans="1:11" ht="13" x14ac:dyDescent="0.3">
      <c r="A230" s="1" t="str">
        <f ca="1">IFERROR(__xludf.DUMMYFUNCTION("""COMPUTED_VALUE"""),"854")</f>
        <v>854</v>
      </c>
      <c r="B230" s="1" t="str">
        <f ca="1">IFERROR(__xludf.DUMMYFUNCTION("""COMPUTED_VALUE"""),"05.03.2024")</f>
        <v>05.03.2024</v>
      </c>
      <c r="C230" s="1" t="str">
        <f ca="1">IFERROR(__xludf.DUMMYFUNCTION("""COMPUTED_VALUE"""),"Песок")</f>
        <v>Песок</v>
      </c>
      <c r="D230" s="1" t="str">
        <f ca="1">IFERROR(__xludf.DUMMYFUNCTION("""COMPUTED_VALUE"""),"43,85")</f>
        <v>43,85</v>
      </c>
      <c r="E230" s="1" t="str">
        <f ca="1">IFERROR(__xludf.DUMMYFUNCTION("""COMPUTED_VALUE"""),"Поликарпов Константин Юрьевич")</f>
        <v>Поликарпов Константин Юрьевич</v>
      </c>
      <c r="F230" s="1" t="str">
        <f ca="1">IFERROR(__xludf.DUMMYFUNCTION("""COMPUTED_VALUE"""),"FAW")</f>
        <v>FAW</v>
      </c>
      <c r="G230" s="1" t="str">
        <f ca="1">IFERROR(__xludf.DUMMYFUNCTION("""COMPUTED_VALUE"""),"С621КМ774")</f>
        <v>С621КМ774</v>
      </c>
      <c r="H230" s="1" t="str">
        <f ca="1">IFERROR(__xludf.DUMMYFUNCTION("""COMPUTED_VALUE"""),"Карьер Трест МС, п. Агаповка")</f>
        <v>Карьер Трест МС, п. Агаповка</v>
      </c>
      <c r="I230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30" s="1" t="str">
        <f ca="1">IFERROR(__xludf.DUMMYFUNCTION("""COMPUTED_VALUE"""),"43,85")</f>
        <v>43,85</v>
      </c>
      <c r="K230" s="1" t="str">
        <f ca="1">IFERROR(__xludf.DUMMYFUNCTION("""COMPUTED_VALUE"""),"ПрокатМонтаж")</f>
        <v>ПрокатМонтаж</v>
      </c>
    </row>
    <row r="231" spans="1:11" ht="13" x14ac:dyDescent="0.3">
      <c r="A231" s="1" t="str">
        <f ca="1">IFERROR(__xludf.DUMMYFUNCTION("""COMPUTED_VALUE"""),"2545")</f>
        <v>2545</v>
      </c>
      <c r="B231" s="1" t="str">
        <f ca="1">IFERROR(__xludf.DUMMYFUNCTION("""COMPUTED_VALUE"""),"05.03.2024")</f>
        <v>05.03.2024</v>
      </c>
      <c r="C231" s="1" t="str">
        <f ca="1">IFERROR(__xludf.DUMMYFUNCTION("""COMPUTED_VALUE"""),"глина огнеупорная")</f>
        <v>глина огнеупорная</v>
      </c>
      <c r="D231" s="1" t="str">
        <f ca="1">IFERROR(__xludf.DUMMYFUNCTION("""COMPUTED_VALUE"""),"28,04")</f>
        <v>28,04</v>
      </c>
      <c r="E231" s="1" t="str">
        <f ca="1">IFERROR(__xludf.DUMMYFUNCTION("""COMPUTED_VALUE"""),"Свищев Михаил Владимирович")</f>
        <v>Свищев Михаил Владимирович</v>
      </c>
      <c r="F231" s="1" t="str">
        <f ca="1">IFERROR(__xludf.DUMMYFUNCTION("""COMPUTED_VALUE"""),"FAW")</f>
        <v>FAW</v>
      </c>
      <c r="G231" s="1" t="str">
        <f ca="1">IFERROR(__xludf.DUMMYFUNCTION("""COMPUTED_VALUE"""),"Н504КК774")</f>
        <v>Н504КК774</v>
      </c>
      <c r="H231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23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31" s="1" t="str">
        <f ca="1">IFERROR(__xludf.DUMMYFUNCTION("""COMPUTED_VALUE"""),"28,04")</f>
        <v>28,04</v>
      </c>
      <c r="K231" s="1" t="str">
        <f ca="1">IFERROR(__xludf.DUMMYFUNCTION("""COMPUTED_VALUE"""),"АТУ")</f>
        <v>АТУ</v>
      </c>
    </row>
    <row r="232" spans="1:11" ht="13" x14ac:dyDescent="0.3">
      <c r="A232" s="1" t="str">
        <f ca="1">IFERROR(__xludf.DUMMYFUNCTION("""COMPUTED_VALUE"""),"48176")</f>
        <v>48176</v>
      </c>
      <c r="B232" s="1" t="str">
        <f ca="1">IFERROR(__xludf.DUMMYFUNCTION("""COMPUTED_VALUE"""),"05.03.2024")</f>
        <v>05.03.2024</v>
      </c>
      <c r="C232" s="1" t="str">
        <f ca="1">IFERROR(__xludf.DUMMYFUNCTION("""COMPUTED_VALUE"""),"Песок")</f>
        <v>Песок</v>
      </c>
      <c r="D232" s="1" t="str">
        <f ca="1">IFERROR(__xludf.DUMMYFUNCTION("""COMPUTED_VALUE"""),"41,70")</f>
        <v>41,70</v>
      </c>
      <c r="E232" s="1" t="str">
        <f ca="1">IFERROR(__xludf.DUMMYFUNCTION("""COMPUTED_VALUE"""),"Доронов Алексей Николаевич")</f>
        <v>Доронов Алексей Николаевич</v>
      </c>
      <c r="F232" s="1" t="str">
        <f ca="1">IFERROR(__xludf.DUMMYFUNCTION("""COMPUTED_VALUE"""),"SHACMAN")</f>
        <v>SHACMAN</v>
      </c>
      <c r="G232" s="1" t="str">
        <f ca="1">IFERROR(__xludf.DUMMYFUNCTION("""COMPUTED_VALUE"""),"У645ВО774")</f>
        <v>У645ВО774</v>
      </c>
      <c r="H232" s="1" t="str">
        <f ca="1">IFERROR(__xludf.DUMMYFUNCTION("""COMPUTED_VALUE"""),"Карьер Трест МС, п. Агаповка")</f>
        <v>Карьер Трест МС, п. Агаповка</v>
      </c>
      <c r="I23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232" s="1" t="str">
        <f ca="1">IFERROR(__xludf.DUMMYFUNCTION("""COMPUTED_VALUE"""),"41,550")</f>
        <v>41,550</v>
      </c>
      <c r="K232" s="1" t="str">
        <f ca="1">IFERROR(__xludf.DUMMYFUNCTION("""COMPUTED_VALUE"""),"Башкирская Медь")</f>
        <v>Башкирская Медь</v>
      </c>
    </row>
    <row r="233" spans="1:11" ht="13" x14ac:dyDescent="0.3">
      <c r="A233" s="1" t="str">
        <f ca="1">IFERROR(__xludf.DUMMYFUNCTION("""COMPUTED_VALUE"""),"48177")</f>
        <v>48177</v>
      </c>
      <c r="B233" s="1" t="str">
        <f ca="1">IFERROR(__xludf.DUMMYFUNCTION("""COMPUTED_VALUE"""),"05.03.2024")</f>
        <v>05.03.2024</v>
      </c>
      <c r="C233" s="1" t="str">
        <f ca="1">IFERROR(__xludf.DUMMYFUNCTION("""COMPUTED_VALUE"""),"Песок")</f>
        <v>Песок</v>
      </c>
      <c r="D233" s="1" t="str">
        <f ca="1">IFERROR(__xludf.DUMMYFUNCTION("""COMPUTED_VALUE"""),"44,20")</f>
        <v>44,20</v>
      </c>
      <c r="E233" s="1" t="str">
        <f ca="1">IFERROR(__xludf.DUMMYFUNCTION("""COMPUTED_VALUE"""),"Сычев Василий Владимирович")</f>
        <v>Сычев Василий Владимирович</v>
      </c>
      <c r="F233" s="1" t="str">
        <f ca="1">IFERROR(__xludf.DUMMYFUNCTION("""COMPUTED_VALUE"""),"SHACMAN")</f>
        <v>SHACMAN</v>
      </c>
      <c r="G233" s="1" t="str">
        <f ca="1">IFERROR(__xludf.DUMMYFUNCTION("""COMPUTED_VALUE"""),"Х319АЕ774")</f>
        <v>Х319АЕ774</v>
      </c>
      <c r="H233" s="1" t="str">
        <f ca="1">IFERROR(__xludf.DUMMYFUNCTION("""COMPUTED_VALUE"""),"Карьер Трест МС, п. Агаповка")</f>
        <v>Карьер Трест МС, п. Агаповка</v>
      </c>
      <c r="I23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233" s="1" t="str">
        <f ca="1">IFERROR(__xludf.DUMMYFUNCTION("""COMPUTED_VALUE"""),"44,650")</f>
        <v>44,650</v>
      </c>
      <c r="K233" s="1" t="str">
        <f ca="1">IFERROR(__xludf.DUMMYFUNCTION("""COMPUTED_VALUE"""),"Башкирская Медь")</f>
        <v>Башкирская Медь</v>
      </c>
    </row>
    <row r="234" spans="1:11" ht="13" x14ac:dyDescent="0.3">
      <c r="A234" s="1" t="str">
        <f ca="1">IFERROR(__xludf.DUMMYFUNCTION("""COMPUTED_VALUE"""),"92")</f>
        <v>92</v>
      </c>
      <c r="B234" s="1" t="str">
        <f ca="1">IFERROR(__xludf.DUMMYFUNCTION("""COMPUTED_VALUE"""),"05.03.2024")</f>
        <v>05.03.2024</v>
      </c>
      <c r="C234" s="1" t="str">
        <f ca="1">IFERROR(__xludf.DUMMYFUNCTION("""COMPUTED_VALUE"""),"Руда")</f>
        <v>Руда</v>
      </c>
      <c r="D234" s="1" t="str">
        <f ca="1">IFERROR(__xludf.DUMMYFUNCTION("""COMPUTED_VALUE"""),"57,60")</f>
        <v>57,60</v>
      </c>
      <c r="E234" s="1" t="str">
        <f ca="1">IFERROR(__xludf.DUMMYFUNCTION("""COMPUTED_VALUE"""),"Алексеев Алексей Сергеевич")</f>
        <v>Алексеев Алексей Сергеевич</v>
      </c>
      <c r="F234" s="1" t="str">
        <f ca="1">IFERROR(__xludf.DUMMYFUNCTION("""COMPUTED_VALUE"""),"SITRAK")</f>
        <v>SITRAK</v>
      </c>
      <c r="G234" s="1" t="str">
        <f ca="1">IFERROR(__xludf.DUMMYFUNCTION("""COMPUTED_VALUE"""),"Н854ВН774")</f>
        <v>Н854ВН774</v>
      </c>
      <c r="H23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34" s="1" t="str">
        <f ca="1">IFERROR(__xludf.DUMMYFUNCTION("""COMPUTED_VALUE"""),"г. Гай, ПАО ""Гайский ГОК""")</f>
        <v>г. Гай, ПАО "Гайский ГОК"</v>
      </c>
      <c r="J234" s="1" t="str">
        <f ca="1">IFERROR(__xludf.DUMMYFUNCTION("""COMPUTED_VALUE"""),"58,450")</f>
        <v>58,450</v>
      </c>
      <c r="K234" s="1" t="str">
        <f ca="1">IFERROR(__xludf.DUMMYFUNCTION("""COMPUTED_VALUE"""),"Башкирская Медь")</f>
        <v>Башкирская Медь</v>
      </c>
    </row>
    <row r="235" spans="1:11" ht="13" x14ac:dyDescent="0.3">
      <c r="A235" s="1" t="str">
        <f ca="1">IFERROR(__xludf.DUMMYFUNCTION("""COMPUTED_VALUE"""),"93")</f>
        <v>93</v>
      </c>
      <c r="B235" s="1" t="str">
        <f ca="1">IFERROR(__xludf.DUMMYFUNCTION("""COMPUTED_VALUE"""),"05.03.2024")</f>
        <v>05.03.2024</v>
      </c>
      <c r="C235" s="1" t="str">
        <f ca="1">IFERROR(__xludf.DUMMYFUNCTION("""COMPUTED_VALUE"""),"Руда")</f>
        <v>Руда</v>
      </c>
      <c r="D235" s="1" t="str">
        <f ca="1">IFERROR(__xludf.DUMMYFUNCTION("""COMPUTED_VALUE"""),"41,05")</f>
        <v>41,05</v>
      </c>
      <c r="E235" s="1" t="str">
        <f ca="1">IFERROR(__xludf.DUMMYFUNCTION("""COMPUTED_VALUE"""),"Огарков Виталий Павлович")</f>
        <v>Огарков Виталий Павлович</v>
      </c>
      <c r="F235" s="1" t="str">
        <f ca="1">IFERROR(__xludf.DUMMYFUNCTION("""COMPUTED_VALUE"""),"HOWO")</f>
        <v>HOWO</v>
      </c>
      <c r="G235" s="1" t="str">
        <f ca="1">IFERROR(__xludf.DUMMYFUNCTION("""COMPUTED_VALUE"""),"Н234ВР774")</f>
        <v>Н234ВР774</v>
      </c>
      <c r="H23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35" s="1" t="str">
        <f ca="1">IFERROR(__xludf.DUMMYFUNCTION("""COMPUTED_VALUE"""),"г. Гай, ПАО ""Гайский ГОК""")</f>
        <v>г. Гай, ПАО "Гайский ГОК"</v>
      </c>
      <c r="J235" s="1" t="str">
        <f ca="1">IFERROR(__xludf.DUMMYFUNCTION("""COMPUTED_VALUE"""),"41,100")</f>
        <v>41,100</v>
      </c>
      <c r="K235" s="1" t="str">
        <f ca="1">IFERROR(__xludf.DUMMYFUNCTION("""COMPUTED_VALUE"""),"Башкирская Медь")</f>
        <v>Башкирская Медь</v>
      </c>
    </row>
    <row r="236" spans="1:11" ht="13" x14ac:dyDescent="0.3">
      <c r="A236" s="1" t="str">
        <f ca="1">IFERROR(__xludf.DUMMYFUNCTION("""COMPUTED_VALUE"""),"95")</f>
        <v>95</v>
      </c>
      <c r="B236" s="1" t="str">
        <f ca="1">IFERROR(__xludf.DUMMYFUNCTION("""COMPUTED_VALUE"""),"05.03.2024")</f>
        <v>05.03.2024</v>
      </c>
      <c r="C236" s="1" t="str">
        <f ca="1">IFERROR(__xludf.DUMMYFUNCTION("""COMPUTED_VALUE"""),"Руда")</f>
        <v>Руда</v>
      </c>
      <c r="D236" s="1" t="str">
        <f ca="1">IFERROR(__xludf.DUMMYFUNCTION("""COMPUTED_VALUE"""),"51,20")</f>
        <v>51,20</v>
      </c>
      <c r="E236" s="1" t="str">
        <f ca="1">IFERROR(__xludf.DUMMYFUNCTION("""COMPUTED_VALUE"""),"Басарыгин Александр Евгеньевич")</f>
        <v>Басарыгин Александр Евгеньевич</v>
      </c>
      <c r="F236" s="1" t="str">
        <f ca="1">IFERROR(__xludf.DUMMYFUNCTION("""COMPUTED_VALUE"""),"HOWO")</f>
        <v>HOWO</v>
      </c>
      <c r="G236" s="1" t="str">
        <f ca="1">IFERROR(__xludf.DUMMYFUNCTION("""COMPUTED_VALUE"""),"Н384ВР774")</f>
        <v>Н384ВР774</v>
      </c>
      <c r="H23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36" s="1" t="str">
        <f ca="1">IFERROR(__xludf.DUMMYFUNCTION("""COMPUTED_VALUE"""),"г. Гай, ПАО ""Гайский ГОК""")</f>
        <v>г. Гай, ПАО "Гайский ГОК"</v>
      </c>
      <c r="J236" s="1" t="str">
        <f ca="1">IFERROR(__xludf.DUMMYFUNCTION("""COMPUTED_VALUE"""),"51,200")</f>
        <v>51,200</v>
      </c>
      <c r="K236" s="1" t="str">
        <f ca="1">IFERROR(__xludf.DUMMYFUNCTION("""COMPUTED_VALUE"""),"Башкирская Медь")</f>
        <v>Башкирская Медь</v>
      </c>
    </row>
    <row r="237" spans="1:11" ht="13" x14ac:dyDescent="0.3">
      <c r="A237" s="1" t="str">
        <f ca="1">IFERROR(__xludf.DUMMYFUNCTION("""COMPUTED_VALUE"""),"94")</f>
        <v>94</v>
      </c>
      <c r="B237" s="1" t="str">
        <f ca="1">IFERROR(__xludf.DUMMYFUNCTION("""COMPUTED_VALUE"""),"05.03.2024")</f>
        <v>05.03.2024</v>
      </c>
      <c r="C237" s="1" t="str">
        <f ca="1">IFERROR(__xludf.DUMMYFUNCTION("""COMPUTED_VALUE"""),"Руда")</f>
        <v>Руда</v>
      </c>
      <c r="D237" s="1" t="str">
        <f ca="1">IFERROR(__xludf.DUMMYFUNCTION("""COMPUTED_VALUE"""),"40,95")</f>
        <v>40,95</v>
      </c>
      <c r="E237" s="1" t="str">
        <f ca="1">IFERROR(__xludf.DUMMYFUNCTION("""COMPUTED_VALUE"""),"Соколов Максим Сергеевич")</f>
        <v>Соколов Максим Сергеевич</v>
      </c>
      <c r="F237" s="1" t="str">
        <f ca="1">IFERROR(__xludf.DUMMYFUNCTION("""COMPUTED_VALUE"""),"SHACMAN")</f>
        <v>SHACMAN</v>
      </c>
      <c r="G237" s="1" t="str">
        <f ca="1">IFERROR(__xludf.DUMMYFUNCTION("""COMPUTED_VALUE"""),"Н186ВР774")</f>
        <v>Н186ВР774</v>
      </c>
      <c r="H23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37" s="1" t="str">
        <f ca="1">IFERROR(__xludf.DUMMYFUNCTION("""COMPUTED_VALUE"""),"г. Гай, ПАО ""Гайский ГОК""")</f>
        <v>г. Гай, ПАО "Гайский ГОК"</v>
      </c>
      <c r="J237" s="1" t="str">
        <f ca="1">IFERROR(__xludf.DUMMYFUNCTION("""COMPUTED_VALUE"""),"41,000")</f>
        <v>41,000</v>
      </c>
      <c r="K237" s="1" t="str">
        <f ca="1">IFERROR(__xludf.DUMMYFUNCTION("""COMPUTED_VALUE"""),"Башкирская Медь")</f>
        <v>Башкирская Медь</v>
      </c>
    </row>
    <row r="238" spans="1:11" ht="13" x14ac:dyDescent="0.3">
      <c r="A238" s="1" t="str">
        <f ca="1">IFERROR(__xludf.DUMMYFUNCTION("""COMPUTED_VALUE"""),"108994 / 108953")</f>
        <v>108994 / 108953</v>
      </c>
      <c r="B238" s="1" t="str">
        <f ca="1">IFERROR(__xludf.DUMMYFUNCTION("""COMPUTED_VALUE"""),"05.03.2024")</f>
        <v>05.03.2024</v>
      </c>
      <c r="C238" s="1" t="str">
        <f ca="1">IFERROR(__xludf.DUMMYFUNCTION("""COMPUTED_VALUE"""),"Шлак гранулированный")</f>
        <v>Шлак гранулированный</v>
      </c>
      <c r="D238" s="1" t="str">
        <f ca="1">IFERROR(__xludf.DUMMYFUNCTION("""COMPUTED_VALUE"""),"41,55")</f>
        <v>41,55</v>
      </c>
      <c r="E238" s="1" t="str">
        <f ca="1">IFERROR(__xludf.DUMMYFUNCTION("""COMPUTED_VALUE"""),"Волков Алесей Геннадьевич")</f>
        <v>Волков Алесей Геннадьевич</v>
      </c>
      <c r="F238" s="1" t="str">
        <f ca="1">IFERROR(__xludf.DUMMYFUNCTION("""COMPUTED_VALUE"""),"HOWO")</f>
        <v>HOWO</v>
      </c>
      <c r="G238" s="1" t="str">
        <f ca="1">IFERROR(__xludf.DUMMYFUNCTION("""COMPUTED_VALUE"""),"Н206ВР774")</f>
        <v>Н206ВР774</v>
      </c>
      <c r="H238" s="1" t="str">
        <f ca="1">IFERROR(__xludf.DUMMYFUNCTION("""COMPUTED_VALUE"""),"г. Магнитогорск, ул. Локомотивная, 6А")</f>
        <v>г. Магнитогорск, ул. Локомотивная, 6А</v>
      </c>
      <c r="I238" s="1" t="str">
        <f ca="1">IFERROR(__xludf.DUMMYFUNCTION("""COMPUTED_VALUE"""),"г. Гай, ПАО ""Гайский ГОК""")</f>
        <v>г. Гай, ПАО "Гайский ГОК"</v>
      </c>
      <c r="J238" s="1" t="str">
        <f ca="1">IFERROR(__xludf.DUMMYFUNCTION("""COMPUTED_VALUE"""),"41,550")</f>
        <v>41,550</v>
      </c>
      <c r="K238" s="1" t="str">
        <f ca="1">IFERROR(__xludf.DUMMYFUNCTION("""COMPUTED_VALUE"""),"Гайский ГОК")</f>
        <v>Гайский ГОК</v>
      </c>
    </row>
    <row r="239" spans="1:11" ht="13" x14ac:dyDescent="0.3">
      <c r="A239" s="1" t="str">
        <f ca="1">IFERROR(__xludf.DUMMYFUNCTION("""COMPUTED_VALUE"""),"108670 / 108891")</f>
        <v>108670 / 108891</v>
      </c>
      <c r="B239" s="1" t="str">
        <f ca="1">IFERROR(__xludf.DUMMYFUNCTION("""COMPUTED_VALUE"""),"05.03.2024")</f>
        <v>05.03.2024</v>
      </c>
      <c r="C239" s="1" t="str">
        <f ca="1">IFERROR(__xludf.DUMMYFUNCTION("""COMPUTED_VALUE"""),"Шлак гранулированный")</f>
        <v>Шлак гранулированный</v>
      </c>
      <c r="D239" s="1" t="str">
        <f ca="1">IFERROR(__xludf.DUMMYFUNCTION("""COMPUTED_VALUE"""),"43,60")</f>
        <v>43,60</v>
      </c>
      <c r="E239" s="1" t="str">
        <f ca="1">IFERROR(__xludf.DUMMYFUNCTION("""COMPUTED_VALUE"""),"Альтяпов Рустам Ильмирович")</f>
        <v>Альтяпов Рустам Ильмирович</v>
      </c>
      <c r="F239" s="1" t="str">
        <f ca="1">IFERROR(__xludf.DUMMYFUNCTION("""COMPUTED_VALUE"""),"HOWO")</f>
        <v>HOWO</v>
      </c>
      <c r="G239" s="1" t="str">
        <f ca="1">IFERROR(__xludf.DUMMYFUNCTION("""COMPUTED_VALUE"""),"Н953ВР774")</f>
        <v>Н953ВР774</v>
      </c>
      <c r="H239" s="1" t="str">
        <f ca="1">IFERROR(__xludf.DUMMYFUNCTION("""COMPUTED_VALUE"""),"г. Магнитогорск, ул. Локомотивная, 6А")</f>
        <v>г. Магнитогорск, ул. Локомотивная, 6А</v>
      </c>
      <c r="I239" s="1" t="str">
        <f ca="1">IFERROR(__xludf.DUMMYFUNCTION("""COMPUTED_VALUE"""),"г. Гай, ПАО ""Гайский ГОК""")</f>
        <v>г. Гай, ПАО "Гайский ГОК"</v>
      </c>
      <c r="J239" s="1" t="str">
        <f ca="1">IFERROR(__xludf.DUMMYFUNCTION("""COMPUTED_VALUE"""),"43,600")</f>
        <v>43,600</v>
      </c>
      <c r="K239" s="1" t="str">
        <f ca="1">IFERROR(__xludf.DUMMYFUNCTION("""COMPUTED_VALUE"""),"Гайский ГОК")</f>
        <v>Гайский ГОК</v>
      </c>
    </row>
    <row r="240" spans="1:11" ht="13" x14ac:dyDescent="0.3">
      <c r="A240" s="1" t="str">
        <f ca="1">IFERROR(__xludf.DUMMYFUNCTION("""COMPUTED_VALUE"""),"109085 / 109048")</f>
        <v>109085 / 109048</v>
      </c>
      <c r="B240" s="1" t="str">
        <f ca="1">IFERROR(__xludf.DUMMYFUNCTION("""COMPUTED_VALUE"""),"05.03.2024")</f>
        <v>05.03.2024</v>
      </c>
      <c r="C240" s="1" t="str">
        <f ca="1">IFERROR(__xludf.DUMMYFUNCTION("""COMPUTED_VALUE"""),"Шлак гранулированный")</f>
        <v>Шлак гранулированный</v>
      </c>
      <c r="D240" s="1" t="str">
        <f ca="1">IFERROR(__xludf.DUMMYFUNCTION("""COMPUTED_VALUE"""),"35,20")</f>
        <v>35,20</v>
      </c>
      <c r="E240" s="1" t="str">
        <f ca="1">IFERROR(__xludf.DUMMYFUNCTION("""COMPUTED_VALUE"""),"Ягафаров Айнур Наилевич")</f>
        <v>Ягафаров Айнур Наилевич</v>
      </c>
      <c r="F240" s="1" t="str">
        <f ca="1">IFERROR(__xludf.DUMMYFUNCTION("""COMPUTED_VALUE"""),"HOWO")</f>
        <v>HOWO</v>
      </c>
      <c r="G240" s="1" t="str">
        <f ca="1">IFERROR(__xludf.DUMMYFUNCTION("""COMPUTED_VALUE"""),"Х374АТ774")</f>
        <v>Х374АТ774</v>
      </c>
      <c r="H240" s="1" t="str">
        <f ca="1">IFERROR(__xludf.DUMMYFUNCTION("""COMPUTED_VALUE"""),"г. Магнитогорск, ул. Локомотивная, 6А")</f>
        <v>г. Магнитогорск, ул. Локомотивная, 6А</v>
      </c>
      <c r="I240" s="1" t="str">
        <f ca="1">IFERROR(__xludf.DUMMYFUNCTION("""COMPUTED_VALUE"""),"г. Гай, ПАО ""Гайский ГОК""")</f>
        <v>г. Гай, ПАО "Гайский ГОК"</v>
      </c>
      <c r="J240" s="1" t="str">
        <f ca="1">IFERROR(__xludf.DUMMYFUNCTION("""COMPUTED_VALUE"""),"35,200")</f>
        <v>35,200</v>
      </c>
      <c r="K240" s="1" t="str">
        <f ca="1">IFERROR(__xludf.DUMMYFUNCTION("""COMPUTED_VALUE"""),"Гайский ГОК")</f>
        <v>Гайский ГОК</v>
      </c>
    </row>
    <row r="241" spans="1:11" ht="13" x14ac:dyDescent="0.3">
      <c r="A241" s="1" t="str">
        <f ca="1">IFERROR(__xludf.DUMMYFUNCTION("""COMPUTED_VALUE"""),"108732 / 108520")</f>
        <v>108732 / 108520</v>
      </c>
      <c r="B241" s="1" t="str">
        <f ca="1">IFERROR(__xludf.DUMMYFUNCTION("""COMPUTED_VALUE"""),"05.03.2024")</f>
        <v>05.03.2024</v>
      </c>
      <c r="C241" s="1" t="str">
        <f ca="1">IFERROR(__xludf.DUMMYFUNCTION("""COMPUTED_VALUE"""),"Шлак гранулированный")</f>
        <v>Шлак гранулированный</v>
      </c>
      <c r="D241" s="1" t="str">
        <f ca="1">IFERROR(__xludf.DUMMYFUNCTION("""COMPUTED_VALUE"""),"43,50")</f>
        <v>43,50</v>
      </c>
      <c r="E241" s="1" t="str">
        <f ca="1">IFERROR(__xludf.DUMMYFUNCTION("""COMPUTED_VALUE"""),"Мурзабаев Руслан Мирасович")</f>
        <v>Мурзабаев Руслан Мирасович</v>
      </c>
      <c r="F241" s="1" t="str">
        <f ca="1">IFERROR(__xludf.DUMMYFUNCTION("""COMPUTED_VALUE"""),"HOWO")</f>
        <v>HOWO</v>
      </c>
      <c r="G241" s="1" t="str">
        <f ca="1">IFERROR(__xludf.DUMMYFUNCTION("""COMPUTED_VALUE"""),"Н929ВР774")</f>
        <v>Н929ВР774</v>
      </c>
      <c r="H241" s="1" t="str">
        <f ca="1">IFERROR(__xludf.DUMMYFUNCTION("""COMPUTED_VALUE"""),"г. Магнитогорск, ул. Локомотивная, 6А")</f>
        <v>г. Магнитогорск, ул. Локомотивная, 6А</v>
      </c>
      <c r="I241" s="1" t="str">
        <f ca="1">IFERROR(__xludf.DUMMYFUNCTION("""COMPUTED_VALUE"""),"г. Гай, ПАО ""Гайский ГОК""")</f>
        <v>г. Гай, ПАО "Гайский ГОК"</v>
      </c>
      <c r="J241" s="1" t="str">
        <f ca="1">IFERROR(__xludf.DUMMYFUNCTION("""COMPUTED_VALUE"""),"43,500")</f>
        <v>43,500</v>
      </c>
      <c r="K241" s="1" t="str">
        <f ca="1">IFERROR(__xludf.DUMMYFUNCTION("""COMPUTED_VALUE"""),"Гайский ГОК")</f>
        <v>Гайский ГОК</v>
      </c>
    </row>
    <row r="242" spans="1:11" ht="13" x14ac:dyDescent="0.3">
      <c r="A242" s="1" t="str">
        <f ca="1">IFERROR(__xludf.DUMMYFUNCTION("""COMPUTED_VALUE"""),"108823 / 108795")</f>
        <v>108823 / 108795</v>
      </c>
      <c r="B242" s="1" t="str">
        <f ca="1">IFERROR(__xludf.DUMMYFUNCTION("""COMPUTED_VALUE"""),"05.03.2024")</f>
        <v>05.03.2024</v>
      </c>
      <c r="C242" s="1" t="str">
        <f ca="1">IFERROR(__xludf.DUMMYFUNCTION("""COMPUTED_VALUE"""),"Шлак гранулированный")</f>
        <v>Шлак гранулированный</v>
      </c>
      <c r="D242" s="1" t="str">
        <f ca="1">IFERROR(__xludf.DUMMYFUNCTION("""COMPUTED_VALUE"""),"43,20")</f>
        <v>43,20</v>
      </c>
      <c r="E242" s="1" t="str">
        <f ca="1">IFERROR(__xludf.DUMMYFUNCTION("""COMPUTED_VALUE"""),"Агумбаев Дмитрий Булатович")</f>
        <v>Агумбаев Дмитрий Булатович</v>
      </c>
      <c r="F242" s="1" t="str">
        <f ca="1">IFERROR(__xludf.DUMMYFUNCTION("""COMPUTED_VALUE"""),"SHACMAN")</f>
        <v>SHACMAN</v>
      </c>
      <c r="G242" s="1" t="str">
        <f ca="1">IFERROR(__xludf.DUMMYFUNCTION("""COMPUTED_VALUE"""),"Н255ВТ774")</f>
        <v>Н255ВТ774</v>
      </c>
      <c r="H242" s="1" t="str">
        <f ca="1">IFERROR(__xludf.DUMMYFUNCTION("""COMPUTED_VALUE"""),"г. Магнитогорск, ул. Локомотивная, 6А")</f>
        <v>г. Магнитогорск, ул. Локомотивная, 6А</v>
      </c>
      <c r="I242" s="1" t="str">
        <f ca="1">IFERROR(__xludf.DUMMYFUNCTION("""COMPUTED_VALUE"""),"г. Гай, ПАО ""Гайский ГОК""")</f>
        <v>г. Гай, ПАО "Гайский ГОК"</v>
      </c>
      <c r="J242" s="1" t="str">
        <f ca="1">IFERROR(__xludf.DUMMYFUNCTION("""COMPUTED_VALUE"""),"43,200")</f>
        <v>43,200</v>
      </c>
      <c r="K242" s="1" t="str">
        <f ca="1">IFERROR(__xludf.DUMMYFUNCTION("""COMPUTED_VALUE"""),"Гайский ГОК")</f>
        <v>Гайский ГОК</v>
      </c>
    </row>
    <row r="243" spans="1:11" ht="13" x14ac:dyDescent="0.3">
      <c r="A243" s="1" t="str">
        <f ca="1">IFERROR(__xludf.DUMMYFUNCTION("""COMPUTED_VALUE"""),"АТУК2403016")</f>
        <v>АТУК2403016</v>
      </c>
      <c r="B243" s="1" t="str">
        <f ca="1">IFERROR(__xludf.DUMMYFUNCTION("""COMPUTED_VALUE"""),"05.03.2024")</f>
        <v>05.03.2024</v>
      </c>
      <c r="C243" s="1" t="str">
        <f ca="1">IFERROR(__xludf.DUMMYFUNCTION("""COMPUTED_VALUE"""),"глина огнеупорная")</f>
        <v>глина огнеупорная</v>
      </c>
      <c r="D243" s="1" t="str">
        <f ca="1">IFERROR(__xludf.DUMMYFUNCTION("""COMPUTED_VALUE"""),"45,55")</f>
        <v>45,55</v>
      </c>
      <c r="E243" s="1" t="str">
        <f ca="1">IFERROR(__xludf.DUMMYFUNCTION("""COMPUTED_VALUE"""),"Шевяков Максим Николаевич")</f>
        <v>Шевяков Максим Николаевич</v>
      </c>
      <c r="F243" s="1" t="str">
        <f ca="1">IFERROR(__xludf.DUMMYFUNCTION("""COMPUTED_VALUE"""),"МЕРСЕДЕС")</f>
        <v>МЕРСЕДЕС</v>
      </c>
      <c r="G243" s="1" t="str">
        <f ca="1">IFERROR(__xludf.DUMMYFUNCTION("""COMPUTED_VALUE"""),"О342РХ196")</f>
        <v>О342РХ196</v>
      </c>
      <c r="H24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3" s="1" t="str">
        <f ca="1">IFERROR(__xludf.DUMMYFUNCTION("""COMPUTED_VALUE"""),"45,550")</f>
        <v>45,550</v>
      </c>
      <c r="K243" s="1" t="str">
        <f ca="1">IFERROR(__xludf.DUMMYFUNCTION("""COMPUTED_VALUE"""),"АТУ")</f>
        <v>АТУ</v>
      </c>
    </row>
    <row r="244" spans="1:11" ht="13" x14ac:dyDescent="0.3">
      <c r="A244" s="1" t="str">
        <f ca="1">IFERROR(__xludf.DUMMYFUNCTION("""COMPUTED_VALUE"""),"АТУК2403017")</f>
        <v>АТУК2403017</v>
      </c>
      <c r="B244" s="1" t="str">
        <f ca="1">IFERROR(__xludf.DUMMYFUNCTION("""COMPUTED_VALUE"""),"05.03.2024")</f>
        <v>05.03.2024</v>
      </c>
      <c r="C244" s="1" t="str">
        <f ca="1">IFERROR(__xludf.DUMMYFUNCTION("""COMPUTED_VALUE"""),"глина огнеупорная")</f>
        <v>глина огнеупорная</v>
      </c>
      <c r="D244" s="1" t="str">
        <f ca="1">IFERROR(__xludf.DUMMYFUNCTION("""COMPUTED_VALUE"""),"44,65")</f>
        <v>44,65</v>
      </c>
      <c r="E244" s="1" t="str">
        <f ca="1">IFERROR(__xludf.DUMMYFUNCTION("""COMPUTED_VALUE"""),"Доколов Адик Валерьевич")</f>
        <v>Доколов Адик Валерьевич</v>
      </c>
      <c r="F244" s="1" t="str">
        <f ca="1">IFERROR(__xludf.DUMMYFUNCTION("""COMPUTED_VALUE"""),"МЕРСЕДЕС")</f>
        <v>МЕРСЕДЕС</v>
      </c>
      <c r="G244" s="1" t="str">
        <f ca="1">IFERROR(__xludf.DUMMYFUNCTION("""COMPUTED_VALUE"""),"О585ОВ196")</f>
        <v>О585ОВ196</v>
      </c>
      <c r="H24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4" s="1" t="str">
        <f ca="1">IFERROR(__xludf.DUMMYFUNCTION("""COMPUTED_VALUE"""),"44,650")</f>
        <v>44,650</v>
      </c>
      <c r="K244" s="1" t="str">
        <f ca="1">IFERROR(__xludf.DUMMYFUNCTION("""COMPUTED_VALUE"""),"АТУ")</f>
        <v>АТУ</v>
      </c>
    </row>
    <row r="245" spans="1:11" ht="13" x14ac:dyDescent="0.3">
      <c r="A245" s="1" t="str">
        <f ca="1">IFERROR(__xludf.DUMMYFUNCTION("""COMPUTED_VALUE"""),"АТУК2403018")</f>
        <v>АТУК2403018</v>
      </c>
      <c r="B245" s="1" t="str">
        <f ca="1">IFERROR(__xludf.DUMMYFUNCTION("""COMPUTED_VALUE"""),"05.03.2024")</f>
        <v>05.03.2024</v>
      </c>
      <c r="C245" s="1" t="str">
        <f ca="1">IFERROR(__xludf.DUMMYFUNCTION("""COMPUTED_VALUE"""),"глина огнеупорная")</f>
        <v>глина огнеупорная</v>
      </c>
      <c r="D245" s="1" t="str">
        <f ca="1">IFERROR(__xludf.DUMMYFUNCTION("""COMPUTED_VALUE"""),"46,80")</f>
        <v>46,80</v>
      </c>
      <c r="E245" s="1" t="str">
        <f ca="1">IFERROR(__xludf.DUMMYFUNCTION("""COMPUTED_VALUE"""),"Гибадатов Ильфат Ринатович")</f>
        <v>Гибадатов Ильфат Ринатович</v>
      </c>
      <c r="F245" s="1" t="str">
        <f ca="1">IFERROR(__xludf.DUMMYFUNCTION("""COMPUTED_VALUE"""),"МЕРСЕДЕС")</f>
        <v>МЕРСЕДЕС</v>
      </c>
      <c r="G245" s="1" t="str">
        <f ca="1">IFERROR(__xludf.DUMMYFUNCTION("""COMPUTED_VALUE"""),"О951РО196")</f>
        <v>О951РО196</v>
      </c>
      <c r="H24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5" s="1" t="str">
        <f ca="1">IFERROR(__xludf.DUMMYFUNCTION("""COMPUTED_VALUE"""),"46,800")</f>
        <v>46,800</v>
      </c>
      <c r="K245" s="1" t="str">
        <f ca="1">IFERROR(__xludf.DUMMYFUNCTION("""COMPUTED_VALUE"""),"АТУ")</f>
        <v>АТУ</v>
      </c>
    </row>
    <row r="246" spans="1:11" ht="13" x14ac:dyDescent="0.3">
      <c r="A246" s="1" t="str">
        <f ca="1">IFERROR(__xludf.DUMMYFUNCTION("""COMPUTED_VALUE"""),"АТУК2403019")</f>
        <v>АТУК2403019</v>
      </c>
      <c r="B246" s="1" t="str">
        <f ca="1">IFERROR(__xludf.DUMMYFUNCTION("""COMPUTED_VALUE"""),"05.03.2024")</f>
        <v>05.03.2024</v>
      </c>
      <c r="C246" s="1" t="str">
        <f ca="1">IFERROR(__xludf.DUMMYFUNCTION("""COMPUTED_VALUE"""),"глина огнеупорная")</f>
        <v>глина огнеупорная</v>
      </c>
      <c r="D246" s="1" t="str">
        <f ca="1">IFERROR(__xludf.DUMMYFUNCTION("""COMPUTED_VALUE"""),"39,95")</f>
        <v>39,95</v>
      </c>
      <c r="E246" s="1" t="str">
        <f ca="1">IFERROR(__xludf.DUMMYFUNCTION("""COMPUTED_VALUE"""),"Медведев Олег Александрович")</f>
        <v>Медведев Олег Александрович</v>
      </c>
      <c r="F246" s="1" t="str">
        <f ca="1">IFERROR(__xludf.DUMMYFUNCTION("""COMPUTED_VALUE"""),"МЕРСЕДЕС")</f>
        <v>МЕРСЕДЕС</v>
      </c>
      <c r="G246" s="1" t="str">
        <f ca="1">IFERROR(__xludf.DUMMYFUNCTION("""COMPUTED_VALUE"""),"О722ОА196")</f>
        <v>О722ОА196</v>
      </c>
      <c r="H24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6" s="1" t="str">
        <f ca="1">IFERROR(__xludf.DUMMYFUNCTION("""COMPUTED_VALUE"""),"39,950")</f>
        <v>39,950</v>
      </c>
      <c r="K246" s="1" t="str">
        <f ca="1">IFERROR(__xludf.DUMMYFUNCTION("""COMPUTED_VALUE"""),"АТУ")</f>
        <v>АТУ</v>
      </c>
    </row>
    <row r="247" spans="1:11" ht="13" x14ac:dyDescent="0.3">
      <c r="A247" s="1" t="str">
        <f ca="1">IFERROR(__xludf.DUMMYFUNCTION("""COMPUTED_VALUE"""),"АТУК2403020")</f>
        <v>АТУК2403020</v>
      </c>
      <c r="B247" s="1" t="str">
        <f ca="1">IFERROR(__xludf.DUMMYFUNCTION("""COMPUTED_VALUE"""),"04.03.2024")</f>
        <v>04.03.2024</v>
      </c>
      <c r="C247" s="1" t="str">
        <f ca="1">IFERROR(__xludf.DUMMYFUNCTION("""COMPUTED_VALUE"""),"глина огнеупорная")</f>
        <v>глина огнеупорная</v>
      </c>
      <c r="D247" s="1" t="str">
        <f ca="1">IFERROR(__xludf.DUMMYFUNCTION("""COMPUTED_VALUE"""),"43,90")</f>
        <v>43,90</v>
      </c>
      <c r="E247" s="1" t="str">
        <f ca="1">IFERROR(__xludf.DUMMYFUNCTION("""COMPUTED_VALUE"""),"Зарафутдинов Радис Шамгунович")</f>
        <v>Зарафутдинов Радис Шамгунович</v>
      </c>
      <c r="F247" s="1" t="str">
        <f ca="1">IFERROR(__xludf.DUMMYFUNCTION("""COMPUTED_VALUE"""),"МЕРСЕДЕС")</f>
        <v>МЕРСЕДЕС</v>
      </c>
      <c r="G247" s="1" t="str">
        <f ca="1">IFERROR(__xludf.DUMMYFUNCTION("""COMPUTED_VALUE"""),"О816РС196")</f>
        <v>О816РС196</v>
      </c>
      <c r="H24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7" s="1" t="str">
        <f ca="1">IFERROR(__xludf.DUMMYFUNCTION("""COMPUTED_VALUE"""),"43,900")</f>
        <v>43,900</v>
      </c>
      <c r="K247" s="1" t="str">
        <f ca="1">IFERROR(__xludf.DUMMYFUNCTION("""COMPUTED_VALUE"""),"АТУ")</f>
        <v>АТУ</v>
      </c>
    </row>
    <row r="248" spans="1:11" ht="13" x14ac:dyDescent="0.3">
      <c r="A248" s="1" t="str">
        <f ca="1">IFERROR(__xludf.DUMMYFUNCTION("""COMPUTED_VALUE"""),"АТУК2403021")</f>
        <v>АТУК2403021</v>
      </c>
      <c r="B248" s="1" t="str">
        <f ca="1">IFERROR(__xludf.DUMMYFUNCTION("""COMPUTED_VALUE"""),"05.03.2024")</f>
        <v>05.03.2024</v>
      </c>
      <c r="C248" s="1" t="str">
        <f ca="1">IFERROR(__xludf.DUMMYFUNCTION("""COMPUTED_VALUE"""),"глина огнеупорная")</f>
        <v>глина огнеупорная</v>
      </c>
      <c r="D248" s="1" t="str">
        <f ca="1">IFERROR(__xludf.DUMMYFUNCTION("""COMPUTED_VALUE"""),"43,95")</f>
        <v>43,95</v>
      </c>
      <c r="E248" s="1" t="str">
        <f ca="1">IFERROR(__xludf.DUMMYFUNCTION("""COMPUTED_VALUE"""),"Баймуратов Ренат Гаффанович")</f>
        <v>Баймуратов Ренат Гаффанович</v>
      </c>
      <c r="F248" s="1" t="str">
        <f ca="1">IFERROR(__xludf.DUMMYFUNCTION("""COMPUTED_VALUE"""),"МЕРСЕДЕС")</f>
        <v>МЕРСЕДЕС</v>
      </c>
      <c r="G248" s="1" t="str">
        <f ca="1">IFERROR(__xludf.DUMMYFUNCTION("""COMPUTED_VALUE"""),"О691НН196")</f>
        <v>О691НН196</v>
      </c>
      <c r="H24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8" s="1" t="str">
        <f ca="1">IFERROR(__xludf.DUMMYFUNCTION("""COMPUTED_VALUE"""),"43,950")</f>
        <v>43,950</v>
      </c>
      <c r="K248" s="1" t="str">
        <f ca="1">IFERROR(__xludf.DUMMYFUNCTION("""COMPUTED_VALUE"""),"АТУ")</f>
        <v>АТУ</v>
      </c>
    </row>
    <row r="249" spans="1:11" ht="13" x14ac:dyDescent="0.3">
      <c r="A249" s="1" t="str">
        <f ca="1">IFERROR(__xludf.DUMMYFUNCTION("""COMPUTED_VALUE"""),"АТУК2403022")</f>
        <v>АТУК2403022</v>
      </c>
      <c r="B249" s="1" t="str">
        <f ca="1">IFERROR(__xludf.DUMMYFUNCTION("""COMPUTED_VALUE"""),"05.03.2024")</f>
        <v>05.03.2024</v>
      </c>
      <c r="C249" s="1" t="str">
        <f ca="1">IFERROR(__xludf.DUMMYFUNCTION("""COMPUTED_VALUE"""),"глина огнеупорная")</f>
        <v>глина огнеупорная</v>
      </c>
      <c r="D249" s="1" t="str">
        <f ca="1">IFERROR(__xludf.DUMMYFUNCTION("""COMPUTED_VALUE"""),"42,30")</f>
        <v>42,30</v>
      </c>
      <c r="E249" s="1" t="str">
        <f ca="1">IFERROR(__xludf.DUMMYFUNCTION("""COMPUTED_VALUE"""),"Зинатуллин Ильшат Ильясович")</f>
        <v>Зинатуллин Ильшат Ильясович</v>
      </c>
      <c r="F249" s="1" t="str">
        <f ca="1">IFERROR(__xludf.DUMMYFUNCTION("""COMPUTED_VALUE"""),"МЕРСЕДЕС")</f>
        <v>МЕРСЕДЕС</v>
      </c>
      <c r="G249" s="1" t="str">
        <f ca="1">IFERROR(__xludf.DUMMYFUNCTION("""COMPUTED_VALUE"""),"О183ОМ196")</f>
        <v>О183ОМ196</v>
      </c>
      <c r="H24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4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49" s="1" t="str">
        <f ca="1">IFERROR(__xludf.DUMMYFUNCTION("""COMPUTED_VALUE"""),"42,300")</f>
        <v>42,300</v>
      </c>
      <c r="K249" s="1" t="str">
        <f ca="1">IFERROR(__xludf.DUMMYFUNCTION("""COMPUTED_VALUE"""),"АТУ")</f>
        <v>АТУ</v>
      </c>
    </row>
    <row r="250" spans="1:11" ht="13" x14ac:dyDescent="0.3">
      <c r="A250" s="1" t="str">
        <f ca="1">IFERROR(__xludf.DUMMYFUNCTION("""COMPUTED_VALUE"""),"АТУК2403023")</f>
        <v>АТУК2403023</v>
      </c>
      <c r="B250" s="1" t="str">
        <f ca="1">IFERROR(__xludf.DUMMYFUNCTION("""COMPUTED_VALUE"""),"05.03.2024")</f>
        <v>05.03.2024</v>
      </c>
      <c r="C250" s="1" t="str">
        <f ca="1">IFERROR(__xludf.DUMMYFUNCTION("""COMPUTED_VALUE"""),"глина огнеупорная")</f>
        <v>глина огнеупорная</v>
      </c>
      <c r="D250" s="1" t="str">
        <f ca="1">IFERROR(__xludf.DUMMYFUNCTION("""COMPUTED_VALUE"""),"43,40")</f>
        <v>43,40</v>
      </c>
      <c r="E250" s="1" t="str">
        <f ca="1">IFERROR(__xludf.DUMMYFUNCTION("""COMPUTED_VALUE"""),"Толстых Николай Владимирович")</f>
        <v>Толстых Николай Владимирович</v>
      </c>
      <c r="F250" s="1" t="str">
        <f ca="1">IFERROR(__xludf.DUMMYFUNCTION("""COMPUTED_VALUE"""),"МЕРСЕДЕС")</f>
        <v>МЕРСЕДЕС</v>
      </c>
      <c r="G250" s="1" t="str">
        <f ca="1">IFERROR(__xludf.DUMMYFUNCTION("""COMPUTED_VALUE"""),"О396НО196")</f>
        <v>О396НО196</v>
      </c>
      <c r="H25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5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50" s="1" t="str">
        <f ca="1">IFERROR(__xludf.DUMMYFUNCTION("""COMPUTED_VALUE"""),"43,400")</f>
        <v>43,400</v>
      </c>
      <c r="K250" s="1" t="str">
        <f ca="1">IFERROR(__xludf.DUMMYFUNCTION("""COMPUTED_VALUE"""),"АТУ")</f>
        <v>АТУ</v>
      </c>
    </row>
    <row r="251" spans="1:11" ht="13" x14ac:dyDescent="0.3">
      <c r="A251" s="1" t="str">
        <f ca="1">IFERROR(__xludf.DUMMYFUNCTION("""COMPUTED_VALUE"""),"109008/        108974")</f>
        <v>109008/        108974</v>
      </c>
      <c r="B251" s="1" t="str">
        <f ca="1">IFERROR(__xludf.DUMMYFUNCTION("""COMPUTED_VALUE"""),"04.03.2024")</f>
        <v>04.03.2024</v>
      </c>
      <c r="C251" s="1" t="str">
        <f ca="1">IFERROR(__xludf.DUMMYFUNCTION("""COMPUTED_VALUE"""),"Шлак гранулированный")</f>
        <v>Шлак гранулированный</v>
      </c>
      <c r="D251" s="1" t="str">
        <f ca="1">IFERROR(__xludf.DUMMYFUNCTION("""COMPUTED_VALUE"""),"43,25")</f>
        <v>43,25</v>
      </c>
      <c r="E251" s="1" t="str">
        <f ca="1">IFERROR(__xludf.DUMMYFUNCTION("""COMPUTED_VALUE"""),"Бондарев Андрей Александрович")</f>
        <v>Бондарев Андрей Александрович</v>
      </c>
      <c r="F251" s="1" t="str">
        <f ca="1">IFERROR(__xludf.DUMMYFUNCTION("""COMPUTED_VALUE"""),"ВОЛЬВО")</f>
        <v>ВОЛЬВО</v>
      </c>
      <c r="G251" s="1" t="str">
        <f ca="1">IFERROR(__xludf.DUMMYFUNCTION("""COMPUTED_VALUE"""),"О411ОА196
")</f>
        <v xml:space="preserve">О411ОА196
</v>
      </c>
      <c r="H251" s="1" t="str">
        <f ca="1">IFERROR(__xludf.DUMMYFUNCTION("""COMPUTED_VALUE"""),"г. Магнитогорск, ул. Локомотивная, 6А")</f>
        <v>г. Магнитогорск, ул. Локомотивная, 6А</v>
      </c>
      <c r="I251" s="1" t="str">
        <f ca="1">IFERROR(__xludf.DUMMYFUNCTION("""COMPUTED_VALUE"""),"г. Гай, ПАО ""Гайский ГОК""")</f>
        <v>г. Гай, ПАО "Гайский ГОК"</v>
      </c>
      <c r="J251" s="1" t="str">
        <f ca="1">IFERROR(__xludf.DUMMYFUNCTION("""COMPUTED_VALUE"""),"43,250")</f>
        <v>43,250</v>
      </c>
      <c r="K251" s="1" t="str">
        <f ca="1">IFERROR(__xludf.DUMMYFUNCTION("""COMPUTED_VALUE"""),"Гайский ГОК")</f>
        <v>Гайский ГОК</v>
      </c>
    </row>
    <row r="252" spans="1:11" ht="13" x14ac:dyDescent="0.3">
      <c r="A252" s="1" t="str">
        <f ca="1">IFERROR(__xludf.DUMMYFUNCTION("""COMPUTED_VALUE"""),"ННКРС33182")</f>
        <v>ННКРС33182</v>
      </c>
      <c r="B252" s="1" t="str">
        <f ca="1">IFERROR(__xludf.DUMMYFUNCTION("""COMPUTED_VALUE"""),"05.03.2024")</f>
        <v>05.03.2024</v>
      </c>
      <c r="C252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252" s="1" t="str">
        <f ca="1">IFERROR(__xludf.DUMMYFUNCTION("""COMPUTED_VALUE"""),"36,15")</f>
        <v>36,15</v>
      </c>
      <c r="E252" s="1" t="str">
        <f ca="1">IFERROR(__xludf.DUMMYFUNCTION("""COMPUTED_VALUE"""),"Марьин Андрей Геннадьевич")</f>
        <v>Марьин Андрей Геннадьевич</v>
      </c>
      <c r="F252" s="1" t="str">
        <f ca="1">IFERROR(__xludf.DUMMYFUNCTION("""COMPUTED_VALUE"""),"ВОЛЬВО")</f>
        <v>ВОЛЬВО</v>
      </c>
      <c r="G252" s="1" t="str">
        <f ca="1">IFERROR(__xludf.DUMMYFUNCTION("""COMPUTED_VALUE"""),"Н180ТС196")</f>
        <v>Н180ТС196</v>
      </c>
      <c r="H252" s="1" t="str">
        <f ca="1">IFERROR(__xludf.DUMMYFUNCTION("""COMPUTED_VALUE"""),"Гумбейский щебзавод ")</f>
        <v xml:space="preserve">Гумбейский щебзавод </v>
      </c>
      <c r="I252" s="1" t="str">
        <f ca="1">IFERROR(__xludf.DUMMYFUNCTION("""COMPUTED_VALUE"""),"Строительная площадка КХП")</f>
        <v>Строительная площадка КХП</v>
      </c>
      <c r="J252" s="1" t="str">
        <f ca="1">IFERROR(__xludf.DUMMYFUNCTION("""COMPUTED_VALUE"""),"36,15")</f>
        <v>36,15</v>
      </c>
      <c r="K252" s="1" t="str">
        <f ca="1">IFERROR(__xludf.DUMMYFUNCTION("""COMPUTED_VALUE"""),"Синостил")</f>
        <v>Синостил</v>
      </c>
    </row>
    <row r="253" spans="1:11" ht="13" x14ac:dyDescent="0.3">
      <c r="A253" s="1" t="str">
        <f ca="1">IFERROR(__xludf.DUMMYFUNCTION("""COMPUTED_VALUE"""),"ННКРС33210")</f>
        <v>ННКРС33210</v>
      </c>
      <c r="B253" s="1" t="str">
        <f ca="1">IFERROR(__xludf.DUMMYFUNCTION("""COMPUTED_VALUE"""),"05.03.2024")</f>
        <v>05.03.2024</v>
      </c>
      <c r="C253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253" s="1" t="str">
        <f ca="1">IFERROR(__xludf.DUMMYFUNCTION("""COMPUTED_VALUE"""),"31,70")</f>
        <v>31,70</v>
      </c>
      <c r="E253" s="1" t="str">
        <f ca="1">IFERROR(__xludf.DUMMYFUNCTION("""COMPUTED_VALUE"""),"Марьин Андрей Геннадьевич")</f>
        <v>Марьин Андрей Геннадьевич</v>
      </c>
      <c r="F253" s="1" t="str">
        <f ca="1">IFERROR(__xludf.DUMMYFUNCTION("""COMPUTED_VALUE"""),"ВОЛЬВО")</f>
        <v>ВОЛЬВО</v>
      </c>
      <c r="G253" s="1" t="str">
        <f ca="1">IFERROR(__xludf.DUMMYFUNCTION("""COMPUTED_VALUE"""),"Н180ТС196")</f>
        <v>Н180ТС196</v>
      </c>
      <c r="H253" s="1" t="str">
        <f ca="1">IFERROR(__xludf.DUMMYFUNCTION("""COMPUTED_VALUE"""),"Гумбейский щебзавод ")</f>
        <v xml:space="preserve">Гумбейский щебзавод </v>
      </c>
      <c r="I253" s="1" t="str">
        <f ca="1">IFERROR(__xludf.DUMMYFUNCTION("""COMPUTED_VALUE"""),"Строительная площадка КХП")</f>
        <v>Строительная площадка КХП</v>
      </c>
      <c r="J253" s="1" t="str">
        <f ca="1">IFERROR(__xludf.DUMMYFUNCTION("""COMPUTED_VALUE"""),"31,70")</f>
        <v>31,70</v>
      </c>
      <c r="K253" s="1" t="str">
        <f ca="1">IFERROR(__xludf.DUMMYFUNCTION("""COMPUTED_VALUE"""),"Синостил")</f>
        <v>Синостил</v>
      </c>
    </row>
    <row r="254" spans="1:11" ht="13" x14ac:dyDescent="0.3">
      <c r="A254" s="1" t="str">
        <f ca="1">IFERROR(__xludf.DUMMYFUNCTION("""COMPUTED_VALUE"""),"АТУК2403024")</f>
        <v>АТУК2403024</v>
      </c>
      <c r="B254" s="1" t="str">
        <f ca="1">IFERROR(__xludf.DUMMYFUNCTION("""COMPUTED_VALUE"""),"05.03.2024")</f>
        <v>05.03.2024</v>
      </c>
      <c r="C254" s="1" t="str">
        <f ca="1">IFERROR(__xludf.DUMMYFUNCTION("""COMPUTED_VALUE"""),"глина огнеупорная")</f>
        <v>глина огнеупорная</v>
      </c>
      <c r="D254" s="1" t="str">
        <f ca="1">IFERROR(__xludf.DUMMYFUNCTION("""COMPUTED_VALUE"""),"42,05")</f>
        <v>42,05</v>
      </c>
      <c r="E254" s="1" t="str">
        <f ca="1">IFERROR(__xludf.DUMMYFUNCTION("""COMPUTED_VALUE"""),"Шагалеев Данис Рашитович")</f>
        <v>Шагалеев Данис Рашитович</v>
      </c>
      <c r="F254" s="1" t="str">
        <f ca="1">IFERROR(__xludf.DUMMYFUNCTION("""COMPUTED_VALUE"""),"МЕРСЕДЕС")</f>
        <v>МЕРСЕДЕС</v>
      </c>
      <c r="G254" s="1" t="str">
        <f ca="1">IFERROR(__xludf.DUMMYFUNCTION("""COMPUTED_VALUE"""),"О320РМ196")</f>
        <v>О320РМ196</v>
      </c>
      <c r="H25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5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54" s="1" t="str">
        <f ca="1">IFERROR(__xludf.DUMMYFUNCTION("""COMPUTED_VALUE"""),"42,050")</f>
        <v>42,050</v>
      </c>
      <c r="K254" s="1" t="str">
        <f ca="1">IFERROR(__xludf.DUMMYFUNCTION("""COMPUTED_VALUE"""),"АТУ")</f>
        <v>АТУ</v>
      </c>
    </row>
    <row r="255" spans="1:11" ht="13" x14ac:dyDescent="0.3">
      <c r="A255" s="1" t="str">
        <f ca="1">IFERROR(__xludf.DUMMYFUNCTION("""COMPUTED_VALUE"""),"АТУК2403025")</f>
        <v>АТУК2403025</v>
      </c>
      <c r="B255" s="1" t="str">
        <f ca="1">IFERROR(__xludf.DUMMYFUNCTION("""COMPUTED_VALUE"""),"04.03.2024")</f>
        <v>04.03.2024</v>
      </c>
      <c r="C255" s="1" t="str">
        <f ca="1">IFERROR(__xludf.DUMMYFUNCTION("""COMPUTED_VALUE"""),"глина огнеупорная")</f>
        <v>глина огнеупорная</v>
      </c>
      <c r="D255" s="1" t="str">
        <f ca="1">IFERROR(__xludf.DUMMYFUNCTION("""COMPUTED_VALUE"""),"43,30")</f>
        <v>43,30</v>
      </c>
      <c r="E255" s="1" t="str">
        <f ca="1">IFERROR(__xludf.DUMMYFUNCTION("""COMPUTED_VALUE"""),"Осипов Юрий Михайлович")</f>
        <v>Осипов Юрий Михайлович</v>
      </c>
      <c r="F255" s="1" t="str">
        <f ca="1">IFERROR(__xludf.DUMMYFUNCTION("""COMPUTED_VALUE"""),"МЕРСЕДЕС")</f>
        <v>МЕРСЕДЕС</v>
      </c>
      <c r="G255" s="1" t="str">
        <f ca="1">IFERROR(__xludf.DUMMYFUNCTION("""COMPUTED_VALUE"""),"О305СС196")</f>
        <v>О305СС196</v>
      </c>
      <c r="H25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5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55" s="1" t="str">
        <f ca="1">IFERROR(__xludf.DUMMYFUNCTION("""COMPUTED_VALUE"""),"43,300")</f>
        <v>43,300</v>
      </c>
      <c r="K255" s="1" t="str">
        <f ca="1">IFERROR(__xludf.DUMMYFUNCTION("""COMPUTED_VALUE"""),"АТУ")</f>
        <v>АТУ</v>
      </c>
    </row>
    <row r="256" spans="1:11" ht="13" x14ac:dyDescent="0.3">
      <c r="A256" s="1" t="str">
        <f ca="1">IFERROR(__xludf.DUMMYFUNCTION("""COMPUTED_VALUE"""),"96")</f>
        <v>96</v>
      </c>
      <c r="B256" s="1" t="str">
        <f ca="1">IFERROR(__xludf.DUMMYFUNCTION("""COMPUTED_VALUE"""),"05.03.2024")</f>
        <v>05.03.2024</v>
      </c>
      <c r="C256" s="1" t="str">
        <f ca="1">IFERROR(__xludf.DUMMYFUNCTION("""COMPUTED_VALUE"""),"Руда")</f>
        <v>Руда</v>
      </c>
      <c r="D256" s="1" t="str">
        <f ca="1">IFERROR(__xludf.DUMMYFUNCTION("""COMPUTED_VALUE"""),"41,30")</f>
        <v>41,30</v>
      </c>
      <c r="E256" s="1" t="str">
        <f ca="1">IFERROR(__xludf.DUMMYFUNCTION("""COMPUTED_VALUE"""),"Кунаков Ильгиз Кувандыкович")</f>
        <v>Кунаков Ильгиз Кувандыкович</v>
      </c>
      <c r="F256" s="1" t="str">
        <f ca="1">IFERROR(__xludf.DUMMYFUNCTION("""COMPUTED_VALUE"""),"МЕРСЕДЕС")</f>
        <v>МЕРСЕДЕС</v>
      </c>
      <c r="G256" s="1" t="str">
        <f ca="1">IFERROR(__xludf.DUMMYFUNCTION("""COMPUTED_VALUE"""),"О534РТ196")</f>
        <v>О534РТ196</v>
      </c>
      <c r="H25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56" s="1" t="str">
        <f ca="1">IFERROR(__xludf.DUMMYFUNCTION("""COMPUTED_VALUE"""),"г. Гай, ПАО ""Гайский ГОК""")</f>
        <v>г. Гай, ПАО "Гайский ГОК"</v>
      </c>
      <c r="J256" s="1" t="str">
        <f ca="1">IFERROR(__xludf.DUMMYFUNCTION("""COMPUTED_VALUE"""),"41,200")</f>
        <v>41,200</v>
      </c>
      <c r="K256" s="1" t="str">
        <f ca="1">IFERROR(__xludf.DUMMYFUNCTION("""COMPUTED_VALUE"""),"Башкирская Медь")</f>
        <v>Башкирская Медь</v>
      </c>
    </row>
    <row r="257" spans="1:11" ht="13" x14ac:dyDescent="0.3">
      <c r="A257" s="1" t="str">
        <f ca="1">IFERROR(__xludf.DUMMYFUNCTION("""COMPUTED_VALUE"""),"АТУК2403026")</f>
        <v>АТУК2403026</v>
      </c>
      <c r="B257" s="1" t="str">
        <f ca="1">IFERROR(__xludf.DUMMYFUNCTION("""COMPUTED_VALUE"""),"05.03.2024")</f>
        <v>05.03.2024</v>
      </c>
      <c r="C257" s="1" t="str">
        <f ca="1">IFERROR(__xludf.DUMMYFUNCTION("""COMPUTED_VALUE"""),"глина огнеупорная")</f>
        <v>глина огнеупорная</v>
      </c>
      <c r="D257" s="1" t="str">
        <f ca="1">IFERROR(__xludf.DUMMYFUNCTION("""COMPUTED_VALUE"""),"42,25")</f>
        <v>42,25</v>
      </c>
      <c r="E257" s="1" t="str">
        <f ca="1">IFERROR(__xludf.DUMMYFUNCTION("""COMPUTED_VALUE"""),"Кунаков Ильгиз Кувандыкович")</f>
        <v>Кунаков Ильгиз Кувандыкович</v>
      </c>
      <c r="F257" s="1" t="str">
        <f ca="1">IFERROR(__xludf.DUMMYFUNCTION("""COMPUTED_VALUE"""),"МЕРСЕДЕС")</f>
        <v>МЕРСЕДЕС</v>
      </c>
      <c r="G257" s="1" t="str">
        <f ca="1">IFERROR(__xludf.DUMMYFUNCTION("""COMPUTED_VALUE"""),"О534РТ196")</f>
        <v>О534РТ196</v>
      </c>
      <c r="H25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5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57" s="1" t="str">
        <f ca="1">IFERROR(__xludf.DUMMYFUNCTION("""COMPUTED_VALUE"""),"42,250")</f>
        <v>42,250</v>
      </c>
      <c r="K257" s="1" t="str">
        <f ca="1">IFERROR(__xludf.DUMMYFUNCTION("""COMPUTED_VALUE"""),"АТУ")</f>
        <v>АТУ</v>
      </c>
    </row>
    <row r="258" spans="1:11" ht="13" x14ac:dyDescent="0.3">
      <c r="A258" s="1" t="str">
        <f ca="1">IFERROR(__xludf.DUMMYFUNCTION("""COMPUTED_VALUE"""),"97")</f>
        <v>97</v>
      </c>
      <c r="B258" s="1" t="str">
        <f ca="1">IFERROR(__xludf.DUMMYFUNCTION("""COMPUTED_VALUE"""),"05.03.2024")</f>
        <v>05.03.2024</v>
      </c>
      <c r="C258" s="1" t="str">
        <f ca="1">IFERROR(__xludf.DUMMYFUNCTION("""COMPUTED_VALUE"""),"Руда")</f>
        <v>Руда</v>
      </c>
      <c r="D258" s="1" t="str">
        <f ca="1">IFERROR(__xludf.DUMMYFUNCTION("""COMPUTED_VALUE"""),"44,20")</f>
        <v>44,20</v>
      </c>
      <c r="E258" s="1" t="str">
        <f ca="1">IFERROR(__xludf.DUMMYFUNCTION("""COMPUTED_VALUE"""),"Сенюшкин Дмитрий Сергеевич")</f>
        <v>Сенюшкин Дмитрий Сергеевич</v>
      </c>
      <c r="F258" s="1" t="str">
        <f ca="1">IFERROR(__xludf.DUMMYFUNCTION("""COMPUTED_VALUE"""),"МЕРСЕДЕС")</f>
        <v>МЕРСЕДЕС</v>
      </c>
      <c r="G258" s="1" t="str">
        <f ca="1">IFERROR(__xludf.DUMMYFUNCTION("""COMPUTED_VALUE"""),"О974ОЕ196")</f>
        <v>О974ОЕ196</v>
      </c>
      <c r="H25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58" s="1" t="str">
        <f ca="1">IFERROR(__xludf.DUMMYFUNCTION("""COMPUTED_VALUE"""),"г. Гай, ПАО ""Гайский ГОК""")</f>
        <v>г. Гай, ПАО "Гайский ГОК"</v>
      </c>
      <c r="J258" s="1" t="str">
        <f ca="1">IFERROR(__xludf.DUMMYFUNCTION("""COMPUTED_VALUE"""),"44,200")</f>
        <v>44,200</v>
      </c>
      <c r="K258" s="1" t="str">
        <f ca="1">IFERROR(__xludf.DUMMYFUNCTION("""COMPUTED_VALUE"""),"Башкирская Медь")</f>
        <v>Башкирская Медь</v>
      </c>
    </row>
    <row r="259" spans="1:11" ht="13" x14ac:dyDescent="0.3">
      <c r="A259" s="1" t="str">
        <f ca="1">IFERROR(__xludf.DUMMYFUNCTION("""COMPUTED_VALUE"""),"АТУК2403027")</f>
        <v>АТУК2403027</v>
      </c>
      <c r="B259" s="1" t="str">
        <f ca="1">IFERROR(__xludf.DUMMYFUNCTION("""COMPUTED_VALUE"""),"05.03.2024")</f>
        <v>05.03.2024</v>
      </c>
      <c r="C259" s="1" t="str">
        <f ca="1">IFERROR(__xludf.DUMMYFUNCTION("""COMPUTED_VALUE"""),"глина огнеупорная")</f>
        <v>глина огнеупорная</v>
      </c>
      <c r="D259" s="1" t="str">
        <f ca="1">IFERROR(__xludf.DUMMYFUNCTION("""COMPUTED_VALUE"""),"43,35")</f>
        <v>43,35</v>
      </c>
      <c r="E259" s="1" t="str">
        <f ca="1">IFERROR(__xludf.DUMMYFUNCTION("""COMPUTED_VALUE"""),"Сенюшкин Дмитрий Сергеевич")</f>
        <v>Сенюшкин Дмитрий Сергеевич</v>
      </c>
      <c r="F259" s="1" t="str">
        <f ca="1">IFERROR(__xludf.DUMMYFUNCTION("""COMPUTED_VALUE"""),"МЕРСЕДЕС")</f>
        <v>МЕРСЕДЕС</v>
      </c>
      <c r="G259" s="1" t="str">
        <f ca="1">IFERROR(__xludf.DUMMYFUNCTION("""COMPUTED_VALUE"""),"О974ОЕ196")</f>
        <v>О974ОЕ196</v>
      </c>
      <c r="H25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5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59" s="1" t="str">
        <f ca="1">IFERROR(__xludf.DUMMYFUNCTION("""COMPUTED_VALUE"""),"43,350")</f>
        <v>43,350</v>
      </c>
      <c r="K259" s="1" t="str">
        <f ca="1">IFERROR(__xludf.DUMMYFUNCTION("""COMPUTED_VALUE"""),"АТУ")</f>
        <v>АТУ</v>
      </c>
    </row>
    <row r="260" spans="1:11" ht="13" x14ac:dyDescent="0.3">
      <c r="A260" s="1" t="str">
        <f ca="1">IFERROR(__xludf.DUMMYFUNCTION("""COMPUTED_VALUE"""),"АТУК2403028")</f>
        <v>АТУК2403028</v>
      </c>
      <c r="B260" s="1" t="str">
        <f ca="1">IFERROR(__xludf.DUMMYFUNCTION("""COMPUTED_VALUE"""),"05.03.2024")</f>
        <v>05.03.2024</v>
      </c>
      <c r="C260" s="1" t="str">
        <f ca="1">IFERROR(__xludf.DUMMYFUNCTION("""COMPUTED_VALUE"""),"глина огнеупорная")</f>
        <v>глина огнеупорная</v>
      </c>
      <c r="D260" s="1" t="str">
        <f ca="1">IFERROR(__xludf.DUMMYFUNCTION("""COMPUTED_VALUE"""),"40,90")</f>
        <v>40,90</v>
      </c>
      <c r="E260" s="1" t="str">
        <f ca="1">IFERROR(__xludf.DUMMYFUNCTION("""COMPUTED_VALUE"""),"Байбулатов Халит Ханифович")</f>
        <v>Байбулатов Халит Ханифович</v>
      </c>
      <c r="F260" s="1" t="str">
        <f ca="1">IFERROR(__xludf.DUMMYFUNCTION("""COMPUTED_VALUE"""),"МЕРСЕДЕС")</f>
        <v>МЕРСЕДЕС</v>
      </c>
      <c r="G260" s="1" t="str">
        <f ca="1">IFERROR(__xludf.DUMMYFUNCTION("""COMPUTED_VALUE"""),"О761ОК196")</f>
        <v>О761ОК196</v>
      </c>
      <c r="H26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6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0" s="1" t="str">
        <f ca="1">IFERROR(__xludf.DUMMYFUNCTION("""COMPUTED_VALUE"""),"40,900")</f>
        <v>40,900</v>
      </c>
      <c r="K260" s="1" t="str">
        <f ca="1">IFERROR(__xludf.DUMMYFUNCTION("""COMPUTED_VALUE"""),"АТУ")</f>
        <v>АТУ</v>
      </c>
    </row>
    <row r="261" spans="1:11" ht="13" x14ac:dyDescent="0.3">
      <c r="A261" s="1" t="str">
        <f ca="1">IFERROR(__xludf.DUMMYFUNCTION("""COMPUTED_VALUE"""),"АТУК2403029")</f>
        <v>АТУК2403029</v>
      </c>
      <c r="B261" s="1" t="str">
        <f ca="1">IFERROR(__xludf.DUMMYFUNCTION("""COMPUTED_VALUE"""),"05.03.2024")</f>
        <v>05.03.2024</v>
      </c>
      <c r="C261" s="1" t="str">
        <f ca="1">IFERROR(__xludf.DUMMYFUNCTION("""COMPUTED_VALUE"""),"глина огнеупорная")</f>
        <v>глина огнеупорная</v>
      </c>
      <c r="D261" s="1" t="str">
        <f ca="1">IFERROR(__xludf.DUMMYFUNCTION("""COMPUTED_VALUE"""),"43,35")</f>
        <v>43,35</v>
      </c>
      <c r="E261" s="1" t="str">
        <f ca="1">IFERROR(__xludf.DUMMYFUNCTION("""COMPUTED_VALUE"""),"Ерёмин Андрей Юрьевич")</f>
        <v>Ерёмин Андрей Юрьевич</v>
      </c>
      <c r="F261" s="1" t="str">
        <f ca="1">IFERROR(__xludf.DUMMYFUNCTION("""COMPUTED_VALUE"""),"МЕРСЕДЕС")</f>
        <v>МЕРСЕДЕС</v>
      </c>
      <c r="G261" s="1" t="str">
        <f ca="1">IFERROR(__xludf.DUMMYFUNCTION("""COMPUTED_VALUE"""),"О756ОК196")</f>
        <v>О756ОК196</v>
      </c>
      <c r="H26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6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1" s="1" t="str">
        <f ca="1">IFERROR(__xludf.DUMMYFUNCTION("""COMPUTED_VALUE"""),"43,350")</f>
        <v>43,350</v>
      </c>
      <c r="K261" s="1" t="str">
        <f ca="1">IFERROR(__xludf.DUMMYFUNCTION("""COMPUTED_VALUE"""),"АТУ")</f>
        <v>АТУ</v>
      </c>
    </row>
    <row r="262" spans="1:11" ht="13" x14ac:dyDescent="0.3">
      <c r="A262" s="1" t="str">
        <f ca="1">IFERROR(__xludf.DUMMYFUNCTION("""COMPUTED_VALUE"""),"АТУК2403030")</f>
        <v>АТУК2403030</v>
      </c>
      <c r="B262" s="1" t="str">
        <f ca="1">IFERROR(__xludf.DUMMYFUNCTION("""COMPUTED_VALUE"""),"05.03.2024")</f>
        <v>05.03.2024</v>
      </c>
      <c r="C262" s="1" t="str">
        <f ca="1">IFERROR(__xludf.DUMMYFUNCTION("""COMPUTED_VALUE"""),"глина огнеупорная")</f>
        <v>глина огнеупорная</v>
      </c>
      <c r="D262" s="1" t="str">
        <f ca="1">IFERROR(__xludf.DUMMYFUNCTION("""COMPUTED_VALUE"""),"42,70")</f>
        <v>42,70</v>
      </c>
      <c r="E262" s="1" t="str">
        <f ca="1">IFERROR(__xludf.DUMMYFUNCTION("""COMPUTED_VALUE"""),"Закиров Замил Закиевич")</f>
        <v>Закиров Замил Закиевич</v>
      </c>
      <c r="F262" s="1" t="str">
        <f ca="1">IFERROR(__xludf.DUMMYFUNCTION("""COMPUTED_VALUE"""),"МЕРСЕДЕС")</f>
        <v>МЕРСЕДЕС</v>
      </c>
      <c r="G262" s="1" t="str">
        <f ca="1">IFERROR(__xludf.DUMMYFUNCTION("""COMPUTED_VALUE"""),"О135ОУ196")</f>
        <v>О135ОУ196</v>
      </c>
      <c r="H26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6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2" s="1" t="str">
        <f ca="1">IFERROR(__xludf.DUMMYFUNCTION("""COMPUTED_VALUE"""),"42,700")</f>
        <v>42,700</v>
      </c>
      <c r="K262" s="1" t="str">
        <f ca="1">IFERROR(__xludf.DUMMYFUNCTION("""COMPUTED_VALUE"""),"АТУ")</f>
        <v>АТУ</v>
      </c>
    </row>
    <row r="263" spans="1:11" ht="13" x14ac:dyDescent="0.3">
      <c r="A263" s="1" t="str">
        <f ca="1">IFERROR(__xludf.DUMMYFUNCTION("""COMPUTED_VALUE"""),"АТУК2403031")</f>
        <v>АТУК2403031</v>
      </c>
      <c r="B263" s="1" t="str">
        <f ca="1">IFERROR(__xludf.DUMMYFUNCTION("""COMPUTED_VALUE"""),"05.03.2024")</f>
        <v>05.03.2024</v>
      </c>
      <c r="C263" s="1" t="str">
        <f ca="1">IFERROR(__xludf.DUMMYFUNCTION("""COMPUTED_VALUE"""),"глина огнеупорная")</f>
        <v>глина огнеупорная</v>
      </c>
      <c r="D263" s="1" t="str">
        <f ca="1">IFERROR(__xludf.DUMMYFUNCTION("""COMPUTED_VALUE"""),"43,10")</f>
        <v>43,10</v>
      </c>
      <c r="E263" s="1" t="str">
        <f ca="1">IFERROR(__xludf.DUMMYFUNCTION("""COMPUTED_VALUE"""),"Рыбалкин Виталий Ильич")</f>
        <v>Рыбалкин Виталий Ильич</v>
      </c>
      <c r="F263" s="1" t="str">
        <f ca="1">IFERROR(__xludf.DUMMYFUNCTION("""COMPUTED_VALUE"""),"МЕРСЕДЕС")</f>
        <v>МЕРСЕДЕС</v>
      </c>
      <c r="G263" s="1" t="str">
        <f ca="1">IFERROR(__xludf.DUMMYFUNCTION("""COMPUTED_VALUE"""),"О669РО196")</f>
        <v>О669РО196</v>
      </c>
      <c r="H26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6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3" s="1" t="str">
        <f ca="1">IFERROR(__xludf.DUMMYFUNCTION("""COMPUTED_VALUE"""),"43,100")</f>
        <v>43,100</v>
      </c>
      <c r="K263" s="1" t="str">
        <f ca="1">IFERROR(__xludf.DUMMYFUNCTION("""COMPUTED_VALUE"""),"АТУ")</f>
        <v>АТУ</v>
      </c>
    </row>
    <row r="264" spans="1:11" ht="13" x14ac:dyDescent="0.3">
      <c r="A264" s="1" t="str">
        <f ca="1">IFERROR(__xludf.DUMMYFUNCTION("""COMPUTED_VALUE"""),"АТУК2403032")</f>
        <v>АТУК2403032</v>
      </c>
      <c r="B264" s="1" t="str">
        <f ca="1">IFERROR(__xludf.DUMMYFUNCTION("""COMPUTED_VALUE"""),"05.03.2024")</f>
        <v>05.03.2024</v>
      </c>
      <c r="C264" s="1" t="str">
        <f ca="1">IFERROR(__xludf.DUMMYFUNCTION("""COMPUTED_VALUE"""),"глина огнеупорная")</f>
        <v>глина огнеупорная</v>
      </c>
      <c r="D264" s="1" t="str">
        <f ca="1">IFERROR(__xludf.DUMMYFUNCTION("""COMPUTED_VALUE"""),"41,95")</f>
        <v>41,95</v>
      </c>
      <c r="E264" s="1" t="str">
        <f ca="1">IFERROR(__xludf.DUMMYFUNCTION("""COMPUTED_VALUE"""),"Добижа Алексей Васильевич")</f>
        <v>Добижа Алексей Васильевич</v>
      </c>
      <c r="F264" s="1" t="str">
        <f ca="1">IFERROR(__xludf.DUMMYFUNCTION("""COMPUTED_VALUE"""),"МЕРСЕДЕС")</f>
        <v>МЕРСЕДЕС</v>
      </c>
      <c r="G264" s="1" t="str">
        <f ca="1">IFERROR(__xludf.DUMMYFUNCTION("""COMPUTED_VALUE"""),"О840РХ196")</f>
        <v>О840РХ196</v>
      </c>
      <c r="H26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6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4" s="1" t="str">
        <f ca="1">IFERROR(__xludf.DUMMYFUNCTION("""COMPUTED_VALUE"""),"41,950")</f>
        <v>41,950</v>
      </c>
      <c r="K264" s="1" t="str">
        <f ca="1">IFERROR(__xludf.DUMMYFUNCTION("""COMPUTED_VALUE"""),"АТУ")</f>
        <v>АТУ</v>
      </c>
    </row>
    <row r="265" spans="1:11" ht="13" x14ac:dyDescent="0.3">
      <c r="A265" s="1" t="str">
        <f ca="1">IFERROR(__xludf.DUMMYFUNCTION("""COMPUTED_VALUE"""),"2562")</f>
        <v>2562</v>
      </c>
      <c r="B265" s="1" t="str">
        <f ca="1">IFERROR(__xludf.DUMMYFUNCTION("""COMPUTED_VALUE"""),"06.03.2024")</f>
        <v>06.03.2024</v>
      </c>
      <c r="C265" s="1" t="str">
        <f ca="1">IFERROR(__xludf.DUMMYFUNCTION("""COMPUTED_VALUE"""),"глина огнеупорная")</f>
        <v>глина огнеупорная</v>
      </c>
      <c r="D265" s="1" t="str">
        <f ca="1">IFERROR(__xludf.DUMMYFUNCTION("""COMPUTED_VALUE"""),"28,68")</f>
        <v>28,68</v>
      </c>
      <c r="E265" s="1" t="str">
        <f ca="1">IFERROR(__xludf.DUMMYFUNCTION("""COMPUTED_VALUE"""),"Свищев Михаил Владимирович")</f>
        <v>Свищев Михаил Владимирович</v>
      </c>
      <c r="F265" s="1" t="str">
        <f ca="1">IFERROR(__xludf.DUMMYFUNCTION("""COMPUTED_VALUE"""),"FAW")</f>
        <v>FAW</v>
      </c>
      <c r="G265" s="1" t="str">
        <f ca="1">IFERROR(__xludf.DUMMYFUNCTION("""COMPUTED_VALUE"""),"Н504КК774")</f>
        <v>Н504КК774</v>
      </c>
      <c r="H265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26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5" s="1" t="str">
        <f ca="1">IFERROR(__xludf.DUMMYFUNCTION("""COMPUTED_VALUE"""),"28,68")</f>
        <v>28,68</v>
      </c>
      <c r="K265" s="1" t="str">
        <f ca="1">IFERROR(__xludf.DUMMYFUNCTION("""COMPUTED_VALUE"""),"АТУ")</f>
        <v>АТУ</v>
      </c>
    </row>
    <row r="266" spans="1:11" ht="13" x14ac:dyDescent="0.3">
      <c r="A266" s="1" t="str">
        <f ca="1">IFERROR(__xludf.DUMMYFUNCTION("""COMPUTED_VALUE"""),"2563")</f>
        <v>2563</v>
      </c>
      <c r="B266" s="1" t="str">
        <f ca="1">IFERROR(__xludf.DUMMYFUNCTION("""COMPUTED_VALUE"""),"06.03.2024")</f>
        <v>06.03.2024</v>
      </c>
      <c r="C266" s="1" t="str">
        <f ca="1">IFERROR(__xludf.DUMMYFUNCTION("""COMPUTED_VALUE"""),"глина огнеупорная")</f>
        <v>глина огнеупорная</v>
      </c>
      <c r="D266" s="1" t="str">
        <f ca="1">IFERROR(__xludf.DUMMYFUNCTION("""COMPUTED_VALUE"""),"37,14")</f>
        <v>37,14</v>
      </c>
      <c r="E266" s="1" t="str">
        <f ca="1">IFERROR(__xludf.DUMMYFUNCTION("""COMPUTED_VALUE"""),"Нургалин Ильшат Абдулхакович")</f>
        <v>Нургалин Ильшат Абдулхакович</v>
      </c>
      <c r="F266" s="1" t="str">
        <f ca="1">IFERROR(__xludf.DUMMYFUNCTION("""COMPUTED_VALUE"""),"FAW")</f>
        <v>FAW</v>
      </c>
      <c r="G266" s="1" t="str">
        <f ca="1">IFERROR(__xludf.DUMMYFUNCTION("""COMPUTED_VALUE"""),"Т951КМ774")</f>
        <v>Т951КМ774</v>
      </c>
      <c r="H266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26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66" s="1" t="str">
        <f ca="1">IFERROR(__xludf.DUMMYFUNCTION("""COMPUTED_VALUE"""),"37,14")</f>
        <v>37,14</v>
      </c>
      <c r="K266" s="1" t="str">
        <f ca="1">IFERROR(__xludf.DUMMYFUNCTION("""COMPUTED_VALUE"""),"АТУ")</f>
        <v>АТУ</v>
      </c>
    </row>
    <row r="267" spans="1:11" ht="13" x14ac:dyDescent="0.3">
      <c r="A267" s="1" t="str">
        <f ca="1">IFERROR(__xludf.DUMMYFUNCTION("""COMPUTED_VALUE"""),"109325 / 109304")</f>
        <v>109325 / 109304</v>
      </c>
      <c r="B267" s="1" t="str">
        <f ca="1">IFERROR(__xludf.DUMMYFUNCTION("""COMPUTED_VALUE"""),"06.03.2024")</f>
        <v>06.03.2024</v>
      </c>
      <c r="C267" s="1" t="str">
        <f ca="1">IFERROR(__xludf.DUMMYFUNCTION("""COMPUTED_VALUE"""),"Шлак гранулированный")</f>
        <v>Шлак гранулированный</v>
      </c>
      <c r="D267" s="1" t="str">
        <f ca="1">IFERROR(__xludf.DUMMYFUNCTION("""COMPUTED_VALUE"""),"40,55")</f>
        <v>40,55</v>
      </c>
      <c r="E267" s="1" t="str">
        <f ca="1">IFERROR(__xludf.DUMMYFUNCTION("""COMPUTED_VALUE"""),"Доронов Алексей Николаевич")</f>
        <v>Доронов Алексей Николаевич</v>
      </c>
      <c r="F267" s="1" t="str">
        <f ca="1">IFERROR(__xludf.DUMMYFUNCTION("""COMPUTED_VALUE"""),"SHACMAN")</f>
        <v>SHACMAN</v>
      </c>
      <c r="G267" s="1" t="str">
        <f ca="1">IFERROR(__xludf.DUMMYFUNCTION("""COMPUTED_VALUE"""),"У645ВО774")</f>
        <v>У645ВО774</v>
      </c>
      <c r="H267" s="1" t="str">
        <f ca="1">IFERROR(__xludf.DUMMYFUNCTION("""COMPUTED_VALUE"""),"г. Магнитогорск, ул. Локомотивная, 6А")</f>
        <v>г. Магнитогорск, ул. Локомотивная, 6А</v>
      </c>
      <c r="I267" s="1" t="str">
        <f ca="1">IFERROR(__xludf.DUMMYFUNCTION("""COMPUTED_VALUE"""),"г. Гай, ПАО ""Гайский ГОК""")</f>
        <v>г. Гай, ПАО "Гайский ГОК"</v>
      </c>
      <c r="J267" s="1" t="str">
        <f ca="1">IFERROR(__xludf.DUMMYFUNCTION("""COMPUTED_VALUE"""),"40,550")</f>
        <v>40,550</v>
      </c>
      <c r="K267" s="1" t="str">
        <f ca="1">IFERROR(__xludf.DUMMYFUNCTION("""COMPUTED_VALUE"""),"Гайский ГОК")</f>
        <v>Гайский ГОК</v>
      </c>
    </row>
    <row r="268" spans="1:11" ht="13" x14ac:dyDescent="0.3">
      <c r="A268" s="1" t="str">
        <f ca="1">IFERROR(__xludf.DUMMYFUNCTION("""COMPUTED_VALUE"""),"109327 / 109185")</f>
        <v>109327 / 109185</v>
      </c>
      <c r="B268" s="1" t="str">
        <f ca="1">IFERROR(__xludf.DUMMYFUNCTION("""COMPUTED_VALUE"""),"06.03.2024")</f>
        <v>06.03.2024</v>
      </c>
      <c r="C268" s="1" t="str">
        <f ca="1">IFERROR(__xludf.DUMMYFUNCTION("""COMPUTED_VALUE"""),"Шлак гранулированный")</f>
        <v>Шлак гранулированный</v>
      </c>
      <c r="D268" s="1" t="str">
        <f ca="1">IFERROR(__xludf.DUMMYFUNCTION("""COMPUTED_VALUE"""),"38,70")</f>
        <v>38,70</v>
      </c>
      <c r="E268" s="1" t="str">
        <f ca="1">IFERROR(__xludf.DUMMYFUNCTION("""COMPUTED_VALUE"""),"Сычев Василий Владимирович")</f>
        <v>Сычев Василий Владимирович</v>
      </c>
      <c r="F268" s="1" t="str">
        <f ca="1">IFERROR(__xludf.DUMMYFUNCTION("""COMPUTED_VALUE"""),"SHACMAN")</f>
        <v>SHACMAN</v>
      </c>
      <c r="G268" s="1" t="str">
        <f ca="1">IFERROR(__xludf.DUMMYFUNCTION("""COMPUTED_VALUE"""),"Х319АЕ774")</f>
        <v>Х319АЕ774</v>
      </c>
      <c r="H268" s="1" t="str">
        <f ca="1">IFERROR(__xludf.DUMMYFUNCTION("""COMPUTED_VALUE"""),"г. Магнитогорск, ул. Локомотивная, 6А")</f>
        <v>г. Магнитогорск, ул. Локомотивная, 6А</v>
      </c>
      <c r="I268" s="1" t="str">
        <f ca="1">IFERROR(__xludf.DUMMYFUNCTION("""COMPUTED_VALUE"""),"г. Гай, ПАО ""Гайский ГОК""")</f>
        <v>г. Гай, ПАО "Гайский ГОК"</v>
      </c>
      <c r="J268" s="1" t="str">
        <f ca="1">IFERROR(__xludf.DUMMYFUNCTION("""COMPUTED_VALUE"""),"38,700")</f>
        <v>38,700</v>
      </c>
      <c r="K268" s="1" t="str">
        <f ca="1">IFERROR(__xludf.DUMMYFUNCTION("""COMPUTED_VALUE"""),"Гайский ГОК")</f>
        <v>Гайский ГОК</v>
      </c>
    </row>
    <row r="269" spans="1:11" ht="13" x14ac:dyDescent="0.3">
      <c r="A269" s="1" t="str">
        <f ca="1">IFERROR(__xludf.DUMMYFUNCTION("""COMPUTED_VALUE"""),"108510 108594")</f>
        <v>108510 108594</v>
      </c>
      <c r="B269" s="1" t="str">
        <f ca="1">IFERROR(__xludf.DUMMYFUNCTION("""COMPUTED_VALUE"""),"06.03.2024")</f>
        <v>06.03.2024</v>
      </c>
      <c r="C269" s="1" t="str">
        <f ca="1">IFERROR(__xludf.DUMMYFUNCTION("""COMPUTED_VALUE"""),"Шлак гранулированный")</f>
        <v>Шлак гранулированный</v>
      </c>
      <c r="D269" s="1" t="str">
        <f ca="1">IFERROR(__xludf.DUMMYFUNCTION("""COMPUTED_VALUE"""),"41,70")</f>
        <v>41,70</v>
      </c>
      <c r="E269" s="1" t="str">
        <f ca="1">IFERROR(__xludf.DUMMYFUNCTION("""COMPUTED_VALUE"""),"Беркумбаев Алмаз Тулепович")</f>
        <v>Беркумбаев Алмаз Тулепович</v>
      </c>
      <c r="F269" s="1" t="str">
        <f ca="1">IFERROR(__xludf.DUMMYFUNCTION("""COMPUTED_VALUE"""),"SHACMAN")</f>
        <v>SHACMAN</v>
      </c>
      <c r="G269" s="1" t="str">
        <f ca="1">IFERROR(__xludf.DUMMYFUNCTION("""COMPUTED_VALUE"""),"Н186ВР774")</f>
        <v>Н186ВР774</v>
      </c>
      <c r="H269" s="1" t="str">
        <f ca="1">IFERROR(__xludf.DUMMYFUNCTION("""COMPUTED_VALUE"""),"г. Магнитогорск, ул. Локомотивная, 6А")</f>
        <v>г. Магнитогорск, ул. Локомотивная, 6А</v>
      </c>
      <c r="I269" s="1" t="str">
        <f ca="1">IFERROR(__xludf.DUMMYFUNCTION("""COMPUTED_VALUE"""),"г. Гай, ПАО ""Гайский ГОК""")</f>
        <v>г. Гай, ПАО "Гайский ГОК"</v>
      </c>
      <c r="J269" s="1" t="str">
        <f ca="1">IFERROR(__xludf.DUMMYFUNCTION("""COMPUTED_VALUE"""),"41,700")</f>
        <v>41,700</v>
      </c>
      <c r="K269" s="1" t="str">
        <f ca="1">IFERROR(__xludf.DUMMYFUNCTION("""COMPUTED_VALUE"""),"Гайский ГОК")</f>
        <v>Гайский ГОК</v>
      </c>
    </row>
    <row r="270" spans="1:11" ht="13" x14ac:dyDescent="0.3">
      <c r="A270" s="1" t="str">
        <f ca="1">IFERROR(__xludf.DUMMYFUNCTION("""COMPUTED_VALUE"""),"101147 / 106027")</f>
        <v>101147 / 106027</v>
      </c>
      <c r="B270" s="1" t="str">
        <f ca="1">IFERROR(__xludf.DUMMYFUNCTION("""COMPUTED_VALUE"""),"06.03.2024")</f>
        <v>06.03.2024</v>
      </c>
      <c r="C270" s="1" t="str">
        <f ca="1">IFERROR(__xludf.DUMMYFUNCTION("""COMPUTED_VALUE"""),"Шлак гранулированный")</f>
        <v>Шлак гранулированный</v>
      </c>
      <c r="D270" s="1" t="str">
        <f ca="1">IFERROR(__xludf.DUMMYFUNCTION("""COMPUTED_VALUE"""),"48,55")</f>
        <v>48,55</v>
      </c>
      <c r="E270" s="1" t="str">
        <f ca="1">IFERROR(__xludf.DUMMYFUNCTION("""COMPUTED_VALUE"""),"Мазуха Николай Александрович")</f>
        <v>Мазуха Николай Александрович</v>
      </c>
      <c r="F270" s="1" t="str">
        <f ca="1">IFERROR(__xludf.DUMMYFUNCTION("""COMPUTED_VALUE"""),"SITRAK")</f>
        <v>SITRAK</v>
      </c>
      <c r="G270" s="1" t="str">
        <f ca="1">IFERROR(__xludf.DUMMYFUNCTION("""COMPUTED_VALUE"""),"Н384ВР774")</f>
        <v>Н384ВР774</v>
      </c>
      <c r="H270" s="1" t="str">
        <f ca="1">IFERROR(__xludf.DUMMYFUNCTION("""COMPUTED_VALUE"""),"г. Магнитогорск, ул. Локомотивная, 6А")</f>
        <v>г. Магнитогорск, ул. Локомотивная, 6А</v>
      </c>
      <c r="I270" s="1" t="str">
        <f ca="1">IFERROR(__xludf.DUMMYFUNCTION("""COMPUTED_VALUE"""),"г. Гай, ПАО ""Гайский ГОК""")</f>
        <v>г. Гай, ПАО "Гайский ГОК"</v>
      </c>
      <c r="J270" s="1" t="str">
        <f ca="1">IFERROR(__xludf.DUMMYFUNCTION("""COMPUTED_VALUE"""),"48,550")</f>
        <v>48,550</v>
      </c>
      <c r="K270" s="1" t="str">
        <f ca="1">IFERROR(__xludf.DUMMYFUNCTION("""COMPUTED_VALUE"""),"Гайский ГОК")</f>
        <v>Гайский ГОК</v>
      </c>
    </row>
    <row r="271" spans="1:11" ht="13" x14ac:dyDescent="0.3">
      <c r="A271" s="1" t="str">
        <f ca="1">IFERROR(__xludf.DUMMYFUNCTION("""COMPUTED_VALUE"""),"104376 / 108201")</f>
        <v>104376 / 108201</v>
      </c>
      <c r="B271" s="1" t="str">
        <f ca="1">IFERROR(__xludf.DUMMYFUNCTION("""COMPUTED_VALUE"""),"06.03.2024")</f>
        <v>06.03.2024</v>
      </c>
      <c r="C271" s="1" t="str">
        <f ca="1">IFERROR(__xludf.DUMMYFUNCTION("""COMPUTED_VALUE"""),"Шлак гранулированный")</f>
        <v>Шлак гранулированный</v>
      </c>
      <c r="D271" s="1" t="str">
        <f ca="1">IFERROR(__xludf.DUMMYFUNCTION("""COMPUTED_VALUE"""),"43,15")</f>
        <v>43,15</v>
      </c>
      <c r="E271" s="1" t="str">
        <f ca="1">IFERROR(__xludf.DUMMYFUNCTION("""COMPUTED_VALUE"""),"Казиахметов Владислав Аркадиевич")</f>
        <v>Казиахметов Владислав Аркадиевич</v>
      </c>
      <c r="F271" s="1" t="str">
        <f ca="1">IFERROR(__xludf.DUMMYFUNCTION("""COMPUTED_VALUE"""),"HOWO")</f>
        <v>HOWO</v>
      </c>
      <c r="G271" s="1" t="str">
        <f ca="1">IFERROR(__xludf.DUMMYFUNCTION("""COMPUTED_VALUE"""),"Н234ВР774")</f>
        <v>Н234ВР774</v>
      </c>
      <c r="H271" s="1" t="str">
        <f ca="1">IFERROR(__xludf.DUMMYFUNCTION("""COMPUTED_VALUE"""),"г. Магнитогорск, ул. Локомотивная, 6А")</f>
        <v>г. Магнитогорск, ул. Локомотивная, 6А</v>
      </c>
      <c r="I271" s="1" t="str">
        <f ca="1">IFERROR(__xludf.DUMMYFUNCTION("""COMPUTED_VALUE"""),"г. Гай, ПАО ""Гайский ГОК""")</f>
        <v>г. Гай, ПАО "Гайский ГОК"</v>
      </c>
      <c r="J271" s="1" t="str">
        <f ca="1">IFERROR(__xludf.DUMMYFUNCTION("""COMPUTED_VALUE"""),"43,150")</f>
        <v>43,150</v>
      </c>
      <c r="K271" s="1" t="str">
        <f ca="1">IFERROR(__xludf.DUMMYFUNCTION("""COMPUTED_VALUE"""),"Гайский ГОК")</f>
        <v>Гайский ГОК</v>
      </c>
    </row>
    <row r="272" spans="1:11" ht="13" x14ac:dyDescent="0.3">
      <c r="A272" s="1" t="str">
        <f ca="1">IFERROR(__xludf.DUMMYFUNCTION("""COMPUTED_VALUE"""),"108790 / 108707")</f>
        <v>108790 / 108707</v>
      </c>
      <c r="B272" s="1" t="str">
        <f ca="1">IFERROR(__xludf.DUMMYFUNCTION("""COMPUTED_VALUE"""),"06.03.2024")</f>
        <v>06.03.2024</v>
      </c>
      <c r="C272" s="1" t="str">
        <f ca="1">IFERROR(__xludf.DUMMYFUNCTION("""COMPUTED_VALUE"""),"Шлак гранулированный")</f>
        <v>Шлак гранулированный</v>
      </c>
      <c r="D272" s="1" t="str">
        <f ca="1">IFERROR(__xludf.DUMMYFUNCTION("""COMPUTED_VALUE"""),"42,60")</f>
        <v>42,60</v>
      </c>
      <c r="E272" s="1" t="str">
        <f ca="1">IFERROR(__xludf.DUMMYFUNCTION("""COMPUTED_VALUE"""),"Овсянников Александр Сергеевич")</f>
        <v>Овсянников Александр Сергеевич</v>
      </c>
      <c r="F272" s="1" t="str">
        <f ca="1">IFERROR(__xludf.DUMMYFUNCTION("""COMPUTED_VALUE"""),"SITRAK")</f>
        <v>SITRAK</v>
      </c>
      <c r="G272" s="1" t="str">
        <f ca="1">IFERROR(__xludf.DUMMYFUNCTION("""COMPUTED_VALUE"""),"У828ВО774")</f>
        <v>У828ВО774</v>
      </c>
      <c r="H272" s="1" t="str">
        <f ca="1">IFERROR(__xludf.DUMMYFUNCTION("""COMPUTED_VALUE"""),"г. Магнитогорск, ул. Локомотивная, 6А")</f>
        <v>г. Магнитогорск, ул. Локомотивная, 6А</v>
      </c>
      <c r="I272" s="1" t="str">
        <f ca="1">IFERROR(__xludf.DUMMYFUNCTION("""COMPUTED_VALUE"""),"г. Гай, ПАО ""Гайский ГОК""")</f>
        <v>г. Гай, ПАО "Гайский ГОК"</v>
      </c>
      <c r="J272" s="1" t="str">
        <f ca="1">IFERROR(__xludf.DUMMYFUNCTION("""COMPUTED_VALUE"""),"42,600")</f>
        <v>42,600</v>
      </c>
      <c r="K272" s="1" t="str">
        <f ca="1">IFERROR(__xludf.DUMMYFUNCTION("""COMPUTED_VALUE"""),"Гайский ГОК")</f>
        <v>Гайский ГОК</v>
      </c>
    </row>
    <row r="273" spans="1:11" ht="13" x14ac:dyDescent="0.3">
      <c r="A273" s="1" t="str">
        <f ca="1">IFERROR(__xludf.DUMMYFUNCTION("""COMPUTED_VALUE"""),"108571 / 108473")</f>
        <v>108571 / 108473</v>
      </c>
      <c r="B273" s="1" t="str">
        <f ca="1">IFERROR(__xludf.DUMMYFUNCTION("""COMPUTED_VALUE"""),"06.03.2024")</f>
        <v>06.03.2024</v>
      </c>
      <c r="C273" s="1" t="str">
        <f ca="1">IFERROR(__xludf.DUMMYFUNCTION("""COMPUTED_VALUE"""),"Шлак гранулированный")</f>
        <v>Шлак гранулированный</v>
      </c>
      <c r="D273" s="1" t="str">
        <f ca="1">IFERROR(__xludf.DUMMYFUNCTION("""COMPUTED_VALUE"""),"52,25")</f>
        <v>52,25</v>
      </c>
      <c r="E273" s="1" t="str">
        <f ca="1">IFERROR(__xludf.DUMMYFUNCTION("""COMPUTED_VALUE"""),"Алексеев Алексей Сергеевич")</f>
        <v>Алексеев Алексей Сергеевич</v>
      </c>
      <c r="F273" s="1" t="str">
        <f ca="1">IFERROR(__xludf.DUMMYFUNCTION("""COMPUTED_VALUE"""),"SITRAK")</f>
        <v>SITRAK</v>
      </c>
      <c r="G273" s="1" t="str">
        <f ca="1">IFERROR(__xludf.DUMMYFUNCTION("""COMPUTED_VALUE"""),"Н854ВН774")</f>
        <v>Н854ВН774</v>
      </c>
      <c r="H273" s="1" t="str">
        <f ca="1">IFERROR(__xludf.DUMMYFUNCTION("""COMPUTED_VALUE"""),"г. Магнитогорск, ул. Локомотивная, 6А")</f>
        <v>г. Магнитогорск, ул. Локомотивная, 6А</v>
      </c>
      <c r="I273" s="1" t="str">
        <f ca="1">IFERROR(__xludf.DUMMYFUNCTION("""COMPUTED_VALUE"""),"г. Гай, ПАО ""Гайский ГОК""")</f>
        <v>г. Гай, ПАО "Гайский ГОК"</v>
      </c>
      <c r="J273" s="1" t="str">
        <f ca="1">IFERROR(__xludf.DUMMYFUNCTION("""COMPUTED_VALUE"""),"52,250")</f>
        <v>52,250</v>
      </c>
      <c r="K273" s="1" t="str">
        <f ca="1">IFERROR(__xludf.DUMMYFUNCTION("""COMPUTED_VALUE"""),"Гайский ГОК")</f>
        <v>Гайский ГОК</v>
      </c>
    </row>
    <row r="274" spans="1:11" ht="13" x14ac:dyDescent="0.3">
      <c r="A274" s="1" t="str">
        <f ca="1">IFERROR(__xludf.DUMMYFUNCTION("""COMPUTED_VALUE"""),"2555")</f>
        <v>2555</v>
      </c>
      <c r="B274" s="1" t="str">
        <f ca="1">IFERROR(__xludf.DUMMYFUNCTION("""COMPUTED_VALUE"""),"06.03.2024")</f>
        <v>06.03.2024</v>
      </c>
      <c r="C274" s="1" t="str">
        <f ca="1">IFERROR(__xludf.DUMMYFUNCTION("""COMPUTED_VALUE"""),"глина огнеупорная")</f>
        <v>глина огнеупорная</v>
      </c>
      <c r="D274" s="1" t="str">
        <f ca="1">IFERROR(__xludf.DUMMYFUNCTION("""COMPUTED_VALUE"""),"38,70")</f>
        <v>38,70</v>
      </c>
      <c r="E274" s="1" t="str">
        <f ca="1">IFERROR(__xludf.DUMMYFUNCTION("""COMPUTED_VALUE"""),"Осипов Юрий Михайлович")</f>
        <v>Осипов Юрий Михайлович</v>
      </c>
      <c r="F274" s="1" t="str">
        <f ca="1">IFERROR(__xludf.DUMMYFUNCTION("""COMPUTED_VALUE"""),"МЕРСЕДЕС")</f>
        <v>МЕРСЕДЕС</v>
      </c>
      <c r="G274" s="1" t="str">
        <f ca="1">IFERROR(__xludf.DUMMYFUNCTION("""COMPUTED_VALUE"""),"О305СС196")</f>
        <v>О305СС196</v>
      </c>
      <c r="H274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27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74" s="1" t="str">
        <f ca="1">IFERROR(__xludf.DUMMYFUNCTION("""COMPUTED_VALUE"""),"38,70")</f>
        <v>38,70</v>
      </c>
      <c r="K274" s="1" t="str">
        <f ca="1">IFERROR(__xludf.DUMMYFUNCTION("""COMPUTED_VALUE"""),"АТУ")</f>
        <v>АТУ</v>
      </c>
    </row>
    <row r="275" spans="1:11" ht="13" x14ac:dyDescent="0.3">
      <c r="A275" s="1" t="str">
        <f ca="1">IFERROR(__xludf.DUMMYFUNCTION("""COMPUTED_VALUE"""),"АТУК2403034")</f>
        <v>АТУК2403034</v>
      </c>
      <c r="B275" s="1" t="str">
        <f ca="1">IFERROR(__xludf.DUMMYFUNCTION("""COMPUTED_VALUE"""),"04.03.2024")</f>
        <v>04.03.2024</v>
      </c>
      <c r="C275" s="1" t="str">
        <f ca="1">IFERROR(__xludf.DUMMYFUNCTION("""COMPUTED_VALUE"""),"глина огнеупорная")</f>
        <v>глина огнеупорная</v>
      </c>
      <c r="D275" s="1" t="str">
        <f ca="1">IFERROR(__xludf.DUMMYFUNCTION("""COMPUTED_VALUE"""),"42,05")</f>
        <v>42,05</v>
      </c>
      <c r="E275" s="1" t="str">
        <f ca="1">IFERROR(__xludf.DUMMYFUNCTION("""COMPUTED_VALUE"""),"Бондарев Андрей Александрович")</f>
        <v>Бондарев Андрей Александрович</v>
      </c>
      <c r="F275" s="1" t="str">
        <f ca="1">IFERROR(__xludf.DUMMYFUNCTION("""COMPUTED_VALUE"""),"ВОЛЬВО")</f>
        <v>ВОЛЬВО</v>
      </c>
      <c r="G275" s="1" t="str">
        <f ca="1">IFERROR(__xludf.DUMMYFUNCTION("""COMPUTED_VALUE"""),"О411ОА196
")</f>
        <v xml:space="preserve">О411ОА196
</v>
      </c>
      <c r="H27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7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75" s="1" t="str">
        <f ca="1">IFERROR(__xludf.DUMMYFUNCTION("""COMPUTED_VALUE"""),"42,050")</f>
        <v>42,050</v>
      </c>
      <c r="K275" s="1" t="str">
        <f ca="1">IFERROR(__xludf.DUMMYFUNCTION("""COMPUTED_VALUE"""),"АТУ")</f>
        <v>АТУ</v>
      </c>
    </row>
    <row r="276" spans="1:11" ht="13" x14ac:dyDescent="0.3">
      <c r="A276" s="1" t="str">
        <f ca="1">IFERROR(__xludf.DUMMYFUNCTION("""COMPUTED_VALUE"""),"АТУК2403035")</f>
        <v>АТУК2403035</v>
      </c>
      <c r="B276" s="1" t="str">
        <f ca="1">IFERROR(__xludf.DUMMYFUNCTION("""COMPUTED_VALUE"""),"06.03.2024")</f>
        <v>06.03.2024</v>
      </c>
      <c r="C276" s="1" t="str">
        <f ca="1">IFERROR(__xludf.DUMMYFUNCTION("""COMPUTED_VALUE"""),"глина огнеупорная")</f>
        <v>глина огнеупорная</v>
      </c>
      <c r="D276" s="1" t="str">
        <f ca="1">IFERROR(__xludf.DUMMYFUNCTION("""COMPUTED_VALUE"""),"40,20")</f>
        <v>40,20</v>
      </c>
      <c r="E276" s="1" t="str">
        <f ca="1">IFERROR(__xludf.DUMMYFUNCTION("""COMPUTED_VALUE"""),"Толстых Николай Владимирович")</f>
        <v>Толстых Николай Владимирович</v>
      </c>
      <c r="F276" s="1" t="str">
        <f ca="1">IFERROR(__xludf.DUMMYFUNCTION("""COMPUTED_VALUE"""),"МЕРСЕДЕС")</f>
        <v>МЕРСЕДЕС</v>
      </c>
      <c r="G276" s="1" t="str">
        <f ca="1">IFERROR(__xludf.DUMMYFUNCTION("""COMPUTED_VALUE"""),"О396НО196")</f>
        <v>О396НО196</v>
      </c>
      <c r="H27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7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76" s="1" t="str">
        <f ca="1">IFERROR(__xludf.DUMMYFUNCTION("""COMPUTED_VALUE"""),"40,200")</f>
        <v>40,200</v>
      </c>
      <c r="K276" s="1" t="str">
        <f ca="1">IFERROR(__xludf.DUMMYFUNCTION("""COMPUTED_VALUE"""),"АТУ")</f>
        <v>АТУ</v>
      </c>
    </row>
    <row r="277" spans="1:11" ht="13" x14ac:dyDescent="0.3">
      <c r="A277" s="1" t="str">
        <f ca="1">IFERROR(__xludf.DUMMYFUNCTION("""COMPUTED_VALUE"""),"АТУК2403036")</f>
        <v>АТУК2403036</v>
      </c>
      <c r="B277" s="1" t="str">
        <f ca="1">IFERROR(__xludf.DUMMYFUNCTION("""COMPUTED_VALUE"""),"06.03.2024")</f>
        <v>06.03.2024</v>
      </c>
      <c r="C277" s="1" t="str">
        <f ca="1">IFERROR(__xludf.DUMMYFUNCTION("""COMPUTED_VALUE"""),"глина огнеупорная")</f>
        <v>глина огнеупорная</v>
      </c>
      <c r="D277" s="1" t="str">
        <f ca="1">IFERROR(__xludf.DUMMYFUNCTION("""COMPUTED_VALUE"""),"42,20")</f>
        <v>42,20</v>
      </c>
      <c r="E277" s="1" t="str">
        <f ca="1">IFERROR(__xludf.DUMMYFUNCTION("""COMPUTED_VALUE"""),"Марусов Владимир Анатольевич")</f>
        <v>Марусов Владимир Анатольевич</v>
      </c>
      <c r="F277" s="1" t="str">
        <f ca="1">IFERROR(__xludf.DUMMYFUNCTION("""COMPUTED_VALUE"""),"МЕРСЕДЕС")</f>
        <v>МЕРСЕДЕС</v>
      </c>
      <c r="G277" s="1" t="str">
        <f ca="1">IFERROR(__xludf.DUMMYFUNCTION("""COMPUTED_VALUE"""),"О740ОН196")</f>
        <v>О740ОН196</v>
      </c>
      <c r="H27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7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77" s="1" t="str">
        <f ca="1">IFERROR(__xludf.DUMMYFUNCTION("""COMPUTED_VALUE"""),"42,200")</f>
        <v>42,200</v>
      </c>
      <c r="K277" s="1" t="str">
        <f ca="1">IFERROR(__xludf.DUMMYFUNCTION("""COMPUTED_VALUE"""),"АТУ")</f>
        <v>АТУ</v>
      </c>
    </row>
    <row r="278" spans="1:11" ht="13" x14ac:dyDescent="0.3">
      <c r="A278" s="1" t="str">
        <f ca="1">IFERROR(__xludf.DUMMYFUNCTION("""COMPUTED_VALUE"""),"488")</f>
        <v>488</v>
      </c>
      <c r="B278" s="1" t="str">
        <f ca="1">IFERROR(__xludf.DUMMYFUNCTION("""COMPUTED_VALUE"""),"06.03.2024")</f>
        <v>06.03.2024</v>
      </c>
      <c r="C278" s="1" t="str">
        <f ca="1">IFERROR(__xludf.DUMMYFUNCTION("""COMPUTED_VALUE"""),"Каолиновый песок ККП-4")</f>
        <v>Каолиновый песок ККП-4</v>
      </c>
      <c r="D278" s="1" t="str">
        <f ca="1">IFERROR(__xludf.DUMMYFUNCTION("""COMPUTED_VALUE"""),"44,89")</f>
        <v>44,89</v>
      </c>
      <c r="E278" s="1" t="str">
        <f ca="1">IFERROR(__xludf.DUMMYFUNCTION("""COMPUTED_VALUE"""),"Закиров Замил Закиевич")</f>
        <v>Закиров Замил Закиевич</v>
      </c>
      <c r="F278" s="1" t="str">
        <f ca="1">IFERROR(__xludf.DUMMYFUNCTION("""COMPUTED_VALUE"""),"МЕРСЕДЕС")</f>
        <v>МЕРСЕДЕС</v>
      </c>
      <c r="G278" s="1" t="str">
        <f ca="1">IFERROR(__xludf.DUMMYFUNCTION("""COMPUTED_VALUE"""),"О135ОУ196")</f>
        <v>О135ОУ196</v>
      </c>
      <c r="H278" s="1" t="str">
        <f ca="1">IFERROR(__xludf.DUMMYFUNCTION("""COMPUTED_VALUE"""),"Челябинская обл., Пластовский тракт, д. 1 ,  ООО «Пласт-Рифей»")</f>
        <v>Челябинская обл., Пластовский тракт, д. 1 ,  ООО «Пласт-Рифей»</v>
      </c>
      <c r="I278" s="1" t="str">
        <f ca="1">IFERROR(__xludf.DUMMYFUNCTION("""COMPUTED_VALUE"""),"Республика Башкортостан, Абзелиловский р-н, д. Первомайский, Промышленная площадка-1, ООО «Цемикс»")</f>
        <v>Республика Башкортостан, Абзелиловский р-н, д. Первомайский, Промышленная площадка-1, ООО «Цемикс»</v>
      </c>
      <c r="J278" s="1" t="str">
        <f ca="1">IFERROR(__xludf.DUMMYFUNCTION("""COMPUTED_VALUE"""),"44,89")</f>
        <v>44,89</v>
      </c>
      <c r="K278" s="1" t="str">
        <f ca="1">IFERROR(__xludf.DUMMYFUNCTION("""COMPUTED_VALUE"""),"ЦементСервис (Цемикс)")</f>
        <v>ЦементСервис (Цемикс)</v>
      </c>
    </row>
    <row r="279" spans="1:11" ht="13" x14ac:dyDescent="0.3">
      <c r="A279" s="1" t="str">
        <f ca="1">IFERROR(__xludf.DUMMYFUNCTION("""COMPUTED_VALUE"""),"АТУК2403037")</f>
        <v>АТУК2403037</v>
      </c>
      <c r="B279" s="1" t="str">
        <f ca="1">IFERROR(__xludf.DUMMYFUNCTION("""COMPUTED_VALUE"""),"06.03.2024")</f>
        <v>06.03.2024</v>
      </c>
      <c r="C279" s="1" t="str">
        <f ca="1">IFERROR(__xludf.DUMMYFUNCTION("""COMPUTED_VALUE"""),"глина огнеупорная")</f>
        <v>глина огнеупорная</v>
      </c>
      <c r="D279" s="1" t="str">
        <f ca="1">IFERROR(__xludf.DUMMYFUNCTION("""COMPUTED_VALUE"""),"49,80")</f>
        <v>49,80</v>
      </c>
      <c r="E279" s="1" t="str">
        <f ca="1">IFERROR(__xludf.DUMMYFUNCTION("""COMPUTED_VALUE"""),"Мардеев Радик Сергеевич")</f>
        <v>Мардеев Радик Сергеевич</v>
      </c>
      <c r="F279" s="1" t="str">
        <f ca="1">IFERROR(__xludf.DUMMYFUNCTION("""COMPUTED_VALUE"""),"ВОЛЬВО")</f>
        <v>ВОЛЬВО</v>
      </c>
      <c r="G279" s="1" t="str">
        <f ca="1">IFERROR(__xludf.DUMMYFUNCTION("""COMPUTED_VALUE"""),"О845ЕЕ196")</f>
        <v>О845ЕЕ196</v>
      </c>
      <c r="H27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7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79" s="1" t="str">
        <f ca="1">IFERROR(__xludf.DUMMYFUNCTION("""COMPUTED_VALUE"""),"49,800")</f>
        <v>49,800</v>
      </c>
      <c r="K279" s="1" t="str">
        <f ca="1">IFERROR(__xludf.DUMMYFUNCTION("""COMPUTED_VALUE"""),"АТУ")</f>
        <v>АТУ</v>
      </c>
    </row>
    <row r="280" spans="1:11" ht="13" x14ac:dyDescent="0.3">
      <c r="A280" s="1" t="str">
        <f ca="1">IFERROR(__xludf.DUMMYFUNCTION("""COMPUTED_VALUE"""),"АТУК2403038")</f>
        <v>АТУК2403038</v>
      </c>
      <c r="B280" s="1" t="str">
        <f ca="1">IFERROR(__xludf.DUMMYFUNCTION("""COMPUTED_VALUE"""),"06.03.2024")</f>
        <v>06.03.2024</v>
      </c>
      <c r="C280" s="1" t="str">
        <f ca="1">IFERROR(__xludf.DUMMYFUNCTION("""COMPUTED_VALUE"""),"глина огнеупорная")</f>
        <v>глина огнеупорная</v>
      </c>
      <c r="D280" s="1" t="str">
        <f ca="1">IFERROR(__xludf.DUMMYFUNCTION("""COMPUTED_VALUE"""),"37,60")</f>
        <v>37,60</v>
      </c>
      <c r="E280" s="1" t="str">
        <f ca="1">IFERROR(__xludf.DUMMYFUNCTION("""COMPUTED_VALUE"""),"Поздняков Максим Валерьевич")</f>
        <v>Поздняков Максим Валерьевич</v>
      </c>
      <c r="F280" s="1" t="str">
        <f ca="1">IFERROR(__xludf.DUMMYFUNCTION("""COMPUTED_VALUE"""),"МЕРСЕДЕС")</f>
        <v>МЕРСЕДЕС</v>
      </c>
      <c r="G280" s="1" t="str">
        <f ca="1">IFERROR(__xludf.DUMMYFUNCTION("""COMPUTED_VALUE"""),"О208ОМ196")</f>
        <v>О208ОМ196</v>
      </c>
      <c r="H28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8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0" s="1" t="str">
        <f ca="1">IFERROR(__xludf.DUMMYFUNCTION("""COMPUTED_VALUE"""),"37,600")</f>
        <v>37,600</v>
      </c>
      <c r="K280" s="1" t="str">
        <f ca="1">IFERROR(__xludf.DUMMYFUNCTION("""COMPUTED_VALUE"""),"АТУ")</f>
        <v>АТУ</v>
      </c>
    </row>
    <row r="281" spans="1:11" ht="13" x14ac:dyDescent="0.3">
      <c r="A281" s="1" t="str">
        <f ca="1">IFERROR(__xludf.DUMMYFUNCTION("""COMPUTED_VALUE"""),"АТУК2403039")</f>
        <v>АТУК2403039</v>
      </c>
      <c r="B281" s="1" t="str">
        <f ca="1">IFERROR(__xludf.DUMMYFUNCTION("""COMPUTED_VALUE"""),"06.03.2024")</f>
        <v>06.03.2024</v>
      </c>
      <c r="C281" s="1" t="str">
        <f ca="1">IFERROR(__xludf.DUMMYFUNCTION("""COMPUTED_VALUE"""),"глина огнеупорная")</f>
        <v>глина огнеупорная</v>
      </c>
      <c r="D281" s="1" t="str">
        <f ca="1">IFERROR(__xludf.DUMMYFUNCTION("""COMPUTED_VALUE"""),"42,70")</f>
        <v>42,70</v>
      </c>
      <c r="E281" s="1" t="str">
        <f ca="1">IFERROR(__xludf.DUMMYFUNCTION("""COMPUTED_VALUE"""),"Лычагин Дмитрий Васильевич")</f>
        <v>Лычагин Дмитрий Васильевич</v>
      </c>
      <c r="F281" s="1" t="str">
        <f ca="1">IFERROR(__xludf.DUMMYFUNCTION("""COMPUTED_VALUE"""),"ВОЛЬВО")</f>
        <v>ВОЛЬВО</v>
      </c>
      <c r="G281" s="1" t="str">
        <f ca="1">IFERROR(__xludf.DUMMYFUNCTION("""COMPUTED_VALUE"""),"Н179ОХ196")</f>
        <v>Н179ОХ196</v>
      </c>
      <c r="H28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8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1" s="1" t="str">
        <f ca="1">IFERROR(__xludf.DUMMYFUNCTION("""COMPUTED_VALUE"""),"42,700")</f>
        <v>42,700</v>
      </c>
      <c r="K281" s="1" t="str">
        <f ca="1">IFERROR(__xludf.DUMMYFUNCTION("""COMPUTED_VALUE"""),"АТУ")</f>
        <v>АТУ</v>
      </c>
    </row>
    <row r="282" spans="1:11" ht="13" x14ac:dyDescent="0.3">
      <c r="A282" s="1" t="str">
        <f ca="1">IFERROR(__xludf.DUMMYFUNCTION("""COMPUTED_VALUE"""),"АТУК2403040")</f>
        <v>АТУК2403040</v>
      </c>
      <c r="B282" s="1" t="str">
        <f ca="1">IFERROR(__xludf.DUMMYFUNCTION("""COMPUTED_VALUE"""),"06.03.2024")</f>
        <v>06.03.2024</v>
      </c>
      <c r="C282" s="1" t="str">
        <f ca="1">IFERROR(__xludf.DUMMYFUNCTION("""COMPUTED_VALUE"""),"глина огнеупорная")</f>
        <v>глина огнеупорная</v>
      </c>
      <c r="D282" s="1" t="str">
        <f ca="1">IFERROR(__xludf.DUMMYFUNCTION("""COMPUTED_VALUE"""),"52,00")</f>
        <v>52,00</v>
      </c>
      <c r="E282" s="1" t="str">
        <f ca="1">IFERROR(__xludf.DUMMYFUNCTION("""COMPUTED_VALUE"""),"Марьин Андрей Геннадьевич")</f>
        <v>Марьин Андрей Геннадьевич</v>
      </c>
      <c r="F282" s="1" t="str">
        <f ca="1">IFERROR(__xludf.DUMMYFUNCTION("""COMPUTED_VALUE"""),"ВОЛЬВО")</f>
        <v>ВОЛЬВО</v>
      </c>
      <c r="G282" s="1" t="str">
        <f ca="1">IFERROR(__xludf.DUMMYFUNCTION("""COMPUTED_VALUE"""),"Н180ТС196")</f>
        <v>Н180ТС196</v>
      </c>
      <c r="H28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8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2" s="1" t="str">
        <f ca="1">IFERROR(__xludf.DUMMYFUNCTION("""COMPUTED_VALUE"""),"52,000")</f>
        <v>52,000</v>
      </c>
      <c r="K282" s="1" t="str">
        <f ca="1">IFERROR(__xludf.DUMMYFUNCTION("""COMPUTED_VALUE"""),"АТУ")</f>
        <v>АТУ</v>
      </c>
    </row>
    <row r="283" spans="1:11" ht="13" x14ac:dyDescent="0.3">
      <c r="A283" s="1" t="str">
        <f ca="1">IFERROR(__xludf.DUMMYFUNCTION("""COMPUTED_VALUE"""),"АТУК2403041")</f>
        <v>АТУК2403041</v>
      </c>
      <c r="B283" s="1" t="str">
        <f ca="1">IFERROR(__xludf.DUMMYFUNCTION("""COMPUTED_VALUE"""),"06.03.2024")</f>
        <v>06.03.2024</v>
      </c>
      <c r="C283" s="1" t="str">
        <f ca="1">IFERROR(__xludf.DUMMYFUNCTION("""COMPUTED_VALUE"""),"глина огнеупорная")</f>
        <v>глина огнеупорная</v>
      </c>
      <c r="D283" s="1" t="str">
        <f ca="1">IFERROR(__xludf.DUMMYFUNCTION("""COMPUTED_VALUE"""),"41,75")</f>
        <v>41,75</v>
      </c>
      <c r="E283" s="1" t="str">
        <f ca="1">IFERROR(__xludf.DUMMYFUNCTION("""COMPUTED_VALUE"""),"Гибадатов Ильфат Ринатович")</f>
        <v>Гибадатов Ильфат Ринатович</v>
      </c>
      <c r="F283" s="1" t="str">
        <f ca="1">IFERROR(__xludf.DUMMYFUNCTION("""COMPUTED_VALUE"""),"МЕРСЕДЕС")</f>
        <v>МЕРСЕДЕС</v>
      </c>
      <c r="G283" s="1" t="str">
        <f ca="1">IFERROR(__xludf.DUMMYFUNCTION("""COMPUTED_VALUE"""),"О951РО196")</f>
        <v>О951РО196</v>
      </c>
      <c r="H28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8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3" s="1" t="str">
        <f ca="1">IFERROR(__xludf.DUMMYFUNCTION("""COMPUTED_VALUE"""),"41,750")</f>
        <v>41,750</v>
      </c>
      <c r="K283" s="1" t="str">
        <f ca="1">IFERROR(__xludf.DUMMYFUNCTION("""COMPUTED_VALUE"""),"АТУ")</f>
        <v>АТУ</v>
      </c>
    </row>
    <row r="284" spans="1:11" ht="13" x14ac:dyDescent="0.3">
      <c r="A284" s="1" t="str">
        <f ca="1">IFERROR(__xludf.DUMMYFUNCTION("""COMPUTED_VALUE"""),"АТУК2403042")</f>
        <v>АТУК2403042</v>
      </c>
      <c r="B284" s="1" t="str">
        <f ca="1">IFERROR(__xludf.DUMMYFUNCTION("""COMPUTED_VALUE"""),"06.03.2024")</f>
        <v>06.03.2024</v>
      </c>
      <c r="C284" s="1" t="str">
        <f ca="1">IFERROR(__xludf.DUMMYFUNCTION("""COMPUTED_VALUE"""),"глина огнеупорная")</f>
        <v>глина огнеупорная</v>
      </c>
      <c r="D284" s="1" t="str">
        <f ca="1">IFERROR(__xludf.DUMMYFUNCTION("""COMPUTED_VALUE"""),"39,90")</f>
        <v>39,90</v>
      </c>
      <c r="E284" s="1" t="str">
        <f ca="1">IFERROR(__xludf.DUMMYFUNCTION("""COMPUTED_VALUE"""),"Гибадуллин Амур Хибатович")</f>
        <v>Гибадуллин Амур Хибатович</v>
      </c>
      <c r="F284" s="1" t="str">
        <f ca="1">IFERROR(__xludf.DUMMYFUNCTION("""COMPUTED_VALUE"""),"МЕРСЕДЕС")</f>
        <v>МЕРСЕДЕС</v>
      </c>
      <c r="G284" s="1" t="str">
        <f ca="1">IFERROR(__xludf.DUMMYFUNCTION("""COMPUTED_VALUE"""),"О697НУ196")</f>
        <v>О697НУ196</v>
      </c>
      <c r="H28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28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4" s="1" t="str">
        <f ca="1">IFERROR(__xludf.DUMMYFUNCTION("""COMPUTED_VALUE"""),"39,900")</f>
        <v>39,900</v>
      </c>
      <c r="K284" s="1" t="str">
        <f ca="1">IFERROR(__xludf.DUMMYFUNCTION("""COMPUTED_VALUE"""),"АТУ")</f>
        <v>АТУ</v>
      </c>
    </row>
    <row r="285" spans="1:11" ht="13" x14ac:dyDescent="0.3">
      <c r="A285" s="1" t="str">
        <f ca="1">IFERROR(__xludf.DUMMYFUNCTION("""COMPUTED_VALUE"""),"ННКРС33354")</f>
        <v>ННКРС33354</v>
      </c>
      <c r="B285" s="1" t="str">
        <f ca="1">IFERROR(__xludf.DUMMYFUNCTION("""COMPUTED_VALUE"""),"07.03.2024")</f>
        <v>07.03.2024</v>
      </c>
      <c r="C285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285" s="1" t="str">
        <f ca="1">IFERROR(__xludf.DUMMYFUNCTION("""COMPUTED_VALUE"""),"34,05")</f>
        <v>34,05</v>
      </c>
      <c r="E285" s="1" t="str">
        <f ca="1">IFERROR(__xludf.DUMMYFUNCTION("""COMPUTED_VALUE"""),"Атаман Кирилл Анатольевич")</f>
        <v>Атаман Кирилл Анатольевич</v>
      </c>
      <c r="F285" s="1" t="str">
        <f ca="1">IFERROR(__xludf.DUMMYFUNCTION("""COMPUTED_VALUE"""),"FAW")</f>
        <v>FAW</v>
      </c>
      <c r="G285" s="1" t="str">
        <f ca="1">IFERROR(__xludf.DUMMYFUNCTION("""COMPUTED_VALUE"""),"Н504КК774")</f>
        <v>Н504КК774</v>
      </c>
      <c r="H285" s="1" t="str">
        <f ca="1">IFERROR(__xludf.DUMMYFUNCTION("""COMPUTED_VALUE"""),"с. Новобурановка")</f>
        <v>с. Новобурановка</v>
      </c>
      <c r="I285" s="1" t="str">
        <f ca="1">IFERROR(__xludf.DUMMYFUNCTION("""COMPUTED_VALUE"""),"г. Магнитогорск ул. Сульфидная 7/1")</f>
        <v>г. Магнитогорск ул. Сульфидная 7/1</v>
      </c>
      <c r="J285" s="1" t="str">
        <f ca="1">IFERROR(__xludf.DUMMYFUNCTION("""COMPUTED_VALUE"""),"34,05")</f>
        <v>34,05</v>
      </c>
      <c r="K285" s="1" t="str">
        <f ca="1">IFERROR(__xludf.DUMMYFUNCTION("""COMPUTED_VALUE"""),"ДОМ")</f>
        <v>ДОМ</v>
      </c>
    </row>
    <row r="286" spans="1:11" ht="13" x14ac:dyDescent="0.3">
      <c r="A286" s="1" t="str">
        <f ca="1">IFERROR(__xludf.DUMMYFUNCTION("""COMPUTED_VALUE"""),"ННКРС33371")</f>
        <v>ННКРС33371</v>
      </c>
      <c r="B286" s="1" t="str">
        <f ca="1">IFERROR(__xludf.DUMMYFUNCTION("""COMPUTED_VALUE"""),"07.03.2024")</f>
        <v>07.03.2024</v>
      </c>
      <c r="C286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286" s="1" t="str">
        <f ca="1">IFERROR(__xludf.DUMMYFUNCTION("""COMPUTED_VALUE"""),"33,65")</f>
        <v>33,65</v>
      </c>
      <c r="E286" s="1" t="str">
        <f ca="1">IFERROR(__xludf.DUMMYFUNCTION("""COMPUTED_VALUE"""),"Атаман Кирилл Анатольевич")</f>
        <v>Атаман Кирилл Анатольевич</v>
      </c>
      <c r="F286" s="1" t="str">
        <f ca="1">IFERROR(__xludf.DUMMYFUNCTION("""COMPUTED_VALUE"""),"FAW")</f>
        <v>FAW</v>
      </c>
      <c r="G286" s="1" t="str">
        <f ca="1">IFERROR(__xludf.DUMMYFUNCTION("""COMPUTED_VALUE"""),"Н504КК774")</f>
        <v>Н504КК774</v>
      </c>
      <c r="H286" s="1" t="str">
        <f ca="1">IFERROR(__xludf.DUMMYFUNCTION("""COMPUTED_VALUE"""),"с. Новобурановка")</f>
        <v>с. Новобурановка</v>
      </c>
      <c r="I286" s="1" t="str">
        <f ca="1">IFERROR(__xludf.DUMMYFUNCTION("""COMPUTED_VALUE"""),"г. Магнитогорск ул. Сульфидная 7/1")</f>
        <v>г. Магнитогорск ул. Сульфидная 7/1</v>
      </c>
      <c r="J286" s="1" t="str">
        <f ca="1">IFERROR(__xludf.DUMMYFUNCTION("""COMPUTED_VALUE"""),"33,65")</f>
        <v>33,65</v>
      </c>
      <c r="K286" s="1" t="str">
        <f ca="1">IFERROR(__xludf.DUMMYFUNCTION("""COMPUTED_VALUE"""),"ДОМ")</f>
        <v>ДОМ</v>
      </c>
    </row>
    <row r="287" spans="1:11" ht="13" x14ac:dyDescent="0.3">
      <c r="A287" s="1" t="str">
        <f ca="1">IFERROR(__xludf.DUMMYFUNCTION("""COMPUTED_VALUE"""),"ННКРС33370")</f>
        <v>ННКРС33370</v>
      </c>
      <c r="B287" s="1" t="str">
        <f ca="1">IFERROR(__xludf.DUMMYFUNCTION("""COMPUTED_VALUE"""),"07.03.2024")</f>
        <v>07.03.2024</v>
      </c>
      <c r="C287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287" s="1" t="str">
        <f ca="1">IFERROR(__xludf.DUMMYFUNCTION("""COMPUTED_VALUE"""),"40,35")</f>
        <v>40,35</v>
      </c>
      <c r="E287" s="1" t="str">
        <f ca="1">IFERROR(__xludf.DUMMYFUNCTION("""COMPUTED_VALUE"""),"Поликарпов Константин Юрьевич")</f>
        <v>Поликарпов Константин Юрьевич</v>
      </c>
      <c r="F287" s="1" t="str">
        <f ca="1">IFERROR(__xludf.DUMMYFUNCTION("""COMPUTED_VALUE"""),"FAW")</f>
        <v>FAW</v>
      </c>
      <c r="G287" s="1" t="str">
        <f ca="1">IFERROR(__xludf.DUMMYFUNCTION("""COMPUTED_VALUE"""),"С621КМ774")</f>
        <v>С621КМ774</v>
      </c>
      <c r="H287" s="1" t="str">
        <f ca="1">IFERROR(__xludf.DUMMYFUNCTION("""COMPUTED_VALUE"""),"с. Новобурановка")</f>
        <v>с. Новобурановка</v>
      </c>
      <c r="I287" s="1" t="str">
        <f ca="1">IFERROR(__xludf.DUMMYFUNCTION("""COMPUTED_VALUE"""),"г. Магнитогорск ул. Сульфидная 7/1")</f>
        <v>г. Магнитогорск ул. Сульфидная 7/1</v>
      </c>
      <c r="J287" s="1" t="str">
        <f ca="1">IFERROR(__xludf.DUMMYFUNCTION("""COMPUTED_VALUE"""),"40,35")</f>
        <v>40,35</v>
      </c>
      <c r="K287" s="1" t="str">
        <f ca="1">IFERROR(__xludf.DUMMYFUNCTION("""COMPUTED_VALUE"""),"ДОМ")</f>
        <v>ДОМ</v>
      </c>
    </row>
    <row r="288" spans="1:11" ht="13" x14ac:dyDescent="0.3">
      <c r="A288" s="1" t="str">
        <f ca="1">IFERROR(__xludf.DUMMYFUNCTION("""COMPUTED_VALUE"""),"2575")</f>
        <v>2575</v>
      </c>
      <c r="B288" s="1" t="str">
        <f ca="1">IFERROR(__xludf.DUMMYFUNCTION("""COMPUTED_VALUE"""),"07.03.2024")</f>
        <v>07.03.2024</v>
      </c>
      <c r="C288" s="1" t="str">
        <f ca="1">IFERROR(__xludf.DUMMYFUNCTION("""COMPUTED_VALUE"""),"глина огнеупорная")</f>
        <v>глина огнеупорная</v>
      </c>
      <c r="D288" s="1" t="str">
        <f ca="1">IFERROR(__xludf.DUMMYFUNCTION("""COMPUTED_VALUE"""),"32,22")</f>
        <v>32,22</v>
      </c>
      <c r="E288" s="1" t="str">
        <f ca="1">IFERROR(__xludf.DUMMYFUNCTION("""COMPUTED_VALUE"""),"Поликарпов Константин Юрьевич")</f>
        <v>Поликарпов Константин Юрьевич</v>
      </c>
      <c r="F288" s="1" t="str">
        <f ca="1">IFERROR(__xludf.DUMMYFUNCTION("""COMPUTED_VALUE"""),"FAW")</f>
        <v>FAW</v>
      </c>
      <c r="G288" s="1" t="str">
        <f ca="1">IFERROR(__xludf.DUMMYFUNCTION("""COMPUTED_VALUE"""),"С621КМ774")</f>
        <v>С621КМ774</v>
      </c>
      <c r="H288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28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8" s="1" t="str">
        <f ca="1">IFERROR(__xludf.DUMMYFUNCTION("""COMPUTED_VALUE"""),"32,22")</f>
        <v>32,22</v>
      </c>
      <c r="K288" s="1" t="str">
        <f ca="1">IFERROR(__xludf.DUMMYFUNCTION("""COMPUTED_VALUE"""),"АТУ")</f>
        <v>АТУ</v>
      </c>
    </row>
    <row r="289" spans="1:11" ht="13" x14ac:dyDescent="0.3">
      <c r="A289" s="1" t="str">
        <f ca="1">IFERROR(__xludf.DUMMYFUNCTION("""COMPUTED_VALUE"""),"2576")</f>
        <v>2576</v>
      </c>
      <c r="B289" s="1" t="str">
        <f ca="1">IFERROR(__xludf.DUMMYFUNCTION("""COMPUTED_VALUE"""),"07.03.2024")</f>
        <v>07.03.2024</v>
      </c>
      <c r="C289" s="1" t="str">
        <f ca="1">IFERROR(__xludf.DUMMYFUNCTION("""COMPUTED_VALUE"""),"глина огнеупорная")</f>
        <v>глина огнеупорная</v>
      </c>
      <c r="D289" s="1" t="str">
        <f ca="1">IFERROR(__xludf.DUMMYFUNCTION("""COMPUTED_VALUE"""),"33,16")</f>
        <v>33,16</v>
      </c>
      <c r="E289" s="1" t="str">
        <f ca="1">IFERROR(__xludf.DUMMYFUNCTION("""COMPUTED_VALUE"""),"Нургалин Ильшат Абдулхакович")</f>
        <v>Нургалин Ильшат Абдулхакович</v>
      </c>
      <c r="F289" s="1" t="str">
        <f ca="1">IFERROR(__xludf.DUMMYFUNCTION("""COMPUTED_VALUE"""),"FAW")</f>
        <v>FAW</v>
      </c>
      <c r="G289" s="1" t="str">
        <f ca="1">IFERROR(__xludf.DUMMYFUNCTION("""COMPUTED_VALUE"""),"Т951КМ774")</f>
        <v>Т951КМ774</v>
      </c>
      <c r="H289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28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289" s="1" t="str">
        <f ca="1">IFERROR(__xludf.DUMMYFUNCTION("""COMPUTED_VALUE"""),"33,16")</f>
        <v>33,16</v>
      </c>
      <c r="K289" s="1" t="str">
        <f ca="1">IFERROR(__xludf.DUMMYFUNCTION("""COMPUTED_VALUE"""),"АТУ")</f>
        <v>АТУ</v>
      </c>
    </row>
    <row r="290" spans="1:11" ht="13" x14ac:dyDescent="0.3">
      <c r="A290" s="1" t="str">
        <f ca="1">IFERROR(__xludf.DUMMYFUNCTION("""COMPUTED_VALUE"""),"ННКРС33369")</f>
        <v>ННКРС33369</v>
      </c>
      <c r="B290" s="1" t="str">
        <f ca="1">IFERROR(__xludf.DUMMYFUNCTION("""COMPUTED_VALUE"""),"07.03.2024")</f>
        <v>07.03.2024</v>
      </c>
      <c r="C290" s="1" t="str">
        <f ca="1">IFERROR(__xludf.DUMMYFUNCTION("""COMPUTED_VALUE"""),"Песок из отсевов дробления фракции 0-5 мм")</f>
        <v>Песок из отсевов дробления фракции 0-5 мм</v>
      </c>
      <c r="D290" s="1" t="str">
        <f ca="1">IFERROR(__xludf.DUMMYFUNCTION("""COMPUTED_VALUE"""),"40,95")</f>
        <v>40,95</v>
      </c>
      <c r="E290" s="1" t="str">
        <f ca="1">IFERROR(__xludf.DUMMYFUNCTION("""COMPUTED_VALUE"""),"Нургалин Ильшат Абдулхакович")</f>
        <v>Нургалин Ильшат Абдулхакович</v>
      </c>
      <c r="F290" s="1" t="str">
        <f ca="1">IFERROR(__xludf.DUMMYFUNCTION("""COMPUTED_VALUE"""),"FAW")</f>
        <v>FAW</v>
      </c>
      <c r="G290" s="1" t="str">
        <f ca="1">IFERROR(__xludf.DUMMYFUNCTION("""COMPUTED_VALUE"""),"Т951КМ774")</f>
        <v>Т951КМ774</v>
      </c>
      <c r="H290" s="1" t="str">
        <f ca="1">IFERROR(__xludf.DUMMYFUNCTION("""COMPUTED_VALUE"""),"с. Новобурановка")</f>
        <v>с. Новобурановка</v>
      </c>
      <c r="I290" s="1" t="str">
        <f ca="1">IFERROR(__xludf.DUMMYFUNCTION("""COMPUTED_VALUE"""),"г. Магнитогорск ул. Сульфидная 7/1")</f>
        <v>г. Магнитогорск ул. Сульфидная 7/1</v>
      </c>
      <c r="J290" s="1" t="str">
        <f ca="1">IFERROR(__xludf.DUMMYFUNCTION("""COMPUTED_VALUE"""),"40,95")</f>
        <v>40,95</v>
      </c>
      <c r="K290" s="1" t="str">
        <f ca="1">IFERROR(__xludf.DUMMYFUNCTION("""COMPUTED_VALUE"""),"ДОМ")</f>
        <v>ДОМ</v>
      </c>
    </row>
    <row r="291" spans="1:11" ht="13" x14ac:dyDescent="0.3">
      <c r="A291" s="1" t="str">
        <f ca="1">IFERROR(__xludf.DUMMYFUNCTION("""COMPUTED_VALUE"""),"107")</f>
        <v>107</v>
      </c>
      <c r="B291" s="1" t="str">
        <f ca="1">IFERROR(__xludf.DUMMYFUNCTION("""COMPUTED_VALUE"""),"07.03.2024")</f>
        <v>07.03.2024</v>
      </c>
      <c r="C291" s="1" t="str">
        <f ca="1">IFERROR(__xludf.DUMMYFUNCTION("""COMPUTED_VALUE"""),"Руда")</f>
        <v>Руда</v>
      </c>
      <c r="D291" s="1" t="str">
        <f ca="1">IFERROR(__xludf.DUMMYFUNCTION("""COMPUTED_VALUE"""),"42,45")</f>
        <v>42,45</v>
      </c>
      <c r="E291" s="1" t="str">
        <f ca="1">IFERROR(__xludf.DUMMYFUNCTION("""COMPUTED_VALUE"""),"Калинин Виктор Михайлович")</f>
        <v>Калинин Виктор Михайлович</v>
      </c>
      <c r="F291" s="1" t="str">
        <f ca="1">IFERROR(__xludf.DUMMYFUNCTION("""COMPUTED_VALUE"""),"SHACMAN")</f>
        <v>SHACMAN</v>
      </c>
      <c r="G291" s="1" t="str">
        <f ca="1">IFERROR(__xludf.DUMMYFUNCTION("""COMPUTED_VALUE"""),"Н423ВТ774")</f>
        <v>Н423ВТ774</v>
      </c>
      <c r="H29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91" s="1" t="str">
        <f ca="1">IFERROR(__xludf.DUMMYFUNCTION("""COMPUTED_VALUE"""),"г. Гай, ПАО ""Гайский ГОК""")</f>
        <v>г. Гай, ПАО "Гайский ГОК"</v>
      </c>
      <c r="J291" s="1" t="str">
        <f ca="1">IFERROR(__xludf.DUMMYFUNCTION("""COMPUTED_VALUE"""),"42,450")</f>
        <v>42,450</v>
      </c>
      <c r="K291" s="1" t="str">
        <f ca="1">IFERROR(__xludf.DUMMYFUNCTION("""COMPUTED_VALUE"""),"Башкирская Медь")</f>
        <v>Башкирская Медь</v>
      </c>
    </row>
    <row r="292" spans="1:11" ht="13" x14ac:dyDescent="0.3">
      <c r="A292" s="1" t="str">
        <f ca="1">IFERROR(__xludf.DUMMYFUNCTION("""COMPUTED_VALUE"""),"100")</f>
        <v>100</v>
      </c>
      <c r="B292" s="1" t="str">
        <f ca="1">IFERROR(__xludf.DUMMYFUNCTION("""COMPUTED_VALUE"""),"07.03.2024")</f>
        <v>07.03.2024</v>
      </c>
      <c r="C292" s="1" t="str">
        <f ca="1">IFERROR(__xludf.DUMMYFUNCTION("""COMPUTED_VALUE"""),"Руда")</f>
        <v>Руда</v>
      </c>
      <c r="D292" s="1" t="str">
        <f ca="1">IFERROR(__xludf.DUMMYFUNCTION("""COMPUTED_VALUE"""),"37,75")</f>
        <v>37,75</v>
      </c>
      <c r="E292" s="1" t="str">
        <f ca="1">IFERROR(__xludf.DUMMYFUNCTION("""COMPUTED_VALUE"""),"Калинин Виктор Михайлович")</f>
        <v>Калинин Виктор Михайлович</v>
      </c>
      <c r="F292" s="1" t="str">
        <f ca="1">IFERROR(__xludf.DUMMYFUNCTION("""COMPUTED_VALUE"""),"SHACMAN")</f>
        <v>SHACMAN</v>
      </c>
      <c r="G292" s="1" t="str">
        <f ca="1">IFERROR(__xludf.DUMMYFUNCTION("""COMPUTED_VALUE"""),"Н423ВТ774")</f>
        <v>Н423ВТ774</v>
      </c>
      <c r="H29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92" s="1" t="str">
        <f ca="1">IFERROR(__xludf.DUMMYFUNCTION("""COMPUTED_VALUE"""),"г. Гай, ПАО ""Гайский ГОК""")</f>
        <v>г. Гай, ПАО "Гайский ГОК"</v>
      </c>
      <c r="J292" s="1" t="str">
        <f ca="1">IFERROR(__xludf.DUMMYFUNCTION("""COMPUTED_VALUE"""),"37,750")</f>
        <v>37,750</v>
      </c>
      <c r="K292" s="1" t="str">
        <f ca="1">IFERROR(__xludf.DUMMYFUNCTION("""COMPUTED_VALUE"""),"Башкирская Медь")</f>
        <v>Башкирская Медь</v>
      </c>
    </row>
    <row r="293" spans="1:11" ht="13" x14ac:dyDescent="0.3">
      <c r="A293" s="1" t="str">
        <f ca="1">IFERROR(__xludf.DUMMYFUNCTION("""COMPUTED_VALUE"""),"108")</f>
        <v>108</v>
      </c>
      <c r="B293" s="1" t="str">
        <f ca="1">IFERROR(__xludf.DUMMYFUNCTION("""COMPUTED_VALUE"""),"07.03.2024")</f>
        <v>07.03.2024</v>
      </c>
      <c r="C293" s="1" t="str">
        <f ca="1">IFERROR(__xludf.DUMMYFUNCTION("""COMPUTED_VALUE"""),"Руда")</f>
        <v>Руда</v>
      </c>
      <c r="D293" s="1" t="str">
        <f ca="1">IFERROR(__xludf.DUMMYFUNCTION("""COMPUTED_VALUE"""),"39,65")</f>
        <v>39,65</v>
      </c>
      <c r="E293" s="1" t="str">
        <f ca="1">IFERROR(__xludf.DUMMYFUNCTION("""COMPUTED_VALUE"""),"Туголуков Максим Александрович")</f>
        <v>Туголуков Максим Александрович</v>
      </c>
      <c r="F293" s="1" t="str">
        <f ca="1">IFERROR(__xludf.DUMMYFUNCTION("""COMPUTED_VALUE"""),"HOWO")</f>
        <v>HOWO</v>
      </c>
      <c r="G293" s="1" t="str">
        <f ca="1">IFERROR(__xludf.DUMMYFUNCTION("""COMPUTED_VALUE"""),"К297ВН774")</f>
        <v>К297ВН774</v>
      </c>
      <c r="H29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93" s="1" t="str">
        <f ca="1">IFERROR(__xludf.DUMMYFUNCTION("""COMPUTED_VALUE"""),"г. Гай, ПАО ""Гайский ГОК""")</f>
        <v>г. Гай, ПАО "Гайский ГОК"</v>
      </c>
      <c r="J293" s="1" t="str">
        <f ca="1">IFERROR(__xludf.DUMMYFUNCTION("""COMPUTED_VALUE"""),"39,650")</f>
        <v>39,650</v>
      </c>
      <c r="K293" s="1" t="str">
        <f ca="1">IFERROR(__xludf.DUMMYFUNCTION("""COMPUTED_VALUE"""),"Башкирская Медь")</f>
        <v>Башкирская Медь</v>
      </c>
    </row>
    <row r="294" spans="1:11" ht="13" x14ac:dyDescent="0.3">
      <c r="A294" s="1" t="str">
        <f ca="1">IFERROR(__xludf.DUMMYFUNCTION("""COMPUTED_VALUE"""),"101")</f>
        <v>101</v>
      </c>
      <c r="B294" s="1" t="str">
        <f ca="1">IFERROR(__xludf.DUMMYFUNCTION("""COMPUTED_VALUE"""),"07.03.2024")</f>
        <v>07.03.2024</v>
      </c>
      <c r="C294" s="1" t="str">
        <f ca="1">IFERROR(__xludf.DUMMYFUNCTION("""COMPUTED_VALUE"""),"Руда")</f>
        <v>Руда</v>
      </c>
      <c r="D294" s="1" t="str">
        <f ca="1">IFERROR(__xludf.DUMMYFUNCTION("""COMPUTED_VALUE"""),"37,95")</f>
        <v>37,95</v>
      </c>
      <c r="E294" s="1" t="str">
        <f ca="1">IFERROR(__xludf.DUMMYFUNCTION("""COMPUTED_VALUE"""),"Туголуков Максим Александрович")</f>
        <v>Туголуков Максим Александрович</v>
      </c>
      <c r="F294" s="1" t="str">
        <f ca="1">IFERROR(__xludf.DUMMYFUNCTION("""COMPUTED_VALUE"""),"HOWO")</f>
        <v>HOWO</v>
      </c>
      <c r="G294" s="1" t="str">
        <f ca="1">IFERROR(__xludf.DUMMYFUNCTION("""COMPUTED_VALUE"""),"К297ВН774")</f>
        <v>К297ВН774</v>
      </c>
      <c r="H29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94" s="1" t="str">
        <f ca="1">IFERROR(__xludf.DUMMYFUNCTION("""COMPUTED_VALUE"""),"г. Гай, ПАО ""Гайский ГОК""")</f>
        <v>г. Гай, ПАО "Гайский ГОК"</v>
      </c>
      <c r="J294" s="1" t="str">
        <f ca="1">IFERROR(__xludf.DUMMYFUNCTION("""COMPUTED_VALUE"""),"37,950")</f>
        <v>37,950</v>
      </c>
      <c r="K294" s="1" t="str">
        <f ca="1">IFERROR(__xludf.DUMMYFUNCTION("""COMPUTED_VALUE"""),"Башкирская Медь")</f>
        <v>Башкирская Медь</v>
      </c>
    </row>
    <row r="295" spans="1:11" ht="13" x14ac:dyDescent="0.3">
      <c r="A295" s="1" t="str">
        <f ca="1">IFERROR(__xludf.DUMMYFUNCTION("""COMPUTED_VALUE"""),"ННКРС33322")</f>
        <v>ННКРС33322</v>
      </c>
      <c r="B295" s="1" t="str">
        <f ca="1">IFERROR(__xludf.DUMMYFUNCTION("""COMPUTED_VALUE"""),"07.03.2024")</f>
        <v>07.03.2024</v>
      </c>
      <c r="C295" s="1" t="str">
        <f ca="1">IFERROR(__xludf.DUMMYFUNCTION("""COMPUTED_VALUE"""),"Отсев фр. 0-5 мм")</f>
        <v>Отсев фр. 0-5 мм</v>
      </c>
      <c r="D295" s="1" t="str">
        <f ca="1">IFERROR(__xludf.DUMMYFUNCTION("""COMPUTED_VALUE"""),"29,70")</f>
        <v>29,70</v>
      </c>
      <c r="E295" s="1" t="str">
        <f ca="1">IFERROR(__xludf.DUMMYFUNCTION("""COMPUTED_VALUE"""),"Котов Иван Эдуардович")</f>
        <v>Котов Иван Эдуардович</v>
      </c>
      <c r="F295" s="1" t="str">
        <f ca="1">IFERROR(__xludf.DUMMYFUNCTION("""COMPUTED_VALUE"""),"HOWO")</f>
        <v>HOWO</v>
      </c>
      <c r="G295" s="1" t="str">
        <f ca="1">IFERROR(__xludf.DUMMYFUNCTION("""COMPUTED_VALUE"""),"В732АО774")</f>
        <v>В732АО774</v>
      </c>
      <c r="H295" s="1" t="str">
        <f ca="1">IFERROR(__xludf.DUMMYFUNCTION("""COMPUTED_VALUE"""),"с. Новобурановка")</f>
        <v>с. Новобурановка</v>
      </c>
      <c r="I295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95" s="1" t="str">
        <f ca="1">IFERROR(__xludf.DUMMYFUNCTION("""COMPUTED_VALUE"""),"29,70")</f>
        <v>29,70</v>
      </c>
      <c r="K295" s="1" t="str">
        <f ca="1">IFERROR(__xludf.DUMMYFUNCTION("""COMPUTED_VALUE"""),"ПрокатМонтаж")</f>
        <v>ПрокатМонтаж</v>
      </c>
    </row>
    <row r="296" spans="1:11" ht="13" x14ac:dyDescent="0.3">
      <c r="A296" s="1" t="str">
        <f ca="1">IFERROR(__xludf.DUMMYFUNCTION("""COMPUTED_VALUE"""),"ННКРС33342")</f>
        <v>ННКРС33342</v>
      </c>
      <c r="B296" s="1" t="str">
        <f ca="1">IFERROR(__xludf.DUMMYFUNCTION("""COMPUTED_VALUE"""),"07.03.2024")</f>
        <v>07.03.2024</v>
      </c>
      <c r="C296" s="1" t="str">
        <f ca="1">IFERROR(__xludf.DUMMYFUNCTION("""COMPUTED_VALUE"""),"Отсев фр. 0-5 мм")</f>
        <v>Отсев фр. 0-5 мм</v>
      </c>
      <c r="D296" s="1" t="str">
        <f ca="1">IFERROR(__xludf.DUMMYFUNCTION("""COMPUTED_VALUE"""),"30,45")</f>
        <v>30,45</v>
      </c>
      <c r="E296" s="1" t="str">
        <f ca="1">IFERROR(__xludf.DUMMYFUNCTION("""COMPUTED_VALUE"""),"Котов Иван Эдуардович")</f>
        <v>Котов Иван Эдуардович</v>
      </c>
      <c r="F296" s="1" t="str">
        <f ca="1">IFERROR(__xludf.DUMMYFUNCTION("""COMPUTED_VALUE"""),"HOWO")</f>
        <v>HOWO</v>
      </c>
      <c r="G296" s="1" t="str">
        <f ca="1">IFERROR(__xludf.DUMMYFUNCTION("""COMPUTED_VALUE"""),"В732АО774")</f>
        <v>В732АО774</v>
      </c>
      <c r="H296" s="1" t="str">
        <f ca="1">IFERROR(__xludf.DUMMYFUNCTION("""COMPUTED_VALUE"""),"с. Новобурановка")</f>
        <v>с. Новобурановка</v>
      </c>
      <c r="I296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296" s="1" t="str">
        <f ca="1">IFERROR(__xludf.DUMMYFUNCTION("""COMPUTED_VALUE"""),"30,45")</f>
        <v>30,45</v>
      </c>
      <c r="K296" s="1" t="str">
        <f ca="1">IFERROR(__xludf.DUMMYFUNCTION("""COMPUTED_VALUE"""),"ПрокатМонтаж")</f>
        <v>ПрокатМонтаж</v>
      </c>
    </row>
    <row r="297" spans="1:11" ht="13" x14ac:dyDescent="0.3">
      <c r="A297" s="1" t="str">
        <f ca="1">IFERROR(__xludf.DUMMYFUNCTION("""COMPUTED_VALUE"""),"103")</f>
        <v>103</v>
      </c>
      <c r="B297" s="1" t="str">
        <f ca="1">IFERROR(__xludf.DUMMYFUNCTION("""COMPUTED_VALUE"""),"07.03.2024")</f>
        <v>07.03.2024</v>
      </c>
      <c r="C297" s="1" t="str">
        <f ca="1">IFERROR(__xludf.DUMMYFUNCTION("""COMPUTED_VALUE"""),"Руда")</f>
        <v>Руда</v>
      </c>
      <c r="D297" s="1" t="str">
        <f ca="1">IFERROR(__xludf.DUMMYFUNCTION("""COMPUTED_VALUE"""),"39,43")</f>
        <v>39,43</v>
      </c>
      <c r="E297" s="1" t="str">
        <f ca="1">IFERROR(__xludf.DUMMYFUNCTION("""COMPUTED_VALUE"""),"Петухов Дмитрий Анатольевич")</f>
        <v>Петухов Дмитрий Анатольевич</v>
      </c>
      <c r="F297" s="1" t="str">
        <f ca="1">IFERROR(__xludf.DUMMYFUNCTION("""COMPUTED_VALUE"""),"SHACMAN")</f>
        <v>SHACMAN</v>
      </c>
      <c r="G297" s="1" t="str">
        <f ca="1">IFERROR(__xludf.DUMMYFUNCTION("""COMPUTED_VALUE"""),"У645ВО774")</f>
        <v>У645ВО774</v>
      </c>
      <c r="H29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97" s="1" t="str">
        <f ca="1">IFERROR(__xludf.DUMMYFUNCTION("""COMPUTED_VALUE"""),"г. Гай, ПАО ""Гайский ГОК""")</f>
        <v>г. Гай, ПАО "Гайский ГОК"</v>
      </c>
      <c r="J297" s="1" t="str">
        <f ca="1">IFERROR(__xludf.DUMMYFUNCTION("""COMPUTED_VALUE"""),"39,500")</f>
        <v>39,500</v>
      </c>
      <c r="K297" s="1" t="str">
        <f ca="1">IFERROR(__xludf.DUMMYFUNCTION("""COMPUTED_VALUE"""),"Башкирская Медь")</f>
        <v>Башкирская Медь</v>
      </c>
    </row>
    <row r="298" spans="1:11" ht="13" x14ac:dyDescent="0.3">
      <c r="A298" s="1" t="str">
        <f ca="1">IFERROR(__xludf.DUMMYFUNCTION("""COMPUTED_VALUE"""),"48702")</f>
        <v>48702</v>
      </c>
      <c r="B298" s="1" t="str">
        <f ca="1">IFERROR(__xludf.DUMMYFUNCTION("""COMPUTED_VALUE"""),"07.03.2024")</f>
        <v>07.03.2024</v>
      </c>
      <c r="C298" s="1" t="str">
        <f ca="1">IFERROR(__xludf.DUMMYFUNCTION("""COMPUTED_VALUE"""),"Песок")</f>
        <v>Песок</v>
      </c>
      <c r="D298" s="1" t="str">
        <f ca="1">IFERROR(__xludf.DUMMYFUNCTION("""COMPUTED_VALUE"""),"38,70")</f>
        <v>38,70</v>
      </c>
      <c r="E298" s="1" t="str">
        <f ca="1">IFERROR(__xludf.DUMMYFUNCTION("""COMPUTED_VALUE"""),"Петухов Дмитрий Анатольевич")</f>
        <v>Петухов Дмитрий Анатольевич</v>
      </c>
      <c r="F298" s="1" t="str">
        <f ca="1">IFERROR(__xludf.DUMMYFUNCTION("""COMPUTED_VALUE"""),"SHACMAN")</f>
        <v>SHACMAN</v>
      </c>
      <c r="G298" s="1" t="str">
        <f ca="1">IFERROR(__xludf.DUMMYFUNCTION("""COMPUTED_VALUE"""),"У645ВО774")</f>
        <v>У645ВО774</v>
      </c>
      <c r="H298" s="1" t="str">
        <f ca="1">IFERROR(__xludf.DUMMYFUNCTION("""COMPUTED_VALUE"""),"Карьер Трест МС, п. Агаповка")</f>
        <v>Карьер Трест МС, п. Агаповка</v>
      </c>
      <c r="I29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298" s="1" t="str">
        <f ca="1">IFERROR(__xludf.DUMMYFUNCTION("""COMPUTED_VALUE"""),"39,000")</f>
        <v>39,000</v>
      </c>
      <c r="K298" s="1" t="str">
        <f ca="1">IFERROR(__xludf.DUMMYFUNCTION("""COMPUTED_VALUE"""),"Башкирская Медь")</f>
        <v>Башкирская Медь</v>
      </c>
    </row>
    <row r="299" spans="1:11" ht="13" x14ac:dyDescent="0.3">
      <c r="A299" s="1" t="str">
        <f ca="1">IFERROR(__xludf.DUMMYFUNCTION("""COMPUTED_VALUE"""),"102")</f>
        <v>102</v>
      </c>
      <c r="B299" s="1" t="str">
        <f ca="1">IFERROR(__xludf.DUMMYFUNCTION("""COMPUTED_VALUE"""),"07.03.2024")</f>
        <v>07.03.2024</v>
      </c>
      <c r="C299" s="1" t="str">
        <f ca="1">IFERROR(__xludf.DUMMYFUNCTION("""COMPUTED_VALUE"""),"Руда")</f>
        <v>Руда</v>
      </c>
      <c r="D299" s="1" t="str">
        <f ca="1">IFERROR(__xludf.DUMMYFUNCTION("""COMPUTED_VALUE"""),"40,48")</f>
        <v>40,48</v>
      </c>
      <c r="E299" s="1" t="str">
        <f ca="1">IFERROR(__xludf.DUMMYFUNCTION("""COMPUTED_VALUE"""),"Цюман Евгений Владимирович")</f>
        <v>Цюман Евгений Владимирович</v>
      </c>
      <c r="F299" s="1" t="str">
        <f ca="1">IFERROR(__xludf.DUMMYFUNCTION("""COMPUTED_VALUE"""),"SHACMAN")</f>
        <v>SHACMAN</v>
      </c>
      <c r="G299" s="1" t="str">
        <f ca="1">IFERROR(__xludf.DUMMYFUNCTION("""COMPUTED_VALUE"""),"Х319АЕ774")</f>
        <v>Х319АЕ774</v>
      </c>
      <c r="H29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299" s="1" t="str">
        <f ca="1">IFERROR(__xludf.DUMMYFUNCTION("""COMPUTED_VALUE"""),"г. Гай, ПАО ""Гайский ГОК""")</f>
        <v>г. Гай, ПАО "Гайский ГОК"</v>
      </c>
      <c r="J299" s="1" t="str">
        <f ca="1">IFERROR(__xludf.DUMMYFUNCTION("""COMPUTED_VALUE"""),"40,850")</f>
        <v>40,850</v>
      </c>
      <c r="K299" s="1" t="str">
        <f ca="1">IFERROR(__xludf.DUMMYFUNCTION("""COMPUTED_VALUE"""),"Башкирская Медь")</f>
        <v>Башкирская Медь</v>
      </c>
    </row>
    <row r="300" spans="1:11" ht="13" x14ac:dyDescent="0.3">
      <c r="A300" s="1" t="str">
        <f ca="1">IFERROR(__xludf.DUMMYFUNCTION("""COMPUTED_VALUE"""),"48701")</f>
        <v>48701</v>
      </c>
      <c r="B300" s="1" t="str">
        <f ca="1">IFERROR(__xludf.DUMMYFUNCTION("""COMPUTED_VALUE"""),"07.03.2024")</f>
        <v>07.03.2024</v>
      </c>
      <c r="C300" s="1" t="str">
        <f ca="1">IFERROR(__xludf.DUMMYFUNCTION("""COMPUTED_VALUE"""),"Песок")</f>
        <v>Песок</v>
      </c>
      <c r="D300" s="1" t="str">
        <f ca="1">IFERROR(__xludf.DUMMYFUNCTION("""COMPUTED_VALUE"""),"38,80")</f>
        <v>38,80</v>
      </c>
      <c r="E300" s="1" t="str">
        <f ca="1">IFERROR(__xludf.DUMMYFUNCTION("""COMPUTED_VALUE"""),"Цюман Евгений Владимирович")</f>
        <v>Цюман Евгений Владимирович</v>
      </c>
      <c r="F300" s="1" t="str">
        <f ca="1">IFERROR(__xludf.DUMMYFUNCTION("""COMPUTED_VALUE"""),"SHACMAN")</f>
        <v>SHACMAN</v>
      </c>
      <c r="G300" s="1" t="str">
        <f ca="1">IFERROR(__xludf.DUMMYFUNCTION("""COMPUTED_VALUE"""),"Х319АЕ774")</f>
        <v>Х319АЕ774</v>
      </c>
      <c r="H300" s="1" t="str">
        <f ca="1">IFERROR(__xludf.DUMMYFUNCTION("""COMPUTED_VALUE"""),"Карьер Трест МС, п. Агаповка")</f>
        <v>Карьер Трест МС, п. Агаповка</v>
      </c>
      <c r="I30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J300" s="1" t="str">
        <f ca="1">IFERROR(__xludf.DUMMYFUNCTION("""COMPUTED_VALUE"""),"39,140")</f>
        <v>39,140</v>
      </c>
      <c r="K300" s="1" t="str">
        <f ca="1">IFERROR(__xludf.DUMMYFUNCTION("""COMPUTED_VALUE"""),"Башкирская Медь")</f>
        <v>Башкирская Медь</v>
      </c>
    </row>
    <row r="301" spans="1:11" ht="13" x14ac:dyDescent="0.3">
      <c r="A301" s="1" t="str">
        <f ca="1">IFERROR(__xludf.DUMMYFUNCTION("""COMPUTED_VALUE"""),"108531 / 108862")</f>
        <v>108531 / 108862</v>
      </c>
      <c r="B301" s="1" t="str">
        <f ca="1">IFERROR(__xludf.DUMMYFUNCTION("""COMPUTED_VALUE"""),"07.03.2024")</f>
        <v>07.03.2024</v>
      </c>
      <c r="C301" s="1" t="str">
        <f ca="1">IFERROR(__xludf.DUMMYFUNCTION("""COMPUTED_VALUE"""),"Шлак гранулированный")</f>
        <v>Шлак гранулированный</v>
      </c>
      <c r="D301" s="1" t="str">
        <f ca="1">IFERROR(__xludf.DUMMYFUNCTION("""COMPUTED_VALUE"""),"44,25")</f>
        <v>44,25</v>
      </c>
      <c r="E301" s="1" t="str">
        <f ca="1">IFERROR(__xludf.DUMMYFUNCTION("""COMPUTED_VALUE"""),"Ершов Дмитрий Андреевич")</f>
        <v>Ершов Дмитрий Андреевич</v>
      </c>
      <c r="F301" s="1" t="str">
        <f ca="1">IFERROR(__xludf.DUMMYFUNCTION("""COMPUTED_VALUE"""),"HOWO")</f>
        <v>HOWO</v>
      </c>
      <c r="G301" s="1" t="str">
        <f ca="1">IFERROR(__xludf.DUMMYFUNCTION("""COMPUTED_VALUE"""),"Н953ВР774")</f>
        <v>Н953ВР774</v>
      </c>
      <c r="H301" s="1" t="str">
        <f ca="1">IFERROR(__xludf.DUMMYFUNCTION("""COMPUTED_VALUE"""),"г. Магнитогорск, ул. Локомотивная, 6А")</f>
        <v>г. Магнитогорск, ул. Локомотивная, 6А</v>
      </c>
      <c r="I301" s="1" t="str">
        <f ca="1">IFERROR(__xludf.DUMMYFUNCTION("""COMPUTED_VALUE"""),"г. Гай, ПАО ""Гайский ГОК""")</f>
        <v>г. Гай, ПАО "Гайский ГОК"</v>
      </c>
      <c r="J301" s="1" t="str">
        <f ca="1">IFERROR(__xludf.DUMMYFUNCTION("""COMPUTED_VALUE"""),"44,250")</f>
        <v>44,250</v>
      </c>
      <c r="K301" s="1" t="str">
        <f ca="1">IFERROR(__xludf.DUMMYFUNCTION("""COMPUTED_VALUE"""),"Гайский ГОК")</f>
        <v>Гайский ГОК</v>
      </c>
    </row>
    <row r="302" spans="1:11" ht="13" x14ac:dyDescent="0.3">
      <c r="A302" s="1" t="str">
        <f ca="1">IFERROR(__xludf.DUMMYFUNCTION("""COMPUTED_VALUE"""),"109031 / 109082")</f>
        <v>109031 / 109082</v>
      </c>
      <c r="B302" s="1" t="str">
        <f ca="1">IFERROR(__xludf.DUMMYFUNCTION("""COMPUTED_VALUE"""),"07.03.2024")</f>
        <v>07.03.2024</v>
      </c>
      <c r="C302" s="1" t="str">
        <f ca="1">IFERROR(__xludf.DUMMYFUNCTION("""COMPUTED_VALUE"""),"Шлак гранулированный")</f>
        <v>Шлак гранулированный</v>
      </c>
      <c r="D302" s="1" t="str">
        <f ca="1">IFERROR(__xludf.DUMMYFUNCTION("""COMPUTED_VALUE"""),"45,80")</f>
        <v>45,80</v>
      </c>
      <c r="E302" s="1" t="str">
        <f ca="1">IFERROR(__xludf.DUMMYFUNCTION("""COMPUTED_VALUE"""),"Попов Павел Сергеевич")</f>
        <v>Попов Павел Сергеевич</v>
      </c>
      <c r="F302" s="1" t="str">
        <f ca="1">IFERROR(__xludf.DUMMYFUNCTION("""COMPUTED_VALUE"""),"HOWO")</f>
        <v>HOWO</v>
      </c>
      <c r="G302" s="1" t="str">
        <f ca="1">IFERROR(__xludf.DUMMYFUNCTION("""COMPUTED_VALUE"""),"А141ВО774")</f>
        <v>А141ВО774</v>
      </c>
      <c r="H302" s="1" t="str">
        <f ca="1">IFERROR(__xludf.DUMMYFUNCTION("""COMPUTED_VALUE"""),"г. Магнитогорск, ул. Локомотивная, 6А")</f>
        <v>г. Магнитогорск, ул. Локомотивная, 6А</v>
      </c>
      <c r="I302" s="1" t="str">
        <f ca="1">IFERROR(__xludf.DUMMYFUNCTION("""COMPUTED_VALUE"""),"г. Гай, ПАО ""Гайский ГОК""")</f>
        <v>г. Гай, ПАО "Гайский ГОК"</v>
      </c>
      <c r="J302" s="1" t="str">
        <f ca="1">IFERROR(__xludf.DUMMYFUNCTION("""COMPUTED_VALUE"""),"45,800")</f>
        <v>45,800</v>
      </c>
      <c r="K302" s="1" t="str">
        <f ca="1">IFERROR(__xludf.DUMMYFUNCTION("""COMPUTED_VALUE"""),"Гайский ГОК")</f>
        <v>Гайский ГОК</v>
      </c>
    </row>
    <row r="303" spans="1:11" ht="13" x14ac:dyDescent="0.3">
      <c r="A303" s="1" t="str">
        <f ca="1">IFERROR(__xludf.DUMMYFUNCTION("""COMPUTED_VALUE"""),"109096 / 109110")</f>
        <v>109096 / 109110</v>
      </c>
      <c r="B303" s="1" t="str">
        <f ca="1">IFERROR(__xludf.DUMMYFUNCTION("""COMPUTED_VALUE"""),"07.03.2024")</f>
        <v>07.03.2024</v>
      </c>
      <c r="C303" s="1" t="str">
        <f ca="1">IFERROR(__xludf.DUMMYFUNCTION("""COMPUTED_VALUE"""),"Шлак гранулированный")</f>
        <v>Шлак гранулированный</v>
      </c>
      <c r="D303" s="1" t="str">
        <f ca="1">IFERROR(__xludf.DUMMYFUNCTION("""COMPUTED_VALUE"""),"40,10")</f>
        <v>40,10</v>
      </c>
      <c r="E303" s="1" t="str">
        <f ca="1">IFERROR(__xludf.DUMMYFUNCTION("""COMPUTED_VALUE"""),"Сынгызов Азамат Ишмухаметович")</f>
        <v>Сынгызов Азамат Ишмухаметович</v>
      </c>
      <c r="F303" s="1" t="str">
        <f ca="1">IFERROR(__xludf.DUMMYFUNCTION("""COMPUTED_VALUE"""),"HOWO")</f>
        <v>HOWO</v>
      </c>
      <c r="G303" s="1" t="str">
        <f ca="1">IFERROR(__xludf.DUMMYFUNCTION("""COMPUTED_VALUE"""),"Н929ВР774")</f>
        <v>Н929ВР774</v>
      </c>
      <c r="H303" s="1" t="str">
        <f ca="1">IFERROR(__xludf.DUMMYFUNCTION("""COMPUTED_VALUE"""),"г. Магнитогорск, ул. Локомотивная, 6А")</f>
        <v>г. Магнитогорск, ул. Локомотивная, 6А</v>
      </c>
      <c r="I303" s="1" t="str">
        <f ca="1">IFERROR(__xludf.DUMMYFUNCTION("""COMPUTED_VALUE"""),"г. Гай, ПАО ""Гайский ГОК""")</f>
        <v>г. Гай, ПАО "Гайский ГОК"</v>
      </c>
      <c r="J303" s="1" t="str">
        <f ca="1">IFERROR(__xludf.DUMMYFUNCTION("""COMPUTED_VALUE"""),"40,100")</f>
        <v>40,100</v>
      </c>
      <c r="K303" s="1" t="str">
        <f ca="1">IFERROR(__xludf.DUMMYFUNCTION("""COMPUTED_VALUE"""),"Гайский ГОК")</f>
        <v>Гайский ГОК</v>
      </c>
    </row>
    <row r="304" spans="1:11" ht="13" x14ac:dyDescent="0.3">
      <c r="A304" s="1" t="str">
        <f ca="1">IFERROR(__xludf.DUMMYFUNCTION("""COMPUTED_VALUE"""),"108961 / 109073")</f>
        <v>108961 / 109073</v>
      </c>
      <c r="B304" s="1" t="str">
        <f ca="1">IFERROR(__xludf.DUMMYFUNCTION("""COMPUTED_VALUE"""),"07.03.2024")</f>
        <v>07.03.2024</v>
      </c>
      <c r="C304" s="1" t="str">
        <f ca="1">IFERROR(__xludf.DUMMYFUNCTION("""COMPUTED_VALUE"""),"Шлак гранулированный")</f>
        <v>Шлак гранулированный</v>
      </c>
      <c r="D304" s="1" t="str">
        <f ca="1">IFERROR(__xludf.DUMMYFUNCTION("""COMPUTED_VALUE"""),"43,90")</f>
        <v>43,90</v>
      </c>
      <c r="E304" s="1" t="str">
        <f ca="1">IFERROR(__xludf.DUMMYFUNCTION("""COMPUTED_VALUE"""),"Тухватуллин Халит Хамитович")</f>
        <v>Тухватуллин Халит Хамитович</v>
      </c>
      <c r="F304" s="1" t="str">
        <f ca="1">IFERROR(__xludf.DUMMYFUNCTION("""COMPUTED_VALUE"""),"HOWO")</f>
        <v>HOWO</v>
      </c>
      <c r="G304" s="1" t="str">
        <f ca="1">IFERROR(__xludf.DUMMYFUNCTION("""COMPUTED_VALUE"""),"Н206ВР774")</f>
        <v>Н206ВР774</v>
      </c>
      <c r="H304" s="1" t="str">
        <f ca="1">IFERROR(__xludf.DUMMYFUNCTION("""COMPUTED_VALUE"""),"г. Магнитогорск, ул. Локомотивная, 6А")</f>
        <v>г. Магнитогорск, ул. Локомотивная, 6А</v>
      </c>
      <c r="I304" s="1" t="str">
        <f ca="1">IFERROR(__xludf.DUMMYFUNCTION("""COMPUTED_VALUE"""),"г. Гай, ПАО ""Гайский ГОК""")</f>
        <v>г. Гай, ПАО "Гайский ГОК"</v>
      </c>
      <c r="J304" s="1" t="str">
        <f ca="1">IFERROR(__xludf.DUMMYFUNCTION("""COMPUTED_VALUE"""),"43,900")</f>
        <v>43,900</v>
      </c>
      <c r="K304" s="1" t="str">
        <f ca="1">IFERROR(__xludf.DUMMYFUNCTION("""COMPUTED_VALUE"""),"Гайский ГОК")</f>
        <v>Гайский ГОК</v>
      </c>
    </row>
    <row r="305" spans="1:11" ht="13" x14ac:dyDescent="0.3">
      <c r="A305" s="1" t="str">
        <f ca="1">IFERROR(__xludf.DUMMYFUNCTION("""COMPUTED_VALUE"""),"109000 / 108968")</f>
        <v>109000 / 108968</v>
      </c>
      <c r="B305" s="1" t="str">
        <f ca="1">IFERROR(__xludf.DUMMYFUNCTION("""COMPUTED_VALUE"""),"07.03.2024")</f>
        <v>07.03.2024</v>
      </c>
      <c r="C305" s="1" t="str">
        <f ca="1">IFERROR(__xludf.DUMMYFUNCTION("""COMPUTED_VALUE"""),"Шлак гранулированный")</f>
        <v>Шлак гранулированный</v>
      </c>
      <c r="D305" s="1" t="str">
        <f ca="1">IFERROR(__xludf.DUMMYFUNCTION("""COMPUTED_VALUE"""),"37,20")</f>
        <v>37,20</v>
      </c>
      <c r="E305" s="1" t="str">
        <f ca="1">IFERROR(__xludf.DUMMYFUNCTION("""COMPUTED_VALUE"""),"Агумбаев Дмитрий Булатович")</f>
        <v>Агумбаев Дмитрий Булатович</v>
      </c>
      <c r="F305" s="1" t="str">
        <f ca="1">IFERROR(__xludf.DUMMYFUNCTION("""COMPUTED_VALUE"""),"HOWO")</f>
        <v>HOWO</v>
      </c>
      <c r="G305" s="1" t="str">
        <f ca="1">IFERROR(__xludf.DUMMYFUNCTION("""COMPUTED_VALUE"""),"Х374АТ774")</f>
        <v>Х374АТ774</v>
      </c>
      <c r="H305" s="1" t="str">
        <f ca="1">IFERROR(__xludf.DUMMYFUNCTION("""COMPUTED_VALUE"""),"г. Магнитогорск, ул. Локомотивная, 6А")</f>
        <v>г. Магнитогорск, ул. Локомотивная, 6А</v>
      </c>
      <c r="I305" s="1" t="str">
        <f ca="1">IFERROR(__xludf.DUMMYFUNCTION("""COMPUTED_VALUE"""),"г. Гай, ПАО ""Гайский ГОК""")</f>
        <v>г. Гай, ПАО "Гайский ГОК"</v>
      </c>
      <c r="J305" s="1" t="str">
        <f ca="1">IFERROR(__xludf.DUMMYFUNCTION("""COMPUTED_VALUE"""),"37,200")</f>
        <v>37,200</v>
      </c>
      <c r="K305" s="1" t="str">
        <f ca="1">IFERROR(__xludf.DUMMYFUNCTION("""COMPUTED_VALUE"""),"Гайский ГОК")</f>
        <v>Гайский ГОК</v>
      </c>
    </row>
    <row r="306" spans="1:11" ht="13" x14ac:dyDescent="0.3">
      <c r="A306" s="1" t="str">
        <f ca="1">IFERROR(__xludf.DUMMYFUNCTION("""COMPUTED_VALUE"""),"109046 / 109006")</f>
        <v>109046 / 109006</v>
      </c>
      <c r="B306" s="1" t="str">
        <f ca="1">IFERROR(__xludf.DUMMYFUNCTION("""COMPUTED_VALUE"""),"07.03.2024")</f>
        <v>07.03.2024</v>
      </c>
      <c r="C306" s="1" t="str">
        <f ca="1">IFERROR(__xludf.DUMMYFUNCTION("""COMPUTED_VALUE"""),"Шлак гранулированный")</f>
        <v>Шлак гранулированный</v>
      </c>
      <c r="D306" s="1" t="str">
        <f ca="1">IFERROR(__xludf.DUMMYFUNCTION("""COMPUTED_VALUE"""),"44,85")</f>
        <v>44,85</v>
      </c>
      <c r="E306" s="1" t="str">
        <f ca="1">IFERROR(__xludf.DUMMYFUNCTION("""COMPUTED_VALUE"""),"Кунаккулов Наиль Насибуллович")</f>
        <v>Кунаккулов Наиль Насибуллович</v>
      </c>
      <c r="F306" s="1" t="str">
        <f ca="1">IFERROR(__xludf.DUMMYFUNCTION("""COMPUTED_VALUE"""),"SHACMAN")</f>
        <v>SHACMAN</v>
      </c>
      <c r="G306" s="1" t="str">
        <f ca="1">IFERROR(__xludf.DUMMYFUNCTION("""COMPUTED_VALUE"""),"Н255ВТ774")</f>
        <v>Н255ВТ774</v>
      </c>
      <c r="H306" s="1" t="str">
        <f ca="1">IFERROR(__xludf.DUMMYFUNCTION("""COMPUTED_VALUE"""),"г. Магнитогорск, ул. Локомотивная, 6А")</f>
        <v>г. Магнитогорск, ул. Локомотивная, 6А</v>
      </c>
      <c r="I306" s="1" t="str">
        <f ca="1">IFERROR(__xludf.DUMMYFUNCTION("""COMPUTED_VALUE"""),"г. Гай, ПАО ""Гайский ГОК""")</f>
        <v>г. Гай, ПАО "Гайский ГОК"</v>
      </c>
      <c r="J306" s="1" t="str">
        <f ca="1">IFERROR(__xludf.DUMMYFUNCTION("""COMPUTED_VALUE"""),"44,850")</f>
        <v>44,850</v>
      </c>
      <c r="K306" s="1" t="str">
        <f ca="1">IFERROR(__xludf.DUMMYFUNCTION("""COMPUTED_VALUE"""),"Гайский ГОК")</f>
        <v>Гайский ГОК</v>
      </c>
    </row>
    <row r="307" spans="1:11" ht="13" x14ac:dyDescent="0.3">
      <c r="A307" s="1" t="str">
        <f ca="1">IFERROR(__xludf.DUMMYFUNCTION("""COMPUTED_VALUE"""),"106")</f>
        <v>106</v>
      </c>
      <c r="B307" s="1" t="str">
        <f ca="1">IFERROR(__xludf.DUMMYFUNCTION("""COMPUTED_VALUE"""),"07.03.2024")</f>
        <v>07.03.2024</v>
      </c>
      <c r="C307" s="1" t="str">
        <f ca="1">IFERROR(__xludf.DUMMYFUNCTION("""COMPUTED_VALUE"""),"Руда")</f>
        <v>Руда</v>
      </c>
      <c r="D307" s="1" t="str">
        <f ca="1">IFERROR(__xludf.DUMMYFUNCTION("""COMPUTED_VALUE"""),"39,88")</f>
        <v>39,88</v>
      </c>
      <c r="E307" s="1" t="str">
        <f ca="1">IFERROR(__xludf.DUMMYFUNCTION("""COMPUTED_VALUE"""),"Сынгызов Азамат Ишмухаметович")</f>
        <v>Сынгызов Азамат Ишмухаметович</v>
      </c>
      <c r="F307" s="1" t="str">
        <f ca="1">IFERROR(__xludf.DUMMYFUNCTION("""COMPUTED_VALUE"""),"HOWO")</f>
        <v>HOWO</v>
      </c>
      <c r="G307" s="1" t="str">
        <f ca="1">IFERROR(__xludf.DUMMYFUNCTION("""COMPUTED_VALUE"""),"Н929ВР774")</f>
        <v>Н929ВР774</v>
      </c>
      <c r="H30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07" s="1" t="str">
        <f ca="1">IFERROR(__xludf.DUMMYFUNCTION("""COMPUTED_VALUE"""),"г. Гай, ПАО ""Гайский ГОК""")</f>
        <v>г. Гай, ПАО "Гайский ГОК"</v>
      </c>
      <c r="J307" s="1" t="str">
        <f ca="1">IFERROR(__xludf.DUMMYFUNCTION("""COMPUTED_VALUE"""),"40,150")</f>
        <v>40,150</v>
      </c>
      <c r="K307" s="1" t="str">
        <f ca="1">IFERROR(__xludf.DUMMYFUNCTION("""COMPUTED_VALUE"""),"Башкирская Медь")</f>
        <v>Башкирская Медь</v>
      </c>
    </row>
    <row r="308" spans="1:11" ht="13" x14ac:dyDescent="0.3">
      <c r="A308" s="1" t="str">
        <f ca="1">IFERROR(__xludf.DUMMYFUNCTION("""COMPUTED_VALUE"""),"109")</f>
        <v>109</v>
      </c>
      <c r="B308" s="1" t="str">
        <f ca="1">IFERROR(__xludf.DUMMYFUNCTION("""COMPUTED_VALUE"""),"07.03.2024")</f>
        <v>07.03.2024</v>
      </c>
      <c r="C308" s="1" t="str">
        <f ca="1">IFERROR(__xludf.DUMMYFUNCTION("""COMPUTED_VALUE"""),"Руда")</f>
        <v>Руда</v>
      </c>
      <c r="D308" s="1" t="str">
        <f ca="1">IFERROR(__xludf.DUMMYFUNCTION("""COMPUTED_VALUE"""),"40,68")</f>
        <v>40,68</v>
      </c>
      <c r="E308" s="1" t="str">
        <f ca="1">IFERROR(__xludf.DUMMYFUNCTION("""COMPUTED_VALUE"""),"Агумбаев Дмитрий Булатович")</f>
        <v>Агумбаев Дмитрий Булатович</v>
      </c>
      <c r="F308" s="1" t="str">
        <f ca="1">IFERROR(__xludf.DUMMYFUNCTION("""COMPUTED_VALUE"""),"HOWO")</f>
        <v>HOWO</v>
      </c>
      <c r="G308" s="1" t="str">
        <f ca="1">IFERROR(__xludf.DUMMYFUNCTION("""COMPUTED_VALUE"""),"Х374АТ774")</f>
        <v>Х374АТ774</v>
      </c>
      <c r="H30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08" s="1" t="str">
        <f ca="1">IFERROR(__xludf.DUMMYFUNCTION("""COMPUTED_VALUE"""),"г. Гай, ПАО ""Гайский ГОК""")</f>
        <v>г. Гай, ПАО "Гайский ГОК"</v>
      </c>
      <c r="J308" s="1" t="str">
        <f ca="1">IFERROR(__xludf.DUMMYFUNCTION("""COMPUTED_VALUE"""),"40,800")</f>
        <v>40,800</v>
      </c>
      <c r="K308" s="1" t="str">
        <f ca="1">IFERROR(__xludf.DUMMYFUNCTION("""COMPUTED_VALUE"""),"Башкирская Медь")</f>
        <v>Башкирская Медь</v>
      </c>
    </row>
    <row r="309" spans="1:11" ht="13" x14ac:dyDescent="0.3">
      <c r="A309" s="1" t="str">
        <f ca="1">IFERROR(__xludf.DUMMYFUNCTION("""COMPUTED_VALUE"""),"104")</f>
        <v>104</v>
      </c>
      <c r="B309" s="1" t="str">
        <f ca="1">IFERROR(__xludf.DUMMYFUNCTION("""COMPUTED_VALUE"""),"07.03.2024")</f>
        <v>07.03.2024</v>
      </c>
      <c r="C309" s="1" t="str">
        <f ca="1">IFERROR(__xludf.DUMMYFUNCTION("""COMPUTED_VALUE"""),"Руда")</f>
        <v>Руда</v>
      </c>
      <c r="D309" s="1" t="str">
        <f ca="1">IFERROR(__xludf.DUMMYFUNCTION("""COMPUTED_VALUE"""),"42,96")</f>
        <v>42,96</v>
      </c>
      <c r="E309" s="1" t="str">
        <f ca="1">IFERROR(__xludf.DUMMYFUNCTION("""COMPUTED_VALUE"""),"Тухватуллин Халит Хамитович")</f>
        <v>Тухватуллин Халит Хамитович</v>
      </c>
      <c r="F309" s="1" t="str">
        <f ca="1">IFERROR(__xludf.DUMMYFUNCTION("""COMPUTED_VALUE"""),"HOWO")</f>
        <v>HOWO</v>
      </c>
      <c r="G309" s="1" t="str">
        <f ca="1">IFERROR(__xludf.DUMMYFUNCTION("""COMPUTED_VALUE"""),"Н206ВР774")</f>
        <v>Н206ВР774</v>
      </c>
      <c r="H30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09" s="1" t="str">
        <f ca="1">IFERROR(__xludf.DUMMYFUNCTION("""COMPUTED_VALUE"""),"г. Гай, ПАО ""Гайский ГОК""")</f>
        <v>г. Гай, ПАО "Гайский ГОК"</v>
      </c>
      <c r="J309" s="1" t="str">
        <f ca="1">IFERROR(__xludf.DUMMYFUNCTION("""COMPUTED_VALUE"""),"43,150")</f>
        <v>43,150</v>
      </c>
      <c r="K309" s="1" t="str">
        <f ca="1">IFERROR(__xludf.DUMMYFUNCTION("""COMPUTED_VALUE"""),"Башкирская Медь")</f>
        <v>Башкирская Медь</v>
      </c>
    </row>
    <row r="310" spans="1:11" ht="13" x14ac:dyDescent="0.3">
      <c r="A310" s="1" t="str">
        <f ca="1">IFERROR(__xludf.DUMMYFUNCTION("""COMPUTED_VALUE"""),"105")</f>
        <v>105</v>
      </c>
      <c r="B310" s="1" t="str">
        <f ca="1">IFERROR(__xludf.DUMMYFUNCTION("""COMPUTED_VALUE"""),"07.03.2024")</f>
        <v>07.03.2024</v>
      </c>
      <c r="C310" s="1" t="str">
        <f ca="1">IFERROR(__xludf.DUMMYFUNCTION("""COMPUTED_VALUE"""),"Руда")</f>
        <v>Руда</v>
      </c>
      <c r="D310" s="1" t="str">
        <f ca="1">IFERROR(__xludf.DUMMYFUNCTION("""COMPUTED_VALUE"""),"44,48")</f>
        <v>44,48</v>
      </c>
      <c r="E310" s="1" t="str">
        <f ca="1">IFERROR(__xludf.DUMMYFUNCTION("""COMPUTED_VALUE"""),"Кунаккулов Наиль Насибуллович")</f>
        <v>Кунаккулов Наиль Насибуллович</v>
      </c>
      <c r="F310" s="1" t="str">
        <f ca="1">IFERROR(__xludf.DUMMYFUNCTION("""COMPUTED_VALUE"""),"SHACMAN")</f>
        <v>SHACMAN</v>
      </c>
      <c r="G310" s="1" t="str">
        <f ca="1">IFERROR(__xludf.DUMMYFUNCTION("""COMPUTED_VALUE"""),"Н255ВТ774")</f>
        <v>Н255ВТ774</v>
      </c>
      <c r="H31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10" s="1" t="str">
        <f ca="1">IFERROR(__xludf.DUMMYFUNCTION("""COMPUTED_VALUE"""),"г. Гай, ПАО ""Гайский ГОК""")</f>
        <v>г. Гай, ПАО "Гайский ГОК"</v>
      </c>
      <c r="J310" s="1" t="str">
        <f ca="1">IFERROR(__xludf.DUMMYFUNCTION("""COMPUTED_VALUE"""),"44,400")</f>
        <v>44,400</v>
      </c>
      <c r="K310" s="1" t="str">
        <f ca="1">IFERROR(__xludf.DUMMYFUNCTION("""COMPUTED_VALUE"""),"Башкирская Медь")</f>
        <v>Башкирская Медь</v>
      </c>
    </row>
    <row r="311" spans="1:11" ht="13" x14ac:dyDescent="0.3">
      <c r="A311" s="1" t="str">
        <f ca="1">IFERROR(__xludf.DUMMYFUNCTION("""COMPUTED_VALUE"""),"АТУК2403043")</f>
        <v>АТУК2403043</v>
      </c>
      <c r="B311" s="1" t="str">
        <f ca="1">IFERROR(__xludf.DUMMYFUNCTION("""COMPUTED_VALUE"""),"07.03.2024")</f>
        <v>07.03.2024</v>
      </c>
      <c r="C311" s="1" t="str">
        <f ca="1">IFERROR(__xludf.DUMMYFUNCTION("""COMPUTED_VALUE"""),"глина огнеупорная")</f>
        <v>глина огнеупорная</v>
      </c>
      <c r="D311" s="1" t="str">
        <f ca="1">IFERROR(__xludf.DUMMYFUNCTION("""COMPUTED_VALUE"""),"42,35")</f>
        <v>42,35</v>
      </c>
      <c r="E311" s="1" t="str">
        <f ca="1">IFERROR(__xludf.DUMMYFUNCTION("""COMPUTED_VALUE"""),"Доколов Адик Валерьевич")</f>
        <v>Доколов Адик Валерьевич</v>
      </c>
      <c r="F311" s="1" t="str">
        <f ca="1">IFERROR(__xludf.DUMMYFUNCTION("""COMPUTED_VALUE"""),"МЕРСЕДЕС")</f>
        <v>МЕРСЕДЕС</v>
      </c>
      <c r="G311" s="1" t="str">
        <f ca="1">IFERROR(__xludf.DUMMYFUNCTION("""COMPUTED_VALUE"""),"О585ОВ196")</f>
        <v>О585ОВ196</v>
      </c>
      <c r="H31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1" s="1" t="str">
        <f ca="1">IFERROR(__xludf.DUMMYFUNCTION("""COMPUTED_VALUE"""),"42,350")</f>
        <v>42,350</v>
      </c>
      <c r="K311" s="1" t="str">
        <f ca="1">IFERROR(__xludf.DUMMYFUNCTION("""COMPUTED_VALUE"""),"АТУ")</f>
        <v>АТУ</v>
      </c>
    </row>
    <row r="312" spans="1:11" ht="13" x14ac:dyDescent="0.3">
      <c r="A312" s="1" t="str">
        <f ca="1">IFERROR(__xludf.DUMMYFUNCTION("""COMPUTED_VALUE"""),"АТУК2403044")</f>
        <v>АТУК2403044</v>
      </c>
      <c r="B312" s="1" t="str">
        <f ca="1">IFERROR(__xludf.DUMMYFUNCTION("""COMPUTED_VALUE"""),"07.03.2024")</f>
        <v>07.03.2024</v>
      </c>
      <c r="C312" s="1" t="str">
        <f ca="1">IFERROR(__xludf.DUMMYFUNCTION("""COMPUTED_VALUE"""),"глина огнеупорная")</f>
        <v>глина огнеупорная</v>
      </c>
      <c r="D312" s="1" t="str">
        <f ca="1">IFERROR(__xludf.DUMMYFUNCTION("""COMPUTED_VALUE"""),"41,95")</f>
        <v>41,95</v>
      </c>
      <c r="E312" s="1" t="str">
        <f ca="1">IFERROR(__xludf.DUMMYFUNCTION("""COMPUTED_VALUE"""),"Баймуратов Ренат Гаффанович")</f>
        <v>Баймуратов Ренат Гаффанович</v>
      </c>
      <c r="F312" s="1" t="str">
        <f ca="1">IFERROR(__xludf.DUMMYFUNCTION("""COMPUTED_VALUE"""),"МЕРСЕДЕС")</f>
        <v>МЕРСЕДЕС</v>
      </c>
      <c r="G312" s="1" t="str">
        <f ca="1">IFERROR(__xludf.DUMMYFUNCTION("""COMPUTED_VALUE"""),"О691НН196")</f>
        <v>О691НН196</v>
      </c>
      <c r="H31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2" s="1" t="str">
        <f ca="1">IFERROR(__xludf.DUMMYFUNCTION("""COMPUTED_VALUE"""),"41,950")</f>
        <v>41,950</v>
      </c>
      <c r="K312" s="1" t="str">
        <f ca="1">IFERROR(__xludf.DUMMYFUNCTION("""COMPUTED_VALUE"""),"АТУ")</f>
        <v>АТУ</v>
      </c>
    </row>
    <row r="313" spans="1:11" ht="13" x14ac:dyDescent="0.3">
      <c r="A313" s="1" t="str">
        <f ca="1">IFERROR(__xludf.DUMMYFUNCTION("""COMPUTED_VALUE"""),"АТУК2403045")</f>
        <v>АТУК2403045</v>
      </c>
      <c r="B313" s="1" t="str">
        <f ca="1">IFERROR(__xludf.DUMMYFUNCTION("""COMPUTED_VALUE"""),"07.03.2024")</f>
        <v>07.03.2024</v>
      </c>
      <c r="C313" s="1" t="str">
        <f ca="1">IFERROR(__xludf.DUMMYFUNCTION("""COMPUTED_VALUE"""),"глина огнеупорная")</f>
        <v>глина огнеупорная</v>
      </c>
      <c r="D313" s="1" t="str">
        <f ca="1">IFERROR(__xludf.DUMMYFUNCTION("""COMPUTED_VALUE"""),"38,25")</f>
        <v>38,25</v>
      </c>
      <c r="E313" s="1" t="str">
        <f ca="1">IFERROR(__xludf.DUMMYFUNCTION("""COMPUTED_VALUE"""),"Кунаков Ильгиз Кувандыкович")</f>
        <v>Кунаков Ильгиз Кувандыкович</v>
      </c>
      <c r="F313" s="1" t="str">
        <f ca="1">IFERROR(__xludf.DUMMYFUNCTION("""COMPUTED_VALUE"""),"МЕРСЕДЕС")</f>
        <v>МЕРСЕДЕС</v>
      </c>
      <c r="G313" s="1" t="str">
        <f ca="1">IFERROR(__xludf.DUMMYFUNCTION("""COMPUTED_VALUE"""),"О534РТ196")</f>
        <v>О534РТ196</v>
      </c>
      <c r="H31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3" s="1" t="str">
        <f ca="1">IFERROR(__xludf.DUMMYFUNCTION("""COMPUTED_VALUE"""),"38,950")</f>
        <v>38,950</v>
      </c>
      <c r="K313" s="1" t="str">
        <f ca="1">IFERROR(__xludf.DUMMYFUNCTION("""COMPUTED_VALUE"""),"АТУ")</f>
        <v>АТУ</v>
      </c>
    </row>
    <row r="314" spans="1:11" ht="13" x14ac:dyDescent="0.3">
      <c r="A314" s="1" t="str">
        <f ca="1">IFERROR(__xludf.DUMMYFUNCTION("""COMPUTED_VALUE"""),"АТУК2403046")</f>
        <v>АТУК2403046</v>
      </c>
      <c r="B314" s="1" t="str">
        <f ca="1">IFERROR(__xludf.DUMMYFUNCTION("""COMPUTED_VALUE"""),"07.03.2024")</f>
        <v>07.03.2024</v>
      </c>
      <c r="C314" s="1" t="str">
        <f ca="1">IFERROR(__xludf.DUMMYFUNCTION("""COMPUTED_VALUE"""),"глина огнеупорная")</f>
        <v>глина огнеупорная</v>
      </c>
      <c r="D314" s="1" t="str">
        <f ca="1">IFERROR(__xludf.DUMMYFUNCTION("""COMPUTED_VALUE"""),"41,15")</f>
        <v>41,15</v>
      </c>
      <c r="E314" s="1" t="str">
        <f ca="1">IFERROR(__xludf.DUMMYFUNCTION("""COMPUTED_VALUE"""),"Добижа Алексей Васильевич")</f>
        <v>Добижа Алексей Васильевич</v>
      </c>
      <c r="F314" s="1" t="str">
        <f ca="1">IFERROR(__xludf.DUMMYFUNCTION("""COMPUTED_VALUE"""),"МЕРСЕДЕС")</f>
        <v>МЕРСЕДЕС</v>
      </c>
      <c r="G314" s="1" t="str">
        <f ca="1">IFERROR(__xludf.DUMMYFUNCTION("""COMPUTED_VALUE"""),"О840РХ196")</f>
        <v>О840РХ196</v>
      </c>
      <c r="H31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4" s="1" t="str">
        <f ca="1">IFERROR(__xludf.DUMMYFUNCTION("""COMPUTED_VALUE"""),"41,150")</f>
        <v>41,150</v>
      </c>
      <c r="K314" s="1" t="str">
        <f ca="1">IFERROR(__xludf.DUMMYFUNCTION("""COMPUTED_VALUE"""),"АТУ")</f>
        <v>АТУ</v>
      </c>
    </row>
    <row r="315" spans="1:11" ht="13" x14ac:dyDescent="0.3">
      <c r="A315" s="1" t="str">
        <f ca="1">IFERROR(__xludf.DUMMYFUNCTION("""COMPUTED_VALUE"""),"АТУК2403047")</f>
        <v>АТУК2403047</v>
      </c>
      <c r="B315" s="1" t="str">
        <f ca="1">IFERROR(__xludf.DUMMYFUNCTION("""COMPUTED_VALUE"""),"07.03.2024")</f>
        <v>07.03.2024</v>
      </c>
      <c r="C315" s="1" t="str">
        <f ca="1">IFERROR(__xludf.DUMMYFUNCTION("""COMPUTED_VALUE"""),"глина огнеупорная")</f>
        <v>глина огнеупорная</v>
      </c>
      <c r="D315" s="1" t="str">
        <f ca="1">IFERROR(__xludf.DUMMYFUNCTION("""COMPUTED_VALUE"""),"40,70")</f>
        <v>40,70</v>
      </c>
      <c r="E315" s="1" t="str">
        <f ca="1">IFERROR(__xludf.DUMMYFUNCTION("""COMPUTED_VALUE"""),"Хаюрлин Нуржан Ситканович")</f>
        <v>Хаюрлин Нуржан Ситканович</v>
      </c>
      <c r="F315" s="1" t="str">
        <f ca="1">IFERROR(__xludf.DUMMYFUNCTION("""COMPUTED_VALUE"""),"МЕРСЕДЕС")</f>
        <v>МЕРСЕДЕС</v>
      </c>
      <c r="G315" s="1" t="str">
        <f ca="1">IFERROR(__xludf.DUMMYFUNCTION("""COMPUTED_VALUE"""),"О816РС196")</f>
        <v>О816РС196</v>
      </c>
      <c r="H31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5" s="1" t="str">
        <f ca="1">IFERROR(__xludf.DUMMYFUNCTION("""COMPUTED_VALUE"""),"40,700")</f>
        <v>40,700</v>
      </c>
      <c r="K315" s="1" t="str">
        <f ca="1">IFERROR(__xludf.DUMMYFUNCTION("""COMPUTED_VALUE"""),"АТУ")</f>
        <v>АТУ</v>
      </c>
    </row>
    <row r="316" spans="1:11" ht="13" x14ac:dyDescent="0.3">
      <c r="A316" s="1" t="str">
        <f ca="1">IFERROR(__xludf.DUMMYFUNCTION("""COMPUTED_VALUE"""),"АТУК2403048")</f>
        <v>АТУК2403048</v>
      </c>
      <c r="B316" s="1" t="str">
        <f ca="1">IFERROR(__xludf.DUMMYFUNCTION("""COMPUTED_VALUE"""),"07.03.2024")</f>
        <v>07.03.2024</v>
      </c>
      <c r="C316" s="1" t="str">
        <f ca="1">IFERROR(__xludf.DUMMYFUNCTION("""COMPUTED_VALUE"""),"глина огнеупорная")</f>
        <v>глина огнеупорная</v>
      </c>
      <c r="D316" s="1" t="str">
        <f ca="1">IFERROR(__xludf.DUMMYFUNCTION("""COMPUTED_VALUE"""),"51,10")</f>
        <v>51,10</v>
      </c>
      <c r="E316" s="1" t="str">
        <f ca="1">IFERROR(__xludf.DUMMYFUNCTION("""COMPUTED_VALUE"""),"Мардеев Радик Сергеевич")</f>
        <v>Мардеев Радик Сергеевич</v>
      </c>
      <c r="F316" s="1" t="str">
        <f ca="1">IFERROR(__xludf.DUMMYFUNCTION("""COMPUTED_VALUE"""),"ВОЛЬВО")</f>
        <v>ВОЛЬВО</v>
      </c>
      <c r="G316" s="1" t="str">
        <f ca="1">IFERROR(__xludf.DUMMYFUNCTION("""COMPUTED_VALUE"""),"О845ЕЕ196")</f>
        <v>О845ЕЕ196</v>
      </c>
      <c r="H31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6" s="1" t="str">
        <f ca="1">IFERROR(__xludf.DUMMYFUNCTION("""COMPUTED_VALUE"""),"51,100")</f>
        <v>51,100</v>
      </c>
      <c r="K316" s="1" t="str">
        <f ca="1">IFERROR(__xludf.DUMMYFUNCTION("""COMPUTED_VALUE"""),"АТУ")</f>
        <v>АТУ</v>
      </c>
    </row>
    <row r="317" spans="1:11" ht="13" x14ac:dyDescent="0.3">
      <c r="A317" s="1" t="str">
        <f ca="1">IFERROR(__xludf.DUMMYFUNCTION("""COMPUTED_VALUE"""),"АТУК2403049")</f>
        <v>АТУК2403049</v>
      </c>
      <c r="B317" s="1" t="str">
        <f ca="1">IFERROR(__xludf.DUMMYFUNCTION("""COMPUTED_VALUE"""),"07.03.2024")</f>
        <v>07.03.2024</v>
      </c>
      <c r="C317" s="1" t="str">
        <f ca="1">IFERROR(__xludf.DUMMYFUNCTION("""COMPUTED_VALUE"""),"глина огнеупорная")</f>
        <v>глина огнеупорная</v>
      </c>
      <c r="D317" s="1" t="str">
        <f ca="1">IFERROR(__xludf.DUMMYFUNCTION("""COMPUTED_VALUE"""),"40,05")</f>
        <v>40,05</v>
      </c>
      <c r="E317" s="1" t="str">
        <f ca="1">IFERROR(__xludf.DUMMYFUNCTION("""COMPUTED_VALUE"""),"Серпков Василий Николаевич")</f>
        <v>Серпков Василий Николаевич</v>
      </c>
      <c r="F317" s="1" t="str">
        <f ca="1">IFERROR(__xludf.DUMMYFUNCTION("""COMPUTED_VALUE"""),"МЕРСЕДЕС")</f>
        <v>МЕРСЕДЕС</v>
      </c>
      <c r="G317" s="1" t="str">
        <f ca="1">IFERROR(__xludf.DUMMYFUNCTION("""COMPUTED_VALUE"""),"О929ОА196")</f>
        <v>О929ОА196</v>
      </c>
      <c r="H31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7" s="1" t="str">
        <f ca="1">IFERROR(__xludf.DUMMYFUNCTION("""COMPUTED_VALUE"""),"40,050")</f>
        <v>40,050</v>
      </c>
      <c r="K317" s="1" t="str">
        <f ca="1">IFERROR(__xludf.DUMMYFUNCTION("""COMPUTED_VALUE"""),"АТУ")</f>
        <v>АТУ</v>
      </c>
    </row>
    <row r="318" spans="1:11" ht="13" x14ac:dyDescent="0.3">
      <c r="A318" s="1" t="str">
        <f ca="1">IFERROR(__xludf.DUMMYFUNCTION("""COMPUTED_VALUE"""),"АТУК2403050")</f>
        <v>АТУК2403050</v>
      </c>
      <c r="B318" s="1" t="str">
        <f ca="1">IFERROR(__xludf.DUMMYFUNCTION("""COMPUTED_VALUE"""),"07.03.2024")</f>
        <v>07.03.2024</v>
      </c>
      <c r="C318" s="1" t="str">
        <f ca="1">IFERROR(__xludf.DUMMYFUNCTION("""COMPUTED_VALUE"""),"глина огнеупорная")</f>
        <v>глина огнеупорная</v>
      </c>
      <c r="D318" s="1" t="str">
        <f ca="1">IFERROR(__xludf.DUMMYFUNCTION("""COMPUTED_VALUE"""),"42,65")</f>
        <v>42,65</v>
      </c>
      <c r="E318" s="1" t="str">
        <f ca="1">IFERROR(__xludf.DUMMYFUNCTION("""COMPUTED_VALUE"""),"Зарафутдинов Радис Шамгунович")</f>
        <v>Зарафутдинов Радис Шамгунович</v>
      </c>
      <c r="F318" s="1" t="str">
        <f ca="1">IFERROR(__xludf.DUMMYFUNCTION("""COMPUTED_VALUE"""),"МЕРСЕДЕС")</f>
        <v>МЕРСЕДЕС</v>
      </c>
      <c r="G318" s="1" t="str">
        <f ca="1">IFERROR(__xludf.DUMMYFUNCTION("""COMPUTED_VALUE"""),"О268СС196")</f>
        <v>О268СС196</v>
      </c>
      <c r="H31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8" s="1" t="str">
        <f ca="1">IFERROR(__xludf.DUMMYFUNCTION("""COMPUTED_VALUE"""),"42,650")</f>
        <v>42,650</v>
      </c>
      <c r="K318" s="1" t="str">
        <f ca="1">IFERROR(__xludf.DUMMYFUNCTION("""COMPUTED_VALUE"""),"АТУ")</f>
        <v>АТУ</v>
      </c>
    </row>
    <row r="319" spans="1:11" ht="13" x14ac:dyDescent="0.3">
      <c r="A319" s="1" t="str">
        <f ca="1">IFERROR(__xludf.DUMMYFUNCTION("""COMPUTED_VALUE"""),"АТУК2403051")</f>
        <v>АТУК2403051</v>
      </c>
      <c r="B319" s="1" t="str">
        <f ca="1">IFERROR(__xludf.DUMMYFUNCTION("""COMPUTED_VALUE"""),"07.03.2024")</f>
        <v>07.03.2024</v>
      </c>
      <c r="C319" s="1" t="str">
        <f ca="1">IFERROR(__xludf.DUMMYFUNCTION("""COMPUTED_VALUE"""),"глина огнеупорная")</f>
        <v>глина огнеупорная</v>
      </c>
      <c r="D319" s="1" t="str">
        <f ca="1">IFERROR(__xludf.DUMMYFUNCTION("""COMPUTED_VALUE"""),"40,40")</f>
        <v>40,40</v>
      </c>
      <c r="E319" s="1" t="str">
        <f ca="1">IFERROR(__xludf.DUMMYFUNCTION("""COMPUTED_VALUE"""),"Поздняков Максим Валерьевич")</f>
        <v>Поздняков Максим Валерьевич</v>
      </c>
      <c r="F319" s="1" t="str">
        <f ca="1">IFERROR(__xludf.DUMMYFUNCTION("""COMPUTED_VALUE"""),"МЕРСЕДЕС")</f>
        <v>МЕРСЕДЕС</v>
      </c>
      <c r="G319" s="1" t="str">
        <f ca="1">IFERROR(__xludf.DUMMYFUNCTION("""COMPUTED_VALUE"""),"О208ОМ196")</f>
        <v>О208ОМ196</v>
      </c>
      <c r="H31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1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19" s="1" t="str">
        <f ca="1">IFERROR(__xludf.DUMMYFUNCTION("""COMPUTED_VALUE"""),"40,400")</f>
        <v>40,400</v>
      </c>
      <c r="K319" s="1" t="str">
        <f ca="1">IFERROR(__xludf.DUMMYFUNCTION("""COMPUTED_VALUE"""),"АТУ")</f>
        <v>АТУ</v>
      </c>
    </row>
    <row r="320" spans="1:11" ht="13" x14ac:dyDescent="0.3">
      <c r="A320" s="1" t="str">
        <f ca="1">IFERROR(__xludf.DUMMYFUNCTION("""COMPUTED_VALUE"""),"АТУК2403052")</f>
        <v>АТУК2403052</v>
      </c>
      <c r="B320" s="1" t="str">
        <f ca="1">IFERROR(__xludf.DUMMYFUNCTION("""COMPUTED_VALUE"""),"07.03.2024")</f>
        <v>07.03.2024</v>
      </c>
      <c r="C320" s="1" t="str">
        <f ca="1">IFERROR(__xludf.DUMMYFUNCTION("""COMPUTED_VALUE"""),"глина огнеупорная")</f>
        <v>глина огнеупорная</v>
      </c>
      <c r="D320" s="1" t="str">
        <f ca="1">IFERROR(__xludf.DUMMYFUNCTION("""COMPUTED_VALUE"""),"40,30")</f>
        <v>40,30</v>
      </c>
      <c r="E320" s="1" t="str">
        <f ca="1">IFERROR(__xludf.DUMMYFUNCTION("""COMPUTED_VALUE"""),"Слащилин Иван Леонидович")</f>
        <v>Слащилин Иван Леонидович</v>
      </c>
      <c r="F320" s="1" t="str">
        <f ca="1">IFERROR(__xludf.DUMMYFUNCTION("""COMPUTED_VALUE"""),"МЕРСЕДЕС")</f>
        <v>МЕРСЕДЕС</v>
      </c>
      <c r="G320" s="1" t="str">
        <f ca="1">IFERROR(__xludf.DUMMYFUNCTION("""COMPUTED_VALUE"""),"О266НТ196")</f>
        <v>О266НТ196</v>
      </c>
      <c r="H32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2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20" s="1" t="str">
        <f ca="1">IFERROR(__xludf.DUMMYFUNCTION("""COMPUTED_VALUE"""),"40,300")</f>
        <v>40,300</v>
      </c>
      <c r="K320" s="1" t="str">
        <f ca="1">IFERROR(__xludf.DUMMYFUNCTION("""COMPUTED_VALUE"""),"АТУ")</f>
        <v>АТУ</v>
      </c>
    </row>
    <row r="321" spans="1:11" ht="13" x14ac:dyDescent="0.3">
      <c r="A321" s="1" t="str">
        <f ca="1">IFERROR(__xludf.DUMMYFUNCTION("""COMPUTED_VALUE"""),"АТУК2403053")</f>
        <v>АТУК2403053</v>
      </c>
      <c r="B321" s="1" t="str">
        <f ca="1">IFERROR(__xludf.DUMMYFUNCTION("""COMPUTED_VALUE"""),"07.03.2024")</f>
        <v>07.03.2024</v>
      </c>
      <c r="C321" s="1" t="str">
        <f ca="1">IFERROR(__xludf.DUMMYFUNCTION("""COMPUTED_VALUE"""),"глина огнеупорная")</f>
        <v>глина огнеупорная</v>
      </c>
      <c r="D321" s="1" t="str">
        <f ca="1">IFERROR(__xludf.DUMMYFUNCTION("""COMPUTED_VALUE"""),"41,00")</f>
        <v>41,00</v>
      </c>
      <c r="E321" s="1" t="str">
        <f ca="1">IFERROR(__xludf.DUMMYFUNCTION("""COMPUTED_VALUE"""),"Байбулатов Халит Ханифович")</f>
        <v>Байбулатов Халит Ханифович</v>
      </c>
      <c r="F321" s="1" t="str">
        <f ca="1">IFERROR(__xludf.DUMMYFUNCTION("""COMPUTED_VALUE"""),"МЕРСЕДЕС")</f>
        <v>МЕРСЕДЕС</v>
      </c>
      <c r="G321" s="1" t="str">
        <f ca="1">IFERROR(__xludf.DUMMYFUNCTION("""COMPUTED_VALUE"""),"О761ОК196")</f>
        <v>О761ОК196</v>
      </c>
      <c r="H32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2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21" s="1" t="str">
        <f ca="1">IFERROR(__xludf.DUMMYFUNCTION("""COMPUTED_VALUE"""),"41,000")</f>
        <v>41,000</v>
      </c>
      <c r="K321" s="1" t="str">
        <f ca="1">IFERROR(__xludf.DUMMYFUNCTION("""COMPUTED_VALUE"""),"АТУ")</f>
        <v>АТУ</v>
      </c>
    </row>
    <row r="322" spans="1:11" ht="13" x14ac:dyDescent="0.3">
      <c r="A322" s="1" t="str">
        <f ca="1">IFERROR(__xludf.DUMMYFUNCTION("""COMPUTED_VALUE"""),"АТУК2403054")</f>
        <v>АТУК2403054</v>
      </c>
      <c r="B322" s="1" t="str">
        <f ca="1">IFERROR(__xludf.DUMMYFUNCTION("""COMPUTED_VALUE"""),"07.03.2024")</f>
        <v>07.03.2024</v>
      </c>
      <c r="C322" s="1" t="str">
        <f ca="1">IFERROR(__xludf.DUMMYFUNCTION("""COMPUTED_VALUE"""),"глина огнеупорная")</f>
        <v>глина огнеупорная</v>
      </c>
      <c r="D322" s="1" t="str">
        <f ca="1">IFERROR(__xludf.DUMMYFUNCTION("""COMPUTED_VALUE"""),"41,10")</f>
        <v>41,10</v>
      </c>
      <c r="E322" s="1" t="str">
        <f ca="1">IFERROR(__xludf.DUMMYFUNCTION("""COMPUTED_VALUE"""),"Шакенов Сейтжан Капышович")</f>
        <v>Шакенов Сейтжан Капышович</v>
      </c>
      <c r="F322" s="1" t="str">
        <f ca="1">IFERROR(__xludf.DUMMYFUNCTION("""COMPUTED_VALUE"""),"МЕРСЕДЕС")</f>
        <v>МЕРСЕДЕС</v>
      </c>
      <c r="G322" s="1" t="str">
        <f ca="1">IFERROR(__xludf.DUMMYFUNCTION("""COMPUTED_VALUE"""),"О281ОУ196")</f>
        <v>О281ОУ196</v>
      </c>
      <c r="H32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2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22" s="1" t="str">
        <f ca="1">IFERROR(__xludf.DUMMYFUNCTION("""COMPUTED_VALUE"""),"41,100")</f>
        <v>41,100</v>
      </c>
      <c r="K322" s="1" t="str">
        <f ca="1">IFERROR(__xludf.DUMMYFUNCTION("""COMPUTED_VALUE"""),"АТУ")</f>
        <v>АТУ</v>
      </c>
    </row>
    <row r="323" spans="1:11" ht="13" x14ac:dyDescent="0.3">
      <c r="A323" s="1" t="str">
        <f ca="1">IFERROR(__xludf.DUMMYFUNCTION("""COMPUTED_VALUE"""),"АТУК2403055")</f>
        <v>АТУК2403055</v>
      </c>
      <c r="B323" s="1" t="str">
        <f ca="1">IFERROR(__xludf.DUMMYFUNCTION("""COMPUTED_VALUE"""),"07.03.2024")</f>
        <v>07.03.2024</v>
      </c>
      <c r="C323" s="1" t="str">
        <f ca="1">IFERROR(__xludf.DUMMYFUNCTION("""COMPUTED_VALUE"""),"глина огнеупорная")</f>
        <v>глина огнеупорная</v>
      </c>
      <c r="D323" s="1" t="str">
        <f ca="1">IFERROR(__xludf.DUMMYFUNCTION("""COMPUTED_VALUE"""),"40,40")</f>
        <v>40,40</v>
      </c>
      <c r="E323" s="1" t="str">
        <f ca="1">IFERROR(__xludf.DUMMYFUNCTION("""COMPUTED_VALUE"""),"Зинатуллин Ильшат Ильясович")</f>
        <v>Зинатуллин Ильшат Ильясович</v>
      </c>
      <c r="F323" s="1" t="str">
        <f ca="1">IFERROR(__xludf.DUMMYFUNCTION("""COMPUTED_VALUE"""),"МЕРСЕДЕС")</f>
        <v>МЕРСЕДЕС</v>
      </c>
      <c r="G323" s="1" t="str">
        <f ca="1">IFERROR(__xludf.DUMMYFUNCTION("""COMPUTED_VALUE"""),"О183ОМ196")</f>
        <v>О183ОМ196</v>
      </c>
      <c r="H32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2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23" s="1" t="str">
        <f ca="1">IFERROR(__xludf.DUMMYFUNCTION("""COMPUTED_VALUE"""),"40,400")</f>
        <v>40,400</v>
      </c>
      <c r="K323" s="1" t="str">
        <f ca="1">IFERROR(__xludf.DUMMYFUNCTION("""COMPUTED_VALUE"""),"АТУ")</f>
        <v>АТУ</v>
      </c>
    </row>
    <row r="324" spans="1:11" ht="13" x14ac:dyDescent="0.3">
      <c r="A324" s="1" t="str">
        <f ca="1">IFERROR(__xludf.DUMMYFUNCTION("""COMPUTED_VALUE"""),"АТУК2403056")</f>
        <v>АТУК2403056</v>
      </c>
      <c r="B324" s="1" t="str">
        <f ca="1">IFERROR(__xludf.DUMMYFUNCTION("""COMPUTED_VALUE"""),"07.03.2024")</f>
        <v>07.03.2024</v>
      </c>
      <c r="C324" s="1" t="str">
        <f ca="1">IFERROR(__xludf.DUMMYFUNCTION("""COMPUTED_VALUE"""),"глина огнеупорная")</f>
        <v>глина огнеупорная</v>
      </c>
      <c r="D324" s="1" t="str">
        <f ca="1">IFERROR(__xludf.DUMMYFUNCTION("""COMPUTED_VALUE"""),"46,50")</f>
        <v>46,50</v>
      </c>
      <c r="E324" s="1" t="str">
        <f ca="1">IFERROR(__xludf.DUMMYFUNCTION("""COMPUTED_VALUE"""),"Мангалов Алексей Юрьевич")</f>
        <v>Мангалов Алексей Юрьевич</v>
      </c>
      <c r="F324" s="1" t="str">
        <f ca="1">IFERROR(__xludf.DUMMYFUNCTION("""COMPUTED_VALUE"""),"ВОЛЬВО")</f>
        <v>ВОЛЬВО</v>
      </c>
      <c r="G324" s="1" t="str">
        <f ca="1">IFERROR(__xludf.DUMMYFUNCTION("""COMPUTED_VALUE"""),"Н998ОЕ196")</f>
        <v>Н998ОЕ196</v>
      </c>
      <c r="H32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2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24" s="1" t="str">
        <f ca="1">IFERROR(__xludf.DUMMYFUNCTION("""COMPUTED_VALUE"""),"46,500")</f>
        <v>46,500</v>
      </c>
      <c r="K324" s="1" t="str">
        <f ca="1">IFERROR(__xludf.DUMMYFUNCTION("""COMPUTED_VALUE"""),"АТУ")</f>
        <v>АТУ</v>
      </c>
    </row>
    <row r="325" spans="1:11" ht="13" x14ac:dyDescent="0.3">
      <c r="A325" s="1" t="str">
        <f ca="1">IFERROR(__xludf.DUMMYFUNCTION("""COMPUTED_VALUE"""),"ННКРС33378")</f>
        <v>ННКРС33378</v>
      </c>
      <c r="B325" s="1" t="str">
        <f ca="1">IFERROR(__xludf.DUMMYFUNCTION("""COMPUTED_VALUE"""),"08.03.2024")</f>
        <v>08.03.2024</v>
      </c>
      <c r="C325" s="1" t="str">
        <f ca="1">IFERROR(__xludf.DUMMYFUNCTION("""COMPUTED_VALUE"""),"Отсев фр. 0-5 мм")</f>
        <v>Отсев фр. 0-5 мм</v>
      </c>
      <c r="D325" s="1" t="str">
        <f ca="1">IFERROR(__xludf.DUMMYFUNCTION("""COMPUTED_VALUE"""),"26,05")</f>
        <v>26,05</v>
      </c>
      <c r="E325" s="1" t="str">
        <f ca="1">IFERROR(__xludf.DUMMYFUNCTION("""COMPUTED_VALUE"""),"Аитов Владимир Иванович")</f>
        <v>Аитов Владимир Иванович</v>
      </c>
      <c r="F325" s="1" t="str">
        <f ca="1">IFERROR(__xludf.DUMMYFUNCTION("""COMPUTED_VALUE"""),"HOWO")</f>
        <v>HOWO</v>
      </c>
      <c r="G325" s="1" t="str">
        <f ca="1">IFERROR(__xludf.DUMMYFUNCTION("""COMPUTED_VALUE"""),"О234ВО774")</f>
        <v>О234ВО774</v>
      </c>
      <c r="H325" s="1" t="str">
        <f ca="1">IFERROR(__xludf.DUMMYFUNCTION("""COMPUTED_VALUE"""),"с. Новобурановка")</f>
        <v>с. Новобурановка</v>
      </c>
      <c r="I325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25" s="1" t="str">
        <f ca="1">IFERROR(__xludf.DUMMYFUNCTION("""COMPUTED_VALUE"""),"26,05")</f>
        <v>26,05</v>
      </c>
      <c r="K325" s="1" t="str">
        <f ca="1">IFERROR(__xludf.DUMMYFUNCTION("""COMPUTED_VALUE"""),"ПрокатМонтаж")</f>
        <v>ПрокатМонтаж</v>
      </c>
    </row>
    <row r="326" spans="1:11" ht="13" x14ac:dyDescent="0.3">
      <c r="A326" s="1" t="str">
        <f ca="1">IFERROR(__xludf.DUMMYFUNCTION("""COMPUTED_VALUE"""),"ННКРС33385")</f>
        <v>ННКРС33385</v>
      </c>
      <c r="B326" s="1" t="str">
        <f ca="1">IFERROR(__xludf.DUMMYFUNCTION("""COMPUTED_VALUE"""),"08.03.2024")</f>
        <v>08.03.2024</v>
      </c>
      <c r="C326" s="1" t="str">
        <f ca="1">IFERROR(__xludf.DUMMYFUNCTION("""COMPUTED_VALUE"""),"Отсев фр. 0-5 мм")</f>
        <v>Отсев фр. 0-5 мм</v>
      </c>
      <c r="D326" s="1" t="str">
        <f ca="1">IFERROR(__xludf.DUMMYFUNCTION("""COMPUTED_VALUE"""),"26,50")</f>
        <v>26,50</v>
      </c>
      <c r="E326" s="1" t="str">
        <f ca="1">IFERROR(__xludf.DUMMYFUNCTION("""COMPUTED_VALUE"""),"Аитов Владимир Иванович")</f>
        <v>Аитов Владимир Иванович</v>
      </c>
      <c r="F326" s="1" t="str">
        <f ca="1">IFERROR(__xludf.DUMMYFUNCTION("""COMPUTED_VALUE"""),"HOWO")</f>
        <v>HOWO</v>
      </c>
      <c r="G326" s="1" t="str">
        <f ca="1">IFERROR(__xludf.DUMMYFUNCTION("""COMPUTED_VALUE"""),"О234ВО774")</f>
        <v>О234ВО774</v>
      </c>
      <c r="H326" s="1" t="str">
        <f ca="1">IFERROR(__xludf.DUMMYFUNCTION("""COMPUTED_VALUE"""),"с. Новобурановка")</f>
        <v>с. Новобурановка</v>
      </c>
      <c r="I326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26" s="1" t="str">
        <f ca="1">IFERROR(__xludf.DUMMYFUNCTION("""COMPUTED_VALUE"""),"26,50")</f>
        <v>26,50</v>
      </c>
      <c r="K326" s="1" t="str">
        <f ca="1">IFERROR(__xludf.DUMMYFUNCTION("""COMPUTED_VALUE"""),"ПрокатМонтаж")</f>
        <v>ПрокатМонтаж</v>
      </c>
    </row>
    <row r="327" spans="1:11" ht="13" x14ac:dyDescent="0.3">
      <c r="A327" s="1" t="str">
        <f ca="1">IFERROR(__xludf.DUMMYFUNCTION("""COMPUTED_VALUE"""),"ННКРС33396")</f>
        <v>ННКРС33396</v>
      </c>
      <c r="B327" s="1" t="str">
        <f ca="1">IFERROR(__xludf.DUMMYFUNCTION("""COMPUTED_VALUE"""),"08.03.2024")</f>
        <v>08.03.2024</v>
      </c>
      <c r="C327" s="1" t="str">
        <f ca="1">IFERROR(__xludf.DUMMYFUNCTION("""COMPUTED_VALUE"""),"Отсев фр. 0-5 мм")</f>
        <v>Отсев фр. 0-5 мм</v>
      </c>
      <c r="D327" s="1" t="str">
        <f ca="1">IFERROR(__xludf.DUMMYFUNCTION("""COMPUTED_VALUE"""),"29,80")</f>
        <v>29,80</v>
      </c>
      <c r="E327" s="1" t="str">
        <f ca="1">IFERROR(__xludf.DUMMYFUNCTION("""COMPUTED_VALUE"""),"Аитов Владимир Иванович")</f>
        <v>Аитов Владимир Иванович</v>
      </c>
      <c r="F327" s="1" t="str">
        <f ca="1">IFERROR(__xludf.DUMMYFUNCTION("""COMPUTED_VALUE"""),"HOWO")</f>
        <v>HOWO</v>
      </c>
      <c r="G327" s="1" t="str">
        <f ca="1">IFERROR(__xludf.DUMMYFUNCTION("""COMPUTED_VALUE"""),"О234ВО774")</f>
        <v>О234ВО774</v>
      </c>
      <c r="H327" s="1" t="str">
        <f ca="1">IFERROR(__xludf.DUMMYFUNCTION("""COMPUTED_VALUE"""),"с. Новобурановка")</f>
        <v>с. Новобурановка</v>
      </c>
      <c r="I327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27" s="1" t="str">
        <f ca="1">IFERROR(__xludf.DUMMYFUNCTION("""COMPUTED_VALUE"""),"29,80")</f>
        <v>29,80</v>
      </c>
      <c r="K327" s="1" t="str">
        <f ca="1">IFERROR(__xludf.DUMMYFUNCTION("""COMPUTED_VALUE"""),"ПрокатМонтаж")</f>
        <v>ПрокатМонтаж</v>
      </c>
    </row>
    <row r="328" spans="1:11" ht="13" x14ac:dyDescent="0.3">
      <c r="A328" s="1" t="str">
        <f ca="1">IFERROR(__xludf.DUMMYFUNCTION("""COMPUTED_VALUE"""),"ННКРС33377")</f>
        <v>ННКРС33377</v>
      </c>
      <c r="B328" s="1" t="str">
        <f ca="1">IFERROR(__xludf.DUMMYFUNCTION("""COMPUTED_VALUE"""),"08.03.2024")</f>
        <v>08.03.2024</v>
      </c>
      <c r="C328" s="1" t="str">
        <f ca="1">IFERROR(__xludf.DUMMYFUNCTION("""COMPUTED_VALUE"""),"Отсев фр. 0-5 мм")</f>
        <v>Отсев фр. 0-5 мм</v>
      </c>
      <c r="D328" s="1" t="str">
        <f ca="1">IFERROR(__xludf.DUMMYFUNCTION("""COMPUTED_VALUE"""),"28,35")</f>
        <v>28,35</v>
      </c>
      <c r="E328" s="1" t="str">
        <f ca="1">IFERROR(__xludf.DUMMYFUNCTION("""COMPUTED_VALUE"""),"Котов Иван Эдуардович")</f>
        <v>Котов Иван Эдуардович</v>
      </c>
      <c r="F328" s="1" t="str">
        <f ca="1">IFERROR(__xludf.DUMMYFUNCTION("""COMPUTED_VALUE"""),"JAC")</f>
        <v>JAC</v>
      </c>
      <c r="G328" s="1" t="str">
        <f ca="1">IFERROR(__xludf.DUMMYFUNCTION("""COMPUTED_VALUE"""),"М648ВА774")</f>
        <v>М648ВА774</v>
      </c>
      <c r="H328" s="1" t="str">
        <f ca="1">IFERROR(__xludf.DUMMYFUNCTION("""COMPUTED_VALUE"""),"с. Новобурановка")</f>
        <v>с. Новобурановка</v>
      </c>
      <c r="I328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28" s="1" t="str">
        <f ca="1">IFERROR(__xludf.DUMMYFUNCTION("""COMPUTED_VALUE"""),"28,35")</f>
        <v>28,35</v>
      </c>
      <c r="K328" s="1" t="str">
        <f ca="1">IFERROR(__xludf.DUMMYFUNCTION("""COMPUTED_VALUE"""),"ПрокатМонтаж")</f>
        <v>ПрокатМонтаж</v>
      </c>
    </row>
    <row r="329" spans="1:11" ht="13" x14ac:dyDescent="0.3">
      <c r="A329" s="1" t="str">
        <f ca="1">IFERROR(__xludf.DUMMYFUNCTION("""COMPUTED_VALUE"""),"ННКРС33386")</f>
        <v>ННКРС33386</v>
      </c>
      <c r="B329" s="1" t="str">
        <f ca="1">IFERROR(__xludf.DUMMYFUNCTION("""COMPUTED_VALUE"""),"08.03.2024")</f>
        <v>08.03.2024</v>
      </c>
      <c r="C329" s="1" t="str">
        <f ca="1">IFERROR(__xludf.DUMMYFUNCTION("""COMPUTED_VALUE"""),"Отсев фр. 0-5 мм")</f>
        <v>Отсев фр. 0-5 мм</v>
      </c>
      <c r="D329" s="1" t="str">
        <f ca="1">IFERROR(__xludf.DUMMYFUNCTION("""COMPUTED_VALUE"""),"31,85")</f>
        <v>31,85</v>
      </c>
      <c r="E329" s="1" t="str">
        <f ca="1">IFERROR(__xludf.DUMMYFUNCTION("""COMPUTED_VALUE"""),"Котов Иван Эдуардович")</f>
        <v>Котов Иван Эдуардович</v>
      </c>
      <c r="F329" s="1" t="str">
        <f ca="1">IFERROR(__xludf.DUMMYFUNCTION("""COMPUTED_VALUE"""),"JAC")</f>
        <v>JAC</v>
      </c>
      <c r="G329" s="1" t="str">
        <f ca="1">IFERROR(__xludf.DUMMYFUNCTION("""COMPUTED_VALUE"""),"М648ВА774")</f>
        <v>М648ВА774</v>
      </c>
      <c r="H329" s="1" t="str">
        <f ca="1">IFERROR(__xludf.DUMMYFUNCTION("""COMPUTED_VALUE"""),"с. Новобурановка")</f>
        <v>с. Новобурановка</v>
      </c>
      <c r="I329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29" s="1" t="str">
        <f ca="1">IFERROR(__xludf.DUMMYFUNCTION("""COMPUTED_VALUE"""),"31,85")</f>
        <v>31,85</v>
      </c>
      <c r="K329" s="1" t="str">
        <f ca="1">IFERROR(__xludf.DUMMYFUNCTION("""COMPUTED_VALUE"""),"ПрокатМонтаж")</f>
        <v>ПрокатМонтаж</v>
      </c>
    </row>
    <row r="330" spans="1:11" ht="13" x14ac:dyDescent="0.3">
      <c r="A330" s="1" t="str">
        <f ca="1">IFERROR(__xludf.DUMMYFUNCTION("""COMPUTED_VALUE"""),"ННКРС33395")</f>
        <v>ННКРС33395</v>
      </c>
      <c r="B330" s="1" t="str">
        <f ca="1">IFERROR(__xludf.DUMMYFUNCTION("""COMPUTED_VALUE"""),"08.03.2024")</f>
        <v>08.03.2024</v>
      </c>
      <c r="C330" s="1" t="str">
        <f ca="1">IFERROR(__xludf.DUMMYFUNCTION("""COMPUTED_VALUE"""),"Отсев фр. 0-5 мм")</f>
        <v>Отсев фр. 0-5 мм</v>
      </c>
      <c r="D330" s="1" t="str">
        <f ca="1">IFERROR(__xludf.DUMMYFUNCTION("""COMPUTED_VALUE"""),"28,65")</f>
        <v>28,65</v>
      </c>
      <c r="E330" s="1" t="str">
        <f ca="1">IFERROR(__xludf.DUMMYFUNCTION("""COMPUTED_VALUE"""),"Котов Иван Эдуардович")</f>
        <v>Котов Иван Эдуардович</v>
      </c>
      <c r="F330" s="1" t="str">
        <f ca="1">IFERROR(__xludf.DUMMYFUNCTION("""COMPUTED_VALUE"""),"JAC")</f>
        <v>JAC</v>
      </c>
      <c r="G330" s="1" t="str">
        <f ca="1">IFERROR(__xludf.DUMMYFUNCTION("""COMPUTED_VALUE"""),"М648ВА774")</f>
        <v>М648ВА774</v>
      </c>
      <c r="H330" s="1" t="str">
        <f ca="1">IFERROR(__xludf.DUMMYFUNCTION("""COMPUTED_VALUE"""),"с. Новобурановка")</f>
        <v>с. Новобурановка</v>
      </c>
      <c r="I330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30" s="1" t="str">
        <f ca="1">IFERROR(__xludf.DUMMYFUNCTION("""COMPUTED_VALUE"""),"28,65")</f>
        <v>28,65</v>
      </c>
      <c r="K330" s="1" t="str">
        <f ca="1">IFERROR(__xludf.DUMMYFUNCTION("""COMPUTED_VALUE"""),"ПрокатМонтаж")</f>
        <v>ПрокатМонтаж</v>
      </c>
    </row>
    <row r="331" spans="1:11" ht="13" x14ac:dyDescent="0.3">
      <c r="A331" s="1" t="str">
        <f ca="1">IFERROR(__xludf.DUMMYFUNCTION("""COMPUTED_VALUE"""),"134")</f>
        <v>134</v>
      </c>
      <c r="B331" s="1" t="str">
        <f ca="1">IFERROR(__xludf.DUMMYFUNCTION("""COMPUTED_VALUE"""),"09.03.2024")</f>
        <v>09.03.2024</v>
      </c>
      <c r="C331" s="1" t="str">
        <f ca="1">IFERROR(__xludf.DUMMYFUNCTION("""COMPUTED_VALUE"""),"Руда")</f>
        <v>Руда</v>
      </c>
      <c r="D331" s="1" t="str">
        <f ca="1">IFERROR(__xludf.DUMMYFUNCTION("""COMPUTED_VALUE"""),"41,95")</f>
        <v>41,95</v>
      </c>
      <c r="E331" s="1" t="str">
        <f ca="1">IFERROR(__xludf.DUMMYFUNCTION("""COMPUTED_VALUE"""),"Калинин Виктор Михайлович")</f>
        <v>Калинин Виктор Михайлович</v>
      </c>
      <c r="F331" s="1" t="str">
        <f ca="1">IFERROR(__xludf.DUMMYFUNCTION("""COMPUTED_VALUE"""),"SHACMAN")</f>
        <v>SHACMAN</v>
      </c>
      <c r="G331" s="1" t="str">
        <f ca="1">IFERROR(__xludf.DUMMYFUNCTION("""COMPUTED_VALUE"""),"Н423ВТ774")</f>
        <v>Н423ВТ774</v>
      </c>
      <c r="H33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31" s="1" t="str">
        <f ca="1">IFERROR(__xludf.DUMMYFUNCTION("""COMPUTED_VALUE"""),"г. Гай, ПАО ""Гайский ГОК""")</f>
        <v>г. Гай, ПАО "Гайский ГОК"</v>
      </c>
      <c r="J331" s="1" t="str">
        <f ca="1">IFERROR(__xludf.DUMMYFUNCTION("""COMPUTED_VALUE"""),"41,950")</f>
        <v>41,950</v>
      </c>
      <c r="K331" s="1" t="str">
        <f ca="1">IFERROR(__xludf.DUMMYFUNCTION("""COMPUTED_VALUE"""),"Башкирская Медь")</f>
        <v>Башкирская Медь</v>
      </c>
    </row>
    <row r="332" spans="1:11" ht="13" x14ac:dyDescent="0.3">
      <c r="A332" s="1" t="str">
        <f ca="1">IFERROR(__xludf.DUMMYFUNCTION("""COMPUTED_VALUE"""),"123")</f>
        <v>123</v>
      </c>
      <c r="B332" s="1" t="str">
        <f ca="1">IFERROR(__xludf.DUMMYFUNCTION("""COMPUTED_VALUE"""),"08.03.2024")</f>
        <v>08.03.2024</v>
      </c>
      <c r="C332" s="1" t="str">
        <f ca="1">IFERROR(__xludf.DUMMYFUNCTION("""COMPUTED_VALUE"""),"Руда")</f>
        <v>Руда</v>
      </c>
      <c r="D332" s="1" t="str">
        <f ca="1">IFERROR(__xludf.DUMMYFUNCTION("""COMPUTED_VALUE"""),"40,23")</f>
        <v>40,23</v>
      </c>
      <c r="E332" s="1" t="str">
        <f ca="1">IFERROR(__xludf.DUMMYFUNCTION("""COMPUTED_VALUE"""),"Калинин Виктор Михайлович")</f>
        <v>Калинин Виктор Михайлович</v>
      </c>
      <c r="F332" s="1" t="str">
        <f ca="1">IFERROR(__xludf.DUMMYFUNCTION("""COMPUTED_VALUE"""),"SHACMAN")</f>
        <v>SHACMAN</v>
      </c>
      <c r="G332" s="1" t="str">
        <f ca="1">IFERROR(__xludf.DUMMYFUNCTION("""COMPUTED_VALUE"""),"Н423ВТ774")</f>
        <v>Н423ВТ774</v>
      </c>
      <c r="H33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32" s="1" t="str">
        <f ca="1">IFERROR(__xludf.DUMMYFUNCTION("""COMPUTED_VALUE"""),"г. Гай, ПАО ""Гайский ГОК""")</f>
        <v>г. Гай, ПАО "Гайский ГОК"</v>
      </c>
      <c r="J332" s="1" t="str">
        <f ca="1">IFERROR(__xludf.DUMMYFUNCTION("""COMPUTED_VALUE"""),"40,600")</f>
        <v>40,600</v>
      </c>
      <c r="K332" s="1" t="str">
        <f ca="1">IFERROR(__xludf.DUMMYFUNCTION("""COMPUTED_VALUE"""),"Башкирская Медь")</f>
        <v>Башкирская Медь</v>
      </c>
    </row>
    <row r="333" spans="1:11" ht="13" x14ac:dyDescent="0.3">
      <c r="A333" s="1" t="str">
        <f ca="1">IFERROR(__xludf.DUMMYFUNCTION("""COMPUTED_VALUE"""),"124")</f>
        <v>124</v>
      </c>
      <c r="B333" s="1" t="str">
        <f ca="1">IFERROR(__xludf.DUMMYFUNCTION("""COMPUTED_VALUE"""),"08.03.2024")</f>
        <v>08.03.2024</v>
      </c>
      <c r="C333" s="1" t="str">
        <f ca="1">IFERROR(__xludf.DUMMYFUNCTION("""COMPUTED_VALUE"""),"Руда")</f>
        <v>Руда</v>
      </c>
      <c r="D333" s="1" t="str">
        <f ca="1">IFERROR(__xludf.DUMMYFUNCTION("""COMPUTED_VALUE"""),"45,15")</f>
        <v>45,15</v>
      </c>
      <c r="E333" s="1" t="str">
        <f ca="1">IFERROR(__xludf.DUMMYFUNCTION("""COMPUTED_VALUE"""),"Туголуков Максим Александрович")</f>
        <v>Туголуков Максим Александрович</v>
      </c>
      <c r="F333" s="1" t="str">
        <f ca="1">IFERROR(__xludf.DUMMYFUNCTION("""COMPUTED_VALUE"""),"HOWO")</f>
        <v>HOWO</v>
      </c>
      <c r="G333" s="1" t="str">
        <f ca="1">IFERROR(__xludf.DUMMYFUNCTION("""COMPUTED_VALUE"""),"К297ВН774")</f>
        <v>К297ВН774</v>
      </c>
      <c r="H33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33" s="1" t="str">
        <f ca="1">IFERROR(__xludf.DUMMYFUNCTION("""COMPUTED_VALUE"""),"г. Гай, ПАО ""Гайский ГОК""")</f>
        <v>г. Гай, ПАО "Гайский ГОК"</v>
      </c>
      <c r="J333" s="1" t="str">
        <f ca="1">IFERROR(__xludf.DUMMYFUNCTION("""COMPUTED_VALUE"""),"45,150")</f>
        <v>45,150</v>
      </c>
      <c r="K333" s="1" t="str">
        <f ca="1">IFERROR(__xludf.DUMMYFUNCTION("""COMPUTED_VALUE"""),"Башкирская Медь")</f>
        <v>Башкирская Медь</v>
      </c>
    </row>
    <row r="334" spans="1:11" ht="13" x14ac:dyDescent="0.3">
      <c r="A334" s="1" t="str">
        <f ca="1">IFERROR(__xludf.DUMMYFUNCTION("""COMPUTED_VALUE"""),"2591")</f>
        <v>2591</v>
      </c>
      <c r="B334" s="1" t="str">
        <f ca="1">IFERROR(__xludf.DUMMYFUNCTION("""COMPUTED_VALUE"""),"08.03.2024")</f>
        <v>08.03.2024</v>
      </c>
      <c r="C334" s="1" t="str">
        <f ca="1">IFERROR(__xludf.DUMMYFUNCTION("""COMPUTED_VALUE"""),"глина огнеупорная")</f>
        <v>глина огнеупорная</v>
      </c>
      <c r="D334" s="1" t="str">
        <f ca="1">IFERROR(__xludf.DUMMYFUNCTION("""COMPUTED_VALUE"""),"34,58")</f>
        <v>34,58</v>
      </c>
      <c r="E334" s="1" t="str">
        <f ca="1">IFERROR(__xludf.DUMMYFUNCTION("""COMPUTED_VALUE"""),"Поликарпов Константин Юрьевич")</f>
        <v>Поликарпов Константин Юрьевич</v>
      </c>
      <c r="F334" s="1" t="str">
        <f ca="1">IFERROR(__xludf.DUMMYFUNCTION("""COMPUTED_VALUE"""),"FAW")</f>
        <v>FAW</v>
      </c>
      <c r="G334" s="1" t="str">
        <f ca="1">IFERROR(__xludf.DUMMYFUNCTION("""COMPUTED_VALUE"""),"С621КМ774")</f>
        <v>С621КМ774</v>
      </c>
      <c r="H334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3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34" s="1" t="str">
        <f ca="1">IFERROR(__xludf.DUMMYFUNCTION("""COMPUTED_VALUE"""),"34,58")</f>
        <v>34,58</v>
      </c>
      <c r="K334" s="1" t="str">
        <f ca="1">IFERROR(__xludf.DUMMYFUNCTION("""COMPUTED_VALUE"""),"АТУ")</f>
        <v>АТУ</v>
      </c>
    </row>
    <row r="335" spans="1:11" ht="13" x14ac:dyDescent="0.3">
      <c r="A335" s="1" t="str">
        <f ca="1">IFERROR(__xludf.DUMMYFUNCTION("""COMPUTED_VALUE"""),"2593")</f>
        <v>2593</v>
      </c>
      <c r="B335" s="1" t="str">
        <f ca="1">IFERROR(__xludf.DUMMYFUNCTION("""COMPUTED_VALUE"""),"08.03.2024")</f>
        <v>08.03.2024</v>
      </c>
      <c r="C335" s="1" t="str">
        <f ca="1">IFERROR(__xludf.DUMMYFUNCTION("""COMPUTED_VALUE"""),"глина огнеупорная")</f>
        <v>глина огнеупорная</v>
      </c>
      <c r="D335" s="1" t="str">
        <f ca="1">IFERROR(__xludf.DUMMYFUNCTION("""COMPUTED_VALUE"""),"28,40")</f>
        <v>28,40</v>
      </c>
      <c r="E335" s="1" t="str">
        <f ca="1">IFERROR(__xludf.DUMMYFUNCTION("""COMPUTED_VALUE"""),"Атаман Кирилл Анатольевич")</f>
        <v>Атаман Кирилл Анатольевич</v>
      </c>
      <c r="F335" s="1" t="str">
        <f ca="1">IFERROR(__xludf.DUMMYFUNCTION("""COMPUTED_VALUE"""),"FAW")</f>
        <v>FAW</v>
      </c>
      <c r="G335" s="1" t="str">
        <f ca="1">IFERROR(__xludf.DUMMYFUNCTION("""COMPUTED_VALUE"""),"Н504КК774")</f>
        <v>Н504КК774</v>
      </c>
      <c r="H335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3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35" s="1" t="str">
        <f ca="1">IFERROR(__xludf.DUMMYFUNCTION("""COMPUTED_VALUE"""),"28,40")</f>
        <v>28,40</v>
      </c>
      <c r="K335" s="1" t="str">
        <f ca="1">IFERROR(__xludf.DUMMYFUNCTION("""COMPUTED_VALUE"""),"АТУ")</f>
        <v>АТУ</v>
      </c>
    </row>
    <row r="336" spans="1:11" ht="13" x14ac:dyDescent="0.3">
      <c r="A336" s="1" t="str">
        <f ca="1">IFERROR(__xludf.DUMMYFUNCTION("""COMPUTED_VALUE"""),"2592")</f>
        <v>2592</v>
      </c>
      <c r="B336" s="1" t="str">
        <f ca="1">IFERROR(__xludf.DUMMYFUNCTION("""COMPUTED_VALUE"""),"08.03.2024")</f>
        <v>08.03.2024</v>
      </c>
      <c r="C336" s="1" t="str">
        <f ca="1">IFERROR(__xludf.DUMMYFUNCTION("""COMPUTED_VALUE"""),"глина огнеупорная")</f>
        <v>глина огнеупорная</v>
      </c>
      <c r="D336" s="1" t="str">
        <f ca="1">IFERROR(__xludf.DUMMYFUNCTION("""COMPUTED_VALUE"""),"34,84")</f>
        <v>34,84</v>
      </c>
      <c r="E336" s="1" t="str">
        <f ca="1">IFERROR(__xludf.DUMMYFUNCTION("""COMPUTED_VALUE"""),"Нургалин Ильшат Абдулхакович")</f>
        <v>Нургалин Ильшат Абдулхакович</v>
      </c>
      <c r="F336" s="1" t="str">
        <f ca="1">IFERROR(__xludf.DUMMYFUNCTION("""COMPUTED_VALUE"""),"FAW")</f>
        <v>FAW</v>
      </c>
      <c r="G336" s="1" t="str">
        <f ca="1">IFERROR(__xludf.DUMMYFUNCTION("""COMPUTED_VALUE"""),"Т951КМ774")</f>
        <v>Т951КМ774</v>
      </c>
      <c r="H336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3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36" s="1" t="str">
        <f ca="1">IFERROR(__xludf.DUMMYFUNCTION("""COMPUTED_VALUE"""),"34,84")</f>
        <v>34,84</v>
      </c>
      <c r="K336" s="1" t="str">
        <f ca="1">IFERROR(__xludf.DUMMYFUNCTION("""COMPUTED_VALUE"""),"АТУ")</f>
        <v>АТУ</v>
      </c>
    </row>
    <row r="337" spans="1:11" ht="13" x14ac:dyDescent="0.3">
      <c r="A337" s="1" t="str">
        <f ca="1">IFERROR(__xludf.DUMMYFUNCTION("""COMPUTED_VALUE"""),"119")</f>
        <v>119</v>
      </c>
      <c r="B337" s="1" t="str">
        <f ca="1">IFERROR(__xludf.DUMMYFUNCTION("""COMPUTED_VALUE"""),"08.03.2024")</f>
        <v>08.03.2024</v>
      </c>
      <c r="C337" s="1" t="str">
        <f ca="1">IFERROR(__xludf.DUMMYFUNCTION("""COMPUTED_VALUE"""),"Руда")</f>
        <v>Руда</v>
      </c>
      <c r="D337" s="1" t="str">
        <f ca="1">IFERROR(__xludf.DUMMYFUNCTION("""COMPUTED_VALUE"""),"36,60")</f>
        <v>36,60</v>
      </c>
      <c r="E337" s="1" t="str">
        <f ca="1">IFERROR(__xludf.DUMMYFUNCTION("""COMPUTED_VALUE"""),"Петухов Дмитрий Анатольевич")</f>
        <v>Петухов Дмитрий Анатольевич</v>
      </c>
      <c r="F337" s="1" t="str">
        <f ca="1">IFERROR(__xludf.DUMMYFUNCTION("""COMPUTED_VALUE"""),"SHACMAN")</f>
        <v>SHACMAN</v>
      </c>
      <c r="G337" s="1" t="str">
        <f ca="1">IFERROR(__xludf.DUMMYFUNCTION("""COMPUTED_VALUE"""),"У645ВО774")</f>
        <v>У645ВО774</v>
      </c>
      <c r="H33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37" s="1" t="str">
        <f ca="1">IFERROR(__xludf.DUMMYFUNCTION("""COMPUTED_VALUE"""),"г. Гай, ПАО ""Гайский ГОК""")</f>
        <v>г. Гай, ПАО "Гайский ГОК"</v>
      </c>
      <c r="J337" s="1" t="str">
        <f ca="1">IFERROR(__xludf.DUMMYFUNCTION("""COMPUTED_VALUE"""),"37,200")</f>
        <v>37,200</v>
      </c>
      <c r="K337" s="1" t="str">
        <f ca="1">IFERROR(__xludf.DUMMYFUNCTION("""COMPUTED_VALUE"""),"Башкирская Медь")</f>
        <v>Башкирская Медь</v>
      </c>
    </row>
    <row r="338" spans="1:11" ht="13" x14ac:dyDescent="0.3">
      <c r="A338" s="1" t="str">
        <f ca="1">IFERROR(__xludf.DUMMYFUNCTION("""COMPUTED_VALUE"""),"132")</f>
        <v>132</v>
      </c>
      <c r="B338" s="1" t="str">
        <f ca="1">IFERROR(__xludf.DUMMYFUNCTION("""COMPUTED_VALUE"""),"08.03.2024")</f>
        <v>08.03.2024</v>
      </c>
      <c r="C338" s="1" t="str">
        <f ca="1">IFERROR(__xludf.DUMMYFUNCTION("""COMPUTED_VALUE"""),"Руда")</f>
        <v>Руда</v>
      </c>
      <c r="D338" s="1" t="str">
        <f ca="1">IFERROR(__xludf.DUMMYFUNCTION("""COMPUTED_VALUE"""),"42,11")</f>
        <v>42,11</v>
      </c>
      <c r="E338" s="1" t="str">
        <f ca="1">IFERROR(__xludf.DUMMYFUNCTION("""COMPUTED_VALUE"""),"Петухов Дмитрий Анатольевич")</f>
        <v>Петухов Дмитрий Анатольевич</v>
      </c>
      <c r="F338" s="1" t="str">
        <f ca="1">IFERROR(__xludf.DUMMYFUNCTION("""COMPUTED_VALUE"""),"SHACMAN")</f>
        <v>SHACMAN</v>
      </c>
      <c r="G338" s="1" t="str">
        <f ca="1">IFERROR(__xludf.DUMMYFUNCTION("""COMPUTED_VALUE"""),"У645ВО774")</f>
        <v>У645ВО774</v>
      </c>
      <c r="H33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38" s="1" t="str">
        <f ca="1">IFERROR(__xludf.DUMMYFUNCTION("""COMPUTED_VALUE"""),"г. Гай, ПАО ""Гайский ГОК""")</f>
        <v>г. Гай, ПАО "Гайский ГОК"</v>
      </c>
      <c r="J338" s="1" t="str">
        <f ca="1">IFERROR(__xludf.DUMMYFUNCTION("""COMPUTED_VALUE"""),"42,200")</f>
        <v>42,200</v>
      </c>
      <c r="K338" s="1" t="str">
        <f ca="1">IFERROR(__xludf.DUMMYFUNCTION("""COMPUTED_VALUE"""),"Башкирская Медь")</f>
        <v>Башкирская Медь</v>
      </c>
    </row>
    <row r="339" spans="1:11" ht="13" x14ac:dyDescent="0.3">
      <c r="A339" s="1" t="str">
        <f ca="1">IFERROR(__xludf.DUMMYFUNCTION("""COMPUTED_VALUE"""),"118")</f>
        <v>118</v>
      </c>
      <c r="B339" s="1" t="str">
        <f ca="1">IFERROR(__xludf.DUMMYFUNCTION("""COMPUTED_VALUE"""),"08.03.2024")</f>
        <v>08.03.2024</v>
      </c>
      <c r="C339" s="1" t="str">
        <f ca="1">IFERROR(__xludf.DUMMYFUNCTION("""COMPUTED_VALUE"""),"Руда")</f>
        <v>Руда</v>
      </c>
      <c r="D339" s="1" t="str">
        <f ca="1">IFERROR(__xludf.DUMMYFUNCTION("""COMPUTED_VALUE"""),"34,74")</f>
        <v>34,74</v>
      </c>
      <c r="E339" s="1" t="str">
        <f ca="1">IFERROR(__xludf.DUMMYFUNCTION("""COMPUTED_VALUE"""),"Цюман Евгений Владимирович")</f>
        <v>Цюман Евгений Владимирович</v>
      </c>
      <c r="F339" s="1" t="str">
        <f ca="1">IFERROR(__xludf.DUMMYFUNCTION("""COMPUTED_VALUE"""),"SHACMAN")</f>
        <v>SHACMAN</v>
      </c>
      <c r="G339" s="1" t="str">
        <f ca="1">IFERROR(__xludf.DUMMYFUNCTION("""COMPUTED_VALUE"""),"Х319АЕ774")</f>
        <v>Х319АЕ774</v>
      </c>
      <c r="H33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39" s="1" t="str">
        <f ca="1">IFERROR(__xludf.DUMMYFUNCTION("""COMPUTED_VALUE"""),"г. Гай, ПАО ""Гайский ГОК""")</f>
        <v>г. Гай, ПАО "Гайский ГОК"</v>
      </c>
      <c r="J339" s="1" t="str">
        <f ca="1">IFERROR(__xludf.DUMMYFUNCTION("""COMPUTED_VALUE"""),"34,750")</f>
        <v>34,750</v>
      </c>
      <c r="K339" s="1" t="str">
        <f ca="1">IFERROR(__xludf.DUMMYFUNCTION("""COMPUTED_VALUE"""),"Башкирская Медь")</f>
        <v>Башкирская Медь</v>
      </c>
    </row>
    <row r="340" spans="1:11" ht="13" x14ac:dyDescent="0.3">
      <c r="A340" s="1" t="str">
        <f ca="1">IFERROR(__xludf.DUMMYFUNCTION("""COMPUTED_VALUE"""),"131")</f>
        <v>131</v>
      </c>
      <c r="B340" s="1" t="str">
        <f ca="1">IFERROR(__xludf.DUMMYFUNCTION("""COMPUTED_VALUE"""),"08.03.2024")</f>
        <v>08.03.2024</v>
      </c>
      <c r="C340" s="1" t="str">
        <f ca="1">IFERROR(__xludf.DUMMYFUNCTION("""COMPUTED_VALUE"""),"Руда")</f>
        <v>Руда</v>
      </c>
      <c r="D340" s="1" t="str">
        <f ca="1">IFERROR(__xludf.DUMMYFUNCTION("""COMPUTED_VALUE"""),"37,50")</f>
        <v>37,50</v>
      </c>
      <c r="E340" s="1" t="str">
        <f ca="1">IFERROR(__xludf.DUMMYFUNCTION("""COMPUTED_VALUE"""),"Цюман Евгений Владимирович")</f>
        <v>Цюман Евгений Владимирович</v>
      </c>
      <c r="F340" s="1" t="str">
        <f ca="1">IFERROR(__xludf.DUMMYFUNCTION("""COMPUTED_VALUE"""),"SHACMAN")</f>
        <v>SHACMAN</v>
      </c>
      <c r="G340" s="1" t="str">
        <f ca="1">IFERROR(__xludf.DUMMYFUNCTION("""COMPUTED_VALUE"""),"Х319АЕ774")</f>
        <v>Х319АЕ774</v>
      </c>
      <c r="H34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40" s="1" t="str">
        <f ca="1">IFERROR(__xludf.DUMMYFUNCTION("""COMPUTED_VALUE"""),"г. Гай, ПАО ""Гайский ГОК""")</f>
        <v>г. Гай, ПАО "Гайский ГОК"</v>
      </c>
      <c r="J340" s="1" t="str">
        <f ca="1">IFERROR(__xludf.DUMMYFUNCTION("""COMPUTED_VALUE"""),"37,850")</f>
        <v>37,850</v>
      </c>
      <c r="K340" s="1" t="str">
        <f ca="1">IFERROR(__xludf.DUMMYFUNCTION("""COMPUTED_VALUE"""),"Башкирская Медь")</f>
        <v>Башкирская Медь</v>
      </c>
    </row>
    <row r="341" spans="1:11" ht="13" x14ac:dyDescent="0.3">
      <c r="A341" s="1" t="str">
        <f ca="1">IFERROR(__xludf.DUMMYFUNCTION("""COMPUTED_VALUE"""),"109177 / 108904")</f>
        <v>109177 / 108904</v>
      </c>
      <c r="B341" s="1" t="str">
        <f ca="1">IFERROR(__xludf.DUMMYFUNCTION("""COMPUTED_VALUE"""),"08.03.2024")</f>
        <v>08.03.2024</v>
      </c>
      <c r="C341" s="1" t="str">
        <f ca="1">IFERROR(__xludf.DUMMYFUNCTION("""COMPUTED_VALUE"""),"Шлак гранулированный")</f>
        <v>Шлак гранулированный</v>
      </c>
      <c r="D341" s="1" t="str">
        <f ca="1">IFERROR(__xludf.DUMMYFUNCTION("""COMPUTED_VALUE"""),"44,10")</f>
        <v>44,10</v>
      </c>
      <c r="E341" s="1" t="str">
        <f ca="1">IFERROR(__xludf.DUMMYFUNCTION("""COMPUTED_VALUE"""),"Соханчук Михаил Викторович")</f>
        <v>Соханчук Михаил Викторович</v>
      </c>
      <c r="F341" s="1" t="str">
        <f ca="1">IFERROR(__xludf.DUMMYFUNCTION("""COMPUTED_VALUE"""),"SITRAK")</f>
        <v>SITRAK</v>
      </c>
      <c r="G341" s="1" t="str">
        <f ca="1">IFERROR(__xludf.DUMMYFUNCTION("""COMPUTED_VALUE"""),"У818ВО774")</f>
        <v>У818ВО774</v>
      </c>
      <c r="H341" s="1" t="str">
        <f ca="1">IFERROR(__xludf.DUMMYFUNCTION("""COMPUTED_VALUE"""),"г. Магнитогорск, ул. Локомотивная, 6А")</f>
        <v>г. Магнитогорск, ул. Локомотивная, 6А</v>
      </c>
      <c r="I341" s="1" t="str">
        <f ca="1">IFERROR(__xludf.DUMMYFUNCTION("""COMPUTED_VALUE"""),"г. Гай, ПАО ""Гайский ГОК""")</f>
        <v>г. Гай, ПАО "Гайский ГОК"</v>
      </c>
      <c r="J341" s="1" t="str">
        <f ca="1">IFERROR(__xludf.DUMMYFUNCTION("""COMPUTED_VALUE"""),"44,100")</f>
        <v>44,100</v>
      </c>
      <c r="K341" s="1" t="str">
        <f ca="1">IFERROR(__xludf.DUMMYFUNCTION("""COMPUTED_VALUE"""),"Гайский ГОК")</f>
        <v>Гайский ГОК</v>
      </c>
    </row>
    <row r="342" spans="1:11" ht="13" x14ac:dyDescent="0.3">
      <c r="A342" s="1" t="str">
        <f ca="1">IFERROR(__xludf.DUMMYFUNCTION("""COMPUTED_VALUE"""),"109199 / 108970")</f>
        <v>109199 / 108970</v>
      </c>
      <c r="B342" s="1" t="str">
        <f ca="1">IFERROR(__xludf.DUMMYFUNCTION("""COMPUTED_VALUE"""),"08.03.2024")</f>
        <v>08.03.2024</v>
      </c>
      <c r="C342" s="1" t="str">
        <f ca="1">IFERROR(__xludf.DUMMYFUNCTION("""COMPUTED_VALUE"""),"Шлак гранулированный")</f>
        <v>Шлак гранулированный</v>
      </c>
      <c r="D342" s="1" t="str">
        <f ca="1">IFERROR(__xludf.DUMMYFUNCTION("""COMPUTED_VALUE"""),"48,00")</f>
        <v>48,00</v>
      </c>
      <c r="E342" s="1" t="str">
        <f ca="1">IFERROR(__xludf.DUMMYFUNCTION("""COMPUTED_VALUE"""),"Мазуха Николай Александрович")</f>
        <v>Мазуха Николай Александрович</v>
      </c>
      <c r="F342" s="1" t="str">
        <f ca="1">IFERROR(__xludf.DUMMYFUNCTION("""COMPUTED_VALUE"""),"SITRAK")</f>
        <v>SITRAK</v>
      </c>
      <c r="G342" s="1" t="str">
        <f ca="1">IFERROR(__xludf.DUMMYFUNCTION("""COMPUTED_VALUE"""),"Н854ВН774")</f>
        <v>Н854ВН774</v>
      </c>
      <c r="H342" s="1" t="str">
        <f ca="1">IFERROR(__xludf.DUMMYFUNCTION("""COMPUTED_VALUE"""),"г. Магнитогорск, ул. Локомотивная, 6А")</f>
        <v>г. Магнитогорск, ул. Локомотивная, 6А</v>
      </c>
      <c r="I342" s="1" t="str">
        <f ca="1">IFERROR(__xludf.DUMMYFUNCTION("""COMPUTED_VALUE"""),"г. Гай, ПАО ""Гайский ГОК""")</f>
        <v>г. Гай, ПАО "Гайский ГОК"</v>
      </c>
      <c r="J342" s="1" t="str">
        <f ca="1">IFERROR(__xludf.DUMMYFUNCTION("""COMPUTED_VALUE"""),"48,000")</f>
        <v>48,000</v>
      </c>
      <c r="K342" s="1" t="str">
        <f ca="1">IFERROR(__xludf.DUMMYFUNCTION("""COMPUTED_VALUE"""),"Гайский ГОК")</f>
        <v>Гайский ГОК</v>
      </c>
    </row>
    <row r="343" spans="1:11" ht="13" x14ac:dyDescent="0.3">
      <c r="A343" s="1" t="str">
        <f ca="1">IFERROR(__xludf.DUMMYFUNCTION("""COMPUTED_VALUE"""),"108922 / 109640")</f>
        <v>108922 / 109640</v>
      </c>
      <c r="B343" s="1" t="str">
        <f ca="1">IFERROR(__xludf.DUMMYFUNCTION("""COMPUTED_VALUE"""),"08.03.2024")</f>
        <v>08.03.2024</v>
      </c>
      <c r="C343" s="1" t="str">
        <f ca="1">IFERROR(__xludf.DUMMYFUNCTION("""COMPUTED_VALUE"""),"Шлак гранулированный")</f>
        <v>Шлак гранулированный</v>
      </c>
      <c r="D343" s="1" t="str">
        <f ca="1">IFERROR(__xludf.DUMMYFUNCTION("""COMPUTED_VALUE"""),"51,50")</f>
        <v>51,50</v>
      </c>
      <c r="E343" s="1" t="str">
        <f ca="1">IFERROR(__xludf.DUMMYFUNCTION("""COMPUTED_VALUE"""),"Басарыгин Александр Евгеньевич")</f>
        <v>Басарыгин Александр Евгеньевич</v>
      </c>
      <c r="F343" s="1" t="str">
        <f ca="1">IFERROR(__xludf.DUMMYFUNCTION("""COMPUTED_VALUE"""),"SITRAK")</f>
        <v>SITRAK</v>
      </c>
      <c r="G343" s="1" t="str">
        <f ca="1">IFERROR(__xludf.DUMMYFUNCTION("""COMPUTED_VALUE"""),"Н384ВР774")</f>
        <v>Н384ВР774</v>
      </c>
      <c r="H343" s="1" t="str">
        <f ca="1">IFERROR(__xludf.DUMMYFUNCTION("""COMPUTED_VALUE"""),"г. Магнитогорск, ул. Локомотивная, 6А")</f>
        <v>г. Магнитогорск, ул. Локомотивная, 6А</v>
      </c>
      <c r="I343" s="1" t="str">
        <f ca="1">IFERROR(__xludf.DUMMYFUNCTION("""COMPUTED_VALUE"""),"г. Гай, ПАО ""Гайский ГОК""")</f>
        <v>г. Гай, ПАО "Гайский ГОК"</v>
      </c>
      <c r="J343" s="1" t="str">
        <f ca="1">IFERROR(__xludf.DUMMYFUNCTION("""COMPUTED_VALUE"""),"51,500")</f>
        <v>51,500</v>
      </c>
      <c r="K343" s="1" t="str">
        <f ca="1">IFERROR(__xludf.DUMMYFUNCTION("""COMPUTED_VALUE"""),"Гайский ГОК")</f>
        <v>Гайский ГОК</v>
      </c>
    </row>
    <row r="344" spans="1:11" ht="13" x14ac:dyDescent="0.3">
      <c r="A344" s="1" t="str">
        <f ca="1">IFERROR(__xludf.DUMMYFUNCTION("""COMPUTED_VALUE"""),"109417 / 109439")</f>
        <v>109417 / 109439</v>
      </c>
      <c r="B344" s="1" t="str">
        <f ca="1">IFERROR(__xludf.DUMMYFUNCTION("""COMPUTED_VALUE"""),"08.03.2024")</f>
        <v>08.03.2024</v>
      </c>
      <c r="C344" s="1" t="str">
        <f ca="1">IFERROR(__xludf.DUMMYFUNCTION("""COMPUTED_VALUE"""),"Шлак гранулированный")</f>
        <v>Шлак гранулированный</v>
      </c>
      <c r="D344" s="1" t="str">
        <f ca="1">IFERROR(__xludf.DUMMYFUNCTION("""COMPUTED_VALUE"""),"51,05")</f>
        <v>51,05</v>
      </c>
      <c r="E344" s="1" t="str">
        <f ca="1">IFERROR(__xludf.DUMMYFUNCTION("""COMPUTED_VALUE"""),"Панфилов Вячеслав Александрович")</f>
        <v>Панфилов Вячеслав Александрович</v>
      </c>
      <c r="F344" s="1" t="str">
        <f ca="1">IFERROR(__xludf.DUMMYFUNCTION("""COMPUTED_VALUE"""),"HOWO")</f>
        <v>HOWO</v>
      </c>
      <c r="G344" s="1" t="str">
        <f ca="1">IFERROR(__xludf.DUMMYFUNCTION("""COMPUTED_VALUE"""),"Н904ВН774")</f>
        <v>Н904ВН774</v>
      </c>
      <c r="H344" s="1" t="str">
        <f ca="1">IFERROR(__xludf.DUMMYFUNCTION("""COMPUTED_VALUE"""),"г. Магнитогорск, ул. Локомотивная, 6А")</f>
        <v>г. Магнитогорск, ул. Локомотивная, 6А</v>
      </c>
      <c r="I344" s="1" t="str">
        <f ca="1">IFERROR(__xludf.DUMMYFUNCTION("""COMPUTED_VALUE"""),"г. Гай, ПАО ""Гайский ГОК""")</f>
        <v>г. Гай, ПАО "Гайский ГОК"</v>
      </c>
      <c r="J344" s="1" t="str">
        <f ca="1">IFERROR(__xludf.DUMMYFUNCTION("""COMPUTED_VALUE"""),"51,050")</f>
        <v>51,050</v>
      </c>
      <c r="K344" s="1" t="str">
        <f ca="1">IFERROR(__xludf.DUMMYFUNCTION("""COMPUTED_VALUE"""),"Гайский ГОК")</f>
        <v>Гайский ГОК</v>
      </c>
    </row>
    <row r="345" spans="1:11" ht="13" x14ac:dyDescent="0.3">
      <c r="A345" s="1" t="str">
        <f ca="1">IFERROR(__xludf.DUMMYFUNCTION("""COMPUTED_VALUE"""),"108788 / 108779")</f>
        <v>108788 / 108779</v>
      </c>
      <c r="B345" s="1" t="str">
        <f ca="1">IFERROR(__xludf.DUMMYFUNCTION("""COMPUTED_VALUE"""),"08.03.2024")</f>
        <v>08.03.2024</v>
      </c>
      <c r="C345" s="1" t="str">
        <f ca="1">IFERROR(__xludf.DUMMYFUNCTION("""COMPUTED_VALUE"""),"Шлак гранулированный")</f>
        <v>Шлак гранулированный</v>
      </c>
      <c r="D345" s="1" t="str">
        <f ca="1">IFERROR(__xludf.DUMMYFUNCTION("""COMPUTED_VALUE"""),"39,50")</f>
        <v>39,50</v>
      </c>
      <c r="E345" s="1" t="str">
        <f ca="1">IFERROR(__xludf.DUMMYFUNCTION("""COMPUTED_VALUE"""),"Огарков Виталий Павлович")</f>
        <v>Огарков Виталий Павлович</v>
      </c>
      <c r="F345" s="1" t="str">
        <f ca="1">IFERROR(__xludf.DUMMYFUNCTION("""COMPUTED_VALUE"""),"HOWO")</f>
        <v>HOWO</v>
      </c>
      <c r="G345" s="1" t="str">
        <f ca="1">IFERROR(__xludf.DUMMYFUNCTION("""COMPUTED_VALUE"""),"Н234ВР774")</f>
        <v>Н234ВР774</v>
      </c>
      <c r="H345" s="1" t="str">
        <f ca="1">IFERROR(__xludf.DUMMYFUNCTION("""COMPUTED_VALUE"""),"г. Магнитогорск, ул. Локомотивная, 6А")</f>
        <v>г. Магнитогорск, ул. Локомотивная, 6А</v>
      </c>
      <c r="I345" s="1" t="str">
        <f ca="1">IFERROR(__xludf.DUMMYFUNCTION("""COMPUTED_VALUE"""),"г. Гай, ПАО ""Гайский ГОК""")</f>
        <v>г. Гай, ПАО "Гайский ГОК"</v>
      </c>
      <c r="J345" s="1" t="str">
        <f ca="1">IFERROR(__xludf.DUMMYFUNCTION("""COMPUTED_VALUE"""),"39,500")</f>
        <v>39,500</v>
      </c>
      <c r="K345" s="1" t="str">
        <f ca="1">IFERROR(__xludf.DUMMYFUNCTION("""COMPUTED_VALUE"""),"Гайский ГОК")</f>
        <v>Гайский ГОК</v>
      </c>
    </row>
    <row r="346" spans="1:11" ht="13" x14ac:dyDescent="0.3">
      <c r="A346" s="1" t="str">
        <f ca="1">IFERROR(__xludf.DUMMYFUNCTION("""COMPUTED_VALUE"""),"109274 / 109230")</f>
        <v>109274 / 109230</v>
      </c>
      <c r="B346" s="1" t="str">
        <f ca="1">IFERROR(__xludf.DUMMYFUNCTION("""COMPUTED_VALUE"""),"08.03.2024")</f>
        <v>08.03.2024</v>
      </c>
      <c r="C346" s="1" t="str">
        <f ca="1">IFERROR(__xludf.DUMMYFUNCTION("""COMPUTED_VALUE"""),"Шлак гранулированный")</f>
        <v>Шлак гранулированный</v>
      </c>
      <c r="D346" s="1" t="str">
        <f ca="1">IFERROR(__xludf.DUMMYFUNCTION("""COMPUTED_VALUE"""),"43,75")</f>
        <v>43,75</v>
      </c>
      <c r="E346" s="1" t="str">
        <f ca="1">IFERROR(__xludf.DUMMYFUNCTION("""COMPUTED_VALUE"""),"Соколов Максим Сергеевич")</f>
        <v>Соколов Максим Сергеевич</v>
      </c>
      <c r="F346" s="1" t="str">
        <f ca="1">IFERROR(__xludf.DUMMYFUNCTION("""COMPUTED_VALUE"""),"SHACMAN")</f>
        <v>SHACMAN</v>
      </c>
      <c r="G346" s="1" t="str">
        <f ca="1">IFERROR(__xludf.DUMMYFUNCTION("""COMPUTED_VALUE"""),"Н186ВР774")</f>
        <v>Н186ВР774</v>
      </c>
      <c r="H346" s="1" t="str">
        <f ca="1">IFERROR(__xludf.DUMMYFUNCTION("""COMPUTED_VALUE"""),"г. Магнитогорск, ул. Локомотивная, 6А")</f>
        <v>г. Магнитогорск, ул. Локомотивная, 6А</v>
      </c>
      <c r="I346" s="1" t="str">
        <f ca="1">IFERROR(__xludf.DUMMYFUNCTION("""COMPUTED_VALUE"""),"г. Гай, ПАО ""Гайский ГОК""")</f>
        <v>г. Гай, ПАО "Гайский ГОК"</v>
      </c>
      <c r="J346" s="1" t="str">
        <f ca="1">IFERROR(__xludf.DUMMYFUNCTION("""COMPUTED_VALUE"""),"43,750")</f>
        <v>43,750</v>
      </c>
      <c r="K346" s="1" t="str">
        <f ca="1">IFERROR(__xludf.DUMMYFUNCTION("""COMPUTED_VALUE"""),"Гайский ГОК")</f>
        <v>Гайский ГОК</v>
      </c>
    </row>
    <row r="347" spans="1:11" ht="13" x14ac:dyDescent="0.3">
      <c r="A347" s="1" t="str">
        <f ca="1">IFERROR(__xludf.DUMMYFUNCTION("""COMPUTED_VALUE"""),"117")</f>
        <v>117</v>
      </c>
      <c r="B347" s="1" t="str">
        <f ca="1">IFERROR(__xludf.DUMMYFUNCTION("""COMPUTED_VALUE"""),"08.03.2024")</f>
        <v>08.03.2024</v>
      </c>
      <c r="C347" s="1" t="str">
        <f ca="1">IFERROR(__xludf.DUMMYFUNCTION("""COMPUTED_VALUE"""),"Руда")</f>
        <v>Руда</v>
      </c>
      <c r="D347" s="1" t="str">
        <f ca="1">IFERROR(__xludf.DUMMYFUNCTION("""COMPUTED_VALUE"""),"45,65")</f>
        <v>45,65</v>
      </c>
      <c r="E347" s="1" t="str">
        <f ca="1">IFERROR(__xludf.DUMMYFUNCTION("""COMPUTED_VALUE"""),"Агумбаев Дмитрий Булатович")</f>
        <v>Агумбаев Дмитрий Булатович</v>
      </c>
      <c r="F347" s="1" t="str">
        <f ca="1">IFERROR(__xludf.DUMMYFUNCTION("""COMPUTED_VALUE"""),"HOWO")</f>
        <v>HOWO</v>
      </c>
      <c r="G347" s="1" t="str">
        <f ca="1">IFERROR(__xludf.DUMMYFUNCTION("""COMPUTED_VALUE"""),"Х374АТ774")</f>
        <v>Х374АТ774</v>
      </c>
      <c r="H34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47" s="1" t="str">
        <f ca="1">IFERROR(__xludf.DUMMYFUNCTION("""COMPUTED_VALUE"""),"г. Гай, ПАО ""Гайский ГОК""")</f>
        <v>г. Гай, ПАО "Гайский ГОК"</v>
      </c>
      <c r="J347" s="1" t="str">
        <f ca="1">IFERROR(__xludf.DUMMYFUNCTION("""COMPUTED_VALUE"""),"45,650")</f>
        <v>45,650</v>
      </c>
      <c r="K347" s="1" t="str">
        <f ca="1">IFERROR(__xludf.DUMMYFUNCTION("""COMPUTED_VALUE"""),"Башкирская Медь")</f>
        <v>Башкирская Медь</v>
      </c>
    </row>
    <row r="348" spans="1:11" ht="13" x14ac:dyDescent="0.3">
      <c r="A348" s="1" t="str">
        <f ca="1">IFERROR(__xludf.DUMMYFUNCTION("""COMPUTED_VALUE"""),"130")</f>
        <v>130</v>
      </c>
      <c r="B348" s="1" t="str">
        <f ca="1">IFERROR(__xludf.DUMMYFUNCTION("""COMPUTED_VALUE"""),"08.03.2024")</f>
        <v>08.03.2024</v>
      </c>
      <c r="C348" s="1" t="str">
        <f ca="1">IFERROR(__xludf.DUMMYFUNCTION("""COMPUTED_VALUE"""),"Руда")</f>
        <v>Руда</v>
      </c>
      <c r="D348" s="1" t="str">
        <f ca="1">IFERROR(__xludf.DUMMYFUNCTION("""COMPUTED_VALUE"""),"37,22")</f>
        <v>37,22</v>
      </c>
      <c r="E348" s="1" t="str">
        <f ca="1">IFERROR(__xludf.DUMMYFUNCTION("""COMPUTED_VALUE"""),"Агумбаев Дмитрий Булатович")</f>
        <v>Агумбаев Дмитрий Булатович</v>
      </c>
      <c r="F348" s="1" t="str">
        <f ca="1">IFERROR(__xludf.DUMMYFUNCTION("""COMPUTED_VALUE"""),"HOWO")</f>
        <v>HOWO</v>
      </c>
      <c r="G348" s="1" t="str">
        <f ca="1">IFERROR(__xludf.DUMMYFUNCTION("""COMPUTED_VALUE"""),"Х374АТ774")</f>
        <v>Х374АТ774</v>
      </c>
      <c r="H34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48" s="1" t="str">
        <f ca="1">IFERROR(__xludf.DUMMYFUNCTION("""COMPUTED_VALUE"""),"г. Гай, ПАО ""Гайский ГОК""")</f>
        <v>г. Гай, ПАО "Гайский ГОК"</v>
      </c>
      <c r="J348" s="1" t="str">
        <f ca="1">IFERROR(__xludf.DUMMYFUNCTION("""COMPUTED_VALUE"""),"37,750")</f>
        <v>37,750</v>
      </c>
      <c r="K348" s="1" t="str">
        <f ca="1">IFERROR(__xludf.DUMMYFUNCTION("""COMPUTED_VALUE"""),"Башкирская Медь")</f>
        <v>Башкирская Медь</v>
      </c>
    </row>
    <row r="349" spans="1:11" ht="13" x14ac:dyDescent="0.3">
      <c r="A349" s="1" t="str">
        <f ca="1">IFERROR(__xludf.DUMMYFUNCTION("""COMPUTED_VALUE"""),"110")</f>
        <v>110</v>
      </c>
      <c r="B349" s="1" t="str">
        <f ca="1">IFERROR(__xludf.DUMMYFUNCTION("""COMPUTED_VALUE"""),"08.03.2024")</f>
        <v>08.03.2024</v>
      </c>
      <c r="C349" s="1" t="str">
        <f ca="1">IFERROR(__xludf.DUMMYFUNCTION("""COMPUTED_VALUE"""),"Руда")</f>
        <v>Руда</v>
      </c>
      <c r="D349" s="1" t="str">
        <f ca="1">IFERROR(__xludf.DUMMYFUNCTION("""COMPUTED_VALUE"""),"40,36")</f>
        <v>40,36</v>
      </c>
      <c r="E349" s="1" t="str">
        <f ca="1">IFERROR(__xludf.DUMMYFUNCTION("""COMPUTED_VALUE"""),"Попов Павел Сергеевич")</f>
        <v>Попов Павел Сергеевич</v>
      </c>
      <c r="F349" s="1" t="str">
        <f ca="1">IFERROR(__xludf.DUMMYFUNCTION("""COMPUTED_VALUE"""),"HOWO")</f>
        <v>HOWO</v>
      </c>
      <c r="G349" s="1" t="str">
        <f ca="1">IFERROR(__xludf.DUMMYFUNCTION("""COMPUTED_VALUE"""),"А141ВО774")</f>
        <v>А141ВО774</v>
      </c>
      <c r="H34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49" s="1" t="str">
        <f ca="1">IFERROR(__xludf.DUMMYFUNCTION("""COMPUTED_VALUE"""),"г. Гай, ПАО ""Гайский ГОК""")</f>
        <v>г. Гай, ПАО "Гайский ГОК"</v>
      </c>
      <c r="J349" s="1" t="str">
        <f ca="1">IFERROR(__xludf.DUMMYFUNCTION("""COMPUTED_VALUE"""),"40,500")</f>
        <v>40,500</v>
      </c>
      <c r="K349" s="1" t="str">
        <f ca="1">IFERROR(__xludf.DUMMYFUNCTION("""COMPUTED_VALUE"""),"Башкирская Медь")</f>
        <v>Башкирская Медь</v>
      </c>
    </row>
    <row r="350" spans="1:11" ht="13" x14ac:dyDescent="0.3">
      <c r="A350" s="1" t="str">
        <f ca="1">IFERROR(__xludf.DUMMYFUNCTION("""COMPUTED_VALUE"""),"120")</f>
        <v>120</v>
      </c>
      <c r="B350" s="1" t="str">
        <f ca="1">IFERROR(__xludf.DUMMYFUNCTION("""COMPUTED_VALUE"""),"08.03.2024")</f>
        <v>08.03.2024</v>
      </c>
      <c r="C350" s="1" t="str">
        <f ca="1">IFERROR(__xludf.DUMMYFUNCTION("""COMPUTED_VALUE"""),"Руда")</f>
        <v>Руда</v>
      </c>
      <c r="D350" s="1" t="str">
        <f ca="1">IFERROR(__xludf.DUMMYFUNCTION("""COMPUTED_VALUE"""),"37,32")</f>
        <v>37,32</v>
      </c>
      <c r="E350" s="1" t="str">
        <f ca="1">IFERROR(__xludf.DUMMYFUNCTION("""COMPUTED_VALUE"""),"Попов Павел Сергеевич")</f>
        <v>Попов Павел Сергеевич</v>
      </c>
      <c r="F350" s="1" t="str">
        <f ca="1">IFERROR(__xludf.DUMMYFUNCTION("""COMPUTED_VALUE"""),"HOWO")</f>
        <v>HOWO</v>
      </c>
      <c r="G350" s="1" t="str">
        <f ca="1">IFERROR(__xludf.DUMMYFUNCTION("""COMPUTED_VALUE"""),"А141ВО774")</f>
        <v>А141ВО774</v>
      </c>
      <c r="H35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0" s="1" t="str">
        <f ca="1">IFERROR(__xludf.DUMMYFUNCTION("""COMPUTED_VALUE"""),"г. Гай, ПАО ""Гайский ГОК""")</f>
        <v>г. Гай, ПАО "Гайский ГОК"</v>
      </c>
      <c r="J350" s="1" t="str">
        <f ca="1">IFERROR(__xludf.DUMMYFUNCTION("""COMPUTED_VALUE"""),"37,400")</f>
        <v>37,400</v>
      </c>
      <c r="K350" s="1" t="str">
        <f ca="1">IFERROR(__xludf.DUMMYFUNCTION("""COMPUTED_VALUE"""),"Башкирская Медь")</f>
        <v>Башкирская Медь</v>
      </c>
    </row>
    <row r="351" spans="1:11" ht="13" x14ac:dyDescent="0.3">
      <c r="A351" s="1" t="str">
        <f ca="1">IFERROR(__xludf.DUMMYFUNCTION("""COMPUTED_VALUE"""),"115")</f>
        <v>115</v>
      </c>
      <c r="B351" s="1" t="str">
        <f ca="1">IFERROR(__xludf.DUMMYFUNCTION("""COMPUTED_VALUE"""),"08.03.2024")</f>
        <v>08.03.2024</v>
      </c>
      <c r="C351" s="1" t="str">
        <f ca="1">IFERROR(__xludf.DUMMYFUNCTION("""COMPUTED_VALUE"""),"Руда")</f>
        <v>Руда</v>
      </c>
      <c r="D351" s="1" t="str">
        <f ca="1">IFERROR(__xludf.DUMMYFUNCTION("""COMPUTED_VALUE"""),"39,71")</f>
        <v>39,71</v>
      </c>
      <c r="E351" s="1" t="str">
        <f ca="1">IFERROR(__xludf.DUMMYFUNCTION("""COMPUTED_VALUE"""),"Тухватуллин Халит Хамитович")</f>
        <v>Тухватуллин Халит Хамитович</v>
      </c>
      <c r="F351" s="1" t="str">
        <f ca="1">IFERROR(__xludf.DUMMYFUNCTION("""COMPUTED_VALUE"""),"HOWO")</f>
        <v>HOWO</v>
      </c>
      <c r="G351" s="1" t="str">
        <f ca="1">IFERROR(__xludf.DUMMYFUNCTION("""COMPUTED_VALUE"""),"Н206ВР774")</f>
        <v>Н206ВР774</v>
      </c>
      <c r="H35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1" s="1" t="str">
        <f ca="1">IFERROR(__xludf.DUMMYFUNCTION("""COMPUTED_VALUE"""),"г. Гай, ПАО ""Гайский ГОК""")</f>
        <v>г. Гай, ПАО "Гайский ГОК"</v>
      </c>
      <c r="J351" s="1" t="str">
        <f ca="1">IFERROR(__xludf.DUMMYFUNCTION("""COMPUTED_VALUE"""),"39,200")</f>
        <v>39,200</v>
      </c>
      <c r="K351" s="1" t="str">
        <f ca="1">IFERROR(__xludf.DUMMYFUNCTION("""COMPUTED_VALUE"""),"Башкирская Медь")</f>
        <v>Башкирская Медь</v>
      </c>
    </row>
    <row r="352" spans="1:11" ht="13" x14ac:dyDescent="0.3">
      <c r="A352" s="1" t="str">
        <f ca="1">IFERROR(__xludf.DUMMYFUNCTION("""COMPUTED_VALUE"""),"116")</f>
        <v>116</v>
      </c>
      <c r="B352" s="1" t="str">
        <f ca="1">IFERROR(__xludf.DUMMYFUNCTION("""COMPUTED_VALUE"""),"08.03.2024")</f>
        <v>08.03.2024</v>
      </c>
      <c r="C352" s="1" t="str">
        <f ca="1">IFERROR(__xludf.DUMMYFUNCTION("""COMPUTED_VALUE"""),"Руда")</f>
        <v>Руда</v>
      </c>
      <c r="D352" s="1" t="str">
        <f ca="1">IFERROR(__xludf.DUMMYFUNCTION("""COMPUTED_VALUE"""),"43,36")</f>
        <v>43,36</v>
      </c>
      <c r="E352" s="1" t="str">
        <f ca="1">IFERROR(__xludf.DUMMYFUNCTION("""COMPUTED_VALUE"""),"Кунаккулов Наиль Насибуллович")</f>
        <v>Кунаккулов Наиль Насибуллович</v>
      </c>
      <c r="F352" s="1" t="str">
        <f ca="1">IFERROR(__xludf.DUMMYFUNCTION("""COMPUTED_VALUE"""),"SHACMAN")</f>
        <v>SHACMAN</v>
      </c>
      <c r="G352" s="1" t="str">
        <f ca="1">IFERROR(__xludf.DUMMYFUNCTION("""COMPUTED_VALUE"""),"Н255ВТ774")</f>
        <v>Н255ВТ774</v>
      </c>
      <c r="H35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2" s="1" t="str">
        <f ca="1">IFERROR(__xludf.DUMMYFUNCTION("""COMPUTED_VALUE"""),"г. Гай, ПАО ""Гайский ГОК""")</f>
        <v>г. Гай, ПАО "Гайский ГОК"</v>
      </c>
      <c r="J352" s="1" t="str">
        <f ca="1">IFERROR(__xludf.DUMMYFUNCTION("""COMPUTED_VALUE"""),"43,550")</f>
        <v>43,550</v>
      </c>
      <c r="K352" s="1" t="str">
        <f ca="1">IFERROR(__xludf.DUMMYFUNCTION("""COMPUTED_VALUE"""),"Башкирская Медь")</f>
        <v>Башкирская Медь</v>
      </c>
    </row>
    <row r="353" spans="1:11" ht="13" x14ac:dyDescent="0.3">
      <c r="A353" s="1" t="str">
        <f ca="1">IFERROR(__xludf.DUMMYFUNCTION("""COMPUTED_VALUE"""),"122")</f>
        <v>122</v>
      </c>
      <c r="B353" s="1" t="str">
        <f ca="1">IFERROR(__xludf.DUMMYFUNCTION("""COMPUTED_VALUE"""),"08.03.2024")</f>
        <v>08.03.2024</v>
      </c>
      <c r="C353" s="1" t="str">
        <f ca="1">IFERROR(__xludf.DUMMYFUNCTION("""COMPUTED_VALUE"""),"Руда")</f>
        <v>Руда</v>
      </c>
      <c r="D353" s="1" t="str">
        <f ca="1">IFERROR(__xludf.DUMMYFUNCTION("""COMPUTED_VALUE"""),"45,96")</f>
        <v>45,96</v>
      </c>
      <c r="E353" s="1" t="str">
        <f ca="1">IFERROR(__xludf.DUMMYFUNCTION("""COMPUTED_VALUE"""),"Ершов Дмитрий Андреевич")</f>
        <v>Ершов Дмитрий Андреевич</v>
      </c>
      <c r="F353" s="1" t="str">
        <f ca="1">IFERROR(__xludf.DUMMYFUNCTION("""COMPUTED_VALUE"""),"HOWO")</f>
        <v>HOWO</v>
      </c>
      <c r="G353" s="1" t="str">
        <f ca="1">IFERROR(__xludf.DUMMYFUNCTION("""COMPUTED_VALUE"""),"Н953ВР774")</f>
        <v>Н953ВР774</v>
      </c>
      <c r="H35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3" s="1" t="str">
        <f ca="1">IFERROR(__xludf.DUMMYFUNCTION("""COMPUTED_VALUE"""),"г. Гай, ПАО ""Гайский ГОК""")</f>
        <v>г. Гай, ПАО "Гайский ГОК"</v>
      </c>
      <c r="J353" s="1" t="str">
        <f ca="1">IFERROR(__xludf.DUMMYFUNCTION("""COMPUTED_VALUE"""),"45,850")</f>
        <v>45,850</v>
      </c>
      <c r="K353" s="1" t="str">
        <f ca="1">IFERROR(__xludf.DUMMYFUNCTION("""COMPUTED_VALUE"""),"Башкирская Медь")</f>
        <v>Башкирская Медь</v>
      </c>
    </row>
    <row r="354" spans="1:11" ht="13" x14ac:dyDescent="0.3">
      <c r="A354" s="1" t="str">
        <f ca="1">IFERROR(__xludf.DUMMYFUNCTION("""COMPUTED_VALUE"""),"111")</f>
        <v>111</v>
      </c>
      <c r="B354" s="1" t="str">
        <f ca="1">IFERROR(__xludf.DUMMYFUNCTION("""COMPUTED_VALUE"""),"08.03.2024")</f>
        <v>08.03.2024</v>
      </c>
      <c r="C354" s="1" t="str">
        <f ca="1">IFERROR(__xludf.DUMMYFUNCTION("""COMPUTED_VALUE"""),"Руда")</f>
        <v>Руда</v>
      </c>
      <c r="D354" s="1" t="str">
        <f ca="1">IFERROR(__xludf.DUMMYFUNCTION("""COMPUTED_VALUE"""),"50,08")</f>
        <v>50,08</v>
      </c>
      <c r="E354" s="1" t="str">
        <f ca="1">IFERROR(__xludf.DUMMYFUNCTION("""COMPUTED_VALUE"""),"Ершов Дмитрий Андреевич")</f>
        <v>Ершов Дмитрий Андреевич</v>
      </c>
      <c r="F354" s="1" t="str">
        <f ca="1">IFERROR(__xludf.DUMMYFUNCTION("""COMPUTED_VALUE"""),"HOWO")</f>
        <v>HOWO</v>
      </c>
      <c r="G354" s="1" t="str">
        <f ca="1">IFERROR(__xludf.DUMMYFUNCTION("""COMPUTED_VALUE"""),"Н953ВР774")</f>
        <v>Н953ВР774</v>
      </c>
      <c r="H35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4" s="1" t="str">
        <f ca="1">IFERROR(__xludf.DUMMYFUNCTION("""COMPUTED_VALUE"""),"г. Гай, ПАО ""Гайский ГОК""")</f>
        <v>г. Гай, ПАО "Гайский ГОК"</v>
      </c>
      <c r="J354" s="1" t="str">
        <f ca="1">IFERROR(__xludf.DUMMYFUNCTION("""COMPUTED_VALUE"""),"50,200")</f>
        <v>50,200</v>
      </c>
      <c r="K354" s="1" t="str">
        <f ca="1">IFERROR(__xludf.DUMMYFUNCTION("""COMPUTED_VALUE"""),"Башкирская Медь")</f>
        <v>Башкирская Медь</v>
      </c>
    </row>
    <row r="355" spans="1:11" ht="13" x14ac:dyDescent="0.3">
      <c r="A355" s="1" t="str">
        <f ca="1">IFERROR(__xludf.DUMMYFUNCTION("""COMPUTED_VALUE"""),"121")</f>
        <v>121</v>
      </c>
      <c r="B355" s="1" t="str">
        <f ca="1">IFERROR(__xludf.DUMMYFUNCTION("""COMPUTED_VALUE"""),"08.03.2024")</f>
        <v>08.03.2024</v>
      </c>
      <c r="C355" s="1" t="str">
        <f ca="1">IFERROR(__xludf.DUMMYFUNCTION("""COMPUTED_VALUE"""),"Руда")</f>
        <v>Руда</v>
      </c>
      <c r="D355" s="1" t="str">
        <f ca="1">IFERROR(__xludf.DUMMYFUNCTION("""COMPUTED_VALUE"""),"42,73")</f>
        <v>42,73</v>
      </c>
      <c r="E355" s="1" t="str">
        <f ca="1">IFERROR(__xludf.DUMMYFUNCTION("""COMPUTED_VALUE"""),"Сынгызов Азамат Ишмухаметович")</f>
        <v>Сынгызов Азамат Ишмухаметович</v>
      </c>
      <c r="F355" s="1" t="str">
        <f ca="1">IFERROR(__xludf.DUMMYFUNCTION("""COMPUTED_VALUE"""),"HOWO")</f>
        <v>HOWO</v>
      </c>
      <c r="G355" s="1" t="str">
        <f ca="1">IFERROR(__xludf.DUMMYFUNCTION("""COMPUTED_VALUE"""),"Н929ВР774")</f>
        <v>Н929ВР774</v>
      </c>
      <c r="H35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5" s="1" t="str">
        <f ca="1">IFERROR(__xludf.DUMMYFUNCTION("""COMPUTED_VALUE"""),"г. Гай, ПАО ""Гайский ГОК""")</f>
        <v>г. Гай, ПАО "Гайский ГОК"</v>
      </c>
      <c r="J355" s="1" t="str">
        <f ca="1">IFERROR(__xludf.DUMMYFUNCTION("""COMPUTED_VALUE"""),"42,900")</f>
        <v>42,900</v>
      </c>
      <c r="K355" s="1" t="str">
        <f ca="1">IFERROR(__xludf.DUMMYFUNCTION("""COMPUTED_VALUE"""),"Башкирская Медь")</f>
        <v>Башкирская Медь</v>
      </c>
    </row>
    <row r="356" spans="1:11" ht="13" x14ac:dyDescent="0.3">
      <c r="A356" s="1" t="str">
        <f ca="1">IFERROR(__xludf.DUMMYFUNCTION("""COMPUTED_VALUE"""),"114")</f>
        <v>114</v>
      </c>
      <c r="B356" s="1" t="str">
        <f ca="1">IFERROR(__xludf.DUMMYFUNCTION("""COMPUTED_VALUE"""),"08.03.2024")</f>
        <v>08.03.2024</v>
      </c>
      <c r="C356" s="1" t="str">
        <f ca="1">IFERROR(__xludf.DUMMYFUNCTION("""COMPUTED_VALUE"""),"Руда")</f>
        <v>Руда</v>
      </c>
      <c r="D356" s="1" t="str">
        <f ca="1">IFERROR(__xludf.DUMMYFUNCTION("""COMPUTED_VALUE"""),"42,15")</f>
        <v>42,15</v>
      </c>
      <c r="E356" s="1" t="str">
        <f ca="1">IFERROR(__xludf.DUMMYFUNCTION("""COMPUTED_VALUE"""),"Хусаинов Расуль Рашитович")</f>
        <v>Хусаинов Расуль Рашитович</v>
      </c>
      <c r="F356" s="1" t="str">
        <f ca="1">IFERROR(__xludf.DUMMYFUNCTION("""COMPUTED_VALUE"""),"МЕРСЕДЕС")</f>
        <v>МЕРСЕДЕС</v>
      </c>
      <c r="G356" s="1" t="str">
        <f ca="1">IFERROR(__xludf.DUMMYFUNCTION("""COMPUTED_VALUE"""),"О305СС196")</f>
        <v>О305СС196</v>
      </c>
      <c r="H35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6" s="1" t="str">
        <f ca="1">IFERROR(__xludf.DUMMYFUNCTION("""COMPUTED_VALUE"""),"г. Гай, ПАО ""Гайский ГОК""")</f>
        <v>г. Гай, ПАО "Гайский ГОК"</v>
      </c>
      <c r="J356" s="1" t="str">
        <f ca="1">IFERROR(__xludf.DUMMYFUNCTION("""COMPUTED_VALUE"""),"42,150")</f>
        <v>42,150</v>
      </c>
      <c r="K356" s="1" t="str">
        <f ca="1">IFERROR(__xludf.DUMMYFUNCTION("""COMPUTED_VALUE"""),"Башкирская Медь")</f>
        <v>Башкирская Медь</v>
      </c>
    </row>
    <row r="357" spans="1:11" ht="13" x14ac:dyDescent="0.3">
      <c r="A357" s="1" t="str">
        <f ca="1">IFERROR(__xludf.DUMMYFUNCTION("""COMPUTED_VALUE"""),"125")</f>
        <v>125</v>
      </c>
      <c r="B357" s="1" t="str">
        <f ca="1">IFERROR(__xludf.DUMMYFUNCTION("""COMPUTED_VALUE"""),"08.03.2024")</f>
        <v>08.03.2024</v>
      </c>
      <c r="C357" s="1" t="str">
        <f ca="1">IFERROR(__xludf.DUMMYFUNCTION("""COMPUTED_VALUE"""),"Руда")</f>
        <v>Руда</v>
      </c>
      <c r="D357" s="1" t="str">
        <f ca="1">IFERROR(__xludf.DUMMYFUNCTION("""COMPUTED_VALUE"""),"43,30")</f>
        <v>43,30</v>
      </c>
      <c r="E357" s="1" t="str">
        <f ca="1">IFERROR(__xludf.DUMMYFUNCTION("""COMPUTED_VALUE"""),"Толстых Николай Владимирович")</f>
        <v>Толстых Николай Владимирович</v>
      </c>
      <c r="F357" s="1" t="str">
        <f ca="1">IFERROR(__xludf.DUMMYFUNCTION("""COMPUTED_VALUE"""),"МЕРСЕДЕС")</f>
        <v>МЕРСЕДЕС</v>
      </c>
      <c r="G357" s="1" t="str">
        <f ca="1">IFERROR(__xludf.DUMMYFUNCTION("""COMPUTED_VALUE"""),"О396НО196")</f>
        <v>О396НО196</v>
      </c>
      <c r="H35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57" s="1" t="str">
        <f ca="1">IFERROR(__xludf.DUMMYFUNCTION("""COMPUTED_VALUE"""),"г. Гай, ПАО ""Гайский ГОК""")</f>
        <v>г. Гай, ПАО "Гайский ГОК"</v>
      </c>
      <c r="J357" s="1" t="str">
        <f ca="1">IFERROR(__xludf.DUMMYFUNCTION("""COMPUTED_VALUE"""),"43,300")</f>
        <v>43,300</v>
      </c>
      <c r="K357" s="1" t="str">
        <f ca="1">IFERROR(__xludf.DUMMYFUNCTION("""COMPUTED_VALUE"""),"Башкирская Медь")</f>
        <v>Башкирская Медь</v>
      </c>
    </row>
    <row r="358" spans="1:11" ht="13" x14ac:dyDescent="0.3">
      <c r="A358" s="1" t="str">
        <f ca="1">IFERROR(__xludf.DUMMYFUNCTION("""COMPUTED_VALUE"""),"АТУК2403057")</f>
        <v>АТУК2403057</v>
      </c>
      <c r="B358" s="1" t="str">
        <f ca="1">IFERROR(__xludf.DUMMYFUNCTION("""COMPUTED_VALUE"""),"08.03.2024")</f>
        <v>08.03.2024</v>
      </c>
      <c r="C358" s="1" t="str">
        <f ca="1">IFERROR(__xludf.DUMMYFUNCTION("""COMPUTED_VALUE"""),"глина огнеупорная")</f>
        <v>глина огнеупорная</v>
      </c>
      <c r="D358" s="1" t="str">
        <f ca="1">IFERROR(__xludf.DUMMYFUNCTION("""COMPUTED_VALUE"""),"44,25")</f>
        <v>44,25</v>
      </c>
      <c r="E358" s="1" t="str">
        <f ca="1">IFERROR(__xludf.DUMMYFUNCTION("""COMPUTED_VALUE"""),"Хаюрлин Нуржан Ситканович")</f>
        <v>Хаюрлин Нуржан Ситканович</v>
      </c>
      <c r="F358" s="1" t="str">
        <f ca="1">IFERROR(__xludf.DUMMYFUNCTION("""COMPUTED_VALUE"""),"МЕРСЕДЕС")</f>
        <v>МЕРСЕДЕС</v>
      </c>
      <c r="G358" s="1" t="str">
        <f ca="1">IFERROR(__xludf.DUMMYFUNCTION("""COMPUTED_VALUE"""),"О816РС196")</f>
        <v>О816РС196</v>
      </c>
      <c r="H35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5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58" s="1" t="str">
        <f ca="1">IFERROR(__xludf.DUMMYFUNCTION("""COMPUTED_VALUE"""),"44,250")</f>
        <v>44,250</v>
      </c>
      <c r="K358" s="1" t="str">
        <f ca="1">IFERROR(__xludf.DUMMYFUNCTION("""COMPUTED_VALUE"""),"АТУ")</f>
        <v>АТУ</v>
      </c>
    </row>
    <row r="359" spans="1:11" ht="13" x14ac:dyDescent="0.3">
      <c r="A359" s="1" t="str">
        <f ca="1">IFERROR(__xludf.DUMMYFUNCTION("""COMPUTED_VALUE"""),"АТУК2403058")</f>
        <v>АТУК2403058</v>
      </c>
      <c r="B359" s="1" t="str">
        <f ca="1">IFERROR(__xludf.DUMMYFUNCTION("""COMPUTED_VALUE"""),"08.03.2024")</f>
        <v>08.03.2024</v>
      </c>
      <c r="C359" s="1" t="str">
        <f ca="1">IFERROR(__xludf.DUMMYFUNCTION("""COMPUTED_VALUE"""),"глина огнеупорная")</f>
        <v>глина огнеупорная</v>
      </c>
      <c r="D359" s="1" t="str">
        <f ca="1">IFERROR(__xludf.DUMMYFUNCTION("""COMPUTED_VALUE"""),"42,10")</f>
        <v>42,10</v>
      </c>
      <c r="E359" s="1" t="str">
        <f ca="1">IFERROR(__xludf.DUMMYFUNCTION("""COMPUTED_VALUE"""),"Серпков Василий Николаевич")</f>
        <v>Серпков Василий Николаевич</v>
      </c>
      <c r="F359" s="1" t="str">
        <f ca="1">IFERROR(__xludf.DUMMYFUNCTION("""COMPUTED_VALUE"""),"МЕРСЕДЕС")</f>
        <v>МЕРСЕДЕС</v>
      </c>
      <c r="G359" s="1" t="str">
        <f ca="1">IFERROR(__xludf.DUMMYFUNCTION("""COMPUTED_VALUE"""),"О929ОА196")</f>
        <v>О929ОА196</v>
      </c>
      <c r="H35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5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59" s="1" t="str">
        <f ca="1">IFERROR(__xludf.DUMMYFUNCTION("""COMPUTED_VALUE"""),"42,100")</f>
        <v>42,100</v>
      </c>
      <c r="K359" s="1" t="str">
        <f ca="1">IFERROR(__xludf.DUMMYFUNCTION("""COMPUTED_VALUE"""),"АТУ")</f>
        <v>АТУ</v>
      </c>
    </row>
    <row r="360" spans="1:11" ht="13" x14ac:dyDescent="0.3">
      <c r="A360" s="1" t="str">
        <f ca="1">IFERROR(__xludf.DUMMYFUNCTION("""COMPUTED_VALUE"""),"128")</f>
        <v>128</v>
      </c>
      <c r="B360" s="1" t="str">
        <f ca="1">IFERROR(__xludf.DUMMYFUNCTION("""COMPUTED_VALUE"""),"08.03.2024")</f>
        <v>08.03.2024</v>
      </c>
      <c r="C360" s="1" t="str">
        <f ca="1">IFERROR(__xludf.DUMMYFUNCTION("""COMPUTED_VALUE"""),"Руда")</f>
        <v>Руда</v>
      </c>
      <c r="D360" s="1" t="str">
        <f ca="1">IFERROR(__xludf.DUMMYFUNCTION("""COMPUTED_VALUE"""),"43,05")</f>
        <v>43,05</v>
      </c>
      <c r="E360" s="1" t="str">
        <f ca="1">IFERROR(__xludf.DUMMYFUNCTION("""COMPUTED_VALUE"""),"Марусов Владимир Анатольевич")</f>
        <v>Марусов Владимир Анатольевич</v>
      </c>
      <c r="F360" s="1" t="str">
        <f ca="1">IFERROR(__xludf.DUMMYFUNCTION("""COMPUTED_VALUE"""),"МЕРСЕДЕС")</f>
        <v>МЕРСЕДЕС</v>
      </c>
      <c r="G360" s="1" t="str">
        <f ca="1">IFERROR(__xludf.DUMMYFUNCTION("""COMPUTED_VALUE"""),"О740ОН196")</f>
        <v>О740ОН196</v>
      </c>
      <c r="H36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60" s="1" t="str">
        <f ca="1">IFERROR(__xludf.DUMMYFUNCTION("""COMPUTED_VALUE"""),"г. Гай, ПАО ""Гайский ГОК""")</f>
        <v>г. Гай, ПАО "Гайский ГОК"</v>
      </c>
      <c r="J360" s="1" t="str">
        <f ca="1">IFERROR(__xludf.DUMMYFUNCTION("""COMPUTED_VALUE"""),"43,050")</f>
        <v>43,050</v>
      </c>
      <c r="K360" s="1" t="str">
        <f ca="1">IFERROR(__xludf.DUMMYFUNCTION("""COMPUTED_VALUE"""),"Башкирская Медь")</f>
        <v>Башкирская Медь</v>
      </c>
    </row>
    <row r="361" spans="1:11" ht="13" x14ac:dyDescent="0.3">
      <c r="A361" s="1" t="str">
        <f ca="1">IFERROR(__xludf.DUMMYFUNCTION("""COMPUTED_VALUE"""),"АТУК2403059")</f>
        <v>АТУК2403059</v>
      </c>
      <c r="B361" s="1" t="str">
        <f ca="1">IFERROR(__xludf.DUMMYFUNCTION("""COMPUTED_VALUE"""),"08.03.2024")</f>
        <v>08.03.2024</v>
      </c>
      <c r="C361" s="1" t="str">
        <f ca="1">IFERROR(__xludf.DUMMYFUNCTION("""COMPUTED_VALUE"""),"глина огнеупорная")</f>
        <v>глина огнеупорная</v>
      </c>
      <c r="D361" s="1" t="str">
        <f ca="1">IFERROR(__xludf.DUMMYFUNCTION("""COMPUTED_VALUE"""),"56,70")</f>
        <v>56,70</v>
      </c>
      <c r="E361" s="1" t="str">
        <f ca="1">IFERROR(__xludf.DUMMYFUNCTION("""COMPUTED_VALUE"""),"Марьин Андрей Геннадьевич")</f>
        <v>Марьин Андрей Геннадьевич</v>
      </c>
      <c r="F361" s="1" t="str">
        <f ca="1">IFERROR(__xludf.DUMMYFUNCTION("""COMPUTED_VALUE"""),"ВОЛЬВО")</f>
        <v>ВОЛЬВО</v>
      </c>
      <c r="G361" s="1" t="str">
        <f ca="1">IFERROR(__xludf.DUMMYFUNCTION("""COMPUTED_VALUE"""),"Н180ТС196")</f>
        <v>Н180ТС196</v>
      </c>
      <c r="H36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6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61" s="1" t="str">
        <f ca="1">IFERROR(__xludf.DUMMYFUNCTION("""COMPUTED_VALUE"""),"56,700")</f>
        <v>56,700</v>
      </c>
      <c r="K361" s="1" t="str">
        <f ca="1">IFERROR(__xludf.DUMMYFUNCTION("""COMPUTED_VALUE"""),"АТУ")</f>
        <v>АТУ</v>
      </c>
    </row>
    <row r="362" spans="1:11" ht="13" x14ac:dyDescent="0.3">
      <c r="A362" s="1" t="str">
        <f ca="1">IFERROR(__xludf.DUMMYFUNCTION("""COMPUTED_VALUE"""),"133")</f>
        <v>133</v>
      </c>
      <c r="B362" s="1" t="str">
        <f ca="1">IFERROR(__xludf.DUMMYFUNCTION("""COMPUTED_VALUE"""),"08.03.2024")</f>
        <v>08.03.2024</v>
      </c>
      <c r="C362" s="1" t="str">
        <f ca="1">IFERROR(__xludf.DUMMYFUNCTION("""COMPUTED_VALUE"""),"Руда")</f>
        <v>Руда</v>
      </c>
      <c r="D362" s="1" t="str">
        <f ca="1">IFERROR(__xludf.DUMMYFUNCTION("""COMPUTED_VALUE"""),"41,50")</f>
        <v>41,50</v>
      </c>
      <c r="E362" s="1" t="str">
        <f ca="1">IFERROR(__xludf.DUMMYFUNCTION("""COMPUTED_VALUE"""),"Байгужин Фаниль Джамалович")</f>
        <v>Байгужин Фаниль Джамалович</v>
      </c>
      <c r="F362" s="1" t="str">
        <f ca="1">IFERROR(__xludf.DUMMYFUNCTION("""COMPUTED_VALUE"""),"МЕРСЕДЕС")</f>
        <v>МЕРСЕДЕС</v>
      </c>
      <c r="G362" s="1" t="str">
        <f ca="1">IFERROR(__xludf.DUMMYFUNCTION("""COMPUTED_VALUE"""),"О691НН196")</f>
        <v>О691НН196</v>
      </c>
      <c r="H36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62" s="1" t="str">
        <f ca="1">IFERROR(__xludf.DUMMYFUNCTION("""COMPUTED_VALUE"""),"г. Гай, ПАО ""Гайский ГОК""")</f>
        <v>г. Гай, ПАО "Гайский ГОК"</v>
      </c>
      <c r="J362" s="1" t="str">
        <f ca="1">IFERROR(__xludf.DUMMYFUNCTION("""COMPUTED_VALUE"""),"41,500")</f>
        <v>41,500</v>
      </c>
      <c r="K362" s="1" t="str">
        <f ca="1">IFERROR(__xludf.DUMMYFUNCTION("""COMPUTED_VALUE"""),"Башкирская Медь")</f>
        <v>Башкирская Медь</v>
      </c>
    </row>
    <row r="363" spans="1:11" ht="13" x14ac:dyDescent="0.3">
      <c r="A363" s="1" t="str">
        <f ca="1">IFERROR(__xludf.DUMMYFUNCTION("""COMPUTED_VALUE"""),"АТУК2403060")</f>
        <v>АТУК2403060</v>
      </c>
      <c r="B363" s="1" t="str">
        <f ca="1">IFERROR(__xludf.DUMMYFUNCTION("""COMPUTED_VALUE"""),"08.03.2024")</f>
        <v>08.03.2024</v>
      </c>
      <c r="C363" s="1" t="str">
        <f ca="1">IFERROR(__xludf.DUMMYFUNCTION("""COMPUTED_VALUE"""),"глина огнеупорная")</f>
        <v>глина огнеупорная</v>
      </c>
      <c r="D363" s="1" t="str">
        <f ca="1">IFERROR(__xludf.DUMMYFUNCTION("""COMPUTED_VALUE"""),"44,65")</f>
        <v>44,65</v>
      </c>
      <c r="E363" s="1" t="str">
        <f ca="1">IFERROR(__xludf.DUMMYFUNCTION("""COMPUTED_VALUE"""),"Буляков Альберт Сальманович")</f>
        <v>Буляков Альберт Сальманович</v>
      </c>
      <c r="F363" s="1" t="str">
        <f ca="1">IFERROR(__xludf.DUMMYFUNCTION("""COMPUTED_VALUE"""),"МЕРСЕДЕС")</f>
        <v>МЕРСЕДЕС</v>
      </c>
      <c r="G363" s="1" t="str">
        <f ca="1">IFERROR(__xludf.DUMMYFUNCTION("""COMPUTED_VALUE"""),"О840РХ196")</f>
        <v>О840РХ196</v>
      </c>
      <c r="H36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6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63" s="1" t="str">
        <f ca="1">IFERROR(__xludf.DUMMYFUNCTION("""COMPUTED_VALUE"""),"44,650")</f>
        <v>44,650</v>
      </c>
      <c r="K363" s="1" t="str">
        <f ca="1">IFERROR(__xludf.DUMMYFUNCTION("""COMPUTED_VALUE"""),"АТУ")</f>
        <v>АТУ</v>
      </c>
    </row>
    <row r="364" spans="1:11" ht="13" x14ac:dyDescent="0.3">
      <c r="A364" s="1" t="str">
        <f ca="1">IFERROR(__xludf.DUMMYFUNCTION("""COMPUTED_VALUE"""),"126")</f>
        <v>126</v>
      </c>
      <c r="B364" s="1" t="str">
        <f ca="1">IFERROR(__xludf.DUMMYFUNCTION("""COMPUTED_VALUE"""),"08.03.2024")</f>
        <v>08.03.2024</v>
      </c>
      <c r="C364" s="1" t="str">
        <f ca="1">IFERROR(__xludf.DUMMYFUNCTION("""COMPUTED_VALUE"""),"Руда")</f>
        <v>Руда</v>
      </c>
      <c r="D364" s="1" t="str">
        <f ca="1">IFERROR(__xludf.DUMMYFUNCTION("""COMPUTED_VALUE"""),"41,00")</f>
        <v>41,00</v>
      </c>
      <c r="E364" s="1" t="str">
        <f ca="1">IFERROR(__xludf.DUMMYFUNCTION("""COMPUTED_VALUE"""),"Сторожев Сергей Александрович")</f>
        <v>Сторожев Сергей Александрович</v>
      </c>
      <c r="F364" s="1" t="str">
        <f ca="1">IFERROR(__xludf.DUMMYFUNCTION("""COMPUTED_VALUE"""),"МЕРСЕДЕС")</f>
        <v>МЕРСЕДЕС</v>
      </c>
      <c r="G364" s="1" t="str">
        <f ca="1">IFERROR(__xludf.DUMMYFUNCTION("""COMPUTED_VALUE"""),"О135ОУ196")</f>
        <v>О135ОУ196</v>
      </c>
      <c r="H36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64" s="1" t="str">
        <f ca="1">IFERROR(__xludf.DUMMYFUNCTION("""COMPUTED_VALUE"""),"г. Гай, ПАО ""Гайский ГОК""")</f>
        <v>г. Гай, ПАО "Гайский ГОК"</v>
      </c>
      <c r="J364" s="1" t="str">
        <f ca="1">IFERROR(__xludf.DUMMYFUNCTION("""COMPUTED_VALUE"""),"41,000")</f>
        <v>41,000</v>
      </c>
      <c r="K364" s="1" t="str">
        <f ca="1">IFERROR(__xludf.DUMMYFUNCTION("""COMPUTED_VALUE"""),"Башкирская Медь")</f>
        <v>Башкирская Медь</v>
      </c>
    </row>
    <row r="365" spans="1:11" ht="13" x14ac:dyDescent="0.3">
      <c r="A365" s="1" t="str">
        <f ca="1">IFERROR(__xludf.DUMMYFUNCTION("""COMPUTED_VALUE"""),"АТУК2403061")</f>
        <v>АТУК2403061</v>
      </c>
      <c r="B365" s="1" t="str">
        <f ca="1">IFERROR(__xludf.DUMMYFUNCTION("""COMPUTED_VALUE"""),"08.03.2024")</f>
        <v>08.03.2024</v>
      </c>
      <c r="C365" s="1" t="str">
        <f ca="1">IFERROR(__xludf.DUMMYFUNCTION("""COMPUTED_VALUE"""),"глина огнеупорная")</f>
        <v>глина огнеупорная</v>
      </c>
      <c r="D365" s="1" t="str">
        <f ca="1">IFERROR(__xludf.DUMMYFUNCTION("""COMPUTED_VALUE"""),"43,55")</f>
        <v>43,55</v>
      </c>
      <c r="E365" s="1" t="str">
        <f ca="1">IFERROR(__xludf.DUMMYFUNCTION("""COMPUTED_VALUE"""),"Поздняков Максим Валерьевич")</f>
        <v>Поздняков Максим Валерьевич</v>
      </c>
      <c r="F365" s="1" t="str">
        <f ca="1">IFERROR(__xludf.DUMMYFUNCTION("""COMPUTED_VALUE"""),"МЕРСЕДЕС")</f>
        <v>МЕРСЕДЕС</v>
      </c>
      <c r="G365" s="1" t="str">
        <f ca="1">IFERROR(__xludf.DUMMYFUNCTION("""COMPUTED_VALUE"""),"О208ОМ196")</f>
        <v>О208ОМ196</v>
      </c>
      <c r="H36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6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65" s="1" t="str">
        <f ca="1">IFERROR(__xludf.DUMMYFUNCTION("""COMPUTED_VALUE"""),"43,550")</f>
        <v>43,550</v>
      </c>
      <c r="K365" s="1" t="str">
        <f ca="1">IFERROR(__xludf.DUMMYFUNCTION("""COMPUTED_VALUE"""),"АТУ")</f>
        <v>АТУ</v>
      </c>
    </row>
    <row r="366" spans="1:11" ht="13" x14ac:dyDescent="0.3">
      <c r="A366" s="1" t="str">
        <f ca="1">IFERROR(__xludf.DUMMYFUNCTION("""COMPUTED_VALUE"""),"113")</f>
        <v>113</v>
      </c>
      <c r="B366" s="1" t="str">
        <f ca="1">IFERROR(__xludf.DUMMYFUNCTION("""COMPUTED_VALUE"""),"08.03.2024")</f>
        <v>08.03.2024</v>
      </c>
      <c r="C366" s="1" t="str">
        <f ca="1">IFERROR(__xludf.DUMMYFUNCTION("""COMPUTED_VALUE"""),"Руда")</f>
        <v>Руда</v>
      </c>
      <c r="D366" s="1" t="str">
        <f ca="1">IFERROR(__xludf.DUMMYFUNCTION("""COMPUTED_VALUE"""),"45,75")</f>
        <v>45,75</v>
      </c>
      <c r="E366" s="1" t="str">
        <f ca="1">IFERROR(__xludf.DUMMYFUNCTION("""COMPUTED_VALUE"""),"Маслаков Андрей Владимирович")</f>
        <v>Маслаков Андрей Владимирович</v>
      </c>
      <c r="F366" s="1" t="str">
        <f ca="1">IFERROR(__xludf.DUMMYFUNCTION("""COMPUTED_VALUE"""),"ВОЛЬВО")</f>
        <v>ВОЛЬВО</v>
      </c>
      <c r="G366" s="1" t="str">
        <f ca="1">IFERROR(__xludf.DUMMYFUNCTION("""COMPUTED_VALUE"""),"О158ОХ196")</f>
        <v>О158ОХ196</v>
      </c>
      <c r="H36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66" s="1" t="str">
        <f ca="1">IFERROR(__xludf.DUMMYFUNCTION("""COMPUTED_VALUE"""),"г. Гай, ПАО ""Гайский ГОК""")</f>
        <v>г. Гай, ПАО "Гайский ГОК"</v>
      </c>
      <c r="J366" s="1" t="str">
        <f ca="1">IFERROR(__xludf.DUMMYFUNCTION("""COMPUTED_VALUE"""),"45,750")</f>
        <v>45,750</v>
      </c>
      <c r="K366" s="1" t="str">
        <f ca="1">IFERROR(__xludf.DUMMYFUNCTION("""COMPUTED_VALUE"""),"Башкирская Медь")</f>
        <v>Башкирская Медь</v>
      </c>
    </row>
    <row r="367" spans="1:11" ht="13" x14ac:dyDescent="0.3">
      <c r="A367" s="1" t="str">
        <f ca="1">IFERROR(__xludf.DUMMYFUNCTION("""COMPUTED_VALUE"""),"141")</f>
        <v>141</v>
      </c>
      <c r="B367" s="1" t="str">
        <f ca="1">IFERROR(__xludf.DUMMYFUNCTION("""COMPUTED_VALUE"""),"08.03.2024")</f>
        <v>08.03.2024</v>
      </c>
      <c r="C367" s="1" t="str">
        <f ca="1">IFERROR(__xludf.DUMMYFUNCTION("""COMPUTED_VALUE"""),"Руда")</f>
        <v>Руда</v>
      </c>
      <c r="D367" s="1" t="str">
        <f ca="1">IFERROR(__xludf.DUMMYFUNCTION("""COMPUTED_VALUE"""),"41,80")</f>
        <v>41,80</v>
      </c>
      <c r="E367" s="1" t="str">
        <f ca="1">IFERROR(__xludf.DUMMYFUNCTION("""COMPUTED_VALUE"""),"Маслаков Андрей Владимирович")</f>
        <v>Маслаков Андрей Владимирович</v>
      </c>
      <c r="F367" s="1" t="str">
        <f ca="1">IFERROR(__xludf.DUMMYFUNCTION("""COMPUTED_VALUE"""),"ВОЛЬВО")</f>
        <v>ВОЛЬВО</v>
      </c>
      <c r="G367" s="1" t="str">
        <f ca="1">IFERROR(__xludf.DUMMYFUNCTION("""COMPUTED_VALUE"""),"О158ОХ196")</f>
        <v>О158ОХ196</v>
      </c>
      <c r="H36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67" s="1" t="str">
        <f ca="1">IFERROR(__xludf.DUMMYFUNCTION("""COMPUTED_VALUE"""),"г. Гай, ПАО ""Гайский ГОК""")</f>
        <v>г. Гай, ПАО "Гайский ГОК"</v>
      </c>
      <c r="J367" s="1" t="str">
        <f ca="1">IFERROR(__xludf.DUMMYFUNCTION("""COMPUTED_VALUE"""),"41,800")</f>
        <v>41,800</v>
      </c>
      <c r="K367" s="1" t="str">
        <f ca="1">IFERROR(__xludf.DUMMYFUNCTION("""COMPUTED_VALUE"""),"Башкирская Медь")</f>
        <v>Башкирская Медь</v>
      </c>
    </row>
    <row r="368" spans="1:11" ht="13" x14ac:dyDescent="0.3">
      <c r="A368" s="1" t="str">
        <f ca="1">IFERROR(__xludf.DUMMYFUNCTION("""COMPUTED_VALUE"""),"АТУК2403062")</f>
        <v>АТУК2403062</v>
      </c>
      <c r="B368" s="1" t="str">
        <f ca="1">IFERROR(__xludf.DUMMYFUNCTION("""COMPUTED_VALUE"""),"08.03.2024")</f>
        <v>08.03.2024</v>
      </c>
      <c r="C368" s="1" t="str">
        <f ca="1">IFERROR(__xludf.DUMMYFUNCTION("""COMPUTED_VALUE"""),"глина огнеупорная")</f>
        <v>глина огнеупорная</v>
      </c>
      <c r="D368" s="1" t="str">
        <f ca="1">IFERROR(__xludf.DUMMYFUNCTION("""COMPUTED_VALUE"""),"48,70")</f>
        <v>48,70</v>
      </c>
      <c r="E368" s="1" t="str">
        <f ca="1">IFERROR(__xludf.DUMMYFUNCTION("""COMPUTED_VALUE"""),"Ахунов Алексей Анатольевич")</f>
        <v>Ахунов Алексей Анатольевич</v>
      </c>
      <c r="F368" s="1" t="str">
        <f ca="1">IFERROR(__xludf.DUMMYFUNCTION("""COMPUTED_VALUE"""),"ВОЛЬВО")</f>
        <v>ВОЛЬВО</v>
      </c>
      <c r="G368" s="1" t="str">
        <f ca="1">IFERROR(__xludf.DUMMYFUNCTION("""COMPUTED_VALUE"""),"О246РС196")</f>
        <v>О246РС196</v>
      </c>
      <c r="H36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6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68" s="1" t="str">
        <f ca="1">IFERROR(__xludf.DUMMYFUNCTION("""COMPUTED_VALUE"""),"48,700")</f>
        <v>48,700</v>
      </c>
      <c r="K368" s="1" t="str">
        <f ca="1">IFERROR(__xludf.DUMMYFUNCTION("""COMPUTED_VALUE"""),"АТУ")</f>
        <v>АТУ</v>
      </c>
    </row>
    <row r="369" spans="1:11" ht="13" x14ac:dyDescent="0.3">
      <c r="A369" s="1" t="str">
        <f ca="1">IFERROR(__xludf.DUMMYFUNCTION("""COMPUTED_VALUE"""),"129")</f>
        <v>129</v>
      </c>
      <c r="B369" s="1" t="str">
        <f ca="1">IFERROR(__xludf.DUMMYFUNCTION("""COMPUTED_VALUE"""),"08.03.2024")</f>
        <v>08.03.2024</v>
      </c>
      <c r="C369" s="1" t="str">
        <f ca="1">IFERROR(__xludf.DUMMYFUNCTION("""COMPUTED_VALUE"""),"Руда")</f>
        <v>Руда</v>
      </c>
      <c r="D369" s="1" t="str">
        <f ca="1">IFERROR(__xludf.DUMMYFUNCTION("""COMPUTED_VALUE"""),"43,60")</f>
        <v>43,60</v>
      </c>
      <c r="E369" s="1" t="str">
        <f ca="1">IFERROR(__xludf.DUMMYFUNCTION("""COMPUTED_VALUE"""),"Миранков Владимир Васильевич")</f>
        <v>Миранков Владимир Васильевич</v>
      </c>
      <c r="F369" s="1" t="str">
        <f ca="1">IFERROR(__xludf.DUMMYFUNCTION("""COMPUTED_VALUE"""),"МЕРСЕДЕС")</f>
        <v>МЕРСЕДЕС</v>
      </c>
      <c r="G369" s="1" t="str">
        <f ca="1">IFERROR(__xludf.DUMMYFUNCTION("""COMPUTED_VALUE"""),"О951НУ196")</f>
        <v>О951НУ196</v>
      </c>
      <c r="H369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69" s="1" t="str">
        <f ca="1">IFERROR(__xludf.DUMMYFUNCTION("""COMPUTED_VALUE"""),"г. Гай, ПАО ""Гайский ГОК""")</f>
        <v>г. Гай, ПАО "Гайский ГОК"</v>
      </c>
      <c r="J369" s="1" t="str">
        <f ca="1">IFERROR(__xludf.DUMMYFUNCTION("""COMPUTED_VALUE"""),"43,600")</f>
        <v>43,600</v>
      </c>
      <c r="K369" s="1" t="str">
        <f ca="1">IFERROR(__xludf.DUMMYFUNCTION("""COMPUTED_VALUE"""),"Башкирская Медь")</f>
        <v>Башкирская Медь</v>
      </c>
    </row>
    <row r="370" spans="1:11" ht="13" x14ac:dyDescent="0.3">
      <c r="A370" s="1" t="str">
        <f ca="1">IFERROR(__xludf.DUMMYFUNCTION("""COMPUTED_VALUE"""),"142")</f>
        <v>142</v>
      </c>
      <c r="B370" s="1" t="str">
        <f ca="1">IFERROR(__xludf.DUMMYFUNCTION("""COMPUTED_VALUE"""),"08.03.2024")</f>
        <v>08.03.2024</v>
      </c>
      <c r="C370" s="1" t="str">
        <f ca="1">IFERROR(__xludf.DUMMYFUNCTION("""COMPUTED_VALUE"""),"Руда")</f>
        <v>Руда</v>
      </c>
      <c r="D370" s="1" t="str">
        <f ca="1">IFERROR(__xludf.DUMMYFUNCTION("""COMPUTED_VALUE"""),"44,70")</f>
        <v>44,70</v>
      </c>
      <c r="E370" s="1" t="str">
        <f ca="1">IFERROR(__xludf.DUMMYFUNCTION("""COMPUTED_VALUE"""),"Головлёв Артём Евгеньевич")</f>
        <v>Головлёв Артём Евгеньевич</v>
      </c>
      <c r="F370" s="1" t="str">
        <f ca="1">IFERROR(__xludf.DUMMYFUNCTION("""COMPUTED_VALUE"""),"ВОЛЬВО")</f>
        <v>ВОЛЬВО</v>
      </c>
      <c r="G370" s="1" t="str">
        <f ca="1">IFERROR(__xludf.DUMMYFUNCTION("""COMPUTED_VALUE"""),"О411ОА196
")</f>
        <v xml:space="preserve">О411ОА196
</v>
      </c>
      <c r="H370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0" s="1" t="str">
        <f ca="1">IFERROR(__xludf.DUMMYFUNCTION("""COMPUTED_VALUE"""),"г. Гай, ПАО ""Гайский ГОК""")</f>
        <v>г. Гай, ПАО "Гайский ГОК"</v>
      </c>
      <c r="J370" s="1" t="str">
        <f ca="1">IFERROR(__xludf.DUMMYFUNCTION("""COMPUTED_VALUE"""),"44,700")</f>
        <v>44,700</v>
      </c>
      <c r="K370" s="1" t="str">
        <f ca="1">IFERROR(__xludf.DUMMYFUNCTION("""COMPUTED_VALUE"""),"Башкирская Медь")</f>
        <v>Башкирская Медь</v>
      </c>
    </row>
    <row r="371" spans="1:11" ht="13" x14ac:dyDescent="0.3">
      <c r="A371" s="1" t="str">
        <f ca="1">IFERROR(__xludf.DUMMYFUNCTION("""COMPUTED_VALUE"""),"112")</f>
        <v>112</v>
      </c>
      <c r="B371" s="1" t="str">
        <f ca="1">IFERROR(__xludf.DUMMYFUNCTION("""COMPUTED_VALUE"""),"08.03.2024")</f>
        <v>08.03.2024</v>
      </c>
      <c r="C371" s="1" t="str">
        <f ca="1">IFERROR(__xludf.DUMMYFUNCTION("""COMPUTED_VALUE"""),"Руда")</f>
        <v>Руда</v>
      </c>
      <c r="D371" s="1" t="str">
        <f ca="1">IFERROR(__xludf.DUMMYFUNCTION("""COMPUTED_VALUE"""),"44,40")</f>
        <v>44,40</v>
      </c>
      <c r="E371" s="1" t="str">
        <f ca="1">IFERROR(__xludf.DUMMYFUNCTION("""COMPUTED_VALUE"""),"Головлёв Артём Евгеньевич")</f>
        <v>Головлёв Артём Евгеньевич</v>
      </c>
      <c r="F371" s="1" t="str">
        <f ca="1">IFERROR(__xludf.DUMMYFUNCTION("""COMPUTED_VALUE"""),"ВОЛЬВО")</f>
        <v>ВОЛЬВО</v>
      </c>
      <c r="G371" s="1" t="str">
        <f ca="1">IFERROR(__xludf.DUMMYFUNCTION("""COMPUTED_VALUE"""),"О411ОА196
")</f>
        <v xml:space="preserve">О411ОА196
</v>
      </c>
      <c r="H37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1" s="1" t="str">
        <f ca="1">IFERROR(__xludf.DUMMYFUNCTION("""COMPUTED_VALUE"""),"г. Гай, ПАО ""Гайский ГОК""")</f>
        <v>г. Гай, ПАО "Гайский ГОК"</v>
      </c>
      <c r="J371" s="1" t="str">
        <f ca="1">IFERROR(__xludf.DUMMYFUNCTION("""COMPUTED_VALUE"""),"44,400")</f>
        <v>44,400</v>
      </c>
      <c r="K371" s="1" t="str">
        <f ca="1">IFERROR(__xludf.DUMMYFUNCTION("""COMPUTED_VALUE"""),"Башкирская Медь")</f>
        <v>Башкирская Медь</v>
      </c>
    </row>
    <row r="372" spans="1:11" ht="13" x14ac:dyDescent="0.3">
      <c r="A372" s="1" t="str">
        <f ca="1">IFERROR(__xludf.DUMMYFUNCTION("""COMPUTED_VALUE"""),"АТУК2403063")</f>
        <v>АТУК2403063</v>
      </c>
      <c r="B372" s="1" t="str">
        <f ca="1">IFERROR(__xludf.DUMMYFUNCTION("""COMPUTED_VALUE"""),"08.03.2024")</f>
        <v>08.03.2024</v>
      </c>
      <c r="C372" s="1" t="str">
        <f ca="1">IFERROR(__xludf.DUMMYFUNCTION("""COMPUTED_VALUE"""),"глина огнеупорная")</f>
        <v>глина огнеупорная</v>
      </c>
      <c r="D372" s="1" t="str">
        <f ca="1">IFERROR(__xludf.DUMMYFUNCTION("""COMPUTED_VALUE"""),"40,90")</f>
        <v>40,90</v>
      </c>
      <c r="E372" s="1" t="str">
        <f ca="1">IFERROR(__xludf.DUMMYFUNCTION("""COMPUTED_VALUE"""),"Гибадуллин Амур Хибатович")</f>
        <v>Гибадуллин Амур Хибатович</v>
      </c>
      <c r="F372" s="1" t="str">
        <f ca="1">IFERROR(__xludf.DUMMYFUNCTION("""COMPUTED_VALUE"""),"МЕРСЕДЕС")</f>
        <v>МЕРСЕДЕС</v>
      </c>
      <c r="G372" s="1" t="str">
        <f ca="1">IFERROR(__xludf.DUMMYFUNCTION("""COMPUTED_VALUE"""),"О697НУ196")</f>
        <v>О697НУ196</v>
      </c>
      <c r="H37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7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72" s="1" t="str">
        <f ca="1">IFERROR(__xludf.DUMMYFUNCTION("""COMPUTED_VALUE"""),"40,900")</f>
        <v>40,900</v>
      </c>
      <c r="K372" s="1" t="str">
        <f ca="1">IFERROR(__xludf.DUMMYFUNCTION("""COMPUTED_VALUE"""),"АТУ")</f>
        <v>АТУ</v>
      </c>
    </row>
    <row r="373" spans="1:11" ht="13" x14ac:dyDescent="0.3">
      <c r="A373" s="1" t="str">
        <f ca="1">IFERROR(__xludf.DUMMYFUNCTION("""COMPUTED_VALUE"""),"136")</f>
        <v>136</v>
      </c>
      <c r="B373" s="1" t="str">
        <f ca="1">IFERROR(__xludf.DUMMYFUNCTION("""COMPUTED_VALUE"""),"08.03.2024")</f>
        <v>08.03.2024</v>
      </c>
      <c r="C373" s="1" t="str">
        <f ca="1">IFERROR(__xludf.DUMMYFUNCTION("""COMPUTED_VALUE"""),"Руда")</f>
        <v>Руда</v>
      </c>
      <c r="D373" s="1" t="str">
        <f ca="1">IFERROR(__xludf.DUMMYFUNCTION("""COMPUTED_VALUE"""),"42,55")</f>
        <v>42,55</v>
      </c>
      <c r="E373" s="1" t="str">
        <f ca="1">IFERROR(__xludf.DUMMYFUNCTION("""COMPUTED_VALUE"""),"Аверин Роман Викторович")</f>
        <v>Аверин Роман Викторович</v>
      </c>
      <c r="F373" s="1" t="str">
        <f ca="1">IFERROR(__xludf.DUMMYFUNCTION("""COMPUTED_VALUE"""),"МЕРСЕДЕС")</f>
        <v>МЕРСЕДЕС</v>
      </c>
      <c r="G373" s="1" t="str">
        <f ca="1">IFERROR(__xludf.DUMMYFUNCTION("""COMPUTED_VALUE"""),"О722ОА196")</f>
        <v>О722ОА196</v>
      </c>
      <c r="H37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3" s="1" t="str">
        <f ca="1">IFERROR(__xludf.DUMMYFUNCTION("""COMPUTED_VALUE"""),"г. Гай, ПАО ""Гайский ГОК""")</f>
        <v>г. Гай, ПАО "Гайский ГОК"</v>
      </c>
      <c r="J373" s="1" t="str">
        <f ca="1">IFERROR(__xludf.DUMMYFUNCTION("""COMPUTED_VALUE"""),"42,550")</f>
        <v>42,550</v>
      </c>
      <c r="K373" s="1" t="str">
        <f ca="1">IFERROR(__xludf.DUMMYFUNCTION("""COMPUTED_VALUE"""),"Башкирская Медь")</f>
        <v>Башкирская Медь</v>
      </c>
    </row>
    <row r="374" spans="1:11" ht="13" x14ac:dyDescent="0.3">
      <c r="A374" s="1" t="str">
        <f ca="1">IFERROR(__xludf.DUMMYFUNCTION("""COMPUTED_VALUE"""),"АТУК2403064")</f>
        <v>АТУК2403064</v>
      </c>
      <c r="B374" s="1" t="str">
        <f ca="1">IFERROR(__xludf.DUMMYFUNCTION("""COMPUTED_VALUE"""),"08.03.2024")</f>
        <v>08.03.2024</v>
      </c>
      <c r="C374" s="1" t="str">
        <f ca="1">IFERROR(__xludf.DUMMYFUNCTION("""COMPUTED_VALUE"""),"глина огнеупорная")</f>
        <v>глина огнеупорная</v>
      </c>
      <c r="D374" s="1" t="str">
        <f ca="1">IFERROR(__xludf.DUMMYFUNCTION("""COMPUTED_VALUE"""),"41,05")</f>
        <v>41,05</v>
      </c>
      <c r="E374" s="1" t="str">
        <f ca="1">IFERROR(__xludf.DUMMYFUNCTION("""COMPUTED_VALUE"""),"Хусаинов Расуль Рашитович")</f>
        <v>Хусаинов Расуль Рашитович</v>
      </c>
      <c r="F374" s="1" t="str">
        <f ca="1">IFERROR(__xludf.DUMMYFUNCTION("""COMPUTED_VALUE"""),"МЕРСЕДЕС")</f>
        <v>МЕРСЕДЕС</v>
      </c>
      <c r="G374" s="1" t="str">
        <f ca="1">IFERROR(__xludf.DUMMYFUNCTION("""COMPUTED_VALUE"""),"О305СС196")</f>
        <v>О305СС196</v>
      </c>
      <c r="H37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7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74" s="1" t="str">
        <f ca="1">IFERROR(__xludf.DUMMYFUNCTION("""COMPUTED_VALUE"""),"41,050")</f>
        <v>41,050</v>
      </c>
      <c r="K374" s="1" t="str">
        <f ca="1">IFERROR(__xludf.DUMMYFUNCTION("""COMPUTED_VALUE"""),"АТУ")</f>
        <v>АТУ</v>
      </c>
    </row>
    <row r="375" spans="1:11" ht="13" x14ac:dyDescent="0.3">
      <c r="A375" s="1" t="str">
        <f ca="1">IFERROR(__xludf.DUMMYFUNCTION("""COMPUTED_VALUE"""),"127")</f>
        <v>127</v>
      </c>
      <c r="B375" s="1" t="str">
        <f ca="1">IFERROR(__xludf.DUMMYFUNCTION("""COMPUTED_VALUE"""),"08.03.2024")</f>
        <v>08.03.2024</v>
      </c>
      <c r="C375" s="1" t="str">
        <f ca="1">IFERROR(__xludf.DUMMYFUNCTION("""COMPUTED_VALUE"""),"Руда")</f>
        <v>Руда</v>
      </c>
      <c r="D375" s="1" t="str">
        <f ca="1">IFERROR(__xludf.DUMMYFUNCTION("""COMPUTED_VALUE"""),"40,95")</f>
        <v>40,95</v>
      </c>
      <c r="E375" s="1" t="str">
        <f ca="1">IFERROR(__xludf.DUMMYFUNCTION("""COMPUTED_VALUE"""),"Баландин Александр Александрович")</f>
        <v>Баландин Александр Александрович</v>
      </c>
      <c r="F375" s="1" t="str">
        <f ca="1">IFERROR(__xludf.DUMMYFUNCTION("""COMPUTED_VALUE"""),"МЕРСЕДЕС")</f>
        <v>МЕРСЕДЕС</v>
      </c>
      <c r="G375" s="1" t="str">
        <f ca="1">IFERROR(__xludf.DUMMYFUNCTION("""COMPUTED_VALUE"""),"О756ОК196")</f>
        <v>О756ОК196</v>
      </c>
      <c r="H37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5" s="1" t="str">
        <f ca="1">IFERROR(__xludf.DUMMYFUNCTION("""COMPUTED_VALUE"""),"г. Гай, ПАО ""Гайский ГОК""")</f>
        <v>г. Гай, ПАО "Гайский ГОК"</v>
      </c>
      <c r="J375" s="1" t="str">
        <f ca="1">IFERROR(__xludf.DUMMYFUNCTION("""COMPUTED_VALUE"""),"40,950")</f>
        <v>40,950</v>
      </c>
      <c r="K375" s="1" t="str">
        <f ca="1">IFERROR(__xludf.DUMMYFUNCTION("""COMPUTED_VALUE"""),"Башкирская Медь")</f>
        <v>Башкирская Медь</v>
      </c>
    </row>
    <row r="376" spans="1:11" ht="13" x14ac:dyDescent="0.3">
      <c r="A376" s="1" t="str">
        <f ca="1">IFERROR(__xludf.DUMMYFUNCTION("""COMPUTED_VALUE"""),"135")</f>
        <v>135</v>
      </c>
      <c r="B376" s="1" t="str">
        <f ca="1">IFERROR(__xludf.DUMMYFUNCTION("""COMPUTED_VALUE"""),"09.03.2024")</f>
        <v>09.03.2024</v>
      </c>
      <c r="C376" s="1" t="str">
        <f ca="1">IFERROR(__xludf.DUMMYFUNCTION("""COMPUTED_VALUE"""),"Руда")</f>
        <v>Руда</v>
      </c>
      <c r="D376" s="1" t="str">
        <f ca="1">IFERROR(__xludf.DUMMYFUNCTION("""COMPUTED_VALUE"""),"38,40")</f>
        <v>38,40</v>
      </c>
      <c r="E376" s="1" t="str">
        <f ca="1">IFERROR(__xludf.DUMMYFUNCTION("""COMPUTED_VALUE"""),"Туголуков Максим Александрович")</f>
        <v>Туголуков Максим Александрович</v>
      </c>
      <c r="F376" s="1" t="str">
        <f ca="1">IFERROR(__xludf.DUMMYFUNCTION("""COMPUTED_VALUE"""),"HOWO")</f>
        <v>HOWO</v>
      </c>
      <c r="G376" s="1" t="str">
        <f ca="1">IFERROR(__xludf.DUMMYFUNCTION("""COMPUTED_VALUE"""),"К297ВН774")</f>
        <v>К297ВН774</v>
      </c>
      <c r="H376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6" s="1" t="str">
        <f ca="1">IFERROR(__xludf.DUMMYFUNCTION("""COMPUTED_VALUE"""),"г. Гай, ПАО ""Гайский ГОК""")</f>
        <v>г. Гай, ПАО "Гайский ГОК"</v>
      </c>
      <c r="J376" s="1" t="str">
        <f ca="1">IFERROR(__xludf.DUMMYFUNCTION("""COMPUTED_VALUE"""),"38,400")</f>
        <v>38,400</v>
      </c>
      <c r="K376" s="1" t="str">
        <f ca="1">IFERROR(__xludf.DUMMYFUNCTION("""COMPUTED_VALUE"""),"Башкирская Медь")</f>
        <v>Башкирская Медь</v>
      </c>
    </row>
    <row r="377" spans="1:11" ht="13" x14ac:dyDescent="0.3">
      <c r="A377" s="1" t="str">
        <f ca="1">IFERROR(__xludf.DUMMYFUNCTION("""COMPUTED_VALUE"""),"145")</f>
        <v>145</v>
      </c>
      <c r="B377" s="1" t="str">
        <f ca="1">IFERROR(__xludf.DUMMYFUNCTION("""COMPUTED_VALUE"""),"09.03.2024")</f>
        <v>09.03.2024</v>
      </c>
      <c r="C377" s="1" t="str">
        <f ca="1">IFERROR(__xludf.DUMMYFUNCTION("""COMPUTED_VALUE"""),"Руда")</f>
        <v>Руда</v>
      </c>
      <c r="D377" s="1" t="str">
        <f ca="1">IFERROR(__xludf.DUMMYFUNCTION("""COMPUTED_VALUE"""),"37,65")</f>
        <v>37,65</v>
      </c>
      <c r="E377" s="1" t="str">
        <f ca="1">IFERROR(__xludf.DUMMYFUNCTION("""COMPUTED_VALUE"""),"Петухов Дмитрий Анатольевич")</f>
        <v>Петухов Дмитрий Анатольевич</v>
      </c>
      <c r="F377" s="1" t="str">
        <f ca="1">IFERROR(__xludf.DUMMYFUNCTION("""COMPUTED_VALUE"""),"SHACMAN")</f>
        <v>SHACMAN</v>
      </c>
      <c r="G377" s="1" t="str">
        <f ca="1">IFERROR(__xludf.DUMMYFUNCTION("""COMPUTED_VALUE"""),"У645ВО774")</f>
        <v>У645ВО774</v>
      </c>
      <c r="H377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7" s="1" t="str">
        <f ca="1">IFERROR(__xludf.DUMMYFUNCTION("""COMPUTED_VALUE"""),"г. Гай, ПАО ""Гайский ГОК""")</f>
        <v>г. Гай, ПАО "Гайский ГОК"</v>
      </c>
      <c r="J377" s="1" t="str">
        <f ca="1">IFERROR(__xludf.DUMMYFUNCTION("""COMPUTED_VALUE"""),"37,450")</f>
        <v>37,450</v>
      </c>
      <c r="K377" s="1" t="str">
        <f ca="1">IFERROR(__xludf.DUMMYFUNCTION("""COMPUTED_VALUE"""),"Башкирская Медь")</f>
        <v>Башкирская Медь</v>
      </c>
    </row>
    <row r="378" spans="1:11" ht="13" x14ac:dyDescent="0.3">
      <c r="A378" s="1" t="str">
        <f ca="1">IFERROR(__xludf.DUMMYFUNCTION("""COMPUTED_VALUE"""),"144")</f>
        <v>144</v>
      </c>
      <c r="B378" s="1" t="str">
        <f ca="1">IFERROR(__xludf.DUMMYFUNCTION("""COMPUTED_VALUE"""),"09.03.2024")</f>
        <v>09.03.2024</v>
      </c>
      <c r="C378" s="1" t="str">
        <f ca="1">IFERROR(__xludf.DUMMYFUNCTION("""COMPUTED_VALUE"""),"Руда")</f>
        <v>Руда</v>
      </c>
      <c r="D378" s="1" t="str">
        <f ca="1">IFERROR(__xludf.DUMMYFUNCTION("""COMPUTED_VALUE"""),"40,90")</f>
        <v>40,90</v>
      </c>
      <c r="E378" s="1" t="str">
        <f ca="1">IFERROR(__xludf.DUMMYFUNCTION("""COMPUTED_VALUE"""),"Цюман Евгений Владимирович")</f>
        <v>Цюман Евгений Владимирович</v>
      </c>
      <c r="F378" s="1" t="str">
        <f ca="1">IFERROR(__xludf.DUMMYFUNCTION("""COMPUTED_VALUE"""),"SHACMAN")</f>
        <v>SHACMAN</v>
      </c>
      <c r="G378" s="1" t="str">
        <f ca="1">IFERROR(__xludf.DUMMYFUNCTION("""COMPUTED_VALUE"""),"Х319АЕ774")</f>
        <v>Х319АЕ774</v>
      </c>
      <c r="H378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78" s="1" t="str">
        <f ca="1">IFERROR(__xludf.DUMMYFUNCTION("""COMPUTED_VALUE"""),"г. Гай, ПАО ""Гайский ГОК""")</f>
        <v>г. Гай, ПАО "Гайский ГОК"</v>
      </c>
      <c r="J378" s="1" t="str">
        <f ca="1">IFERROR(__xludf.DUMMYFUNCTION("""COMPUTED_VALUE"""),"41,350")</f>
        <v>41,350</v>
      </c>
      <c r="K378" s="1" t="str">
        <f ca="1">IFERROR(__xludf.DUMMYFUNCTION("""COMPUTED_VALUE"""),"Башкирская Медь")</f>
        <v>Башкирская Медь</v>
      </c>
    </row>
    <row r="379" spans="1:11" ht="13" x14ac:dyDescent="0.3">
      <c r="A379" s="1" t="str">
        <f ca="1">IFERROR(__xludf.DUMMYFUNCTION("""COMPUTED_VALUE"""),"ННКРС33404")</f>
        <v>ННКРС33404</v>
      </c>
      <c r="B379" s="1" t="str">
        <f ca="1">IFERROR(__xludf.DUMMYFUNCTION("""COMPUTED_VALUE"""),"09.03.2024")</f>
        <v>09.03.2024</v>
      </c>
      <c r="C379" s="1" t="str">
        <f ca="1">IFERROR(__xludf.DUMMYFUNCTION("""COMPUTED_VALUE"""),"Отсев фр. 0-5 мм")</f>
        <v>Отсев фр. 0-5 мм</v>
      </c>
      <c r="D379" s="1" t="str">
        <f ca="1">IFERROR(__xludf.DUMMYFUNCTION("""COMPUTED_VALUE"""),"27,10")</f>
        <v>27,10</v>
      </c>
      <c r="E379" s="1" t="str">
        <f ca="1">IFERROR(__xludf.DUMMYFUNCTION("""COMPUTED_VALUE"""),"Аитов Владимир Иванович")</f>
        <v>Аитов Владимир Иванович</v>
      </c>
      <c r="F379" s="1" t="str">
        <f ca="1">IFERROR(__xludf.DUMMYFUNCTION("""COMPUTED_VALUE"""),"HOWO")</f>
        <v>HOWO</v>
      </c>
      <c r="G379" s="1" t="str">
        <f ca="1">IFERROR(__xludf.DUMMYFUNCTION("""COMPUTED_VALUE"""),"О234ВО774")</f>
        <v>О234ВО774</v>
      </c>
      <c r="H379" s="1" t="str">
        <f ca="1">IFERROR(__xludf.DUMMYFUNCTION("""COMPUTED_VALUE"""),"с. Новобурановка")</f>
        <v>с. Новобурановка</v>
      </c>
      <c r="I379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79" s="1" t="str">
        <f ca="1">IFERROR(__xludf.DUMMYFUNCTION("""COMPUTED_VALUE"""),"27,10")</f>
        <v>27,10</v>
      </c>
      <c r="K379" s="1" t="str">
        <f ca="1">IFERROR(__xludf.DUMMYFUNCTION("""COMPUTED_VALUE"""),"ПрокатМонтаж")</f>
        <v>ПрокатМонтаж</v>
      </c>
    </row>
    <row r="380" spans="1:11" ht="13" x14ac:dyDescent="0.3">
      <c r="A380" s="1" t="str">
        <f ca="1">IFERROR(__xludf.DUMMYFUNCTION("""COMPUTED_VALUE"""),"ННКРС33413")</f>
        <v>ННКРС33413</v>
      </c>
      <c r="B380" s="1" t="str">
        <f ca="1">IFERROR(__xludf.DUMMYFUNCTION("""COMPUTED_VALUE"""),"09.03.2024")</f>
        <v>09.03.2024</v>
      </c>
      <c r="C380" s="1" t="str">
        <f ca="1">IFERROR(__xludf.DUMMYFUNCTION("""COMPUTED_VALUE"""),"Отсев фр. 0-5 мм")</f>
        <v>Отсев фр. 0-5 мм</v>
      </c>
      <c r="D380" s="1" t="str">
        <f ca="1">IFERROR(__xludf.DUMMYFUNCTION("""COMPUTED_VALUE"""),"29,10")</f>
        <v>29,10</v>
      </c>
      <c r="E380" s="1" t="str">
        <f ca="1">IFERROR(__xludf.DUMMYFUNCTION("""COMPUTED_VALUE"""),"Аитов Владимир Иванович")</f>
        <v>Аитов Владимир Иванович</v>
      </c>
      <c r="F380" s="1" t="str">
        <f ca="1">IFERROR(__xludf.DUMMYFUNCTION("""COMPUTED_VALUE"""),"HOWO")</f>
        <v>HOWO</v>
      </c>
      <c r="G380" s="1" t="str">
        <f ca="1">IFERROR(__xludf.DUMMYFUNCTION("""COMPUTED_VALUE"""),"О234ВО774")</f>
        <v>О234ВО774</v>
      </c>
      <c r="H380" s="1" t="str">
        <f ca="1">IFERROR(__xludf.DUMMYFUNCTION("""COMPUTED_VALUE"""),"с. Новобурановка")</f>
        <v>с. Новобурановка</v>
      </c>
      <c r="I380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80" s="1" t="str">
        <f ca="1">IFERROR(__xludf.DUMMYFUNCTION("""COMPUTED_VALUE"""),"29,10")</f>
        <v>29,10</v>
      </c>
      <c r="K380" s="1" t="str">
        <f ca="1">IFERROR(__xludf.DUMMYFUNCTION("""COMPUTED_VALUE"""),"ПрокатМонтаж")</f>
        <v>ПрокатМонтаж</v>
      </c>
    </row>
    <row r="381" spans="1:11" ht="13" x14ac:dyDescent="0.3">
      <c r="A381" s="1" t="str">
        <f ca="1">IFERROR(__xludf.DUMMYFUNCTION("""COMPUTED_VALUE"""),"ННКРС33419")</f>
        <v>ННКРС33419</v>
      </c>
      <c r="B381" s="1" t="str">
        <f ca="1">IFERROR(__xludf.DUMMYFUNCTION("""COMPUTED_VALUE"""),"09.03.2024")</f>
        <v>09.03.2024</v>
      </c>
      <c r="C381" s="1" t="str">
        <f ca="1">IFERROR(__xludf.DUMMYFUNCTION("""COMPUTED_VALUE"""),"Отсев фр. 0-5 мм")</f>
        <v>Отсев фр. 0-5 мм</v>
      </c>
      <c r="D381" s="1" t="str">
        <f ca="1">IFERROR(__xludf.DUMMYFUNCTION("""COMPUTED_VALUE"""),"28,85")</f>
        <v>28,85</v>
      </c>
      <c r="E381" s="1" t="str">
        <f ca="1">IFERROR(__xludf.DUMMYFUNCTION("""COMPUTED_VALUE"""),"Аитов Владимир Иванович")</f>
        <v>Аитов Владимир Иванович</v>
      </c>
      <c r="F381" s="1" t="str">
        <f ca="1">IFERROR(__xludf.DUMMYFUNCTION("""COMPUTED_VALUE"""),"HOWO")</f>
        <v>HOWO</v>
      </c>
      <c r="G381" s="1" t="str">
        <f ca="1">IFERROR(__xludf.DUMMYFUNCTION("""COMPUTED_VALUE"""),"О234ВО774")</f>
        <v>О234ВО774</v>
      </c>
      <c r="H381" s="1" t="str">
        <f ca="1">IFERROR(__xludf.DUMMYFUNCTION("""COMPUTED_VALUE"""),"с. Новобурановка")</f>
        <v>с. Новобурановка</v>
      </c>
      <c r="I381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81" s="1" t="str">
        <f ca="1">IFERROR(__xludf.DUMMYFUNCTION("""COMPUTED_VALUE"""),"28,85")</f>
        <v>28,85</v>
      </c>
      <c r="K381" s="1" t="str">
        <f ca="1">IFERROR(__xludf.DUMMYFUNCTION("""COMPUTED_VALUE"""),"ПрокатМонтаж")</f>
        <v>ПрокатМонтаж</v>
      </c>
    </row>
    <row r="382" spans="1:11" ht="13" x14ac:dyDescent="0.3">
      <c r="A382" s="1" t="str">
        <f ca="1">IFERROR(__xludf.DUMMYFUNCTION("""COMPUTED_VALUE"""),"ННКРС33405")</f>
        <v>ННКРС33405</v>
      </c>
      <c r="B382" s="1" t="str">
        <f ca="1">IFERROR(__xludf.DUMMYFUNCTION("""COMPUTED_VALUE"""),"09.03.2024")</f>
        <v>09.03.2024</v>
      </c>
      <c r="C382" s="1" t="str">
        <f ca="1">IFERROR(__xludf.DUMMYFUNCTION("""COMPUTED_VALUE"""),"Отсев фр. 0-5 мм")</f>
        <v>Отсев фр. 0-5 мм</v>
      </c>
      <c r="D382" s="1" t="str">
        <f ca="1">IFERROR(__xludf.DUMMYFUNCTION("""COMPUTED_VALUE"""),"29,40")</f>
        <v>29,40</v>
      </c>
      <c r="E382" s="1" t="str">
        <f ca="1">IFERROR(__xludf.DUMMYFUNCTION("""COMPUTED_VALUE"""),"Ефремов Сергей Михайлович")</f>
        <v>Ефремов Сергей Михайлович</v>
      </c>
      <c r="F382" s="1" t="str">
        <f ca="1">IFERROR(__xludf.DUMMYFUNCTION("""COMPUTED_VALUE"""),"HOWO")</f>
        <v>HOWO</v>
      </c>
      <c r="G382" s="1" t="str">
        <f ca="1">IFERROR(__xludf.DUMMYFUNCTION("""COMPUTED_VALUE"""),"В732АО774")</f>
        <v>В732АО774</v>
      </c>
      <c r="H382" s="1" t="str">
        <f ca="1">IFERROR(__xludf.DUMMYFUNCTION("""COMPUTED_VALUE"""),"с. Новобурановка")</f>
        <v>с. Новобурановка</v>
      </c>
      <c r="I382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82" s="1" t="str">
        <f ca="1">IFERROR(__xludf.DUMMYFUNCTION("""COMPUTED_VALUE"""),"29,40")</f>
        <v>29,40</v>
      </c>
      <c r="K382" s="1" t="str">
        <f ca="1">IFERROR(__xludf.DUMMYFUNCTION("""COMPUTED_VALUE"""),"ПрокатМонтаж")</f>
        <v>ПрокатМонтаж</v>
      </c>
    </row>
    <row r="383" spans="1:11" ht="13" x14ac:dyDescent="0.3">
      <c r="A383" s="1" t="str">
        <f ca="1">IFERROR(__xludf.DUMMYFUNCTION("""COMPUTED_VALUE"""),"ННКРС33412")</f>
        <v>ННКРС33412</v>
      </c>
      <c r="B383" s="1" t="str">
        <f ca="1">IFERROR(__xludf.DUMMYFUNCTION("""COMPUTED_VALUE"""),"09.03.2024")</f>
        <v>09.03.2024</v>
      </c>
      <c r="C383" s="1" t="str">
        <f ca="1">IFERROR(__xludf.DUMMYFUNCTION("""COMPUTED_VALUE"""),"Отсев фр. 0-5 мм")</f>
        <v>Отсев фр. 0-5 мм</v>
      </c>
      <c r="D383" s="1" t="str">
        <f ca="1">IFERROR(__xludf.DUMMYFUNCTION("""COMPUTED_VALUE"""),"30,20")</f>
        <v>30,20</v>
      </c>
      <c r="E383" s="1" t="str">
        <f ca="1">IFERROR(__xludf.DUMMYFUNCTION("""COMPUTED_VALUE"""),"Ефремов Сергей Михайлович")</f>
        <v>Ефремов Сергей Михайлович</v>
      </c>
      <c r="F383" s="1" t="str">
        <f ca="1">IFERROR(__xludf.DUMMYFUNCTION("""COMPUTED_VALUE"""),"HOWO")</f>
        <v>HOWO</v>
      </c>
      <c r="G383" s="1" t="str">
        <f ca="1">IFERROR(__xludf.DUMMYFUNCTION("""COMPUTED_VALUE"""),"В732АО774")</f>
        <v>В732АО774</v>
      </c>
      <c r="H383" s="1" t="str">
        <f ca="1">IFERROR(__xludf.DUMMYFUNCTION("""COMPUTED_VALUE"""),"с. Новобурановка")</f>
        <v>с. Новобурановка</v>
      </c>
      <c r="I383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83" s="1" t="str">
        <f ca="1">IFERROR(__xludf.DUMMYFUNCTION("""COMPUTED_VALUE"""),"30,20")</f>
        <v>30,20</v>
      </c>
      <c r="K383" s="1" t="str">
        <f ca="1">IFERROR(__xludf.DUMMYFUNCTION("""COMPUTED_VALUE"""),"ПрокатМонтаж")</f>
        <v>ПрокатМонтаж</v>
      </c>
    </row>
    <row r="384" spans="1:11" ht="13" x14ac:dyDescent="0.3">
      <c r="A384" s="1" t="str">
        <f ca="1">IFERROR(__xludf.DUMMYFUNCTION("""COMPUTED_VALUE"""),"ННКРС33417")</f>
        <v>ННКРС33417</v>
      </c>
      <c r="B384" s="1" t="str">
        <f ca="1">IFERROR(__xludf.DUMMYFUNCTION("""COMPUTED_VALUE"""),"09.03.2024")</f>
        <v>09.03.2024</v>
      </c>
      <c r="C384" s="1" t="str">
        <f ca="1">IFERROR(__xludf.DUMMYFUNCTION("""COMPUTED_VALUE"""),"Отсев фр. 0-5 мм")</f>
        <v>Отсев фр. 0-5 мм</v>
      </c>
      <c r="D384" s="1" t="str">
        <f ca="1">IFERROR(__xludf.DUMMYFUNCTION("""COMPUTED_VALUE"""),"27,95")</f>
        <v>27,95</v>
      </c>
      <c r="E384" s="1" t="str">
        <f ca="1">IFERROR(__xludf.DUMMYFUNCTION("""COMPUTED_VALUE"""),"Ефремов Сергей Михайлович")</f>
        <v>Ефремов Сергей Михайлович</v>
      </c>
      <c r="F384" s="1" t="str">
        <f ca="1">IFERROR(__xludf.DUMMYFUNCTION("""COMPUTED_VALUE"""),"HOWO")</f>
        <v>HOWO</v>
      </c>
      <c r="G384" s="1" t="str">
        <f ca="1">IFERROR(__xludf.DUMMYFUNCTION("""COMPUTED_VALUE"""),"В732АО774")</f>
        <v>В732АО774</v>
      </c>
      <c r="H384" s="1" t="str">
        <f ca="1">IFERROR(__xludf.DUMMYFUNCTION("""COMPUTED_VALUE"""),"с. Новобурановка")</f>
        <v>с. Новобурановка</v>
      </c>
      <c r="I384" s="1" t="str">
        <f ca="1">IFERROR(__xludf.DUMMYFUNCTION("""COMPUTED_VALUE"""),"БРУ ""Прокатмонтаж"" г. Магнитогорск, ул. Среднеуральская, 15")</f>
        <v>БРУ "Прокатмонтаж" г. Магнитогорск, ул. Среднеуральская, 15</v>
      </c>
      <c r="J384" s="1" t="str">
        <f ca="1">IFERROR(__xludf.DUMMYFUNCTION("""COMPUTED_VALUE"""),"27,95")</f>
        <v>27,95</v>
      </c>
      <c r="K384" s="1" t="str">
        <f ca="1">IFERROR(__xludf.DUMMYFUNCTION("""COMPUTED_VALUE"""),"ПрокатМонтаж")</f>
        <v>ПрокатМонтаж</v>
      </c>
    </row>
    <row r="385" spans="1:11" ht="13" x14ac:dyDescent="0.3">
      <c r="A385" s="1" t="str">
        <f ca="1">IFERROR(__xludf.DUMMYFUNCTION("""COMPUTED_VALUE"""),"2613")</f>
        <v>2613</v>
      </c>
      <c r="B385" s="1" t="str">
        <f ca="1">IFERROR(__xludf.DUMMYFUNCTION("""COMPUTED_VALUE"""),"09.03.2024")</f>
        <v>09.03.2024</v>
      </c>
      <c r="C385" s="1" t="str">
        <f ca="1">IFERROR(__xludf.DUMMYFUNCTION("""COMPUTED_VALUE"""),"глина огнеупорная")</f>
        <v>глина огнеупорная</v>
      </c>
      <c r="D385" s="1" t="str">
        <f ca="1">IFERROR(__xludf.DUMMYFUNCTION("""COMPUTED_VALUE"""),"36,48")</f>
        <v>36,48</v>
      </c>
      <c r="E385" s="1" t="str">
        <f ca="1">IFERROR(__xludf.DUMMYFUNCTION("""COMPUTED_VALUE"""),"Руковицын Виктор Анатольевич")</f>
        <v>Руковицын Виктор Анатольевич</v>
      </c>
      <c r="F385" s="1" t="str">
        <f ca="1">IFERROR(__xludf.DUMMYFUNCTION("""COMPUTED_VALUE"""),"FAW")</f>
        <v>FAW</v>
      </c>
      <c r="G385" s="1" t="str">
        <f ca="1">IFERROR(__xludf.DUMMYFUNCTION("""COMPUTED_VALUE"""),"С621КМ774")</f>
        <v>С621КМ774</v>
      </c>
      <c r="H385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8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85" s="1" t="str">
        <f ca="1">IFERROR(__xludf.DUMMYFUNCTION("""COMPUTED_VALUE"""),"36,48")</f>
        <v>36,48</v>
      </c>
      <c r="K385" s="1" t="str">
        <f ca="1">IFERROR(__xludf.DUMMYFUNCTION("""COMPUTED_VALUE"""),"АТУ")</f>
        <v>АТУ</v>
      </c>
    </row>
    <row r="386" spans="1:11" ht="13" x14ac:dyDescent="0.3">
      <c r="A386" s="1" t="str">
        <f ca="1">IFERROR(__xludf.DUMMYFUNCTION("""COMPUTED_VALUE"""),"2601")</f>
        <v>2601</v>
      </c>
      <c r="B386" s="1" t="str">
        <f ca="1">IFERROR(__xludf.DUMMYFUNCTION("""COMPUTED_VALUE"""),"09.03.2024")</f>
        <v>09.03.2024</v>
      </c>
      <c r="C386" s="1" t="str">
        <f ca="1">IFERROR(__xludf.DUMMYFUNCTION("""COMPUTED_VALUE"""),"глина огнеупорная")</f>
        <v>глина огнеупорная</v>
      </c>
      <c r="D386" s="1" t="str">
        <f ca="1">IFERROR(__xludf.DUMMYFUNCTION("""COMPUTED_VALUE"""),"34,30")</f>
        <v>34,30</v>
      </c>
      <c r="E386" s="1" t="str">
        <f ca="1">IFERROR(__xludf.DUMMYFUNCTION("""COMPUTED_VALUE"""),"Руковицын Виктор Анатольевич")</f>
        <v>Руковицын Виктор Анатольевич</v>
      </c>
      <c r="F386" s="1" t="str">
        <f ca="1">IFERROR(__xludf.DUMMYFUNCTION("""COMPUTED_VALUE"""),"FAW")</f>
        <v>FAW</v>
      </c>
      <c r="G386" s="1" t="str">
        <f ca="1">IFERROR(__xludf.DUMMYFUNCTION("""COMPUTED_VALUE"""),"С621КМ774")</f>
        <v>С621КМ774</v>
      </c>
      <c r="H386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8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86" s="1" t="str">
        <f ca="1">IFERROR(__xludf.DUMMYFUNCTION("""COMPUTED_VALUE"""),"34,30")</f>
        <v>34,30</v>
      </c>
      <c r="K386" s="1" t="str">
        <f ca="1">IFERROR(__xludf.DUMMYFUNCTION("""COMPUTED_VALUE"""),"АТУ")</f>
        <v>АТУ</v>
      </c>
    </row>
    <row r="387" spans="1:11" ht="13" x14ac:dyDescent="0.3">
      <c r="A387" s="1" t="str">
        <f ca="1">IFERROR(__xludf.DUMMYFUNCTION("""COMPUTED_VALUE"""),"2600")</f>
        <v>2600</v>
      </c>
      <c r="B387" s="1" t="str">
        <f ca="1">IFERROR(__xludf.DUMMYFUNCTION("""COMPUTED_VALUE"""),"09.03.2024")</f>
        <v>09.03.2024</v>
      </c>
      <c r="C387" s="1" t="str">
        <f ca="1">IFERROR(__xludf.DUMMYFUNCTION("""COMPUTED_VALUE"""),"глина огнеупорная")</f>
        <v>глина огнеупорная</v>
      </c>
      <c r="D387" s="1" t="str">
        <f ca="1">IFERROR(__xludf.DUMMYFUNCTION("""COMPUTED_VALUE"""),"35,66")</f>
        <v>35,66</v>
      </c>
      <c r="E387" s="1" t="str">
        <f ca="1">IFERROR(__xludf.DUMMYFUNCTION("""COMPUTED_VALUE"""),"Нургалин Ильшат Абдулхакович")</f>
        <v>Нургалин Ильшат Абдулхакович</v>
      </c>
      <c r="F387" s="1" t="str">
        <f ca="1">IFERROR(__xludf.DUMMYFUNCTION("""COMPUTED_VALUE"""),"FAW")</f>
        <v>FAW</v>
      </c>
      <c r="G387" s="1" t="str">
        <f ca="1">IFERROR(__xludf.DUMMYFUNCTION("""COMPUTED_VALUE"""),"Т951КМ774")</f>
        <v>Т951КМ774</v>
      </c>
      <c r="H387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8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87" s="1" t="str">
        <f ca="1">IFERROR(__xludf.DUMMYFUNCTION("""COMPUTED_VALUE"""),"35,66")</f>
        <v>35,66</v>
      </c>
      <c r="K387" s="1" t="str">
        <f ca="1">IFERROR(__xludf.DUMMYFUNCTION("""COMPUTED_VALUE"""),"АТУ")</f>
        <v>АТУ</v>
      </c>
    </row>
    <row r="388" spans="1:11" ht="13" x14ac:dyDescent="0.3">
      <c r="A388" s="1" t="str">
        <f ca="1">IFERROR(__xludf.DUMMYFUNCTION("""COMPUTED_VALUE"""),"2612")</f>
        <v>2612</v>
      </c>
      <c r="B388" s="1" t="str">
        <f ca="1">IFERROR(__xludf.DUMMYFUNCTION("""COMPUTED_VALUE"""),"09.03.2024")</f>
        <v>09.03.2024</v>
      </c>
      <c r="C388" s="1" t="str">
        <f ca="1">IFERROR(__xludf.DUMMYFUNCTION("""COMPUTED_VALUE"""),"глина огнеупорная")</f>
        <v>глина огнеупорная</v>
      </c>
      <c r="D388" s="1" t="str">
        <f ca="1">IFERROR(__xludf.DUMMYFUNCTION("""COMPUTED_VALUE"""),"35,88")</f>
        <v>35,88</v>
      </c>
      <c r="E388" s="1" t="str">
        <f ca="1">IFERROR(__xludf.DUMMYFUNCTION("""COMPUTED_VALUE"""),"Нургалин Ильшат Абдулхакович")</f>
        <v>Нургалин Ильшат Абдулхакович</v>
      </c>
      <c r="F388" s="1" t="str">
        <f ca="1">IFERROR(__xludf.DUMMYFUNCTION("""COMPUTED_VALUE"""),"FAW")</f>
        <v>FAW</v>
      </c>
      <c r="G388" s="1" t="str">
        <f ca="1">IFERROR(__xludf.DUMMYFUNCTION("""COMPUTED_VALUE"""),"Т951КМ774")</f>
        <v>Т951КМ774</v>
      </c>
      <c r="H388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8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88" s="1" t="str">
        <f ca="1">IFERROR(__xludf.DUMMYFUNCTION("""COMPUTED_VALUE"""),"35,88")</f>
        <v>35,88</v>
      </c>
      <c r="K388" s="1" t="str">
        <f ca="1">IFERROR(__xludf.DUMMYFUNCTION("""COMPUTED_VALUE"""),"АТУ")</f>
        <v>АТУ</v>
      </c>
    </row>
    <row r="389" spans="1:11" ht="13" x14ac:dyDescent="0.3">
      <c r="A389" s="1" t="str">
        <f ca="1">IFERROR(__xludf.DUMMYFUNCTION("""COMPUTED_VALUE"""),"2614")</f>
        <v>2614</v>
      </c>
      <c r="B389" s="1" t="str">
        <f ca="1">IFERROR(__xludf.DUMMYFUNCTION("""COMPUTED_VALUE"""),"09.03.2024")</f>
        <v>09.03.2024</v>
      </c>
      <c r="C389" s="1" t="str">
        <f ca="1">IFERROR(__xludf.DUMMYFUNCTION("""COMPUTED_VALUE"""),"глина огнеупорная")</f>
        <v>глина огнеупорная</v>
      </c>
      <c r="D389" s="1" t="str">
        <f ca="1">IFERROR(__xludf.DUMMYFUNCTION("""COMPUTED_VALUE"""),"28,78")</f>
        <v>28,78</v>
      </c>
      <c r="E389" s="1" t="str">
        <f ca="1">IFERROR(__xludf.DUMMYFUNCTION("""COMPUTED_VALUE"""),"Свищев Михаил Владимирович")</f>
        <v>Свищев Михаил Владимирович</v>
      </c>
      <c r="F389" s="1" t="str">
        <f ca="1">IFERROR(__xludf.DUMMYFUNCTION("""COMPUTED_VALUE"""),"FAW")</f>
        <v>FAW</v>
      </c>
      <c r="G389" s="1" t="str">
        <f ca="1">IFERROR(__xludf.DUMMYFUNCTION("""COMPUTED_VALUE"""),"Н504КК774")</f>
        <v>Н504КК774</v>
      </c>
      <c r="H389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8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89" s="1" t="str">
        <f ca="1">IFERROR(__xludf.DUMMYFUNCTION("""COMPUTED_VALUE"""),"28,78")</f>
        <v>28,78</v>
      </c>
      <c r="K389" s="1" t="str">
        <f ca="1">IFERROR(__xludf.DUMMYFUNCTION("""COMPUTED_VALUE"""),"АТУ")</f>
        <v>АТУ</v>
      </c>
    </row>
    <row r="390" spans="1:11" ht="13" x14ac:dyDescent="0.3">
      <c r="A390" s="1" t="str">
        <f ca="1">IFERROR(__xludf.DUMMYFUNCTION("""COMPUTED_VALUE"""),"2602")</f>
        <v>2602</v>
      </c>
      <c r="B390" s="1" t="str">
        <f ca="1">IFERROR(__xludf.DUMMYFUNCTION("""COMPUTED_VALUE"""),"09.03.2024")</f>
        <v>09.03.2024</v>
      </c>
      <c r="C390" s="1" t="str">
        <f ca="1">IFERROR(__xludf.DUMMYFUNCTION("""COMPUTED_VALUE"""),"глина огнеупорная")</f>
        <v>глина огнеупорная</v>
      </c>
      <c r="D390" s="1" t="str">
        <f ca="1">IFERROR(__xludf.DUMMYFUNCTION("""COMPUTED_VALUE"""),"28,24")</f>
        <v>28,24</v>
      </c>
      <c r="E390" s="1" t="str">
        <f ca="1">IFERROR(__xludf.DUMMYFUNCTION("""COMPUTED_VALUE"""),"Свищев Михаил Владимирович")</f>
        <v>Свищев Михаил Владимирович</v>
      </c>
      <c r="F390" s="1" t="str">
        <f ca="1">IFERROR(__xludf.DUMMYFUNCTION("""COMPUTED_VALUE"""),"FAW")</f>
        <v>FAW</v>
      </c>
      <c r="G390" s="1" t="str">
        <f ca="1">IFERROR(__xludf.DUMMYFUNCTION("""COMPUTED_VALUE"""),"Н504КК774")</f>
        <v>Н504КК774</v>
      </c>
      <c r="H390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39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90" s="1" t="str">
        <f ca="1">IFERROR(__xludf.DUMMYFUNCTION("""COMPUTED_VALUE"""),"28,24")</f>
        <v>28,24</v>
      </c>
      <c r="K390" s="1" t="str">
        <f ca="1">IFERROR(__xludf.DUMMYFUNCTION("""COMPUTED_VALUE"""),"АТУ")</f>
        <v>АТУ</v>
      </c>
    </row>
    <row r="391" spans="1:11" ht="13" x14ac:dyDescent="0.3">
      <c r="A391" s="1" t="str">
        <f ca="1">IFERROR(__xludf.DUMMYFUNCTION("""COMPUTED_VALUE"""),"138")</f>
        <v>138</v>
      </c>
      <c r="B391" s="1" t="str">
        <f ca="1">IFERROR(__xludf.DUMMYFUNCTION("""COMPUTED_VALUE"""),"09.03.2024")</f>
        <v>09.03.2024</v>
      </c>
      <c r="C391" s="1" t="str">
        <f ca="1">IFERROR(__xludf.DUMMYFUNCTION("""COMPUTED_VALUE"""),"Руда")</f>
        <v>Руда</v>
      </c>
      <c r="D391" s="1" t="str">
        <f ca="1">IFERROR(__xludf.DUMMYFUNCTION("""COMPUTED_VALUE"""),"43,40")</f>
        <v>43,40</v>
      </c>
      <c r="E391" s="1" t="str">
        <f ca="1">IFERROR(__xludf.DUMMYFUNCTION("""COMPUTED_VALUE"""),"Соханчук Михаил Викторович")</f>
        <v>Соханчук Михаил Викторович</v>
      </c>
      <c r="F391" s="1" t="str">
        <f ca="1">IFERROR(__xludf.DUMMYFUNCTION("""COMPUTED_VALUE"""),"SITRAK")</f>
        <v>SITRAK</v>
      </c>
      <c r="G391" s="1" t="str">
        <f ca="1">IFERROR(__xludf.DUMMYFUNCTION("""COMPUTED_VALUE"""),"У818ВО774")</f>
        <v>У818ВО774</v>
      </c>
      <c r="H391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91" s="1" t="str">
        <f ca="1">IFERROR(__xludf.DUMMYFUNCTION("""COMPUTED_VALUE"""),"г. Гай, ПАО ""Гайский ГОК""")</f>
        <v>г. Гай, ПАО "Гайский ГОК"</v>
      </c>
      <c r="J391" s="1" t="str">
        <f ca="1">IFERROR(__xludf.DUMMYFUNCTION("""COMPUTED_VALUE"""),"43,600")</f>
        <v>43,600</v>
      </c>
      <c r="K391" s="1" t="str">
        <f ca="1">IFERROR(__xludf.DUMMYFUNCTION("""COMPUTED_VALUE"""),"Башкирская Медь")</f>
        <v>Башкирская Медь</v>
      </c>
    </row>
    <row r="392" spans="1:11" ht="13" x14ac:dyDescent="0.3">
      <c r="A392" s="1" t="str">
        <f ca="1">IFERROR(__xludf.DUMMYFUNCTION("""COMPUTED_VALUE"""),"140")</f>
        <v>140</v>
      </c>
      <c r="B392" s="1" t="str">
        <f ca="1">IFERROR(__xludf.DUMMYFUNCTION("""COMPUTED_VALUE"""),"09.03.2024")</f>
        <v>09.03.2024</v>
      </c>
      <c r="C392" s="1" t="str">
        <f ca="1">IFERROR(__xludf.DUMMYFUNCTION("""COMPUTED_VALUE"""),"Руда")</f>
        <v>Руда</v>
      </c>
      <c r="D392" s="1" t="str">
        <f ca="1">IFERROR(__xludf.DUMMYFUNCTION("""COMPUTED_VALUE"""),"43,25")</f>
        <v>43,25</v>
      </c>
      <c r="E392" s="1" t="str">
        <f ca="1">IFERROR(__xludf.DUMMYFUNCTION("""COMPUTED_VALUE"""),"Мазуха Николай Александрович")</f>
        <v>Мазуха Николай Александрович</v>
      </c>
      <c r="F392" s="1" t="str">
        <f ca="1">IFERROR(__xludf.DUMMYFUNCTION("""COMPUTED_VALUE"""),"SITRAK")</f>
        <v>SITRAK</v>
      </c>
      <c r="G392" s="1" t="str">
        <f ca="1">IFERROR(__xludf.DUMMYFUNCTION("""COMPUTED_VALUE"""),"Н854ВН774")</f>
        <v>Н854ВН774</v>
      </c>
      <c r="H392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92" s="1" t="str">
        <f ca="1">IFERROR(__xludf.DUMMYFUNCTION("""COMPUTED_VALUE"""),"г. Гай, ПАО ""Гайский ГОК""")</f>
        <v>г. Гай, ПАО "Гайский ГОК"</v>
      </c>
      <c r="J392" s="1" t="str">
        <f ca="1">IFERROR(__xludf.DUMMYFUNCTION("""COMPUTED_VALUE"""),"43,500")</f>
        <v>43,500</v>
      </c>
      <c r="K392" s="1" t="str">
        <f ca="1">IFERROR(__xludf.DUMMYFUNCTION("""COMPUTED_VALUE"""),"Башкирская Медь")</f>
        <v>Башкирская Медь</v>
      </c>
    </row>
    <row r="393" spans="1:11" ht="13" x14ac:dyDescent="0.3">
      <c r="A393" s="1" t="str">
        <f ca="1">IFERROR(__xludf.DUMMYFUNCTION("""COMPUTED_VALUE"""),"139")</f>
        <v>139</v>
      </c>
      <c r="B393" s="1" t="str">
        <f ca="1">IFERROR(__xludf.DUMMYFUNCTION("""COMPUTED_VALUE"""),"09.03.2024")</f>
        <v>09.03.2024</v>
      </c>
      <c r="C393" s="1" t="str">
        <f ca="1">IFERROR(__xludf.DUMMYFUNCTION("""COMPUTED_VALUE"""),"Руда")</f>
        <v>Руда</v>
      </c>
      <c r="D393" s="1" t="str">
        <f ca="1">IFERROR(__xludf.DUMMYFUNCTION("""COMPUTED_VALUE"""),"50,60")</f>
        <v>50,60</v>
      </c>
      <c r="E393" s="1" t="str">
        <f ca="1">IFERROR(__xludf.DUMMYFUNCTION("""COMPUTED_VALUE"""),"Басарыгин Александр Евгеньевич")</f>
        <v>Басарыгин Александр Евгеньевич</v>
      </c>
      <c r="F393" s="1" t="str">
        <f ca="1">IFERROR(__xludf.DUMMYFUNCTION("""COMPUTED_VALUE"""),"SITRAK")</f>
        <v>SITRAK</v>
      </c>
      <c r="G393" s="1" t="str">
        <f ca="1">IFERROR(__xludf.DUMMYFUNCTION("""COMPUTED_VALUE"""),"Н384ВР774")</f>
        <v>Н384ВР774</v>
      </c>
      <c r="H393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93" s="1" t="str">
        <f ca="1">IFERROR(__xludf.DUMMYFUNCTION("""COMPUTED_VALUE"""),"г. Гай, ПАО ""Гайский ГОК""")</f>
        <v>г. Гай, ПАО "Гайский ГОК"</v>
      </c>
      <c r="J393" s="1" t="str">
        <f ca="1">IFERROR(__xludf.DUMMYFUNCTION("""COMPUTED_VALUE"""),"50,650")</f>
        <v>50,650</v>
      </c>
      <c r="K393" s="1" t="str">
        <f ca="1">IFERROR(__xludf.DUMMYFUNCTION("""COMPUTED_VALUE"""),"Башкирская Медь")</f>
        <v>Башкирская Медь</v>
      </c>
    </row>
    <row r="394" spans="1:11" ht="13" x14ac:dyDescent="0.3">
      <c r="A394" s="1" t="str">
        <f ca="1">IFERROR(__xludf.DUMMYFUNCTION("""COMPUTED_VALUE"""),"143")</f>
        <v>143</v>
      </c>
      <c r="B394" s="1" t="str">
        <f ca="1">IFERROR(__xludf.DUMMYFUNCTION("""COMPUTED_VALUE"""),"09.03.2024")</f>
        <v>09.03.2024</v>
      </c>
      <c r="C394" s="1" t="str">
        <f ca="1">IFERROR(__xludf.DUMMYFUNCTION("""COMPUTED_VALUE"""),"Руда")</f>
        <v>Руда</v>
      </c>
      <c r="D394" s="1" t="str">
        <f ca="1">IFERROR(__xludf.DUMMYFUNCTION("""COMPUTED_VALUE"""),"39,50")</f>
        <v>39,50</v>
      </c>
      <c r="E394" s="1" t="str">
        <f ca="1">IFERROR(__xludf.DUMMYFUNCTION("""COMPUTED_VALUE"""),"Агумбаев Дмитрий Булатович")</f>
        <v>Агумбаев Дмитрий Булатович</v>
      </c>
      <c r="F394" s="1" t="str">
        <f ca="1">IFERROR(__xludf.DUMMYFUNCTION("""COMPUTED_VALUE"""),"HOWO")</f>
        <v>HOWO</v>
      </c>
      <c r="G394" s="1" t="str">
        <f ca="1">IFERROR(__xludf.DUMMYFUNCTION("""COMPUTED_VALUE"""),"Х374АТ774")</f>
        <v>Х374АТ774</v>
      </c>
      <c r="H394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94" s="1" t="str">
        <f ca="1">IFERROR(__xludf.DUMMYFUNCTION("""COMPUTED_VALUE"""),"г. Гай, ПАО ""Гайский ГОК""")</f>
        <v>г. Гай, ПАО "Гайский ГОК"</v>
      </c>
      <c r="J394" s="1" t="str">
        <f ca="1">IFERROR(__xludf.DUMMYFUNCTION("""COMPUTED_VALUE"""),"39,850")</f>
        <v>39,850</v>
      </c>
      <c r="K394" s="1" t="str">
        <f ca="1">IFERROR(__xludf.DUMMYFUNCTION("""COMPUTED_VALUE"""),"Башкирская Медь")</f>
        <v>Башкирская Медь</v>
      </c>
    </row>
    <row r="395" spans="1:11" ht="13" x14ac:dyDescent="0.3">
      <c r="A395" s="1" t="str">
        <f ca="1">IFERROR(__xludf.DUMMYFUNCTION("""COMPUTED_VALUE"""),"137")</f>
        <v>137</v>
      </c>
      <c r="B395" s="1" t="str">
        <f ca="1">IFERROR(__xludf.DUMMYFUNCTION("""COMPUTED_VALUE"""),"09.03.2024")</f>
        <v>09.03.2024</v>
      </c>
      <c r="C395" s="1" t="str">
        <f ca="1">IFERROR(__xludf.DUMMYFUNCTION("""COMPUTED_VALUE"""),"Руда")</f>
        <v>Руда</v>
      </c>
      <c r="D395" s="1" t="str">
        <f ca="1">IFERROR(__xludf.DUMMYFUNCTION("""COMPUTED_VALUE"""),"38,05")</f>
        <v>38,05</v>
      </c>
      <c r="E395" s="1" t="str">
        <f ca="1">IFERROR(__xludf.DUMMYFUNCTION("""COMPUTED_VALUE"""),"Соколов Максим Сергеевич")</f>
        <v>Соколов Максим Сергеевич</v>
      </c>
      <c r="F395" s="1" t="str">
        <f ca="1">IFERROR(__xludf.DUMMYFUNCTION("""COMPUTED_VALUE"""),"SHACMAN")</f>
        <v>SHACMAN</v>
      </c>
      <c r="G395" s="1" t="str">
        <f ca="1">IFERROR(__xludf.DUMMYFUNCTION("""COMPUTED_VALUE"""),"Н186ВР774")</f>
        <v>Н186ВР774</v>
      </c>
      <c r="H395" s="1" t="str">
        <f ca="1">IFERROR(__xludf.DUMMYFUNCTION("""COMPUTED_VALUE"""),"Республика Башкортостан, Хайбулинский р-н, д. Петропавловский, ул. Юбилейная 9/1 ООО ""Башкирская Медь""")</f>
        <v>Республика Башкортостан, Хайбулинский р-н, д. Петропавловский, ул. Юбилейная 9/1 ООО "Башкирская Медь"</v>
      </c>
      <c r="I395" s="1" t="str">
        <f ca="1">IFERROR(__xludf.DUMMYFUNCTION("""COMPUTED_VALUE"""),"г. Гай, ПАО ""Гайский ГОК""")</f>
        <v>г. Гай, ПАО "Гайский ГОК"</v>
      </c>
      <c r="J395" s="1" t="str">
        <f ca="1">IFERROR(__xludf.DUMMYFUNCTION("""COMPUTED_VALUE"""),"38,300")</f>
        <v>38,300</v>
      </c>
      <c r="K395" s="1" t="str">
        <f ca="1">IFERROR(__xludf.DUMMYFUNCTION("""COMPUTED_VALUE"""),"Башкирская Медь")</f>
        <v>Башкирская Медь</v>
      </c>
    </row>
    <row r="396" spans="1:11" ht="13" x14ac:dyDescent="0.3">
      <c r="A396" s="1" t="str">
        <f ca="1">IFERROR(__xludf.DUMMYFUNCTION("""COMPUTED_VALUE"""),"АТУК2403065")</f>
        <v>АТУК2403065</v>
      </c>
      <c r="B396" s="1" t="str">
        <f ca="1">IFERROR(__xludf.DUMMYFUNCTION("""COMPUTED_VALUE"""),"09.03.2024")</f>
        <v>09.03.2024</v>
      </c>
      <c r="C396" s="1" t="str">
        <f ca="1">IFERROR(__xludf.DUMMYFUNCTION("""COMPUTED_VALUE"""),"глина огнеупорная")</f>
        <v>глина огнеупорная</v>
      </c>
      <c r="D396" s="1" t="str">
        <f ca="1">IFERROR(__xludf.DUMMYFUNCTION("""COMPUTED_VALUE"""),"39,00")</f>
        <v>39,00</v>
      </c>
      <c r="E396" s="1" t="str">
        <f ca="1">IFERROR(__xludf.DUMMYFUNCTION("""COMPUTED_VALUE"""),"Толстых Николай Владимирович")</f>
        <v>Толстых Николай Владимирович</v>
      </c>
      <c r="F396" s="1" t="str">
        <f ca="1">IFERROR(__xludf.DUMMYFUNCTION("""COMPUTED_VALUE"""),"МЕРСЕДЕС")</f>
        <v>МЕРСЕДЕС</v>
      </c>
      <c r="G396" s="1" t="str">
        <f ca="1">IFERROR(__xludf.DUMMYFUNCTION("""COMPUTED_VALUE"""),"О396НО196")</f>
        <v>О396НО196</v>
      </c>
      <c r="H39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9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96" s="1" t="str">
        <f ca="1">IFERROR(__xludf.DUMMYFUNCTION("""COMPUTED_VALUE"""),"39,000")</f>
        <v>39,000</v>
      </c>
      <c r="K396" s="1" t="str">
        <f ca="1">IFERROR(__xludf.DUMMYFUNCTION("""COMPUTED_VALUE"""),"АТУ")</f>
        <v>АТУ</v>
      </c>
    </row>
    <row r="397" spans="1:11" ht="13" x14ac:dyDescent="0.3">
      <c r="A397" s="1" t="str">
        <f ca="1">IFERROR(__xludf.DUMMYFUNCTION("""COMPUTED_VALUE"""),"АТУК2403066")</f>
        <v>АТУК2403066</v>
      </c>
      <c r="B397" s="1" t="str">
        <f ca="1">IFERROR(__xludf.DUMMYFUNCTION("""COMPUTED_VALUE"""),"09.03.2024")</f>
        <v>09.03.2024</v>
      </c>
      <c r="C397" s="1" t="str">
        <f ca="1">IFERROR(__xludf.DUMMYFUNCTION("""COMPUTED_VALUE"""),"глина огнеупорная")</f>
        <v>глина огнеупорная</v>
      </c>
      <c r="D397" s="1" t="str">
        <f ca="1">IFERROR(__xludf.DUMMYFUNCTION("""COMPUTED_VALUE"""),"41,40")</f>
        <v>41,40</v>
      </c>
      <c r="E397" s="1" t="str">
        <f ca="1">IFERROR(__xludf.DUMMYFUNCTION("""COMPUTED_VALUE"""),"Шакенов Сейтжан Капышович")</f>
        <v>Шакенов Сейтжан Капышович</v>
      </c>
      <c r="F397" s="1" t="str">
        <f ca="1">IFERROR(__xludf.DUMMYFUNCTION("""COMPUTED_VALUE"""),"МЕРСЕДЕС")</f>
        <v>МЕРСЕДЕС</v>
      </c>
      <c r="G397" s="1" t="str">
        <f ca="1">IFERROR(__xludf.DUMMYFUNCTION("""COMPUTED_VALUE"""),"О281ОУ196")</f>
        <v>О281ОУ196</v>
      </c>
      <c r="H39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9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97" s="1" t="str">
        <f ca="1">IFERROR(__xludf.DUMMYFUNCTION("""COMPUTED_VALUE"""),"41,400")</f>
        <v>41,400</v>
      </c>
      <c r="K397" s="1" t="str">
        <f ca="1">IFERROR(__xludf.DUMMYFUNCTION("""COMPUTED_VALUE"""),"АТУ")</f>
        <v>АТУ</v>
      </c>
    </row>
    <row r="398" spans="1:11" ht="13" x14ac:dyDescent="0.3">
      <c r="A398" s="1" t="str">
        <f ca="1">IFERROR(__xludf.DUMMYFUNCTION("""COMPUTED_VALUE"""),"АТУК2403067")</f>
        <v>АТУК2403067</v>
      </c>
      <c r="B398" s="1" t="str">
        <f ca="1">IFERROR(__xludf.DUMMYFUNCTION("""COMPUTED_VALUE"""),"09.03.2024")</f>
        <v>09.03.2024</v>
      </c>
      <c r="C398" s="1" t="str">
        <f ca="1">IFERROR(__xludf.DUMMYFUNCTION("""COMPUTED_VALUE"""),"глина огнеупорная")</f>
        <v>глина огнеупорная</v>
      </c>
      <c r="D398" s="1" t="str">
        <f ca="1">IFERROR(__xludf.DUMMYFUNCTION("""COMPUTED_VALUE"""),"42,10")</f>
        <v>42,10</v>
      </c>
      <c r="E398" s="1" t="str">
        <f ca="1">IFERROR(__xludf.DUMMYFUNCTION("""COMPUTED_VALUE"""),"Слащилин Иван Леонидович")</f>
        <v>Слащилин Иван Леонидович</v>
      </c>
      <c r="F398" s="1" t="str">
        <f ca="1">IFERROR(__xludf.DUMMYFUNCTION("""COMPUTED_VALUE"""),"МЕРСЕДЕС")</f>
        <v>МЕРСЕДЕС</v>
      </c>
      <c r="G398" s="1" t="str">
        <f ca="1">IFERROR(__xludf.DUMMYFUNCTION("""COMPUTED_VALUE"""),"О266НТ196")</f>
        <v>О266НТ196</v>
      </c>
      <c r="H39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9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98" s="1" t="str">
        <f ca="1">IFERROR(__xludf.DUMMYFUNCTION("""COMPUTED_VALUE"""),"42,100")</f>
        <v>42,100</v>
      </c>
      <c r="K398" s="1" t="str">
        <f ca="1">IFERROR(__xludf.DUMMYFUNCTION("""COMPUTED_VALUE"""),"АТУ")</f>
        <v>АТУ</v>
      </c>
    </row>
    <row r="399" spans="1:11" ht="13" x14ac:dyDescent="0.3">
      <c r="A399" s="1" t="str">
        <f ca="1">IFERROR(__xludf.DUMMYFUNCTION("""COMPUTED_VALUE"""),"АТУК2403068")</f>
        <v>АТУК2403068</v>
      </c>
      <c r="B399" s="1" t="str">
        <f ca="1">IFERROR(__xludf.DUMMYFUNCTION("""COMPUTED_VALUE"""),"09.03.2024")</f>
        <v>09.03.2024</v>
      </c>
      <c r="C399" s="1" t="str">
        <f ca="1">IFERROR(__xludf.DUMMYFUNCTION("""COMPUTED_VALUE"""),"глина огнеупорная")</f>
        <v>глина огнеупорная</v>
      </c>
      <c r="D399" s="1" t="str">
        <f ca="1">IFERROR(__xludf.DUMMYFUNCTION("""COMPUTED_VALUE"""),"41,05")</f>
        <v>41,05</v>
      </c>
      <c r="E399" s="1" t="str">
        <f ca="1">IFERROR(__xludf.DUMMYFUNCTION("""COMPUTED_VALUE"""),"Филиппов Василий Николаевич")</f>
        <v>Филиппов Василий Николаевич</v>
      </c>
      <c r="F399" s="1" t="str">
        <f ca="1">IFERROR(__xludf.DUMMYFUNCTION("""COMPUTED_VALUE"""),"ВОЛЬВО")</f>
        <v>ВОЛЬВО</v>
      </c>
      <c r="G399" s="1" t="str">
        <f ca="1">IFERROR(__xludf.DUMMYFUNCTION("""COMPUTED_VALUE"""),"Н179ОХ196")</f>
        <v>Н179ОХ196</v>
      </c>
      <c r="H39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39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399" s="1" t="str">
        <f ca="1">IFERROR(__xludf.DUMMYFUNCTION("""COMPUTED_VALUE"""),"41,050")</f>
        <v>41,050</v>
      </c>
      <c r="K399" s="1" t="str">
        <f ca="1">IFERROR(__xludf.DUMMYFUNCTION("""COMPUTED_VALUE"""),"АТУ")</f>
        <v>АТУ</v>
      </c>
    </row>
    <row r="400" spans="1:11" ht="13" x14ac:dyDescent="0.3">
      <c r="A400" s="1" t="str">
        <f ca="1">IFERROR(__xludf.DUMMYFUNCTION("""COMPUTED_VALUE"""),"АТУК2403069")</f>
        <v>АТУК2403069</v>
      </c>
      <c r="B400" s="1" t="str">
        <f ca="1">IFERROR(__xludf.DUMMYFUNCTION("""COMPUTED_VALUE"""),"09.03.2024")</f>
        <v>09.03.2024</v>
      </c>
      <c r="C400" s="1" t="str">
        <f ca="1">IFERROR(__xludf.DUMMYFUNCTION("""COMPUTED_VALUE"""),"глина огнеупорная")</f>
        <v>глина огнеупорная</v>
      </c>
      <c r="D400" s="1" t="str">
        <f ca="1">IFERROR(__xludf.DUMMYFUNCTION("""COMPUTED_VALUE"""),"50,85")</f>
        <v>50,85</v>
      </c>
      <c r="E400" s="1" t="str">
        <f ca="1">IFERROR(__xludf.DUMMYFUNCTION("""COMPUTED_VALUE"""),"Берест Анатолий Викторович")</f>
        <v>Берест Анатолий Викторович</v>
      </c>
      <c r="F400" s="1" t="str">
        <f ca="1">IFERROR(__xludf.DUMMYFUNCTION("""COMPUTED_VALUE"""),"ВОЛЬВО")</f>
        <v>ВОЛЬВО</v>
      </c>
      <c r="G400" s="1" t="str">
        <f ca="1">IFERROR(__xludf.DUMMYFUNCTION("""COMPUTED_VALUE"""),"Н184ТС196")</f>
        <v>Н184ТС196</v>
      </c>
      <c r="H40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0" s="1" t="str">
        <f ca="1">IFERROR(__xludf.DUMMYFUNCTION("""COMPUTED_VALUE"""),"50,850")</f>
        <v>50,850</v>
      </c>
      <c r="K400" s="1" t="str">
        <f ca="1">IFERROR(__xludf.DUMMYFUNCTION("""COMPUTED_VALUE"""),"АТУ")</f>
        <v>АТУ</v>
      </c>
    </row>
    <row r="401" spans="1:11" ht="13" x14ac:dyDescent="0.3">
      <c r="A401" s="1" t="str">
        <f ca="1">IFERROR(__xludf.DUMMYFUNCTION("""COMPUTED_VALUE"""),"АТУК2403070")</f>
        <v>АТУК2403070</v>
      </c>
      <c r="B401" s="1" t="str">
        <f ca="1">IFERROR(__xludf.DUMMYFUNCTION("""COMPUTED_VALUE"""),"09.03.2024")</f>
        <v>09.03.2024</v>
      </c>
      <c r="C401" s="1" t="str">
        <f ca="1">IFERROR(__xludf.DUMMYFUNCTION("""COMPUTED_VALUE"""),"глина огнеупорная")</f>
        <v>глина огнеупорная</v>
      </c>
      <c r="D401" s="1" t="str">
        <f ca="1">IFERROR(__xludf.DUMMYFUNCTION("""COMPUTED_VALUE"""),"51,25")</f>
        <v>51,25</v>
      </c>
      <c r="E401" s="1" t="str">
        <f ca="1">IFERROR(__xludf.DUMMYFUNCTION("""COMPUTED_VALUE"""),"Мардеев Радик Сергеевич")</f>
        <v>Мардеев Радик Сергеевич</v>
      </c>
      <c r="F401" s="1" t="str">
        <f ca="1">IFERROR(__xludf.DUMMYFUNCTION("""COMPUTED_VALUE"""),"ВОЛЬВО")</f>
        <v>ВОЛЬВО</v>
      </c>
      <c r="G401" s="1" t="str">
        <f ca="1">IFERROR(__xludf.DUMMYFUNCTION("""COMPUTED_VALUE"""),"О845ЕЕ196")</f>
        <v>О845ЕЕ196</v>
      </c>
      <c r="H40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1" s="1" t="str">
        <f ca="1">IFERROR(__xludf.DUMMYFUNCTION("""COMPUTED_VALUE"""),"51,250")</f>
        <v>51,250</v>
      </c>
      <c r="K401" s="1" t="str">
        <f ca="1">IFERROR(__xludf.DUMMYFUNCTION("""COMPUTED_VALUE"""),"АТУ")</f>
        <v>АТУ</v>
      </c>
    </row>
    <row r="402" spans="1:11" ht="13" x14ac:dyDescent="0.3">
      <c r="A402" s="1" t="str">
        <f ca="1">IFERROR(__xludf.DUMMYFUNCTION("""COMPUTED_VALUE"""),"АТУК2403071")</f>
        <v>АТУК2403071</v>
      </c>
      <c r="B402" s="1" t="str">
        <f ca="1">IFERROR(__xludf.DUMMYFUNCTION("""COMPUTED_VALUE"""),"09.03.2024")</f>
        <v>09.03.2024</v>
      </c>
      <c r="C402" s="1" t="str">
        <f ca="1">IFERROR(__xludf.DUMMYFUNCTION("""COMPUTED_VALUE"""),"глина огнеупорная")</f>
        <v>глина огнеупорная</v>
      </c>
      <c r="D402" s="1" t="str">
        <f ca="1">IFERROR(__xludf.DUMMYFUNCTION("""COMPUTED_VALUE"""),"43,55")</f>
        <v>43,55</v>
      </c>
      <c r="E402" s="1" t="str">
        <f ca="1">IFERROR(__xludf.DUMMYFUNCTION("""COMPUTED_VALUE"""),"Валеев Артур Арсланович")</f>
        <v>Валеев Артур Арсланович</v>
      </c>
      <c r="F402" s="1" t="str">
        <f ca="1">IFERROR(__xludf.DUMMYFUNCTION("""COMPUTED_VALUE"""),"МЕРСЕДЕС")</f>
        <v>МЕРСЕДЕС</v>
      </c>
      <c r="G402" s="1" t="str">
        <f ca="1">IFERROR(__xludf.DUMMYFUNCTION("""COMPUTED_VALUE"""),"О974ОЕ196")</f>
        <v>О974ОЕ196</v>
      </c>
      <c r="H40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2" s="1" t="str">
        <f ca="1">IFERROR(__xludf.DUMMYFUNCTION("""COMPUTED_VALUE"""),"43,550")</f>
        <v>43,550</v>
      </c>
      <c r="K402" s="1" t="str">
        <f ca="1">IFERROR(__xludf.DUMMYFUNCTION("""COMPUTED_VALUE"""),"АТУ")</f>
        <v>АТУ</v>
      </c>
    </row>
    <row r="403" spans="1:11" ht="13" x14ac:dyDescent="0.3">
      <c r="A403" s="1" t="str">
        <f ca="1">IFERROR(__xludf.DUMMYFUNCTION("""COMPUTED_VALUE"""),"АТУК2403072")</f>
        <v>АТУК2403072</v>
      </c>
      <c r="B403" s="1" t="str">
        <f ca="1">IFERROR(__xludf.DUMMYFUNCTION("""COMPUTED_VALUE"""),"09.03.2024")</f>
        <v>09.03.2024</v>
      </c>
      <c r="C403" s="1" t="str">
        <f ca="1">IFERROR(__xludf.DUMMYFUNCTION("""COMPUTED_VALUE"""),"глина огнеупорная")</f>
        <v>глина огнеупорная</v>
      </c>
      <c r="D403" s="1" t="str">
        <f ca="1">IFERROR(__xludf.DUMMYFUNCTION("""COMPUTED_VALUE"""),"54,40")</f>
        <v>54,40</v>
      </c>
      <c r="E403" s="1" t="str">
        <f ca="1">IFERROR(__xludf.DUMMYFUNCTION("""COMPUTED_VALUE"""),"Карий Иван Иванович")</f>
        <v>Карий Иван Иванович</v>
      </c>
      <c r="F403" s="1" t="str">
        <f ca="1">IFERROR(__xludf.DUMMYFUNCTION("""COMPUTED_VALUE"""),"ВОЛЬВО")</f>
        <v>ВОЛЬВО</v>
      </c>
      <c r="G403" s="1" t="str">
        <f ca="1">IFERROR(__xludf.DUMMYFUNCTION("""COMPUTED_VALUE"""),"Н208МР196")</f>
        <v>Н208МР196</v>
      </c>
      <c r="H40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3" s="1" t="str">
        <f ca="1">IFERROR(__xludf.DUMMYFUNCTION("""COMPUTED_VALUE"""),"54,400")</f>
        <v>54,400</v>
      </c>
      <c r="K403" s="1" t="str">
        <f ca="1">IFERROR(__xludf.DUMMYFUNCTION("""COMPUTED_VALUE"""),"АТУ")</f>
        <v>АТУ</v>
      </c>
    </row>
    <row r="404" spans="1:11" ht="13" x14ac:dyDescent="0.3">
      <c r="A404" s="1" t="str">
        <f ca="1">IFERROR(__xludf.DUMMYFUNCTION("""COMPUTED_VALUE"""),"АТУК2403073")</f>
        <v>АТУК2403073</v>
      </c>
      <c r="B404" s="1" t="str">
        <f ca="1">IFERROR(__xludf.DUMMYFUNCTION("""COMPUTED_VALUE"""),"09.03.2024")</f>
        <v>09.03.2024</v>
      </c>
      <c r="C404" s="1" t="str">
        <f ca="1">IFERROR(__xludf.DUMMYFUNCTION("""COMPUTED_VALUE"""),"глина огнеупорная")</f>
        <v>глина огнеупорная</v>
      </c>
      <c r="D404" s="1" t="str">
        <f ca="1">IFERROR(__xludf.DUMMYFUNCTION("""COMPUTED_VALUE"""),"42,85")</f>
        <v>42,85</v>
      </c>
      <c r="E404" s="1" t="str">
        <f ca="1">IFERROR(__xludf.DUMMYFUNCTION("""COMPUTED_VALUE"""),"Байбулатов Халит Ханифович")</f>
        <v>Байбулатов Халит Ханифович</v>
      </c>
      <c r="F404" s="1" t="str">
        <f ca="1">IFERROR(__xludf.DUMMYFUNCTION("""COMPUTED_VALUE"""),"МЕРСЕДЕС")</f>
        <v>МЕРСЕДЕС</v>
      </c>
      <c r="G404" s="1" t="str">
        <f ca="1">IFERROR(__xludf.DUMMYFUNCTION("""COMPUTED_VALUE"""),"О761ОК196")</f>
        <v>О761ОК196</v>
      </c>
      <c r="H40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4" s="1" t="str">
        <f ca="1">IFERROR(__xludf.DUMMYFUNCTION("""COMPUTED_VALUE"""),"42,850")</f>
        <v>42,850</v>
      </c>
      <c r="K404" s="1" t="str">
        <f ca="1">IFERROR(__xludf.DUMMYFUNCTION("""COMPUTED_VALUE"""),"АТУ")</f>
        <v>АТУ</v>
      </c>
    </row>
    <row r="405" spans="1:11" ht="13" x14ac:dyDescent="0.3">
      <c r="A405" s="1" t="str">
        <f ca="1">IFERROR(__xludf.DUMMYFUNCTION("""COMPUTED_VALUE"""),"АТУК2403074")</f>
        <v>АТУК2403074</v>
      </c>
      <c r="B405" s="1" t="str">
        <f ca="1">IFERROR(__xludf.DUMMYFUNCTION("""COMPUTED_VALUE"""),"09.03.2024")</f>
        <v>09.03.2024</v>
      </c>
      <c r="C405" s="1" t="str">
        <f ca="1">IFERROR(__xludf.DUMMYFUNCTION("""COMPUTED_VALUE"""),"глина огнеупорная")</f>
        <v>глина огнеупорная</v>
      </c>
      <c r="D405" s="1" t="str">
        <f ca="1">IFERROR(__xludf.DUMMYFUNCTION("""COMPUTED_VALUE"""),"43,25")</f>
        <v>43,25</v>
      </c>
      <c r="E405" s="1" t="str">
        <f ca="1">IFERROR(__xludf.DUMMYFUNCTION("""COMPUTED_VALUE"""),"Зайцев Олег Владимирович")</f>
        <v>Зайцев Олег Владимирович</v>
      </c>
      <c r="F405" s="1" t="str">
        <f ca="1">IFERROR(__xludf.DUMMYFUNCTION("""COMPUTED_VALUE"""),"МЕРСЕДЕС")</f>
        <v>МЕРСЕДЕС</v>
      </c>
      <c r="G405" s="1" t="str">
        <f ca="1">IFERROR(__xludf.DUMMYFUNCTION("""COMPUTED_VALUE"""),"О342РХ196")</f>
        <v>О342РХ196</v>
      </c>
      <c r="H40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5" s="1" t="str">
        <f ca="1">IFERROR(__xludf.DUMMYFUNCTION("""COMPUTED_VALUE"""),"43,250")</f>
        <v>43,250</v>
      </c>
      <c r="K405" s="1" t="str">
        <f ca="1">IFERROR(__xludf.DUMMYFUNCTION("""COMPUTED_VALUE"""),"АТУ")</f>
        <v>АТУ</v>
      </c>
    </row>
    <row r="406" spans="1:11" ht="13" x14ac:dyDescent="0.3">
      <c r="A406" s="1" t="str">
        <f ca="1">IFERROR(__xludf.DUMMYFUNCTION("""COMPUTED_VALUE"""),"АТУК2403075")</f>
        <v>АТУК2403075</v>
      </c>
      <c r="B406" s="1" t="str">
        <f ca="1">IFERROR(__xludf.DUMMYFUNCTION("""COMPUTED_VALUE"""),"09.03.2024")</f>
        <v>09.03.2024</v>
      </c>
      <c r="C406" s="1" t="str">
        <f ca="1">IFERROR(__xludf.DUMMYFUNCTION("""COMPUTED_VALUE"""),"глина огнеупорная")</f>
        <v>глина огнеупорная</v>
      </c>
      <c r="D406" s="1" t="str">
        <f ca="1">IFERROR(__xludf.DUMMYFUNCTION("""COMPUTED_VALUE"""),"43,85")</f>
        <v>43,85</v>
      </c>
      <c r="E406" s="1" t="str">
        <f ca="1">IFERROR(__xludf.DUMMYFUNCTION("""COMPUTED_VALUE"""),"Зарафутдинов Радис Шамгунович")</f>
        <v>Зарафутдинов Радис Шамгунович</v>
      </c>
      <c r="F406" s="1" t="str">
        <f ca="1">IFERROR(__xludf.DUMMYFUNCTION("""COMPUTED_VALUE"""),"МЕРСЕДЕС")</f>
        <v>МЕРСЕДЕС</v>
      </c>
      <c r="G406" s="1" t="str">
        <f ca="1">IFERROR(__xludf.DUMMYFUNCTION("""COMPUTED_VALUE"""),"О268СС196")</f>
        <v>О268СС196</v>
      </c>
      <c r="H40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6" s="1" t="str">
        <f ca="1">IFERROR(__xludf.DUMMYFUNCTION("""COMPUTED_VALUE"""),"43,850")</f>
        <v>43,850</v>
      </c>
      <c r="K406" s="1" t="str">
        <f ca="1">IFERROR(__xludf.DUMMYFUNCTION("""COMPUTED_VALUE"""),"АТУ")</f>
        <v>АТУ</v>
      </c>
    </row>
    <row r="407" spans="1:11" ht="13" x14ac:dyDescent="0.3">
      <c r="A407" s="1" t="str">
        <f ca="1">IFERROR(__xludf.DUMMYFUNCTION("""COMPUTED_VALUE"""),"АТУК2403076")</f>
        <v>АТУК2403076</v>
      </c>
      <c r="B407" s="1" t="str">
        <f ca="1">IFERROR(__xludf.DUMMYFUNCTION("""COMPUTED_VALUE"""),"09.03.2024")</f>
        <v>09.03.2024</v>
      </c>
      <c r="C407" s="1" t="str">
        <f ca="1">IFERROR(__xludf.DUMMYFUNCTION("""COMPUTED_VALUE"""),"глина огнеупорная")</f>
        <v>глина огнеупорная</v>
      </c>
      <c r="D407" s="1" t="str">
        <f ca="1">IFERROR(__xludf.DUMMYFUNCTION("""COMPUTED_VALUE"""),"45,00")</f>
        <v>45,00</v>
      </c>
      <c r="E407" s="1" t="str">
        <f ca="1">IFERROR(__xludf.DUMMYFUNCTION("""COMPUTED_VALUE"""),"Марусов Владимир Анатольевич")</f>
        <v>Марусов Владимир Анатольевич</v>
      </c>
      <c r="F407" s="1" t="str">
        <f ca="1">IFERROR(__xludf.DUMMYFUNCTION("""COMPUTED_VALUE"""),"МЕРСЕДЕС")</f>
        <v>МЕРСЕДЕС</v>
      </c>
      <c r="G407" s="1" t="str">
        <f ca="1">IFERROR(__xludf.DUMMYFUNCTION("""COMPUTED_VALUE"""),"О740ОН196")</f>
        <v>О740ОН196</v>
      </c>
      <c r="H40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7" s="1" t="str">
        <f ca="1">IFERROR(__xludf.DUMMYFUNCTION("""COMPUTED_VALUE"""),"45,000")</f>
        <v>45,000</v>
      </c>
      <c r="K407" s="1" t="str">
        <f ca="1">IFERROR(__xludf.DUMMYFUNCTION("""COMPUTED_VALUE"""),"АТУ")</f>
        <v>АТУ</v>
      </c>
    </row>
    <row r="408" spans="1:11" ht="13" x14ac:dyDescent="0.3">
      <c r="A408" s="1" t="str">
        <f ca="1">IFERROR(__xludf.DUMMYFUNCTION("""COMPUTED_VALUE"""),"АТУК2403077")</f>
        <v>АТУК2403077</v>
      </c>
      <c r="B408" s="1" t="str">
        <f ca="1">IFERROR(__xludf.DUMMYFUNCTION("""COMPUTED_VALUE"""),"09.03.2024")</f>
        <v>09.03.2024</v>
      </c>
      <c r="C408" s="1" t="str">
        <f ca="1">IFERROR(__xludf.DUMMYFUNCTION("""COMPUTED_VALUE"""),"глина огнеупорная")</f>
        <v>глина огнеупорная</v>
      </c>
      <c r="D408" s="1" t="str">
        <f ca="1">IFERROR(__xludf.DUMMYFUNCTION("""COMPUTED_VALUE"""),"41,95")</f>
        <v>41,95</v>
      </c>
      <c r="E408" s="1" t="str">
        <f ca="1">IFERROR(__xludf.DUMMYFUNCTION("""COMPUTED_VALUE"""),"Батурин Николай Алексеевич")</f>
        <v>Батурин Николай Алексеевич</v>
      </c>
      <c r="F408" s="1" t="str">
        <f ca="1">IFERROR(__xludf.DUMMYFUNCTION("""COMPUTED_VALUE"""),"МЕРСЕДЕС")</f>
        <v>МЕРСЕДЕС</v>
      </c>
      <c r="G408" s="1" t="str">
        <f ca="1">IFERROR(__xludf.DUMMYFUNCTION("""COMPUTED_VALUE"""),"О571ОТ196")</f>
        <v>О571ОТ196</v>
      </c>
      <c r="H40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8" s="1" t="str">
        <f ca="1">IFERROR(__xludf.DUMMYFUNCTION("""COMPUTED_VALUE"""),"41,950")</f>
        <v>41,950</v>
      </c>
      <c r="K408" s="1" t="str">
        <f ca="1">IFERROR(__xludf.DUMMYFUNCTION("""COMPUTED_VALUE"""),"АТУ")</f>
        <v>АТУ</v>
      </c>
    </row>
    <row r="409" spans="1:11" ht="13" x14ac:dyDescent="0.3">
      <c r="A409" s="1" t="str">
        <f ca="1">IFERROR(__xludf.DUMMYFUNCTION("""COMPUTED_VALUE"""),"АТУК2403078")</f>
        <v>АТУК2403078</v>
      </c>
      <c r="B409" s="1" t="str">
        <f ca="1">IFERROR(__xludf.DUMMYFUNCTION("""COMPUTED_VALUE"""),"09.03.2024")</f>
        <v>09.03.2024</v>
      </c>
      <c r="C409" s="1" t="str">
        <f ca="1">IFERROR(__xludf.DUMMYFUNCTION("""COMPUTED_VALUE"""),"глина огнеупорная")</f>
        <v>глина огнеупорная</v>
      </c>
      <c r="D409" s="1" t="str">
        <f ca="1">IFERROR(__xludf.DUMMYFUNCTION("""COMPUTED_VALUE"""),"42,25")</f>
        <v>42,25</v>
      </c>
      <c r="E409" s="1" t="str">
        <f ca="1">IFERROR(__xludf.DUMMYFUNCTION("""COMPUTED_VALUE"""),"Маслаков Андрей Владимирович")</f>
        <v>Маслаков Андрей Владимирович</v>
      </c>
      <c r="F409" s="1" t="str">
        <f ca="1">IFERROR(__xludf.DUMMYFUNCTION("""COMPUTED_VALUE"""),"ВОЛЬВО")</f>
        <v>ВОЛЬВО</v>
      </c>
      <c r="G409" s="1" t="str">
        <f ca="1">IFERROR(__xludf.DUMMYFUNCTION("""COMPUTED_VALUE"""),"О158ОХ196")</f>
        <v>О158ОХ196</v>
      </c>
      <c r="H40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0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09" s="1" t="str">
        <f ca="1">IFERROR(__xludf.DUMMYFUNCTION("""COMPUTED_VALUE"""),"42,250")</f>
        <v>42,250</v>
      </c>
      <c r="K409" s="1" t="str">
        <f ca="1">IFERROR(__xludf.DUMMYFUNCTION("""COMPUTED_VALUE"""),"АТУ")</f>
        <v>АТУ</v>
      </c>
    </row>
    <row r="410" spans="1:11" ht="13" x14ac:dyDescent="0.3">
      <c r="A410" s="1" t="str">
        <f ca="1">IFERROR(__xludf.DUMMYFUNCTION("""COMPUTED_VALUE"""),"АТУК2403079")</f>
        <v>АТУК2403079</v>
      </c>
      <c r="B410" s="1" t="str">
        <f ca="1">IFERROR(__xludf.DUMMYFUNCTION("""COMPUTED_VALUE"""),"09.03.2024")</f>
        <v>09.03.2024</v>
      </c>
      <c r="C410" s="1" t="str">
        <f ca="1">IFERROR(__xludf.DUMMYFUNCTION("""COMPUTED_VALUE"""),"глина огнеупорная")</f>
        <v>глина огнеупорная</v>
      </c>
      <c r="D410" s="1" t="str">
        <f ca="1">IFERROR(__xludf.DUMMYFUNCTION("""COMPUTED_VALUE"""),"44,70")</f>
        <v>44,70</v>
      </c>
      <c r="E410" s="1" t="str">
        <f ca="1">IFERROR(__xludf.DUMMYFUNCTION("""COMPUTED_VALUE"""),"Головлёв Артём Евгеньевич")</f>
        <v>Головлёв Артём Евгеньевич</v>
      </c>
      <c r="F410" s="1" t="str">
        <f ca="1">IFERROR(__xludf.DUMMYFUNCTION("""COMPUTED_VALUE"""),"ВОЛЬВО")</f>
        <v>ВОЛЬВО</v>
      </c>
      <c r="G410" s="1" t="str">
        <f ca="1">IFERROR(__xludf.DUMMYFUNCTION("""COMPUTED_VALUE"""),"О411ОА196
")</f>
        <v xml:space="preserve">О411ОА196
</v>
      </c>
      <c r="H41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0" s="1" t="str">
        <f ca="1">IFERROR(__xludf.DUMMYFUNCTION("""COMPUTED_VALUE"""),"44,700")</f>
        <v>44,700</v>
      </c>
      <c r="K410" s="1" t="str">
        <f ca="1">IFERROR(__xludf.DUMMYFUNCTION("""COMPUTED_VALUE"""),"АТУ")</f>
        <v>АТУ</v>
      </c>
    </row>
    <row r="411" spans="1:11" ht="13" x14ac:dyDescent="0.3">
      <c r="A411" s="1" t="str">
        <f ca="1">IFERROR(__xludf.DUMMYFUNCTION("""COMPUTED_VALUE"""),"АТУК2403080")</f>
        <v>АТУК2403080</v>
      </c>
      <c r="B411" s="1" t="str">
        <f ca="1">IFERROR(__xludf.DUMMYFUNCTION("""COMPUTED_VALUE"""),"09.03.2024")</f>
        <v>09.03.2024</v>
      </c>
      <c r="C411" s="1" t="str">
        <f ca="1">IFERROR(__xludf.DUMMYFUNCTION("""COMPUTED_VALUE"""),"глина огнеупорная")</f>
        <v>глина огнеупорная</v>
      </c>
      <c r="D411" s="1" t="str">
        <f ca="1">IFERROR(__xludf.DUMMYFUNCTION("""COMPUTED_VALUE"""),"42,10")</f>
        <v>42,10</v>
      </c>
      <c r="E411" s="1" t="str">
        <f ca="1">IFERROR(__xludf.DUMMYFUNCTION("""COMPUTED_VALUE"""),"Байгужин Фаниль Джамалович")</f>
        <v>Байгужин Фаниль Джамалович</v>
      </c>
      <c r="F411" s="1" t="str">
        <f ca="1">IFERROR(__xludf.DUMMYFUNCTION("""COMPUTED_VALUE"""),"МЕРСЕДЕС")</f>
        <v>МЕРСЕДЕС</v>
      </c>
      <c r="G411" s="1" t="str">
        <f ca="1">IFERROR(__xludf.DUMMYFUNCTION("""COMPUTED_VALUE"""),"О691НН196")</f>
        <v>О691НН196</v>
      </c>
      <c r="H41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1" s="1" t="str">
        <f ca="1">IFERROR(__xludf.DUMMYFUNCTION("""COMPUTED_VALUE"""),"42,100")</f>
        <v>42,100</v>
      </c>
      <c r="K411" s="1" t="str">
        <f ca="1">IFERROR(__xludf.DUMMYFUNCTION("""COMPUTED_VALUE"""),"АТУ")</f>
        <v>АТУ</v>
      </c>
    </row>
    <row r="412" spans="1:11" ht="13" x14ac:dyDescent="0.3">
      <c r="A412" s="1" t="str">
        <f ca="1">IFERROR(__xludf.DUMMYFUNCTION("""COMPUTED_VALUE"""),"АТУК2403081")</f>
        <v>АТУК2403081</v>
      </c>
      <c r="B412" s="1" t="str">
        <f ca="1">IFERROR(__xludf.DUMMYFUNCTION("""COMPUTED_VALUE"""),"09.03.2024")</f>
        <v>09.03.2024</v>
      </c>
      <c r="C412" s="1" t="str">
        <f ca="1">IFERROR(__xludf.DUMMYFUNCTION("""COMPUTED_VALUE"""),"глина огнеупорная")</f>
        <v>глина огнеупорная</v>
      </c>
      <c r="D412" s="1" t="str">
        <f ca="1">IFERROR(__xludf.DUMMYFUNCTION("""COMPUTED_VALUE"""),"43,25")</f>
        <v>43,25</v>
      </c>
      <c r="E412" s="1" t="str">
        <f ca="1">IFERROR(__xludf.DUMMYFUNCTION("""COMPUTED_VALUE"""),"Поздняков Максим Валерьевич")</f>
        <v>Поздняков Максим Валерьевич</v>
      </c>
      <c r="F412" s="1" t="str">
        <f ca="1">IFERROR(__xludf.DUMMYFUNCTION("""COMPUTED_VALUE"""),"МЕРСЕДЕС")</f>
        <v>МЕРСЕДЕС</v>
      </c>
      <c r="G412" s="1" t="str">
        <f ca="1">IFERROR(__xludf.DUMMYFUNCTION("""COMPUTED_VALUE"""),"О208ОМ196")</f>
        <v>О208ОМ196</v>
      </c>
      <c r="H41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2" s="1" t="str">
        <f ca="1">IFERROR(__xludf.DUMMYFUNCTION("""COMPUTED_VALUE"""),"43,250")</f>
        <v>43,250</v>
      </c>
      <c r="K412" s="1" t="str">
        <f ca="1">IFERROR(__xludf.DUMMYFUNCTION("""COMPUTED_VALUE"""),"АТУ")</f>
        <v>АТУ</v>
      </c>
    </row>
    <row r="413" spans="1:11" ht="13" x14ac:dyDescent="0.3">
      <c r="A413" s="1" t="str">
        <f ca="1">IFERROR(__xludf.DUMMYFUNCTION("""COMPUTED_VALUE"""),"АТУК2403082")</f>
        <v>АТУК2403082</v>
      </c>
      <c r="B413" s="1" t="str">
        <f ca="1">IFERROR(__xludf.DUMMYFUNCTION("""COMPUTED_VALUE"""),"09.03.2024")</f>
        <v>09.03.2024</v>
      </c>
      <c r="C413" s="1" t="str">
        <f ca="1">IFERROR(__xludf.DUMMYFUNCTION("""COMPUTED_VALUE"""),"глина огнеупорная")</f>
        <v>глина огнеупорная</v>
      </c>
      <c r="D413" s="1" t="str">
        <f ca="1">IFERROR(__xludf.DUMMYFUNCTION("""COMPUTED_VALUE"""),"42,30")</f>
        <v>42,30</v>
      </c>
      <c r="E413" s="1" t="str">
        <f ca="1">IFERROR(__xludf.DUMMYFUNCTION("""COMPUTED_VALUE"""),"Зинатуллин Ильшат Ильясович")</f>
        <v>Зинатуллин Ильшат Ильясович</v>
      </c>
      <c r="F413" s="1" t="str">
        <f ca="1">IFERROR(__xludf.DUMMYFUNCTION("""COMPUTED_VALUE"""),"МЕРСЕДЕС")</f>
        <v>МЕРСЕДЕС</v>
      </c>
      <c r="G413" s="1" t="str">
        <f ca="1">IFERROR(__xludf.DUMMYFUNCTION("""COMPUTED_VALUE"""),"О183ОМ196")</f>
        <v>О183ОМ196</v>
      </c>
      <c r="H41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3" s="1" t="str">
        <f ca="1">IFERROR(__xludf.DUMMYFUNCTION("""COMPUTED_VALUE"""),"42,300")</f>
        <v>42,300</v>
      </c>
      <c r="K413" s="1" t="str">
        <f ca="1">IFERROR(__xludf.DUMMYFUNCTION("""COMPUTED_VALUE"""),"АТУ")</f>
        <v>АТУ</v>
      </c>
    </row>
    <row r="414" spans="1:11" ht="13" x14ac:dyDescent="0.3">
      <c r="A414" s="1" t="str">
        <f ca="1">IFERROR(__xludf.DUMMYFUNCTION("""COMPUTED_VALUE"""),"АТУК2403083")</f>
        <v>АТУК2403083</v>
      </c>
      <c r="B414" s="1" t="str">
        <f ca="1">IFERROR(__xludf.DUMMYFUNCTION("""COMPUTED_VALUE"""),"09.03.2024")</f>
        <v>09.03.2024</v>
      </c>
      <c r="C414" s="1" t="str">
        <f ca="1">IFERROR(__xludf.DUMMYFUNCTION("""COMPUTED_VALUE"""),"глина огнеупорная")</f>
        <v>глина огнеупорная</v>
      </c>
      <c r="D414" s="1" t="str">
        <f ca="1">IFERROR(__xludf.DUMMYFUNCTION("""COMPUTED_VALUE"""),"41,35")</f>
        <v>41,35</v>
      </c>
      <c r="E414" s="1" t="str">
        <f ca="1">IFERROR(__xludf.DUMMYFUNCTION("""COMPUTED_VALUE"""),"Буляков Альберт Сальманович")</f>
        <v>Буляков Альберт Сальманович</v>
      </c>
      <c r="F414" s="1" t="str">
        <f ca="1">IFERROR(__xludf.DUMMYFUNCTION("""COMPUTED_VALUE"""),"МЕРСЕДЕС")</f>
        <v>МЕРСЕДЕС</v>
      </c>
      <c r="G414" s="1" t="str">
        <f ca="1">IFERROR(__xludf.DUMMYFUNCTION("""COMPUTED_VALUE"""),"О840РХ196")</f>
        <v>О840РХ196</v>
      </c>
      <c r="H41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4" s="1" t="str">
        <f ca="1">IFERROR(__xludf.DUMMYFUNCTION("""COMPUTED_VALUE"""),"41,350")</f>
        <v>41,350</v>
      </c>
      <c r="K414" s="1" t="str">
        <f ca="1">IFERROR(__xludf.DUMMYFUNCTION("""COMPUTED_VALUE"""),"АТУ")</f>
        <v>АТУ</v>
      </c>
    </row>
    <row r="415" spans="1:11" ht="13" x14ac:dyDescent="0.3">
      <c r="A415" s="1" t="str">
        <f ca="1">IFERROR(__xludf.DUMMYFUNCTION("""COMPUTED_VALUE"""),"АТУК2403084")</f>
        <v>АТУК2403084</v>
      </c>
      <c r="B415" s="1" t="str">
        <f ca="1">IFERROR(__xludf.DUMMYFUNCTION("""COMPUTED_VALUE"""),"09.03.2024")</f>
        <v>09.03.2024</v>
      </c>
      <c r="C415" s="1" t="str">
        <f ca="1">IFERROR(__xludf.DUMMYFUNCTION("""COMPUTED_VALUE"""),"глина огнеупорная")</f>
        <v>глина огнеупорная</v>
      </c>
      <c r="D415" s="1" t="str">
        <f ca="1">IFERROR(__xludf.DUMMYFUNCTION("""COMPUTED_VALUE"""),"49,00")</f>
        <v>49,00</v>
      </c>
      <c r="E415" s="1" t="str">
        <f ca="1">IFERROR(__xludf.DUMMYFUNCTION("""COMPUTED_VALUE"""),"Мангалов Алексей Юрьевич")</f>
        <v>Мангалов Алексей Юрьевич</v>
      </c>
      <c r="F415" s="1" t="str">
        <f ca="1">IFERROR(__xludf.DUMMYFUNCTION("""COMPUTED_VALUE"""),"ВОЛЬВО")</f>
        <v>ВОЛЬВО</v>
      </c>
      <c r="G415" s="1" t="str">
        <f ca="1">IFERROR(__xludf.DUMMYFUNCTION("""COMPUTED_VALUE"""),"Н998ОЕ196")</f>
        <v>Н998ОЕ196</v>
      </c>
      <c r="H41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5" s="1" t="str">
        <f ca="1">IFERROR(__xludf.DUMMYFUNCTION("""COMPUTED_VALUE"""),"49,000")</f>
        <v>49,000</v>
      </c>
      <c r="K415" s="1" t="str">
        <f ca="1">IFERROR(__xludf.DUMMYFUNCTION("""COMPUTED_VALUE"""),"АТУ")</f>
        <v>АТУ</v>
      </c>
    </row>
    <row r="416" spans="1:11" ht="13" x14ac:dyDescent="0.3">
      <c r="A416" s="1" t="str">
        <f ca="1">IFERROR(__xludf.DUMMYFUNCTION("""COMPUTED_VALUE"""),"АТУК2403085")</f>
        <v>АТУК2403085</v>
      </c>
      <c r="B416" s="1" t="str">
        <f ca="1">IFERROR(__xludf.DUMMYFUNCTION("""COMPUTED_VALUE"""),"09.03.2024")</f>
        <v>09.03.2024</v>
      </c>
      <c r="C416" s="1" t="str">
        <f ca="1">IFERROR(__xludf.DUMMYFUNCTION("""COMPUTED_VALUE"""),"глина огнеупорная")</f>
        <v>глина огнеупорная</v>
      </c>
      <c r="D416" s="1" t="str">
        <f ca="1">IFERROR(__xludf.DUMMYFUNCTION("""COMPUTED_VALUE"""),"41,15")</f>
        <v>41,15</v>
      </c>
      <c r="E416" s="1" t="str">
        <f ca="1">IFERROR(__xludf.DUMMYFUNCTION("""COMPUTED_VALUE"""),"Байкин Эдуард Николаевич")</f>
        <v>Байкин Эдуард Николаевич</v>
      </c>
      <c r="F416" s="1" t="str">
        <f ca="1">IFERROR(__xludf.DUMMYFUNCTION("""COMPUTED_VALUE"""),"МЕРСЕДЕС")</f>
        <v>МЕРСЕДЕС</v>
      </c>
      <c r="G416" s="1" t="str">
        <f ca="1">IFERROR(__xludf.DUMMYFUNCTION("""COMPUTED_VALUE"""),"О971ОА196")</f>
        <v>О971ОА196</v>
      </c>
      <c r="H41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6" s="1" t="str">
        <f ca="1">IFERROR(__xludf.DUMMYFUNCTION("""COMPUTED_VALUE"""),"41,150")</f>
        <v>41,150</v>
      </c>
      <c r="K416" s="1" t="str">
        <f ca="1">IFERROR(__xludf.DUMMYFUNCTION("""COMPUTED_VALUE"""),"АТУ")</f>
        <v>АТУ</v>
      </c>
    </row>
    <row r="417" spans="1:11" ht="13" x14ac:dyDescent="0.3">
      <c r="A417" s="1" t="str">
        <f ca="1">IFERROR(__xludf.DUMMYFUNCTION("""COMPUTED_VALUE"""),"АТУК2403086")</f>
        <v>АТУК2403086</v>
      </c>
      <c r="B417" s="1" t="str">
        <f ca="1">IFERROR(__xludf.DUMMYFUNCTION("""COMPUTED_VALUE"""),"09.03.2024")</f>
        <v>09.03.2024</v>
      </c>
      <c r="C417" s="1" t="str">
        <f ca="1">IFERROR(__xludf.DUMMYFUNCTION("""COMPUTED_VALUE"""),"глина огнеупорная")</f>
        <v>глина огнеупорная</v>
      </c>
      <c r="D417" s="1" t="str">
        <f ca="1">IFERROR(__xludf.DUMMYFUNCTION("""COMPUTED_VALUE"""),"44,05")</f>
        <v>44,05</v>
      </c>
      <c r="E417" s="1" t="str">
        <f ca="1">IFERROR(__xludf.DUMMYFUNCTION("""COMPUTED_VALUE"""),"Миранков Владимир Васильевич")</f>
        <v>Миранков Владимир Васильевич</v>
      </c>
      <c r="F417" s="1" t="str">
        <f ca="1">IFERROR(__xludf.DUMMYFUNCTION("""COMPUTED_VALUE"""),"МЕРСЕДЕС")</f>
        <v>МЕРСЕДЕС</v>
      </c>
      <c r="G417" s="1" t="str">
        <f ca="1">IFERROR(__xludf.DUMMYFUNCTION("""COMPUTED_VALUE"""),"О951НУ196")</f>
        <v>О951НУ196</v>
      </c>
      <c r="H41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7" s="1" t="str">
        <f ca="1">IFERROR(__xludf.DUMMYFUNCTION("""COMPUTED_VALUE"""),"44,050")</f>
        <v>44,050</v>
      </c>
      <c r="K417" s="1" t="str">
        <f ca="1">IFERROR(__xludf.DUMMYFUNCTION("""COMPUTED_VALUE"""),"АТУ")</f>
        <v>АТУ</v>
      </c>
    </row>
    <row r="418" spans="1:11" ht="13" x14ac:dyDescent="0.3">
      <c r="A418" s="1" t="str">
        <f ca="1">IFERROR(__xludf.DUMMYFUNCTION("""COMPUTED_VALUE"""),"АТУК2403087")</f>
        <v>АТУК2403087</v>
      </c>
      <c r="B418" s="1" t="str">
        <f ca="1">IFERROR(__xludf.DUMMYFUNCTION("""COMPUTED_VALUE"""),"09.03.2024")</f>
        <v>09.03.2024</v>
      </c>
      <c r="C418" s="1" t="str">
        <f ca="1">IFERROR(__xludf.DUMMYFUNCTION("""COMPUTED_VALUE"""),"глина огнеупорная")</f>
        <v>глина огнеупорная</v>
      </c>
      <c r="D418" s="1" t="str">
        <f ca="1">IFERROR(__xludf.DUMMYFUNCTION("""COMPUTED_VALUE"""),"43,10")</f>
        <v>43,10</v>
      </c>
      <c r="E418" s="1" t="str">
        <f ca="1">IFERROR(__xludf.DUMMYFUNCTION("""COMPUTED_VALUE"""),"Аверин Роман Викторович")</f>
        <v>Аверин Роман Викторович</v>
      </c>
      <c r="F418" s="1" t="str">
        <f ca="1">IFERROR(__xludf.DUMMYFUNCTION("""COMPUTED_VALUE"""),"МЕРСЕДЕС")</f>
        <v>МЕРСЕДЕС</v>
      </c>
      <c r="G418" s="1" t="str">
        <f ca="1">IFERROR(__xludf.DUMMYFUNCTION("""COMPUTED_VALUE"""),"О722ОА196")</f>
        <v>О722ОА196</v>
      </c>
      <c r="H41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8" s="1" t="str">
        <f ca="1">IFERROR(__xludf.DUMMYFUNCTION("""COMPUTED_VALUE"""),"43,100")</f>
        <v>43,100</v>
      </c>
      <c r="K418" s="1" t="str">
        <f ca="1">IFERROR(__xludf.DUMMYFUNCTION("""COMPUTED_VALUE"""),"АТУ")</f>
        <v>АТУ</v>
      </c>
    </row>
    <row r="419" spans="1:11" ht="13" x14ac:dyDescent="0.3">
      <c r="A419" s="1" t="str">
        <f ca="1">IFERROR(__xludf.DUMMYFUNCTION("""COMPUTED_VALUE"""),"АТУК2403088")</f>
        <v>АТУК2403088</v>
      </c>
      <c r="B419" s="1" t="str">
        <f ca="1">IFERROR(__xludf.DUMMYFUNCTION("""COMPUTED_VALUE"""),"09.03.2024")</f>
        <v>09.03.2024</v>
      </c>
      <c r="C419" s="1" t="str">
        <f ca="1">IFERROR(__xludf.DUMMYFUNCTION("""COMPUTED_VALUE"""),"глина огнеупорная")</f>
        <v>глина огнеупорная</v>
      </c>
      <c r="D419" s="1" t="str">
        <f ca="1">IFERROR(__xludf.DUMMYFUNCTION("""COMPUTED_VALUE"""),"43,40")</f>
        <v>43,40</v>
      </c>
      <c r="E419" s="1" t="str">
        <f ca="1">IFERROR(__xludf.DUMMYFUNCTION("""COMPUTED_VALUE"""),"Плишкин Александр Сергеевич")</f>
        <v>Плишкин Александр Сергеевич</v>
      </c>
      <c r="F419" s="1" t="str">
        <f ca="1">IFERROR(__xludf.DUMMYFUNCTION("""COMPUTED_VALUE"""),"МЕРСЕДЕС")</f>
        <v>МЕРСЕДЕС</v>
      </c>
      <c r="G419" s="1" t="str">
        <f ca="1">IFERROR(__xludf.DUMMYFUNCTION("""COMPUTED_VALUE"""),"О 498 СА 196")</f>
        <v>О 498 СА 196</v>
      </c>
      <c r="H41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1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19" s="1" t="str">
        <f ca="1">IFERROR(__xludf.DUMMYFUNCTION("""COMPUTED_VALUE"""),"43,400")</f>
        <v>43,400</v>
      </c>
      <c r="K419" s="1" t="str">
        <f ca="1">IFERROR(__xludf.DUMMYFUNCTION("""COMPUTED_VALUE"""),"АТУ")</f>
        <v>АТУ</v>
      </c>
    </row>
    <row r="420" spans="1:11" ht="13" x14ac:dyDescent="0.3">
      <c r="A420" s="1" t="str">
        <f ca="1">IFERROR(__xludf.DUMMYFUNCTION("""COMPUTED_VALUE"""),"АТУК2403089")</f>
        <v>АТУК2403089</v>
      </c>
      <c r="B420" s="1" t="str">
        <f ca="1">IFERROR(__xludf.DUMMYFUNCTION("""COMPUTED_VALUE"""),"09.03.2024")</f>
        <v>09.03.2024</v>
      </c>
      <c r="C420" s="1" t="str">
        <f ca="1">IFERROR(__xludf.DUMMYFUNCTION("""COMPUTED_VALUE"""),"глина огнеупорная")</f>
        <v>глина огнеупорная</v>
      </c>
      <c r="D420" s="1" t="str">
        <f ca="1">IFERROR(__xludf.DUMMYFUNCTION("""COMPUTED_VALUE"""),"42,95")</f>
        <v>42,95</v>
      </c>
      <c r="E420" s="1" t="str">
        <f ca="1">IFERROR(__xludf.DUMMYFUNCTION("""COMPUTED_VALUE"""),"Рыбалкин Виталий Ильич")</f>
        <v>Рыбалкин Виталий Ильич</v>
      </c>
      <c r="F420" s="1" t="str">
        <f ca="1">IFERROR(__xludf.DUMMYFUNCTION("""COMPUTED_VALUE"""),"МЕРСЕДЕС")</f>
        <v>МЕРСЕДЕС</v>
      </c>
      <c r="G420" s="1" t="str">
        <f ca="1">IFERROR(__xludf.DUMMYFUNCTION("""COMPUTED_VALUE"""),"О669РО196")</f>
        <v>О669РО196</v>
      </c>
      <c r="H42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2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0" s="1" t="str">
        <f ca="1">IFERROR(__xludf.DUMMYFUNCTION("""COMPUTED_VALUE"""),"42,950")</f>
        <v>42,950</v>
      </c>
      <c r="K420" s="1" t="str">
        <f ca="1">IFERROR(__xludf.DUMMYFUNCTION("""COMPUTED_VALUE"""),"АТУ")</f>
        <v>АТУ</v>
      </c>
    </row>
    <row r="421" spans="1:11" ht="13" x14ac:dyDescent="0.3">
      <c r="A421" s="1" t="str">
        <f ca="1">IFERROR(__xludf.DUMMYFUNCTION("""COMPUTED_VALUE"""),"АТУК2403090")</f>
        <v>АТУК2403090</v>
      </c>
      <c r="B421" s="1" t="str">
        <f ca="1">IFERROR(__xludf.DUMMYFUNCTION("""COMPUTED_VALUE"""),"09.03.2024")</f>
        <v>09.03.2024</v>
      </c>
      <c r="C421" s="1" t="str">
        <f ca="1">IFERROR(__xludf.DUMMYFUNCTION("""COMPUTED_VALUE"""),"глина огнеупорная")</f>
        <v>глина огнеупорная</v>
      </c>
      <c r="D421" s="1" t="str">
        <f ca="1">IFERROR(__xludf.DUMMYFUNCTION("""COMPUTED_VALUE"""),"41,95")</f>
        <v>41,95</v>
      </c>
      <c r="E421" s="1" t="str">
        <f ca="1">IFERROR(__xludf.DUMMYFUNCTION("""COMPUTED_VALUE"""),"Баландин Александр Александрович")</f>
        <v>Баландин Александр Александрович</v>
      </c>
      <c r="F421" s="1" t="str">
        <f ca="1">IFERROR(__xludf.DUMMYFUNCTION("""COMPUTED_VALUE"""),"МЕРСЕДЕС")</f>
        <v>МЕРСЕДЕС</v>
      </c>
      <c r="G421" s="1" t="str">
        <f ca="1">IFERROR(__xludf.DUMMYFUNCTION("""COMPUTED_VALUE"""),"О756ОК196")</f>
        <v>О756ОК196</v>
      </c>
      <c r="H42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2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1" s="1" t="str">
        <f ca="1">IFERROR(__xludf.DUMMYFUNCTION("""COMPUTED_VALUE"""),"41,950")</f>
        <v>41,950</v>
      </c>
      <c r="K421" s="1" t="str">
        <f ca="1">IFERROR(__xludf.DUMMYFUNCTION("""COMPUTED_VALUE"""),"АТУ")</f>
        <v>АТУ</v>
      </c>
    </row>
    <row r="422" spans="1:11" ht="13" x14ac:dyDescent="0.3">
      <c r="A422" s="1" t="str">
        <f ca="1">IFERROR(__xludf.DUMMYFUNCTION("""COMPUTED_VALUE"""),"108580 / 108579")</f>
        <v>108580 / 108579</v>
      </c>
      <c r="B422" s="1" t="str">
        <f ca="1">IFERROR(__xludf.DUMMYFUNCTION("""COMPUTED_VALUE"""),"10.03.2024")</f>
        <v>10.03.2024</v>
      </c>
      <c r="C422" s="1" t="str">
        <f ca="1">IFERROR(__xludf.DUMMYFUNCTION("""COMPUTED_VALUE"""),"Шлак гранулированный")</f>
        <v>Шлак гранулированный</v>
      </c>
      <c r="D422" s="1" t="str">
        <f ca="1">IFERROR(__xludf.DUMMYFUNCTION("""COMPUTED_VALUE"""),"40,60")</f>
        <v>40,60</v>
      </c>
      <c r="E422" s="1" t="str">
        <f ca="1">IFERROR(__xludf.DUMMYFUNCTION("""COMPUTED_VALUE"""),"Доронов Алексей Николаевич")</f>
        <v>Доронов Алексей Николаевич</v>
      </c>
      <c r="F422" s="1" t="str">
        <f ca="1">IFERROR(__xludf.DUMMYFUNCTION("""COMPUTED_VALUE"""),"SHACMAN")</f>
        <v>SHACMAN</v>
      </c>
      <c r="G422" s="1" t="str">
        <f ca="1">IFERROR(__xludf.DUMMYFUNCTION("""COMPUTED_VALUE"""),"У645ВО774")</f>
        <v>У645ВО774</v>
      </c>
      <c r="H422" s="1" t="str">
        <f ca="1">IFERROR(__xludf.DUMMYFUNCTION("""COMPUTED_VALUE"""),"г. Магнитогорск, ул. Локомотивная, 6А")</f>
        <v>г. Магнитогорск, ул. Локомотивная, 6А</v>
      </c>
      <c r="I422" s="1" t="str">
        <f ca="1">IFERROR(__xludf.DUMMYFUNCTION("""COMPUTED_VALUE"""),"г. Гай, ПАО ""Гайский ГОК""")</f>
        <v>г. Гай, ПАО "Гайский ГОК"</v>
      </c>
      <c r="J422" s="1" t="str">
        <f ca="1">IFERROR(__xludf.DUMMYFUNCTION("""COMPUTED_VALUE"""),"40,600")</f>
        <v>40,600</v>
      </c>
      <c r="K422" s="1" t="str">
        <f ca="1">IFERROR(__xludf.DUMMYFUNCTION("""COMPUTED_VALUE"""),"Гайский ГОК")</f>
        <v>Гайский ГОК</v>
      </c>
    </row>
    <row r="423" spans="1:11" ht="13" x14ac:dyDescent="0.3">
      <c r="A423" s="1" t="str">
        <f ca="1">IFERROR(__xludf.DUMMYFUNCTION("""COMPUTED_VALUE"""),"108098 / 108201")</f>
        <v>108098 / 108201</v>
      </c>
      <c r="B423" s="1" t="str">
        <f ca="1">IFERROR(__xludf.DUMMYFUNCTION("""COMPUTED_VALUE"""),"10.03.2024")</f>
        <v>10.03.2024</v>
      </c>
      <c r="C423" s="1" t="str">
        <f ca="1">IFERROR(__xludf.DUMMYFUNCTION("""COMPUTED_VALUE"""),"Шлак гранулированный")</f>
        <v>Шлак гранулированный</v>
      </c>
      <c r="D423" s="1" t="str">
        <f ca="1">IFERROR(__xludf.DUMMYFUNCTION("""COMPUTED_VALUE"""),"40,30")</f>
        <v>40,30</v>
      </c>
      <c r="E423" s="1" t="str">
        <f ca="1">IFERROR(__xludf.DUMMYFUNCTION("""COMPUTED_VALUE"""),"Сычев Василий Владимирович")</f>
        <v>Сычев Василий Владимирович</v>
      </c>
      <c r="F423" s="1" t="str">
        <f ca="1">IFERROR(__xludf.DUMMYFUNCTION("""COMPUTED_VALUE"""),"SHACMAN")</f>
        <v>SHACMAN</v>
      </c>
      <c r="G423" s="1" t="str">
        <f ca="1">IFERROR(__xludf.DUMMYFUNCTION("""COMPUTED_VALUE"""),"Х319АЕ774")</f>
        <v>Х319АЕ774</v>
      </c>
      <c r="H423" s="1" t="str">
        <f ca="1">IFERROR(__xludf.DUMMYFUNCTION("""COMPUTED_VALUE"""),"г. Магнитогорск, ул. Локомотивная, 6А")</f>
        <v>г. Магнитогорск, ул. Локомотивная, 6А</v>
      </c>
      <c r="I423" s="1" t="str">
        <f ca="1">IFERROR(__xludf.DUMMYFUNCTION("""COMPUTED_VALUE"""),"г. Гай, ПАО ""Гайский ГОК""")</f>
        <v>г. Гай, ПАО "Гайский ГОК"</v>
      </c>
      <c r="J423" s="1" t="str">
        <f ca="1">IFERROR(__xludf.DUMMYFUNCTION("""COMPUTED_VALUE"""),"40,300")</f>
        <v>40,300</v>
      </c>
      <c r="K423" s="1" t="str">
        <f ca="1">IFERROR(__xludf.DUMMYFUNCTION("""COMPUTED_VALUE"""),"Гайский ГОК")</f>
        <v>Гайский ГОК</v>
      </c>
    </row>
    <row r="424" spans="1:11" ht="13" x14ac:dyDescent="0.3">
      <c r="A424" s="1" t="str">
        <f ca="1">IFERROR(__xludf.DUMMYFUNCTION("""COMPUTED_VALUE"""),"2623")</f>
        <v>2623</v>
      </c>
      <c r="B424" s="1" t="str">
        <f ca="1">IFERROR(__xludf.DUMMYFUNCTION("""COMPUTED_VALUE"""),"10.03.2024")</f>
        <v>10.03.2024</v>
      </c>
      <c r="C424" s="1" t="str">
        <f ca="1">IFERROR(__xludf.DUMMYFUNCTION("""COMPUTED_VALUE"""),"глина огнеупорная")</f>
        <v>глина огнеупорная</v>
      </c>
      <c r="D424" s="1" t="str">
        <f ca="1">IFERROR(__xludf.DUMMYFUNCTION("""COMPUTED_VALUE"""),"38,28")</f>
        <v>38,28</v>
      </c>
      <c r="E424" s="1" t="str">
        <f ca="1">IFERROR(__xludf.DUMMYFUNCTION("""COMPUTED_VALUE"""),"Руковицын Виктор Анатольевич")</f>
        <v>Руковицын Виктор Анатольевич</v>
      </c>
      <c r="F424" s="1" t="str">
        <f ca="1">IFERROR(__xludf.DUMMYFUNCTION("""COMPUTED_VALUE"""),"FAW")</f>
        <v>FAW</v>
      </c>
      <c r="G424" s="1" t="str">
        <f ca="1">IFERROR(__xludf.DUMMYFUNCTION("""COMPUTED_VALUE"""),"С621КМ774")</f>
        <v>С621КМ774</v>
      </c>
      <c r="H424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42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4" s="1" t="str">
        <f ca="1">IFERROR(__xludf.DUMMYFUNCTION("""COMPUTED_VALUE"""),"38,28")</f>
        <v>38,28</v>
      </c>
      <c r="K424" s="1" t="str">
        <f ca="1">IFERROR(__xludf.DUMMYFUNCTION("""COMPUTED_VALUE"""),"АТУ")</f>
        <v>АТУ</v>
      </c>
    </row>
    <row r="425" spans="1:11" ht="13" x14ac:dyDescent="0.3">
      <c r="A425" s="1" t="str">
        <f ca="1">IFERROR(__xludf.DUMMYFUNCTION("""COMPUTED_VALUE"""),"2624")</f>
        <v>2624</v>
      </c>
      <c r="B425" s="1" t="str">
        <f ca="1">IFERROR(__xludf.DUMMYFUNCTION("""COMPUTED_VALUE"""),"10.03.2024")</f>
        <v>10.03.2024</v>
      </c>
      <c r="C425" s="1" t="str">
        <f ca="1">IFERROR(__xludf.DUMMYFUNCTION("""COMPUTED_VALUE"""),"глина огнеупорная")</f>
        <v>глина огнеупорная</v>
      </c>
      <c r="D425" s="1" t="str">
        <f ca="1">IFERROR(__xludf.DUMMYFUNCTION("""COMPUTED_VALUE"""),"29,76")</f>
        <v>29,76</v>
      </c>
      <c r="E425" s="1" t="str">
        <f ca="1">IFERROR(__xludf.DUMMYFUNCTION("""COMPUTED_VALUE"""),"Свищев Михаил Владимирович")</f>
        <v>Свищев Михаил Владимирович</v>
      </c>
      <c r="F425" s="1" t="str">
        <f ca="1">IFERROR(__xludf.DUMMYFUNCTION("""COMPUTED_VALUE"""),"FAW")</f>
        <v>FAW</v>
      </c>
      <c r="G425" s="1" t="str">
        <f ca="1">IFERROR(__xludf.DUMMYFUNCTION("""COMPUTED_VALUE"""),"Н504КК774")</f>
        <v>Н504КК774</v>
      </c>
      <c r="H425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42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5" s="1" t="str">
        <f ca="1">IFERROR(__xludf.DUMMYFUNCTION("""COMPUTED_VALUE"""),"29,76")</f>
        <v>29,76</v>
      </c>
      <c r="K425" s="1" t="str">
        <f ca="1">IFERROR(__xludf.DUMMYFUNCTION("""COMPUTED_VALUE"""),"АТУ")</f>
        <v>АТУ</v>
      </c>
    </row>
    <row r="426" spans="1:11" ht="13" x14ac:dyDescent="0.3">
      <c r="A426" s="1" t="str">
        <f ca="1">IFERROR(__xludf.DUMMYFUNCTION("""COMPUTED_VALUE"""),"2622")</f>
        <v>2622</v>
      </c>
      <c r="B426" s="1" t="str">
        <f ca="1">IFERROR(__xludf.DUMMYFUNCTION("""COMPUTED_VALUE"""),"10.03.2024")</f>
        <v>10.03.2024</v>
      </c>
      <c r="C426" s="1" t="str">
        <f ca="1">IFERROR(__xludf.DUMMYFUNCTION("""COMPUTED_VALUE"""),"глина огнеупорная")</f>
        <v>глина огнеупорная</v>
      </c>
      <c r="D426" s="1" t="str">
        <f ca="1">IFERROR(__xludf.DUMMYFUNCTION("""COMPUTED_VALUE"""),"37,90")</f>
        <v>37,90</v>
      </c>
      <c r="E426" s="1" t="str">
        <f ca="1">IFERROR(__xludf.DUMMYFUNCTION("""COMPUTED_VALUE"""),"Нургалин Ильшат Абдулхакович")</f>
        <v>Нургалин Ильшат Абдулхакович</v>
      </c>
      <c r="F426" s="1" t="str">
        <f ca="1">IFERROR(__xludf.DUMMYFUNCTION("""COMPUTED_VALUE"""),"FAW")</f>
        <v>FAW</v>
      </c>
      <c r="G426" s="1" t="str">
        <f ca="1">IFERROR(__xludf.DUMMYFUNCTION("""COMPUTED_VALUE"""),"Т951КМ774")</f>
        <v>Т951КМ774</v>
      </c>
      <c r="H426" s="1" t="str">
        <f ca="1">IFERROR(__xludf.DUMMYFUNCTION("""COMPUTED_VALUE"""),"Челябинская обл., Чесменский район, п. Бускульский, ул. Зеленая, д. 24")</f>
        <v>Челябинская обл., Чесменский район, п. Бускульский, ул. Зеленая, д. 24</v>
      </c>
      <c r="I42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6" s="1" t="str">
        <f ca="1">IFERROR(__xludf.DUMMYFUNCTION("""COMPUTED_VALUE"""),"37,90")</f>
        <v>37,90</v>
      </c>
      <c r="K426" s="1" t="str">
        <f ca="1">IFERROR(__xludf.DUMMYFUNCTION("""COMPUTED_VALUE"""),"АТУ")</f>
        <v>АТУ</v>
      </c>
    </row>
    <row r="427" spans="1:11" ht="13" x14ac:dyDescent="0.3">
      <c r="A427" s="1" t="str">
        <f ca="1">IFERROR(__xludf.DUMMYFUNCTION("""COMPUTED_VALUE"""),"АТУК2403091")</f>
        <v>АТУК2403091</v>
      </c>
      <c r="B427" s="1" t="str">
        <f ca="1">IFERROR(__xludf.DUMMYFUNCTION("""COMPUTED_VALUE"""),"10.03.2024")</f>
        <v>10.03.2024</v>
      </c>
      <c r="C427" s="1" t="str">
        <f ca="1">IFERROR(__xludf.DUMMYFUNCTION("""COMPUTED_VALUE"""),"глина огнеупорная")</f>
        <v>глина огнеупорная</v>
      </c>
      <c r="D427" s="1" t="str">
        <f ca="1">IFERROR(__xludf.DUMMYFUNCTION("""COMPUTED_VALUE"""),"37,70")</f>
        <v>37,70</v>
      </c>
      <c r="E427" s="1" t="str">
        <f ca="1">IFERROR(__xludf.DUMMYFUNCTION("""COMPUTED_VALUE"""),"Лученко Андрей Владимирович")</f>
        <v>Лученко Андрей Владимирович</v>
      </c>
      <c r="F427" s="1" t="str">
        <f ca="1">IFERROR(__xludf.DUMMYFUNCTION("""COMPUTED_VALUE"""),"МЕРСЕДЕС")</f>
        <v>МЕРСЕДЕС</v>
      </c>
      <c r="G427" s="1" t="str">
        <f ca="1">IFERROR(__xludf.DUMMYFUNCTION("""COMPUTED_VALUE"""),"О407НТ196")</f>
        <v>О407НТ196</v>
      </c>
      <c r="H42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2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7" s="1" t="str">
        <f ca="1">IFERROR(__xludf.DUMMYFUNCTION("""COMPUTED_VALUE"""),"37,700")</f>
        <v>37,700</v>
      </c>
      <c r="K427" s="1" t="str">
        <f ca="1">IFERROR(__xludf.DUMMYFUNCTION("""COMPUTED_VALUE"""),"АТУ")</f>
        <v>АТУ</v>
      </c>
    </row>
    <row r="428" spans="1:11" ht="13" x14ac:dyDescent="0.3">
      <c r="A428" s="1" t="str">
        <f ca="1">IFERROR(__xludf.DUMMYFUNCTION("""COMPUTED_VALUE"""),"АТУК2403092")</f>
        <v>АТУК2403092</v>
      </c>
      <c r="B428" s="1" t="str">
        <f ca="1">IFERROR(__xludf.DUMMYFUNCTION("""COMPUTED_VALUE"""),"10.03.2024")</f>
        <v>10.03.2024</v>
      </c>
      <c r="C428" s="1" t="str">
        <f ca="1">IFERROR(__xludf.DUMMYFUNCTION("""COMPUTED_VALUE"""),"глина огнеупорная")</f>
        <v>глина огнеупорная</v>
      </c>
      <c r="D428" s="1" t="str">
        <f ca="1">IFERROR(__xludf.DUMMYFUNCTION("""COMPUTED_VALUE"""),"37,05")</f>
        <v>37,05</v>
      </c>
      <c r="E428" s="1" t="str">
        <f ca="1">IFERROR(__xludf.DUMMYFUNCTION("""COMPUTED_VALUE"""),"Толстых Николай Владимирович")</f>
        <v>Толстых Николай Владимирович</v>
      </c>
      <c r="F428" s="1" t="str">
        <f ca="1">IFERROR(__xludf.DUMMYFUNCTION("""COMPUTED_VALUE"""),"МЕРСЕДЕС")</f>
        <v>МЕРСЕДЕС</v>
      </c>
      <c r="G428" s="1" t="str">
        <f ca="1">IFERROR(__xludf.DUMMYFUNCTION("""COMPUTED_VALUE"""),"О396НО196")</f>
        <v>О396НО196</v>
      </c>
      <c r="H42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2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8" s="1" t="str">
        <f ca="1">IFERROR(__xludf.DUMMYFUNCTION("""COMPUTED_VALUE"""),"37,050")</f>
        <v>37,050</v>
      </c>
      <c r="K428" s="1" t="str">
        <f ca="1">IFERROR(__xludf.DUMMYFUNCTION("""COMPUTED_VALUE"""),"АТУ")</f>
        <v>АТУ</v>
      </c>
    </row>
    <row r="429" spans="1:11" ht="13" x14ac:dyDescent="0.3">
      <c r="A429" s="1" t="str">
        <f ca="1">IFERROR(__xludf.DUMMYFUNCTION("""COMPUTED_VALUE"""),"АТУК2403093")</f>
        <v>АТУК2403093</v>
      </c>
      <c r="B429" s="1" t="str">
        <f ca="1">IFERROR(__xludf.DUMMYFUNCTION("""COMPUTED_VALUE"""),"10.03.2024")</f>
        <v>10.03.2024</v>
      </c>
      <c r="C429" s="1" t="str">
        <f ca="1">IFERROR(__xludf.DUMMYFUNCTION("""COMPUTED_VALUE"""),"глина огнеупорная")</f>
        <v>глина огнеупорная</v>
      </c>
      <c r="D429" s="1" t="str">
        <f ca="1">IFERROR(__xludf.DUMMYFUNCTION("""COMPUTED_VALUE"""),"40,05")</f>
        <v>40,05</v>
      </c>
      <c r="E429" s="1" t="str">
        <f ca="1">IFERROR(__xludf.DUMMYFUNCTION("""COMPUTED_VALUE"""),"Серпков Василий Николаевич")</f>
        <v>Серпков Василий Николаевич</v>
      </c>
      <c r="F429" s="1" t="str">
        <f ca="1">IFERROR(__xludf.DUMMYFUNCTION("""COMPUTED_VALUE"""),"МЕРСЕДЕС")</f>
        <v>МЕРСЕДЕС</v>
      </c>
      <c r="G429" s="1" t="str">
        <f ca="1">IFERROR(__xludf.DUMMYFUNCTION("""COMPUTED_VALUE"""),"О929ОА196")</f>
        <v>О929ОА196</v>
      </c>
      <c r="H429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29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29" s="1" t="str">
        <f ca="1">IFERROR(__xludf.DUMMYFUNCTION("""COMPUTED_VALUE"""),"40,050")</f>
        <v>40,050</v>
      </c>
      <c r="K429" s="1" t="str">
        <f ca="1">IFERROR(__xludf.DUMMYFUNCTION("""COMPUTED_VALUE"""),"АТУ")</f>
        <v>АТУ</v>
      </c>
    </row>
    <row r="430" spans="1:11" ht="13" x14ac:dyDescent="0.3">
      <c r="A430" s="1" t="str">
        <f ca="1">IFERROR(__xludf.DUMMYFUNCTION("""COMPUTED_VALUE"""),"АТУК2403094")</f>
        <v>АТУК2403094</v>
      </c>
      <c r="B430" s="1" t="str">
        <f ca="1">IFERROR(__xludf.DUMMYFUNCTION("""COMPUTED_VALUE"""),"10.03.2024")</f>
        <v>10.03.2024</v>
      </c>
      <c r="C430" s="1" t="str">
        <f ca="1">IFERROR(__xludf.DUMMYFUNCTION("""COMPUTED_VALUE"""),"глина огнеупорная")</f>
        <v>глина огнеупорная</v>
      </c>
      <c r="D430" s="1" t="str">
        <f ca="1">IFERROR(__xludf.DUMMYFUNCTION("""COMPUTED_VALUE"""),"35,00")</f>
        <v>35,00</v>
      </c>
      <c r="E430" s="1" t="str">
        <f ca="1">IFERROR(__xludf.DUMMYFUNCTION("""COMPUTED_VALUE"""),"Журавлёв Александр Викторович")</f>
        <v>Журавлёв Александр Викторович</v>
      </c>
      <c r="F430" s="1" t="str">
        <f ca="1">IFERROR(__xludf.DUMMYFUNCTION("""COMPUTED_VALUE"""),"МЕРСЕДЕС")</f>
        <v>МЕРСЕДЕС</v>
      </c>
      <c r="G430" s="1" t="str">
        <f ca="1">IFERROR(__xludf.DUMMYFUNCTION("""COMPUTED_VALUE"""),"О534РТ196")</f>
        <v>О534РТ196</v>
      </c>
      <c r="H430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0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0" s="1" t="str">
        <f ca="1">IFERROR(__xludf.DUMMYFUNCTION("""COMPUTED_VALUE"""),"35,000")</f>
        <v>35,000</v>
      </c>
      <c r="K430" s="1" t="str">
        <f ca="1">IFERROR(__xludf.DUMMYFUNCTION("""COMPUTED_VALUE"""),"АТУ")</f>
        <v>АТУ</v>
      </c>
    </row>
    <row r="431" spans="1:11" ht="13" x14ac:dyDescent="0.3">
      <c r="A431" s="1" t="str">
        <f ca="1">IFERROR(__xludf.DUMMYFUNCTION("""COMPUTED_VALUE"""),"АТУК2403095")</f>
        <v>АТУК2403095</v>
      </c>
      <c r="B431" s="1" t="str">
        <f ca="1">IFERROR(__xludf.DUMMYFUNCTION("""COMPUTED_VALUE"""),"10.03.2024")</f>
        <v>10.03.2024</v>
      </c>
      <c r="C431" s="1" t="str">
        <f ca="1">IFERROR(__xludf.DUMMYFUNCTION("""COMPUTED_VALUE"""),"глина огнеупорная")</f>
        <v>глина огнеупорная</v>
      </c>
      <c r="D431" s="1" t="str">
        <f ca="1">IFERROR(__xludf.DUMMYFUNCTION("""COMPUTED_VALUE"""),"34,30")</f>
        <v>34,30</v>
      </c>
      <c r="E431" s="1" t="str">
        <f ca="1">IFERROR(__xludf.DUMMYFUNCTION("""COMPUTED_VALUE"""),"Шакенов Сейтжан Капышович")</f>
        <v>Шакенов Сейтжан Капышович</v>
      </c>
      <c r="F431" s="1" t="str">
        <f ca="1">IFERROR(__xludf.DUMMYFUNCTION("""COMPUTED_VALUE"""),"МЕРСЕДЕС")</f>
        <v>МЕРСЕДЕС</v>
      </c>
      <c r="G431" s="1" t="str">
        <f ca="1">IFERROR(__xludf.DUMMYFUNCTION("""COMPUTED_VALUE"""),"О281ОУ196")</f>
        <v>О281ОУ196</v>
      </c>
      <c r="H431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1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1" s="1" t="str">
        <f ca="1">IFERROR(__xludf.DUMMYFUNCTION("""COMPUTED_VALUE"""),"34,300")</f>
        <v>34,300</v>
      </c>
      <c r="K431" s="1" t="str">
        <f ca="1">IFERROR(__xludf.DUMMYFUNCTION("""COMPUTED_VALUE"""),"АТУ")</f>
        <v>АТУ</v>
      </c>
    </row>
    <row r="432" spans="1:11" ht="13" x14ac:dyDescent="0.3">
      <c r="A432" s="1" t="str">
        <f ca="1">IFERROR(__xludf.DUMMYFUNCTION("""COMPUTED_VALUE"""),"АТУК2403096")</f>
        <v>АТУК2403096</v>
      </c>
      <c r="B432" s="1" t="str">
        <f ca="1">IFERROR(__xludf.DUMMYFUNCTION("""COMPUTED_VALUE"""),"10.03.2024")</f>
        <v>10.03.2024</v>
      </c>
      <c r="C432" s="1" t="str">
        <f ca="1">IFERROR(__xludf.DUMMYFUNCTION("""COMPUTED_VALUE"""),"глина огнеупорная")</f>
        <v>глина огнеупорная</v>
      </c>
      <c r="D432" s="1" t="str">
        <f ca="1">IFERROR(__xludf.DUMMYFUNCTION("""COMPUTED_VALUE"""),"42,80")</f>
        <v>42,80</v>
      </c>
      <c r="E432" s="1" t="str">
        <f ca="1">IFERROR(__xludf.DUMMYFUNCTION("""COMPUTED_VALUE"""),"Мангалов Алексей Юрьевич")</f>
        <v>Мангалов Алексей Юрьевич</v>
      </c>
      <c r="F432" s="1" t="str">
        <f ca="1">IFERROR(__xludf.DUMMYFUNCTION("""COMPUTED_VALUE"""),"ВОЛЬВО")</f>
        <v>ВОЛЬВО</v>
      </c>
      <c r="G432" s="1" t="str">
        <f ca="1">IFERROR(__xludf.DUMMYFUNCTION("""COMPUTED_VALUE"""),"Н998ОЕ196")</f>
        <v>Н998ОЕ196</v>
      </c>
      <c r="H432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2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2" s="1" t="str">
        <f ca="1">IFERROR(__xludf.DUMMYFUNCTION("""COMPUTED_VALUE"""),"42,800")</f>
        <v>42,800</v>
      </c>
      <c r="K432" s="1" t="str">
        <f ca="1">IFERROR(__xludf.DUMMYFUNCTION("""COMPUTED_VALUE"""),"АТУ")</f>
        <v>АТУ</v>
      </c>
    </row>
    <row r="433" spans="1:11" ht="13" x14ac:dyDescent="0.3">
      <c r="A433" s="1" t="str">
        <f ca="1">IFERROR(__xludf.DUMMYFUNCTION("""COMPUTED_VALUE"""),"АТУК2403097")</f>
        <v>АТУК2403097</v>
      </c>
      <c r="B433" s="1" t="str">
        <f ca="1">IFERROR(__xludf.DUMMYFUNCTION("""COMPUTED_VALUE"""),"10.03.2024")</f>
        <v>10.03.2024</v>
      </c>
      <c r="C433" s="1" t="str">
        <f ca="1">IFERROR(__xludf.DUMMYFUNCTION("""COMPUTED_VALUE"""),"глина огнеупорная")</f>
        <v>глина огнеупорная</v>
      </c>
      <c r="D433" s="1" t="str">
        <f ca="1">IFERROR(__xludf.DUMMYFUNCTION("""COMPUTED_VALUE"""),"38,15")</f>
        <v>38,15</v>
      </c>
      <c r="E433" s="1" t="str">
        <f ca="1">IFERROR(__xludf.DUMMYFUNCTION("""COMPUTED_VALUE"""),"Филиппов Василий Николаевич")</f>
        <v>Филиппов Василий Николаевич</v>
      </c>
      <c r="F433" s="1" t="str">
        <f ca="1">IFERROR(__xludf.DUMMYFUNCTION("""COMPUTED_VALUE"""),"ВОЛЬВО")</f>
        <v>ВОЛЬВО</v>
      </c>
      <c r="G433" s="1" t="str">
        <f ca="1">IFERROR(__xludf.DUMMYFUNCTION("""COMPUTED_VALUE"""),"Н179ОХ196")</f>
        <v>Н179ОХ196</v>
      </c>
      <c r="H433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3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3" s="1" t="str">
        <f ca="1">IFERROR(__xludf.DUMMYFUNCTION("""COMPUTED_VALUE"""),"38,150")</f>
        <v>38,150</v>
      </c>
      <c r="K433" s="1" t="str">
        <f ca="1">IFERROR(__xludf.DUMMYFUNCTION("""COMPUTED_VALUE"""),"АТУ")</f>
        <v>АТУ</v>
      </c>
    </row>
    <row r="434" spans="1:11" ht="13" x14ac:dyDescent="0.3">
      <c r="A434" s="1" t="str">
        <f ca="1">IFERROR(__xludf.DUMMYFUNCTION("""COMPUTED_VALUE"""),"АТУК2403098")</f>
        <v>АТУК2403098</v>
      </c>
      <c r="B434" s="1" t="str">
        <f ca="1">IFERROR(__xludf.DUMMYFUNCTION("""COMPUTED_VALUE"""),"10.03.2024")</f>
        <v>10.03.2024</v>
      </c>
      <c r="C434" s="1" t="str">
        <f ca="1">IFERROR(__xludf.DUMMYFUNCTION("""COMPUTED_VALUE"""),"глина огнеупорная")</f>
        <v>глина огнеупорная</v>
      </c>
      <c r="D434" s="1" t="str">
        <f ca="1">IFERROR(__xludf.DUMMYFUNCTION("""COMPUTED_VALUE"""),"39,20")</f>
        <v>39,20</v>
      </c>
      <c r="E434" s="1" t="str">
        <f ca="1">IFERROR(__xludf.DUMMYFUNCTION("""COMPUTED_VALUE"""),"Марусов Владимир Анатольевич")</f>
        <v>Марусов Владимир Анатольевич</v>
      </c>
      <c r="F434" s="1" t="str">
        <f ca="1">IFERROR(__xludf.DUMMYFUNCTION("""COMPUTED_VALUE"""),"МЕРСЕДЕС")</f>
        <v>МЕРСЕДЕС</v>
      </c>
      <c r="G434" s="1" t="str">
        <f ca="1">IFERROR(__xludf.DUMMYFUNCTION("""COMPUTED_VALUE"""),"О740ОН196")</f>
        <v>О740ОН196</v>
      </c>
      <c r="H434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4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4" s="1" t="str">
        <f ca="1">IFERROR(__xludf.DUMMYFUNCTION("""COMPUTED_VALUE"""),"39,200")</f>
        <v>39,200</v>
      </c>
      <c r="K434" s="1" t="str">
        <f ca="1">IFERROR(__xludf.DUMMYFUNCTION("""COMPUTED_VALUE"""),"АТУ")</f>
        <v>АТУ</v>
      </c>
    </row>
    <row r="435" spans="1:11" ht="13" x14ac:dyDescent="0.3">
      <c r="A435" s="1" t="str">
        <f ca="1">IFERROR(__xludf.DUMMYFUNCTION("""COMPUTED_VALUE"""),"АТУК2403099")</f>
        <v>АТУК2403099</v>
      </c>
      <c r="B435" s="1" t="str">
        <f ca="1">IFERROR(__xludf.DUMMYFUNCTION("""COMPUTED_VALUE"""),"10.03.2024")</f>
        <v>10.03.2024</v>
      </c>
      <c r="C435" s="1" t="str">
        <f ca="1">IFERROR(__xludf.DUMMYFUNCTION("""COMPUTED_VALUE"""),"глина огнеупорная")</f>
        <v>глина огнеупорная</v>
      </c>
      <c r="D435" s="1" t="str">
        <f ca="1">IFERROR(__xludf.DUMMYFUNCTION("""COMPUTED_VALUE"""),"37,75")</f>
        <v>37,75</v>
      </c>
      <c r="E435" s="1" t="str">
        <f ca="1">IFERROR(__xludf.DUMMYFUNCTION("""COMPUTED_VALUE"""),"Хаюрлин Нуржан Ситканович")</f>
        <v>Хаюрлин Нуржан Ситканович</v>
      </c>
      <c r="F435" s="1" t="str">
        <f ca="1">IFERROR(__xludf.DUMMYFUNCTION("""COMPUTED_VALUE"""),"МЕРСЕДЕС")</f>
        <v>МЕРСЕДЕС</v>
      </c>
      <c r="G435" s="1" t="str">
        <f ca="1">IFERROR(__xludf.DUMMYFUNCTION("""COMPUTED_VALUE"""),"О816РС196")</f>
        <v>О816РС196</v>
      </c>
      <c r="H435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5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5" s="1" t="str">
        <f ca="1">IFERROR(__xludf.DUMMYFUNCTION("""COMPUTED_VALUE"""),"37,750")</f>
        <v>37,750</v>
      </c>
      <c r="K435" s="1" t="str">
        <f ca="1">IFERROR(__xludf.DUMMYFUNCTION("""COMPUTED_VALUE"""),"АТУ")</f>
        <v>АТУ</v>
      </c>
    </row>
    <row r="436" spans="1:11" ht="13" x14ac:dyDescent="0.3">
      <c r="A436" s="1" t="str">
        <f ca="1">IFERROR(__xludf.DUMMYFUNCTION("""COMPUTED_VALUE"""),"АТУК2403100")</f>
        <v>АТУК2403100</v>
      </c>
      <c r="B436" s="1" t="str">
        <f ca="1">IFERROR(__xludf.DUMMYFUNCTION("""COMPUTED_VALUE"""),"10.03.2024")</f>
        <v>10.03.2024</v>
      </c>
      <c r="C436" s="1" t="str">
        <f ca="1">IFERROR(__xludf.DUMMYFUNCTION("""COMPUTED_VALUE"""),"глина огнеупорная")</f>
        <v>глина огнеупорная</v>
      </c>
      <c r="D436" s="1" t="str">
        <f ca="1">IFERROR(__xludf.DUMMYFUNCTION("""COMPUTED_VALUE"""),"38,95")</f>
        <v>38,95</v>
      </c>
      <c r="E436" s="1" t="str">
        <f ca="1">IFERROR(__xludf.DUMMYFUNCTION("""COMPUTED_VALUE"""),"Гибадуллин Амур Хибатович")</f>
        <v>Гибадуллин Амур Хибатович</v>
      </c>
      <c r="F436" s="1" t="str">
        <f ca="1">IFERROR(__xludf.DUMMYFUNCTION("""COMPUTED_VALUE"""),"МЕРСЕДЕС")</f>
        <v>МЕРСЕДЕС</v>
      </c>
      <c r="G436" s="1" t="str">
        <f ca="1">IFERROR(__xludf.DUMMYFUNCTION("""COMPUTED_VALUE"""),"О697НУ196")</f>
        <v>О697НУ196</v>
      </c>
      <c r="H436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6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6" s="1" t="str">
        <f ca="1">IFERROR(__xludf.DUMMYFUNCTION("""COMPUTED_VALUE"""),"38,950")</f>
        <v>38,950</v>
      </c>
      <c r="K436" s="1" t="str">
        <f ca="1">IFERROR(__xludf.DUMMYFUNCTION("""COMPUTED_VALUE"""),"АТУ")</f>
        <v>АТУ</v>
      </c>
    </row>
    <row r="437" spans="1:11" ht="13" x14ac:dyDescent="0.3">
      <c r="A437" s="1" t="str">
        <f ca="1">IFERROR(__xludf.DUMMYFUNCTION("""COMPUTED_VALUE"""),"АТУК2403101")</f>
        <v>АТУК2403101</v>
      </c>
      <c r="B437" s="1" t="str">
        <f ca="1">IFERROR(__xludf.DUMMYFUNCTION("""COMPUTED_VALUE"""),"10.03.2024")</f>
        <v>10.03.2024</v>
      </c>
      <c r="C437" s="1" t="str">
        <f ca="1">IFERROR(__xludf.DUMMYFUNCTION("""COMPUTED_VALUE"""),"глина огнеупорная")</f>
        <v>глина огнеупорная</v>
      </c>
      <c r="D437" s="1" t="str">
        <f ca="1">IFERROR(__xludf.DUMMYFUNCTION("""COMPUTED_VALUE"""),"41,00")</f>
        <v>41,00</v>
      </c>
      <c r="E437" s="1" t="str">
        <f ca="1">IFERROR(__xludf.DUMMYFUNCTION("""COMPUTED_VALUE"""),"Гибадатов Ильфат Ринатович")</f>
        <v>Гибадатов Ильфат Ринатович</v>
      </c>
      <c r="F437" s="1" t="str">
        <f ca="1">IFERROR(__xludf.DUMMYFUNCTION("""COMPUTED_VALUE"""),"МЕРСЕДЕС")</f>
        <v>МЕРСЕДЕС</v>
      </c>
      <c r="G437" s="1" t="str">
        <f ca="1">IFERROR(__xludf.DUMMYFUNCTION("""COMPUTED_VALUE"""),"О951РО196")</f>
        <v>О951РО196</v>
      </c>
      <c r="H437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7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7" s="1" t="str">
        <f ca="1">IFERROR(__xludf.DUMMYFUNCTION("""COMPUTED_VALUE"""),"41,000")</f>
        <v>41,000</v>
      </c>
      <c r="K437" s="1" t="str">
        <f ca="1">IFERROR(__xludf.DUMMYFUNCTION("""COMPUTED_VALUE"""),"АТУ")</f>
        <v>АТУ</v>
      </c>
    </row>
    <row r="438" spans="1:11" ht="13" x14ac:dyDescent="0.3">
      <c r="A438" s="1" t="str">
        <f ca="1">IFERROR(__xludf.DUMMYFUNCTION("""COMPUTED_VALUE"""),"АТУК2403102")</f>
        <v>АТУК2403102</v>
      </c>
      <c r="B438" s="1" t="str">
        <f ca="1">IFERROR(__xludf.DUMMYFUNCTION("""COMPUTED_VALUE"""),"10.03.2024")</f>
        <v>10.03.2024</v>
      </c>
      <c r="C438" s="1" t="str">
        <f ca="1">IFERROR(__xludf.DUMMYFUNCTION("""COMPUTED_VALUE"""),"глина огнеупорная")</f>
        <v>глина огнеупорная</v>
      </c>
      <c r="D438" s="1" t="str">
        <f ca="1">IFERROR(__xludf.DUMMYFUNCTION("""COMPUTED_VALUE"""),"34,60")</f>
        <v>34,60</v>
      </c>
      <c r="E438" s="1" t="str">
        <f ca="1">IFERROR(__xludf.DUMMYFUNCTION("""COMPUTED_VALUE"""),"Сторожев Сергей Александрович")</f>
        <v>Сторожев Сергей Александрович</v>
      </c>
      <c r="F438" s="1" t="str">
        <f ca="1">IFERROR(__xludf.DUMMYFUNCTION("""COMPUTED_VALUE"""),"МЕРСЕДЕС")</f>
        <v>МЕРСЕДЕС</v>
      </c>
      <c r="G438" s="1" t="str">
        <f ca="1">IFERROR(__xludf.DUMMYFUNCTION("""COMPUTED_VALUE"""),"О135ОУ196")</f>
        <v>О135ОУ196</v>
      </c>
      <c r="H438" s="1" t="str">
        <f ca="1">IFERROR(__xludf.DUMMYFUNCTION("""COMPUTED_VALUE"""),"Оренбургская область, Новоорский район, с. Кумак, ул. Дорожная, д. 1")</f>
        <v>Оренбургская область, Новоорский район, с. Кумак, ул. Дорожная, д. 1</v>
      </c>
      <c r="I438" s="1" t="str">
        <f ca="1">IFERROR(__xludf.DUMMYFUNCTION("""COMPUTED_VALUE"""),"г. Магнитогорск, ул. Кирова, д. 93 (ООО ""Огнеупор"")")</f>
        <v>г. Магнитогорск, ул. Кирова, д. 93 (ООО "Огнеупор")</v>
      </c>
      <c r="J438" s="1" t="str">
        <f ca="1">IFERROR(__xludf.DUMMYFUNCTION("""COMPUTED_VALUE"""),"34,600")</f>
        <v>34,600</v>
      </c>
      <c r="K438" s="1" t="str">
        <f ca="1">IFERROR(__xludf.DUMMYFUNCTION("""COMPUTED_VALUE"""),"АТУ")</f>
        <v>АТУ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Служебный (водители)</vt:lpstr>
      <vt:lpstr>ttn</vt:lpstr>
      <vt:lpstr>Служебный (выписка из гл реестр</vt:lpstr>
      <vt:lpstr>ttn!Область_печати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 Rodriguez</dc:creator>
  <cp:lastModifiedBy>Bender Rodriguez</cp:lastModifiedBy>
  <cp:lastPrinted>2024-03-24T07:46:38Z</cp:lastPrinted>
  <dcterms:created xsi:type="dcterms:W3CDTF">2024-03-24T05:46:28Z</dcterms:created>
  <dcterms:modified xsi:type="dcterms:W3CDTF">2024-03-24T07:47:44Z</dcterms:modified>
</cp:coreProperties>
</file>