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k987\Desktop\5η Εβδομαδιαία - Αναστασία Κατή - Βασίλειος Μουστής\5η Εβδομαδιαία - Αναστασία Κατή - Βασίλειος Μουστής\"/>
    </mc:Choice>
  </mc:AlternateContent>
  <xr:revisionPtr revIDLastSave="0" documentId="13_ncr:1_{BFB23753-15EC-4A77-BF85-DB34844FAEF4}" xr6:coauthVersionLast="47" xr6:coauthVersionMax="47" xr10:uidLastSave="{00000000-0000-0000-0000-000000000000}"/>
  <bookViews>
    <workbookView xWindow="2028" yWindow="168" windowWidth="11508" windowHeight="11736" xr2:uid="{00000000-000D-0000-FFFF-FFFF00000000}"/>
  </bookViews>
  <sheets>
    <sheet name="Ανάλυση Εσόδων-Εξόδων" sheetId="1" r:id="rId1"/>
    <sheet name="Τιμολογιακή Πολιτικ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E28" i="1"/>
  <c r="D28" i="1"/>
  <c r="D29" i="1" s="1"/>
  <c r="D44" i="1" s="1"/>
  <c r="C28" i="1"/>
  <c r="B28" i="1"/>
  <c r="C29" i="1"/>
  <c r="C44" i="1" s="1"/>
  <c r="D30" i="2"/>
  <c r="C29" i="2"/>
  <c r="D29" i="2"/>
  <c r="B29" i="2"/>
  <c r="D13" i="2"/>
  <c r="C13" i="2"/>
  <c r="B13" i="2"/>
  <c r="C41" i="2"/>
  <c r="C40" i="2"/>
  <c r="D40" i="2"/>
  <c r="B40" i="2"/>
  <c r="C39" i="2"/>
  <c r="D39" i="2"/>
  <c r="B39" i="2"/>
  <c r="B41" i="2" s="1"/>
  <c r="E15" i="1"/>
  <c r="D15" i="1"/>
  <c r="C15" i="1"/>
  <c r="B15" i="1"/>
  <c r="C16" i="2"/>
  <c r="D16" i="2"/>
  <c r="B16" i="2"/>
  <c r="C10" i="2"/>
  <c r="D10" i="2"/>
  <c r="B10" i="2"/>
  <c r="E7" i="1"/>
  <c r="E29" i="1" s="1"/>
  <c r="D7" i="1"/>
  <c r="C7" i="1"/>
  <c r="B7" i="1"/>
  <c r="B29" i="1" s="1"/>
  <c r="D8" i="2"/>
  <c r="C8" i="2"/>
  <c r="B8" i="2"/>
  <c r="E4" i="1"/>
  <c r="D4" i="1"/>
  <c r="C4" i="1"/>
  <c r="B4" i="1"/>
  <c r="E8" i="1"/>
  <c r="D8" i="1"/>
  <c r="C8" i="1"/>
  <c r="B8" i="1"/>
  <c r="D9" i="2"/>
  <c r="C9" i="2"/>
  <c r="B9" i="2"/>
  <c r="D35" i="1"/>
  <c r="E35" i="1"/>
  <c r="C35" i="1"/>
  <c r="E24" i="1"/>
  <c r="D24" i="1"/>
  <c r="C24" i="1"/>
  <c r="B24" i="1"/>
  <c r="E23" i="1"/>
  <c r="D23" i="1"/>
  <c r="C23" i="1"/>
  <c r="B23" i="1"/>
  <c r="D25" i="2"/>
  <c r="C25" i="2"/>
  <c r="B25" i="2"/>
  <c r="D24" i="2"/>
  <c r="C24" i="2"/>
  <c r="B24" i="2"/>
  <c r="E17" i="1"/>
  <c r="D17" i="1"/>
  <c r="C17" i="1"/>
  <c r="B17" i="1"/>
  <c r="D18" i="2"/>
  <c r="C18" i="2"/>
  <c r="B18" i="2"/>
  <c r="E19" i="1"/>
  <c r="D11" i="1"/>
  <c r="E34" i="1"/>
  <c r="E33" i="1"/>
  <c r="E32" i="1"/>
  <c r="E12" i="1"/>
  <c r="E9" i="1"/>
  <c r="E6" i="1"/>
  <c r="B32" i="1"/>
  <c r="C32" i="1"/>
  <c r="D32" i="1"/>
  <c r="B33" i="1"/>
  <c r="C33" i="1"/>
  <c r="D33" i="1"/>
  <c r="B34" i="1"/>
  <c r="C34" i="1"/>
  <c r="D34" i="1"/>
  <c r="C14" i="1"/>
  <c r="D14" i="1"/>
  <c r="E14" i="1"/>
  <c r="E13" i="1"/>
  <c r="C13" i="1"/>
  <c r="D13" i="1"/>
  <c r="D12" i="1"/>
  <c r="C12" i="1"/>
  <c r="C11" i="1"/>
  <c r="E11" i="1"/>
  <c r="D9" i="1"/>
  <c r="C9" i="1"/>
  <c r="D6" i="1"/>
  <c r="C6" i="1"/>
  <c r="E5" i="1"/>
  <c r="C5" i="1"/>
  <c r="D5" i="1"/>
  <c r="C27" i="1"/>
  <c r="D27" i="1"/>
  <c r="E27" i="1"/>
  <c r="B27" i="1"/>
  <c r="C26" i="1"/>
  <c r="D26" i="1"/>
  <c r="E26" i="1"/>
  <c r="B26" i="1"/>
  <c r="C22" i="1"/>
  <c r="D22" i="1"/>
  <c r="E22" i="1"/>
  <c r="B22" i="1"/>
  <c r="C21" i="1"/>
  <c r="D21" i="1"/>
  <c r="E21" i="1"/>
  <c r="B21" i="1"/>
  <c r="C20" i="1"/>
  <c r="D20" i="1"/>
  <c r="E20" i="1"/>
  <c r="B20" i="1"/>
  <c r="E18" i="1"/>
  <c r="B14" i="1"/>
  <c r="B13" i="1"/>
  <c r="B12" i="1"/>
  <c r="B11" i="1"/>
  <c r="B9" i="1"/>
  <c r="B6" i="1"/>
  <c r="B5" i="1"/>
  <c r="B7" i="2"/>
  <c r="D38" i="2"/>
  <c r="C38" i="2"/>
  <c r="B38" i="2"/>
  <c r="D7" i="2"/>
  <c r="C7" i="2"/>
  <c r="D41" i="2" l="1"/>
  <c r="C30" i="2"/>
  <c r="B30" i="2"/>
  <c r="E44" i="1"/>
  <c r="B35" i="1"/>
</calcChain>
</file>

<file path=xl/sharedStrings.xml><?xml version="1.0" encoding="utf-8"?>
<sst xmlns="http://schemas.openxmlformats.org/spreadsheetml/2006/main" count="122" uniqueCount="76">
  <si>
    <t>Απαισιόδοξο</t>
  </si>
  <si>
    <t>Αισιόδοξο</t>
  </si>
  <si>
    <t>Ρεαλιστικό</t>
  </si>
  <si>
    <t>ΣΕΝΑΡΙΑ</t>
  </si>
  <si>
    <t>Έξοδα</t>
  </si>
  <si>
    <t>Έσοδα</t>
  </si>
  <si>
    <t>1ο έτος</t>
  </si>
  <si>
    <t>2ο έτος</t>
  </si>
  <si>
    <t>3ο έτος</t>
  </si>
  <si>
    <t>4ο έτος</t>
  </si>
  <si>
    <t>κόστος</t>
  </si>
  <si>
    <t>Πρώτες ύλες</t>
  </si>
  <si>
    <t>Ενοίκιο αποθήκης</t>
  </si>
  <si>
    <t>Ενοίκιο δήμου</t>
  </si>
  <si>
    <t>Μεταφορά υλικών</t>
  </si>
  <si>
    <t>Τηλέφωνο - Ιντερνετ</t>
  </si>
  <si>
    <t>Νομική υποστήριξη</t>
  </si>
  <si>
    <t>Διαφήμιση google ads</t>
  </si>
  <si>
    <t>Εκδηλώσεις</t>
  </si>
  <si>
    <t>Έξοδα Διοίκησης</t>
  </si>
  <si>
    <t>Κεντρικό γραφείο Διοίκησης</t>
  </si>
  <si>
    <t>Έξοδα Διαφήμισης</t>
  </si>
  <si>
    <t>Πωλήσεις υλικών</t>
  </si>
  <si>
    <t>Troubleshooting for customers</t>
  </si>
  <si>
    <t xml:space="preserve">Παροχή συμβουλών/βοήθειας </t>
  </si>
  <si>
    <t>Σύνολο</t>
  </si>
  <si>
    <t>Διαφήμιση εταιρειών/Sponsors</t>
  </si>
  <si>
    <t>Π16046-Π17077</t>
  </si>
  <si>
    <t>Μισθοδοσία ειδικών προστασίας περιβάλλοντος</t>
  </si>
  <si>
    <t>ευρώ</t>
  </si>
  <si>
    <t xml:space="preserve">Μισθοδοσία προσωπικού εξυπηρέτησης </t>
  </si>
  <si>
    <t>Μισθοδοσία προσωπικού μεταφοράς υλικών</t>
  </si>
  <si>
    <t>Μισθοδοσία προσωπικού αποθήκης</t>
  </si>
  <si>
    <t xml:space="preserve">Μισθοδοσία data administrator </t>
  </si>
  <si>
    <t>Τεχνικοί Hardware</t>
  </si>
  <si>
    <t>Τεχνικοί διαδικτύου (Software/App/Platform)</t>
  </si>
  <si>
    <t xml:space="preserve">Λογιστής </t>
  </si>
  <si>
    <t>Ενοίκιο κέντρων εξυπηρέτησης</t>
  </si>
  <si>
    <t xml:space="preserve">Διαφήμιση social media </t>
  </si>
  <si>
    <t xml:space="preserve">Πελάτες </t>
  </si>
  <si>
    <t xml:space="preserve">Συμμετέχοντες εκδηλώσεων </t>
  </si>
  <si>
    <t>Δήμοι</t>
  </si>
  <si>
    <t>Ποσότητα υλικών ανά δήμο</t>
  </si>
  <si>
    <t>Σημειώσεις</t>
  </si>
  <si>
    <t xml:space="preserve">2 αποθήκες </t>
  </si>
  <si>
    <t>Φορτηγά</t>
  </si>
  <si>
    <t>760 ανά άτομο</t>
  </si>
  <si>
    <t>670 ανά άτομο</t>
  </si>
  <si>
    <t>650 ανά άτομο</t>
  </si>
  <si>
    <t>938 ανά άτομο</t>
  </si>
  <si>
    <t>600 ανά άτομο</t>
  </si>
  <si>
    <t>665 ανά άτομο</t>
  </si>
  <si>
    <t>789 ανά άτομο</t>
  </si>
  <si>
    <t>588 ανά άτομο</t>
  </si>
  <si>
    <t>815 ανά άτομο</t>
  </si>
  <si>
    <t>δικό μας γραφείο</t>
  </si>
  <si>
    <t>(15,000-39,000)</t>
  </si>
  <si>
    <t>6 φιλική τιμή</t>
  </si>
  <si>
    <t xml:space="preserve">9 τόνοι </t>
  </si>
  <si>
    <t>18 τόνοι</t>
  </si>
  <si>
    <t>36 τόνοι</t>
  </si>
  <si>
    <t xml:space="preserve">Sponsors </t>
  </si>
  <si>
    <t>72 τόνοι</t>
  </si>
  <si>
    <t>Κέρδος</t>
  </si>
  <si>
    <t xml:space="preserve">(αριθμό δήμων+1)*40 </t>
  </si>
  <si>
    <t>Ηλεκτρισμός</t>
  </si>
  <si>
    <t>Νερό</t>
  </si>
  <si>
    <t>ανά 2μηνο</t>
  </si>
  <si>
    <t>(γραφείο)40+(δήμοι)20+60</t>
  </si>
  <si>
    <t>40 (ευβοια 2)+ 30 - φορτηγά</t>
  </si>
  <si>
    <t xml:space="preserve"> 150(δήμοι + 4)</t>
  </si>
  <si>
    <t xml:space="preserve">25 τ.μ </t>
  </si>
  <si>
    <t>8 τ.μ ανά κάδο</t>
  </si>
  <si>
    <t>Ενοίκιο κάδων ανακύκλωσης</t>
  </si>
  <si>
    <t>635 ανά άτομο</t>
  </si>
  <si>
    <t>Μισθοδοσία οδηγών μεταφοράς υλικών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</si>
</sst>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72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quotePrefix="1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/>
    <xf numFmtId="0" fontId="0" fillId="5" borderId="4" xfId="0" applyFill="1" applyBorder="1" applyAlignment="1">
      <alignment horizontal="center" vertical="top"/>
    </xf>
    <xf numFmtId="0" fontId="0" fillId="3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2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4" zoomScale="63" zoomScaleNormal="63" workbookViewId="0">
      <selection activeCell="P45" sqref="P45"/>
    </sheetView>
  </sheetViews>
  <sheetFormatPr defaultRowHeight="14.4" x14ac:dyDescent="0.3"/>
  <cols>
    <col min="1" max="1" width="45.5546875" customWidth="1"/>
    <col min="2" max="3" width="14" customWidth="1"/>
    <col min="4" max="4" width="15" customWidth="1"/>
    <col min="5" max="5" width="15.109375" customWidth="1"/>
    <col min="6" max="6" width="9.6640625" customWidth="1"/>
    <col min="7" max="7" width="11.21875" customWidth="1"/>
    <col min="8" max="8" width="11.88671875" customWidth="1"/>
    <col min="9" max="9" width="10.21875" customWidth="1"/>
    <col min="10" max="10" width="12" customWidth="1"/>
  </cols>
  <sheetData>
    <row r="1" spans="1:10" x14ac:dyDescent="0.3">
      <c r="A1" s="38" t="s">
        <v>27</v>
      </c>
      <c r="B1" s="1" t="s">
        <v>6</v>
      </c>
      <c r="C1" s="1" t="s">
        <v>7</v>
      </c>
      <c r="D1" s="1" t="s">
        <v>8</v>
      </c>
      <c r="E1" s="1" t="s">
        <v>9</v>
      </c>
      <c r="F1" s="3"/>
      <c r="G1" s="4"/>
      <c r="H1" s="4"/>
      <c r="I1" s="4"/>
      <c r="J1" s="4"/>
    </row>
    <row r="2" spans="1:10" x14ac:dyDescent="0.3">
      <c r="A2" s="6" t="s">
        <v>29</v>
      </c>
      <c r="B2" s="6" t="s">
        <v>10</v>
      </c>
      <c r="C2" s="6" t="s">
        <v>10</v>
      </c>
      <c r="D2" s="6" t="s">
        <v>10</v>
      </c>
      <c r="E2" s="6" t="s">
        <v>10</v>
      </c>
      <c r="F2" s="3"/>
      <c r="G2" s="4"/>
      <c r="H2" s="4"/>
      <c r="I2" s="4"/>
      <c r="J2" s="4"/>
    </row>
    <row r="3" spans="1:10" x14ac:dyDescent="0.3">
      <c r="A3" s="7" t="s">
        <v>4</v>
      </c>
      <c r="B3" s="23"/>
      <c r="C3" s="24"/>
      <c r="D3" s="24"/>
      <c r="E3" s="25"/>
      <c r="F3" s="3"/>
      <c r="G3" s="4"/>
      <c r="H3" s="2"/>
      <c r="I3" s="2"/>
      <c r="J3" s="2"/>
    </row>
    <row r="4" spans="1:10" x14ac:dyDescent="0.3">
      <c r="A4" s="8" t="s">
        <v>11</v>
      </c>
      <c r="B4" s="19">
        <f>12*20000</f>
        <v>240000</v>
      </c>
      <c r="C4" s="6">
        <f>40000*12</f>
        <v>480000</v>
      </c>
      <c r="D4" s="6">
        <f>12*80000</f>
        <v>960000</v>
      </c>
      <c r="E4" s="6">
        <f>160000*12</f>
        <v>1920000</v>
      </c>
      <c r="F4" s="3"/>
      <c r="G4" s="4"/>
      <c r="H4" s="2"/>
      <c r="I4" s="2"/>
      <c r="J4" s="2"/>
    </row>
    <row r="5" spans="1:10" x14ac:dyDescent="0.3">
      <c r="A5" s="8" t="s">
        <v>12</v>
      </c>
      <c r="B5" s="19">
        <f>12*2300</f>
        <v>27600</v>
      </c>
      <c r="C5" s="19">
        <f t="shared" ref="C5:D5" si="0">12*2300</f>
        <v>27600</v>
      </c>
      <c r="D5" s="19">
        <f t="shared" si="0"/>
        <v>27600</v>
      </c>
      <c r="E5" s="19">
        <f>4600*12</f>
        <v>55200</v>
      </c>
      <c r="F5" s="3"/>
      <c r="G5" s="4"/>
      <c r="H5" s="2"/>
      <c r="I5" s="2"/>
      <c r="J5" s="2"/>
    </row>
    <row r="6" spans="1:10" x14ac:dyDescent="0.3">
      <c r="A6" s="8" t="s">
        <v>37</v>
      </c>
      <c r="B6" s="19">
        <f>12*1500</f>
        <v>18000</v>
      </c>
      <c r="C6" s="6">
        <f>12*3000</f>
        <v>36000</v>
      </c>
      <c r="D6" s="6">
        <f>12*6000</f>
        <v>72000</v>
      </c>
      <c r="E6" s="6">
        <f>12000*12</f>
        <v>144000</v>
      </c>
      <c r="F6" s="3"/>
      <c r="G6" s="4"/>
      <c r="H6" s="2"/>
      <c r="I6" s="2"/>
      <c r="J6" s="2"/>
    </row>
    <row r="7" spans="1:10" x14ac:dyDescent="0.3">
      <c r="A7" s="8" t="s">
        <v>13</v>
      </c>
      <c r="B7" s="6">
        <f>12*74.97</f>
        <v>899.64</v>
      </c>
      <c r="C7" s="6">
        <f>12*116.62</f>
        <v>1399.44</v>
      </c>
      <c r="D7" s="6">
        <f>12*199.92</f>
        <v>2399.04</v>
      </c>
      <c r="E7" s="6">
        <f>12*366.52</f>
        <v>4398.24</v>
      </c>
      <c r="F7" s="3"/>
      <c r="G7" s="4"/>
      <c r="H7" s="2"/>
      <c r="I7" s="2"/>
      <c r="J7" s="2"/>
    </row>
    <row r="8" spans="1:10" x14ac:dyDescent="0.3">
      <c r="A8" s="8" t="s">
        <v>73</v>
      </c>
      <c r="B8" s="19">
        <f>12*1350</f>
        <v>16200</v>
      </c>
      <c r="C8" s="6">
        <f>12*2100</f>
        <v>25200</v>
      </c>
      <c r="D8" s="6">
        <f>12*3600</f>
        <v>43200</v>
      </c>
      <c r="E8" s="19">
        <f>12*6600</f>
        <v>79200</v>
      </c>
      <c r="F8" s="3"/>
      <c r="G8" s="4"/>
      <c r="H8" s="2"/>
      <c r="I8" s="2"/>
      <c r="J8" s="2"/>
    </row>
    <row r="9" spans="1:10" x14ac:dyDescent="0.3">
      <c r="A9" s="8" t="s">
        <v>14</v>
      </c>
      <c r="B9" s="6">
        <f>12*210</f>
        <v>2520</v>
      </c>
      <c r="C9" s="6">
        <f>12*420</f>
        <v>5040</v>
      </c>
      <c r="D9" s="6">
        <f>12*840</f>
        <v>10080</v>
      </c>
      <c r="E9" s="6">
        <f>1680*12</f>
        <v>20160</v>
      </c>
      <c r="F9" s="3"/>
      <c r="G9" s="4"/>
      <c r="H9" s="2"/>
      <c r="I9" s="2"/>
      <c r="J9" s="2"/>
    </row>
    <row r="10" spans="1:10" x14ac:dyDescent="0.3">
      <c r="A10" s="9" t="s">
        <v>19</v>
      </c>
      <c r="B10" s="20"/>
      <c r="C10" s="16"/>
      <c r="D10" s="16"/>
      <c r="E10" s="16"/>
      <c r="F10" s="3"/>
      <c r="G10" s="4"/>
      <c r="H10" s="2"/>
      <c r="I10" s="2"/>
      <c r="J10" s="2"/>
    </row>
    <row r="11" spans="1:10" x14ac:dyDescent="0.3">
      <c r="A11" s="15" t="s">
        <v>28</v>
      </c>
      <c r="B11" s="19">
        <f>12*760</f>
        <v>9120</v>
      </c>
      <c r="C11" s="19">
        <f t="shared" ref="C11:E11" si="1">12*760</f>
        <v>9120</v>
      </c>
      <c r="D11" s="19">
        <f>12*760</f>
        <v>9120</v>
      </c>
      <c r="E11" s="19">
        <f t="shared" si="1"/>
        <v>9120</v>
      </c>
      <c r="F11" s="3"/>
      <c r="G11" s="4"/>
      <c r="H11" s="2"/>
      <c r="I11" s="2"/>
      <c r="J11" s="2"/>
    </row>
    <row r="12" spans="1:10" x14ac:dyDescent="0.3">
      <c r="A12" s="15" t="s">
        <v>30</v>
      </c>
      <c r="B12" s="19">
        <f>12*3350</f>
        <v>40200</v>
      </c>
      <c r="C12" s="6">
        <f>12*6700</f>
        <v>80400</v>
      </c>
      <c r="D12" s="6">
        <f>12*13400</f>
        <v>160800</v>
      </c>
      <c r="E12" s="19">
        <f>12*26800</f>
        <v>321600</v>
      </c>
      <c r="F12" s="3"/>
      <c r="G12" s="4"/>
      <c r="H12" s="2"/>
      <c r="I12" s="2"/>
      <c r="J12" s="2"/>
    </row>
    <row r="13" spans="1:10" x14ac:dyDescent="0.3">
      <c r="A13" s="15" t="s">
        <v>32</v>
      </c>
      <c r="B13" s="19">
        <f>12*650</f>
        <v>7800</v>
      </c>
      <c r="C13" s="19">
        <f t="shared" ref="C13:D13" si="2">12*650</f>
        <v>7800</v>
      </c>
      <c r="D13" s="19">
        <f t="shared" si="2"/>
        <v>7800</v>
      </c>
      <c r="E13" s="6">
        <f>7800*2</f>
        <v>15600</v>
      </c>
      <c r="F13" s="3"/>
      <c r="G13" s="4"/>
      <c r="H13" s="2"/>
      <c r="I13" s="2"/>
      <c r="J13" s="2"/>
    </row>
    <row r="14" spans="1:10" x14ac:dyDescent="0.3">
      <c r="A14" s="15" t="s">
        <v>33</v>
      </c>
      <c r="B14" s="19">
        <f>12*938</f>
        <v>11256</v>
      </c>
      <c r="C14" s="19">
        <f t="shared" ref="C14:E14" si="3">12*938</f>
        <v>11256</v>
      </c>
      <c r="D14" s="19">
        <f t="shared" si="3"/>
        <v>11256</v>
      </c>
      <c r="E14" s="19">
        <f t="shared" si="3"/>
        <v>11256</v>
      </c>
      <c r="F14" s="3"/>
      <c r="G14" s="4"/>
      <c r="H14" s="2"/>
      <c r="I14" s="2"/>
      <c r="J14" s="2"/>
    </row>
    <row r="15" spans="1:10" x14ac:dyDescent="0.3">
      <c r="A15" s="8" t="s">
        <v>75</v>
      </c>
      <c r="B15" s="19">
        <f>12*1905</f>
        <v>22860</v>
      </c>
      <c r="C15" s="6">
        <f>12*3810</f>
        <v>45720</v>
      </c>
      <c r="D15" s="6">
        <f>12*7620</f>
        <v>91440</v>
      </c>
      <c r="E15" s="19">
        <f>12*15240</f>
        <v>182880</v>
      </c>
      <c r="F15" s="3"/>
      <c r="G15" s="4"/>
      <c r="H15" s="2"/>
      <c r="I15" s="2"/>
      <c r="J15" s="2"/>
    </row>
    <row r="16" spans="1:10" x14ac:dyDescent="0.3">
      <c r="A16" s="8" t="s">
        <v>20</v>
      </c>
      <c r="B16" s="6">
        <v>0</v>
      </c>
      <c r="C16" s="6">
        <v>0</v>
      </c>
      <c r="D16" s="6">
        <v>0</v>
      </c>
      <c r="E16" s="6">
        <v>0</v>
      </c>
      <c r="F16" s="3"/>
      <c r="G16" s="4"/>
      <c r="H16" s="2"/>
      <c r="I16" s="2"/>
      <c r="J16" s="2"/>
    </row>
    <row r="17" spans="1:10" x14ac:dyDescent="0.3">
      <c r="A17" s="8" t="s">
        <v>15</v>
      </c>
      <c r="B17" s="6">
        <f>12*240</f>
        <v>2880</v>
      </c>
      <c r="C17" s="6">
        <f>12*440</f>
        <v>5280</v>
      </c>
      <c r="D17" s="6">
        <f>12*840</f>
        <v>10080</v>
      </c>
      <c r="E17" s="6">
        <f>12*1640</f>
        <v>19680</v>
      </c>
      <c r="F17" s="3"/>
      <c r="G17" s="4"/>
      <c r="H17" s="2"/>
      <c r="I17" s="2"/>
      <c r="J17" s="2"/>
    </row>
    <row r="18" spans="1:10" x14ac:dyDescent="0.3">
      <c r="A18" s="8" t="s">
        <v>35</v>
      </c>
      <c r="B18" s="19">
        <v>0</v>
      </c>
      <c r="C18" s="6">
        <v>0</v>
      </c>
      <c r="D18" s="6">
        <v>0</v>
      </c>
      <c r="E18" s="6">
        <f>12*600</f>
        <v>7200</v>
      </c>
      <c r="F18" s="3"/>
      <c r="G18" s="4"/>
      <c r="H18" s="2"/>
      <c r="I18" s="2"/>
      <c r="J18" s="2"/>
    </row>
    <row r="19" spans="1:10" x14ac:dyDescent="0.3">
      <c r="A19" s="8" t="s">
        <v>23</v>
      </c>
      <c r="B19" s="6">
        <v>0</v>
      </c>
      <c r="C19" s="6">
        <v>0</v>
      </c>
      <c r="D19" s="6">
        <v>0</v>
      </c>
      <c r="E19" s="6">
        <f>7980</f>
        <v>7980</v>
      </c>
      <c r="F19" s="3"/>
      <c r="G19" s="4"/>
      <c r="H19" s="2"/>
      <c r="I19" s="2"/>
      <c r="J19" s="2"/>
    </row>
    <row r="20" spans="1:10" x14ac:dyDescent="0.3">
      <c r="A20" s="8" t="s">
        <v>16</v>
      </c>
      <c r="B20" s="19">
        <f>12*789</f>
        <v>9468</v>
      </c>
      <c r="C20" s="19">
        <f t="shared" ref="C20:E20" si="4">12*789</f>
        <v>9468</v>
      </c>
      <c r="D20" s="19">
        <f t="shared" si="4"/>
        <v>9468</v>
      </c>
      <c r="E20" s="19">
        <f t="shared" si="4"/>
        <v>9468</v>
      </c>
      <c r="F20" s="3"/>
      <c r="G20" s="4"/>
      <c r="H20" s="2"/>
      <c r="I20" s="2"/>
      <c r="J20" s="2"/>
    </row>
    <row r="21" spans="1:10" x14ac:dyDescent="0.3">
      <c r="A21" s="8" t="s">
        <v>34</v>
      </c>
      <c r="B21" s="19">
        <f>12*588</f>
        <v>7056</v>
      </c>
      <c r="C21" s="19">
        <f t="shared" ref="C21:E21" si="5">12*588</f>
        <v>7056</v>
      </c>
      <c r="D21" s="19">
        <f t="shared" si="5"/>
        <v>7056</v>
      </c>
      <c r="E21" s="19">
        <f t="shared" si="5"/>
        <v>7056</v>
      </c>
      <c r="F21" s="3"/>
      <c r="G21" s="4"/>
      <c r="H21" s="2"/>
      <c r="I21" s="2"/>
      <c r="J21" s="2"/>
    </row>
    <row r="22" spans="1:10" x14ac:dyDescent="0.3">
      <c r="A22" s="8" t="s">
        <v>36</v>
      </c>
      <c r="B22" s="19">
        <f>12*815</f>
        <v>9780</v>
      </c>
      <c r="C22" s="19">
        <f t="shared" ref="C22:E22" si="6">12*815</f>
        <v>9780</v>
      </c>
      <c r="D22" s="19">
        <f t="shared" si="6"/>
        <v>9780</v>
      </c>
      <c r="E22" s="19">
        <f t="shared" si="6"/>
        <v>9780</v>
      </c>
      <c r="F22" s="3"/>
      <c r="G22" s="4"/>
      <c r="H22" s="2"/>
      <c r="I22" s="2"/>
      <c r="J22" s="2"/>
    </row>
    <row r="23" spans="1:10" x14ac:dyDescent="0.3">
      <c r="A23" s="8" t="s">
        <v>65</v>
      </c>
      <c r="B23" s="19">
        <f>3*1200</f>
        <v>3600</v>
      </c>
      <c r="C23" s="19">
        <f>3*1700</f>
        <v>5100</v>
      </c>
      <c r="D23" s="19">
        <f>3*2700</f>
        <v>8100</v>
      </c>
      <c r="E23" s="19">
        <f>3*4700</f>
        <v>14100</v>
      </c>
      <c r="F23" s="3"/>
      <c r="G23" s="4"/>
      <c r="H23" s="2"/>
      <c r="I23" s="2"/>
      <c r="J23" s="2"/>
    </row>
    <row r="24" spans="1:10" x14ac:dyDescent="0.3">
      <c r="A24" s="8" t="s">
        <v>66</v>
      </c>
      <c r="B24" s="19">
        <f>200*3</f>
        <v>600</v>
      </c>
      <c r="C24" s="19">
        <f>3*300</f>
        <v>900</v>
      </c>
      <c r="D24" s="19">
        <f>3*500</f>
        <v>1500</v>
      </c>
      <c r="E24" s="19">
        <f>3*900</f>
        <v>2700</v>
      </c>
      <c r="F24" s="3"/>
      <c r="G24" s="4"/>
      <c r="H24" s="2"/>
      <c r="I24" s="2"/>
      <c r="J24" s="2"/>
    </row>
    <row r="25" spans="1:10" ht="13.8" customHeight="1" x14ac:dyDescent="0.3">
      <c r="A25" s="9" t="s">
        <v>21</v>
      </c>
      <c r="B25" s="16"/>
      <c r="C25" s="16"/>
      <c r="D25" s="16"/>
      <c r="E25" s="16"/>
      <c r="F25" s="3"/>
      <c r="G25" s="4"/>
      <c r="H25" s="2"/>
      <c r="I25" s="2"/>
      <c r="J25" s="2"/>
    </row>
    <row r="26" spans="1:10" x14ac:dyDescent="0.3">
      <c r="A26" s="8" t="s">
        <v>17</v>
      </c>
      <c r="B26" s="19">
        <f>12*118</f>
        <v>1416</v>
      </c>
      <c r="C26" s="19">
        <f t="shared" ref="C26:E26" si="7">12*118</f>
        <v>1416</v>
      </c>
      <c r="D26" s="19">
        <f t="shared" si="7"/>
        <v>1416</v>
      </c>
      <c r="E26" s="19">
        <f t="shared" si="7"/>
        <v>1416</v>
      </c>
      <c r="F26" s="3"/>
      <c r="G26" s="4"/>
      <c r="H26" s="2"/>
      <c r="I26" s="2"/>
      <c r="J26" s="2"/>
    </row>
    <row r="27" spans="1:10" x14ac:dyDescent="0.3">
      <c r="A27" s="8" t="s">
        <v>38</v>
      </c>
      <c r="B27" s="19">
        <f>12*150</f>
        <v>1800</v>
      </c>
      <c r="C27" s="19">
        <f t="shared" ref="C27:E27" si="8">12*150</f>
        <v>1800</v>
      </c>
      <c r="D27" s="19">
        <f t="shared" si="8"/>
        <v>1800</v>
      </c>
      <c r="E27" s="19">
        <f t="shared" si="8"/>
        <v>1800</v>
      </c>
      <c r="F27" s="3"/>
      <c r="G27" s="4"/>
      <c r="H27" s="2"/>
      <c r="I27" s="2"/>
      <c r="J27" s="2"/>
    </row>
    <row r="28" spans="1:10" x14ac:dyDescent="0.3">
      <c r="A28" s="8" t="s">
        <v>18</v>
      </c>
      <c r="B28" s="19">
        <f>2400+4800</f>
        <v>7200</v>
      </c>
      <c r="C28" s="19">
        <f>2*4800+9600</f>
        <v>19200</v>
      </c>
      <c r="D28" s="19">
        <f>2*4800+2*9600</f>
        <v>28800</v>
      </c>
      <c r="E28" s="6">
        <f>4*9600</f>
        <v>38400</v>
      </c>
      <c r="F28" s="3"/>
      <c r="G28" s="4"/>
      <c r="H28" s="2"/>
      <c r="I28" s="2"/>
      <c r="J28" s="2"/>
    </row>
    <row r="29" spans="1:10" x14ac:dyDescent="0.3">
      <c r="A29" s="13" t="s">
        <v>25</v>
      </c>
      <c r="B29" s="21">
        <f>SUM(B4:B28)</f>
        <v>440255.64</v>
      </c>
      <c r="C29" s="21">
        <f>SUM(C4:C28)</f>
        <v>789535.44</v>
      </c>
      <c r="D29" s="21">
        <f>SUM(D4:D28)</f>
        <v>1473695.04</v>
      </c>
      <c r="E29" s="21">
        <f>SUM(E4:E28)</f>
        <v>2882994.24</v>
      </c>
      <c r="F29" s="3"/>
      <c r="G29" s="4"/>
      <c r="H29" s="2"/>
      <c r="I29" s="2"/>
      <c r="J29" s="2"/>
    </row>
    <row r="30" spans="1:10" ht="15" customHeight="1" x14ac:dyDescent="0.3">
      <c r="A30" s="6"/>
      <c r="B30" s="6"/>
      <c r="C30" s="6"/>
      <c r="D30" s="6"/>
      <c r="E30" s="6"/>
      <c r="F30" s="3"/>
      <c r="G30" s="4"/>
      <c r="H30" s="2"/>
      <c r="I30" s="2"/>
      <c r="J30" s="2"/>
    </row>
    <row r="31" spans="1:10" x14ac:dyDescent="0.3">
      <c r="A31" s="10" t="s">
        <v>5</v>
      </c>
      <c r="B31" s="22"/>
      <c r="C31" s="22"/>
      <c r="D31" s="22"/>
      <c r="E31" s="22"/>
      <c r="F31" s="3"/>
      <c r="G31" s="4"/>
      <c r="H31" s="2"/>
      <c r="I31" s="2"/>
      <c r="J31" s="2"/>
    </row>
    <row r="32" spans="1:10" x14ac:dyDescent="0.3">
      <c r="A32" s="8" t="s">
        <v>22</v>
      </c>
      <c r="B32" s="19">
        <f>12*65850</f>
        <v>790200</v>
      </c>
      <c r="C32" s="6">
        <f>12*263400</f>
        <v>3160800</v>
      </c>
      <c r="D32" s="6">
        <f>12*1053600</f>
        <v>12643200</v>
      </c>
      <c r="E32" s="19">
        <f>2107200*12</f>
        <v>25286400</v>
      </c>
      <c r="F32" s="3"/>
      <c r="G32" s="4"/>
      <c r="H32" s="2"/>
      <c r="I32" s="2"/>
      <c r="J32" s="2"/>
    </row>
    <row r="33" spans="1:10" x14ac:dyDescent="0.3">
      <c r="A33" s="8" t="s">
        <v>26</v>
      </c>
      <c r="B33" s="19">
        <f>12*1500</f>
        <v>18000</v>
      </c>
      <c r="C33" s="6">
        <f>12*2100</f>
        <v>25200</v>
      </c>
      <c r="D33" s="6">
        <f>12*2700</f>
        <v>32400</v>
      </c>
      <c r="E33" s="6">
        <f>12*3300</f>
        <v>39600</v>
      </c>
      <c r="F33" s="3"/>
      <c r="G33" s="4"/>
      <c r="H33" s="2"/>
      <c r="I33" s="2"/>
      <c r="J33" s="2"/>
    </row>
    <row r="34" spans="1:10" x14ac:dyDescent="0.3">
      <c r="A34" s="8" t="s">
        <v>24</v>
      </c>
      <c r="B34" s="19">
        <f>12*750</f>
        <v>9000</v>
      </c>
      <c r="C34" s="6">
        <f>12*1050</f>
        <v>12600</v>
      </c>
      <c r="D34" s="6">
        <f>12*1350</f>
        <v>16200</v>
      </c>
      <c r="E34" s="6">
        <f>1650*12</f>
        <v>19800</v>
      </c>
      <c r="F34" s="3"/>
      <c r="G34" s="4"/>
      <c r="H34" s="2"/>
      <c r="I34" s="2"/>
      <c r="J34" s="2"/>
    </row>
    <row r="35" spans="1:10" x14ac:dyDescent="0.3">
      <c r="A35" s="13" t="s">
        <v>25</v>
      </c>
      <c r="B35" s="21">
        <f>SUM(B32:B34)</f>
        <v>817200</v>
      </c>
      <c r="C35" s="21">
        <f>SUM(C32:C34)</f>
        <v>3198600</v>
      </c>
      <c r="D35" s="21">
        <f>SUM(D32:D34)</f>
        <v>12691800</v>
      </c>
      <c r="E35" s="21">
        <f>SUM(E32:E34)</f>
        <v>25345800</v>
      </c>
      <c r="F35" s="3"/>
      <c r="G35" s="4"/>
      <c r="H35" s="2"/>
      <c r="I35" s="2"/>
      <c r="J35" s="2"/>
    </row>
    <row r="36" spans="1:10" x14ac:dyDescent="0.3">
      <c r="A36" s="3"/>
      <c r="B36" s="3"/>
      <c r="C36" s="3"/>
      <c r="D36" s="3"/>
      <c r="E36" s="3"/>
      <c r="F36" s="3"/>
      <c r="G36" s="3"/>
    </row>
    <row r="37" spans="1:10" x14ac:dyDescent="0.3">
      <c r="A37" s="15" t="s">
        <v>45</v>
      </c>
      <c r="B37" s="17">
        <v>3</v>
      </c>
      <c r="C37" s="17">
        <v>6</v>
      </c>
      <c r="D37" s="17">
        <v>12</v>
      </c>
      <c r="E37" s="6">
        <v>24</v>
      </c>
      <c r="F37" s="3"/>
      <c r="G37" s="3"/>
    </row>
    <row r="38" spans="1:10" x14ac:dyDescent="0.3">
      <c r="A38" s="15" t="s">
        <v>41</v>
      </c>
      <c r="B38" s="32">
        <v>5</v>
      </c>
      <c r="C38" s="32">
        <v>10</v>
      </c>
      <c r="D38" s="32">
        <v>20</v>
      </c>
      <c r="E38" s="6">
        <v>40</v>
      </c>
      <c r="F38" s="3"/>
      <c r="G38" s="3"/>
    </row>
    <row r="39" spans="1:10" x14ac:dyDescent="0.3">
      <c r="A39" s="8" t="s">
        <v>39</v>
      </c>
      <c r="B39" s="19">
        <v>15000</v>
      </c>
      <c r="C39" s="19">
        <v>30000</v>
      </c>
      <c r="D39" s="19">
        <v>60000</v>
      </c>
      <c r="E39" s="19">
        <v>120000</v>
      </c>
      <c r="F39" s="3"/>
      <c r="G39" s="3"/>
    </row>
    <row r="40" spans="1:10" x14ac:dyDescent="0.3">
      <c r="A40" s="8" t="s">
        <v>40</v>
      </c>
      <c r="B40" s="6">
        <v>400</v>
      </c>
      <c r="C40" s="6">
        <v>800</v>
      </c>
      <c r="D40" s="6">
        <v>1600</v>
      </c>
      <c r="E40" s="19">
        <v>3200</v>
      </c>
    </row>
    <row r="41" spans="1:10" x14ac:dyDescent="0.3">
      <c r="A41" s="8" t="s">
        <v>42</v>
      </c>
      <c r="B41" s="6" t="s">
        <v>58</v>
      </c>
      <c r="C41" s="6" t="s">
        <v>59</v>
      </c>
      <c r="D41" s="6" t="s">
        <v>60</v>
      </c>
      <c r="E41" s="6" t="s">
        <v>62</v>
      </c>
    </row>
    <row r="42" spans="1:10" x14ac:dyDescent="0.3">
      <c r="A42" s="8" t="s">
        <v>61</v>
      </c>
      <c r="B42" s="6">
        <v>5</v>
      </c>
      <c r="C42" s="6">
        <v>7</v>
      </c>
      <c r="D42" s="6">
        <v>9</v>
      </c>
      <c r="E42" s="6">
        <v>11</v>
      </c>
    </row>
    <row r="43" spans="1:10" x14ac:dyDescent="0.3">
      <c r="A43" s="5"/>
      <c r="B43" s="3"/>
      <c r="C43" s="3"/>
      <c r="D43" s="3"/>
    </row>
    <row r="44" spans="1:10" x14ac:dyDescent="0.3">
      <c r="A44" s="34" t="s">
        <v>63</v>
      </c>
      <c r="B44" s="35">
        <f>B35-B29</f>
        <v>376944.36</v>
      </c>
      <c r="C44" s="35">
        <f t="shared" ref="C44:E44" si="9">C35-C29</f>
        <v>2409064.56</v>
      </c>
      <c r="D44" s="35">
        <f t="shared" si="9"/>
        <v>11218104.960000001</v>
      </c>
      <c r="E44" s="35">
        <f t="shared" si="9"/>
        <v>22462805.759999998</v>
      </c>
    </row>
    <row r="45" spans="1:10" x14ac:dyDescent="0.3">
      <c r="A45" s="3"/>
      <c r="B45" s="3"/>
      <c r="C45" s="3"/>
      <c r="D45" s="3"/>
    </row>
    <row r="46" spans="1:10" x14ac:dyDescent="0.3">
      <c r="A46" s="4"/>
      <c r="B46" s="36"/>
      <c r="C46" s="36"/>
      <c r="D46" s="36"/>
      <c r="E46" s="36"/>
      <c r="F46" s="37"/>
    </row>
    <row r="47" spans="1:10" x14ac:dyDescent="0.3">
      <c r="A47" s="37"/>
      <c r="B47" s="37"/>
      <c r="C47" s="37"/>
      <c r="D47" s="37"/>
      <c r="E47" s="37"/>
      <c r="F47" s="3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4EC-B253-4B22-8C00-1C4EA4831DCB}">
  <dimension ref="A1:E41"/>
  <sheetViews>
    <sheetView topLeftCell="A6" zoomScale="70" zoomScaleNormal="70" workbookViewId="0">
      <selection activeCell="D43" sqref="D43"/>
    </sheetView>
  </sheetViews>
  <sheetFormatPr defaultRowHeight="14.4" x14ac:dyDescent="0.3"/>
  <cols>
    <col min="1" max="1" width="44.33203125" customWidth="1"/>
    <col min="2" max="2" width="16.44140625" customWidth="1"/>
    <col min="3" max="4" width="14.21875" customWidth="1"/>
    <col min="5" max="5" width="26.21875" customWidth="1"/>
    <col min="6" max="6" width="10.6640625" customWidth="1"/>
  </cols>
  <sheetData>
    <row r="1" spans="1:5" x14ac:dyDescent="0.3">
      <c r="A1" t="s">
        <v>27</v>
      </c>
    </row>
    <row r="2" spans="1:5" x14ac:dyDescent="0.3">
      <c r="A2" s="11" t="s">
        <v>3</v>
      </c>
      <c r="B2" s="26" t="s">
        <v>0</v>
      </c>
      <c r="C2" s="26" t="s">
        <v>2</v>
      </c>
      <c r="D2" s="26" t="s">
        <v>1</v>
      </c>
      <c r="E2" s="12" t="s">
        <v>43</v>
      </c>
    </row>
    <row r="3" spans="1:5" x14ac:dyDescent="0.3">
      <c r="A3" s="30"/>
      <c r="B3" s="28"/>
      <c r="C3" s="31" t="s">
        <v>29</v>
      </c>
      <c r="D3" s="29"/>
      <c r="E3" s="33"/>
    </row>
    <row r="4" spans="1:5" x14ac:dyDescent="0.3">
      <c r="A4" s="7" t="s">
        <v>4</v>
      </c>
      <c r="B4" s="27"/>
      <c r="C4" s="27"/>
      <c r="D4" s="27"/>
      <c r="E4" s="22"/>
    </row>
    <row r="5" spans="1:5" x14ac:dyDescent="0.3">
      <c r="A5" s="8" t="s">
        <v>11</v>
      </c>
      <c r="B5" s="19">
        <v>20000</v>
      </c>
      <c r="C5" s="19">
        <v>40000</v>
      </c>
      <c r="D5" s="19">
        <v>80000</v>
      </c>
      <c r="E5" s="6"/>
    </row>
    <row r="6" spans="1:5" x14ac:dyDescent="0.3">
      <c r="A6" s="8" t="s">
        <v>12</v>
      </c>
      <c r="B6" s="19">
        <v>2300</v>
      </c>
      <c r="C6" s="19">
        <v>2300</v>
      </c>
      <c r="D6" s="19">
        <v>2300</v>
      </c>
      <c r="E6" s="6" t="s">
        <v>44</v>
      </c>
    </row>
    <row r="7" spans="1:5" x14ac:dyDescent="0.3">
      <c r="A7" s="8" t="s">
        <v>37</v>
      </c>
      <c r="B7" s="6">
        <f>300*B32</f>
        <v>1500</v>
      </c>
      <c r="C7" s="6">
        <f>300*C32</f>
        <v>3000</v>
      </c>
      <c r="D7" s="6">
        <f>300*D32</f>
        <v>6000</v>
      </c>
      <c r="E7" s="6" t="s">
        <v>71</v>
      </c>
    </row>
    <row r="8" spans="1:5" x14ac:dyDescent="0.3">
      <c r="A8" s="8" t="s">
        <v>13</v>
      </c>
      <c r="B8" s="6">
        <f>8.33 *(B32+4)</f>
        <v>74.97</v>
      </c>
      <c r="C8" s="6">
        <f>8.33*(C32+4)</f>
        <v>116.62</v>
      </c>
      <c r="D8" s="6">
        <f>8.33*(D32+4)</f>
        <v>199.92000000000002</v>
      </c>
      <c r="E8" s="6" t="s">
        <v>72</v>
      </c>
    </row>
    <row r="9" spans="1:5" x14ac:dyDescent="0.3">
      <c r="A9" s="8" t="s">
        <v>73</v>
      </c>
      <c r="B9" s="6">
        <f>150*(B32+4)</f>
        <v>1350</v>
      </c>
      <c r="C9" s="6">
        <f>150*(C32+4)</f>
        <v>2100</v>
      </c>
      <c r="D9" s="6">
        <f>150*(D32+4)</f>
        <v>3600</v>
      </c>
      <c r="E9" s="6" t="s">
        <v>70</v>
      </c>
    </row>
    <row r="10" spans="1:5" x14ac:dyDescent="0.3">
      <c r="A10" s="8" t="s">
        <v>14</v>
      </c>
      <c r="B10" s="6">
        <f>70*B31</f>
        <v>210</v>
      </c>
      <c r="C10" s="6">
        <f t="shared" ref="C10:D10" si="0">70*C31</f>
        <v>420</v>
      </c>
      <c r="D10" s="6">
        <f t="shared" si="0"/>
        <v>840</v>
      </c>
      <c r="E10" s="6" t="s">
        <v>69</v>
      </c>
    </row>
    <row r="11" spans="1:5" x14ac:dyDescent="0.3">
      <c r="A11" s="9" t="s">
        <v>19</v>
      </c>
      <c r="B11" s="9"/>
      <c r="C11" s="16"/>
      <c r="D11" s="16"/>
      <c r="E11" s="16"/>
    </row>
    <row r="12" spans="1:5" x14ac:dyDescent="0.3">
      <c r="A12" s="15" t="s">
        <v>28</v>
      </c>
      <c r="B12" s="18">
        <v>760</v>
      </c>
      <c r="C12" s="6">
        <v>760</v>
      </c>
      <c r="D12" s="6">
        <v>760</v>
      </c>
      <c r="E12" s="6" t="s">
        <v>46</v>
      </c>
    </row>
    <row r="13" spans="1:5" x14ac:dyDescent="0.3">
      <c r="A13" s="15" t="s">
        <v>30</v>
      </c>
      <c r="B13" s="17">
        <f>670*B32</f>
        <v>3350</v>
      </c>
      <c r="C13" s="17">
        <f t="shared" ref="C13:D13" si="1">670*C32</f>
        <v>6700</v>
      </c>
      <c r="D13" s="17">
        <f t="shared" si="1"/>
        <v>13400</v>
      </c>
      <c r="E13" s="6" t="s">
        <v>47</v>
      </c>
    </row>
    <row r="14" spans="1:5" x14ac:dyDescent="0.3">
      <c r="A14" s="15" t="s">
        <v>32</v>
      </c>
      <c r="B14" s="17">
        <v>650</v>
      </c>
      <c r="C14" s="6">
        <v>650</v>
      </c>
      <c r="D14" s="6">
        <v>650</v>
      </c>
      <c r="E14" s="6" t="s">
        <v>48</v>
      </c>
    </row>
    <row r="15" spans="1:5" x14ac:dyDescent="0.3">
      <c r="A15" s="15" t="s">
        <v>33</v>
      </c>
      <c r="B15" s="17">
        <v>938</v>
      </c>
      <c r="C15" s="6">
        <v>938</v>
      </c>
      <c r="D15" s="6">
        <v>938</v>
      </c>
      <c r="E15" s="6" t="s">
        <v>49</v>
      </c>
    </row>
    <row r="16" spans="1:5" x14ac:dyDescent="0.3">
      <c r="A16" s="8" t="s">
        <v>31</v>
      </c>
      <c r="B16" s="6">
        <f>635*B31</f>
        <v>1905</v>
      </c>
      <c r="C16" s="6">
        <f t="shared" ref="C16:D16" si="2">635*C31</f>
        <v>3810</v>
      </c>
      <c r="D16" s="6">
        <f t="shared" si="2"/>
        <v>7620</v>
      </c>
      <c r="E16" s="6" t="s">
        <v>74</v>
      </c>
    </row>
    <row r="17" spans="1:5" x14ac:dyDescent="0.3">
      <c r="A17" s="8" t="s">
        <v>20</v>
      </c>
      <c r="B17" s="6">
        <v>0</v>
      </c>
      <c r="C17" s="6">
        <v>0</v>
      </c>
      <c r="D17" s="6">
        <v>0</v>
      </c>
      <c r="E17" s="6" t="s">
        <v>55</v>
      </c>
    </row>
    <row r="18" spans="1:5" x14ac:dyDescent="0.3">
      <c r="A18" s="8" t="s">
        <v>15</v>
      </c>
      <c r="B18" s="6">
        <f>6*40</f>
        <v>240</v>
      </c>
      <c r="C18" s="6">
        <f>11*40</f>
        <v>440</v>
      </c>
      <c r="D18" s="6">
        <f>21*40</f>
        <v>840</v>
      </c>
      <c r="E18" s="6" t="s">
        <v>64</v>
      </c>
    </row>
    <row r="19" spans="1:5" x14ac:dyDescent="0.3">
      <c r="A19" s="8" t="s">
        <v>35</v>
      </c>
      <c r="B19" s="6">
        <v>0</v>
      </c>
      <c r="C19" s="6">
        <v>0</v>
      </c>
      <c r="D19" s="6">
        <v>0</v>
      </c>
      <c r="E19" s="6" t="s">
        <v>50</v>
      </c>
    </row>
    <row r="20" spans="1:5" x14ac:dyDescent="0.3">
      <c r="A20" s="8" t="s">
        <v>23</v>
      </c>
      <c r="B20" s="6">
        <v>0</v>
      </c>
      <c r="C20" s="6">
        <v>0</v>
      </c>
      <c r="D20" s="6">
        <v>0</v>
      </c>
      <c r="E20" s="6" t="s">
        <v>51</v>
      </c>
    </row>
    <row r="21" spans="1:5" x14ac:dyDescent="0.3">
      <c r="A21" s="8" t="s">
        <v>16</v>
      </c>
      <c r="B21" s="6">
        <v>789</v>
      </c>
      <c r="C21" s="6">
        <v>789</v>
      </c>
      <c r="D21" s="6">
        <v>789</v>
      </c>
      <c r="E21" s="6" t="s">
        <v>52</v>
      </c>
    </row>
    <row r="22" spans="1:5" x14ac:dyDescent="0.3">
      <c r="A22" s="8" t="s">
        <v>34</v>
      </c>
      <c r="B22" s="6">
        <v>588</v>
      </c>
      <c r="C22" s="6">
        <v>588</v>
      </c>
      <c r="D22" s="6">
        <v>588</v>
      </c>
      <c r="E22" s="6" t="s">
        <v>53</v>
      </c>
    </row>
    <row r="23" spans="1:5" x14ac:dyDescent="0.3">
      <c r="A23" s="8" t="s">
        <v>36</v>
      </c>
      <c r="B23" s="6">
        <v>815</v>
      </c>
      <c r="C23" s="6">
        <v>815</v>
      </c>
      <c r="D23" s="6">
        <v>815</v>
      </c>
      <c r="E23" s="6" t="s">
        <v>54</v>
      </c>
    </row>
    <row r="24" spans="1:5" x14ac:dyDescent="0.3">
      <c r="A24" s="8" t="s">
        <v>65</v>
      </c>
      <c r="B24" s="6">
        <f>300+B32*100+400</f>
        <v>1200</v>
      </c>
      <c r="C24" s="6">
        <f>300+C32*100+400</f>
        <v>1700</v>
      </c>
      <c r="D24" s="6">
        <f>300+D32*100+400</f>
        <v>2700</v>
      </c>
      <c r="E24" s="6" t="s">
        <v>67</v>
      </c>
    </row>
    <row r="25" spans="1:5" x14ac:dyDescent="0.3">
      <c r="A25" s="8" t="s">
        <v>66</v>
      </c>
      <c r="B25" s="6">
        <f>40+B32*20+60</f>
        <v>200</v>
      </c>
      <c r="C25" s="6">
        <f>40+C32*20+60</f>
        <v>300</v>
      </c>
      <c r="D25" s="6">
        <f>40+D32*20+60</f>
        <v>500</v>
      </c>
      <c r="E25" s="6" t="s">
        <v>68</v>
      </c>
    </row>
    <row r="26" spans="1:5" x14ac:dyDescent="0.3">
      <c r="A26" s="9" t="s">
        <v>21</v>
      </c>
      <c r="B26" s="9"/>
      <c r="C26" s="16"/>
      <c r="D26" s="16"/>
      <c r="E26" s="16"/>
    </row>
    <row r="27" spans="1:5" x14ac:dyDescent="0.3">
      <c r="A27" s="8" t="s">
        <v>17</v>
      </c>
      <c r="B27" s="6">
        <v>118</v>
      </c>
      <c r="C27" s="6">
        <v>118</v>
      </c>
      <c r="D27" s="6">
        <v>118</v>
      </c>
      <c r="E27" s="6"/>
    </row>
    <row r="28" spans="1:5" x14ac:dyDescent="0.3">
      <c r="A28" s="8" t="s">
        <v>38</v>
      </c>
      <c r="B28" s="6">
        <v>150</v>
      </c>
      <c r="C28" s="6">
        <v>150</v>
      </c>
      <c r="D28" s="6">
        <v>150</v>
      </c>
      <c r="E28" s="6" t="s">
        <v>56</v>
      </c>
    </row>
    <row r="29" spans="1:5" x14ac:dyDescent="0.3">
      <c r="A29" s="8" t="s">
        <v>18</v>
      </c>
      <c r="B29" s="6">
        <f>6*B34</f>
        <v>2400</v>
      </c>
      <c r="C29" s="6">
        <f t="shared" ref="C29:D29" si="3">6*C34</f>
        <v>4800</v>
      </c>
      <c r="D29" s="6">
        <f t="shared" si="3"/>
        <v>9600</v>
      </c>
      <c r="E29" s="6" t="s">
        <v>57</v>
      </c>
    </row>
    <row r="30" spans="1:5" ht="15.6" customHeight="1" x14ac:dyDescent="0.3">
      <c r="A30" s="13" t="s">
        <v>25</v>
      </c>
      <c r="B30" s="21">
        <f>SUM(B5:B29)</f>
        <v>39537.97</v>
      </c>
      <c r="C30" s="21">
        <f>SUM(C5:C29)</f>
        <v>70494.62</v>
      </c>
      <c r="D30" s="21">
        <f>SUM(D5:D29)</f>
        <v>132407.91999999998</v>
      </c>
      <c r="E30" s="14"/>
    </row>
    <row r="31" spans="1:5" ht="15.6" customHeight="1" x14ac:dyDescent="0.3">
      <c r="A31" s="15" t="s">
        <v>45</v>
      </c>
      <c r="B31" s="17">
        <v>3</v>
      </c>
      <c r="C31" s="17">
        <v>6</v>
      </c>
      <c r="D31" s="17">
        <v>12</v>
      </c>
      <c r="E31" s="6"/>
    </row>
    <row r="32" spans="1:5" ht="15.6" customHeight="1" x14ac:dyDescent="0.3">
      <c r="A32" s="15" t="s">
        <v>41</v>
      </c>
      <c r="B32" s="32">
        <v>5</v>
      </c>
      <c r="C32" s="32">
        <v>10</v>
      </c>
      <c r="D32" s="32">
        <v>20</v>
      </c>
      <c r="E32" s="6"/>
    </row>
    <row r="33" spans="1:5" x14ac:dyDescent="0.3">
      <c r="A33" s="8" t="s">
        <v>39</v>
      </c>
      <c r="B33" s="19">
        <v>15000</v>
      </c>
      <c r="C33" s="19">
        <v>30000</v>
      </c>
      <c r="D33" s="19">
        <v>60000</v>
      </c>
      <c r="E33" s="6"/>
    </row>
    <row r="34" spans="1:5" x14ac:dyDescent="0.3">
      <c r="A34" s="8" t="s">
        <v>40</v>
      </c>
      <c r="B34" s="6">
        <v>400</v>
      </c>
      <c r="C34" s="6">
        <v>800</v>
      </c>
      <c r="D34" s="6">
        <v>1600</v>
      </c>
      <c r="E34" s="6"/>
    </row>
    <row r="35" spans="1:5" x14ac:dyDescent="0.3">
      <c r="A35" s="8" t="s">
        <v>42</v>
      </c>
      <c r="B35" s="6" t="s">
        <v>58</v>
      </c>
      <c r="C35" s="6" t="s">
        <v>59</v>
      </c>
      <c r="D35" s="6" t="s">
        <v>60</v>
      </c>
      <c r="E35" s="6"/>
    </row>
    <row r="36" spans="1:5" x14ac:dyDescent="0.3">
      <c r="A36" s="8" t="s">
        <v>61</v>
      </c>
      <c r="B36" s="6">
        <v>5</v>
      </c>
      <c r="C36" s="6">
        <v>7</v>
      </c>
      <c r="D36" s="6">
        <v>9</v>
      </c>
      <c r="E36" s="6"/>
    </row>
    <row r="37" spans="1:5" x14ac:dyDescent="0.3">
      <c r="A37" s="10" t="s">
        <v>5</v>
      </c>
      <c r="B37" s="22"/>
      <c r="C37" s="22"/>
      <c r="D37" s="22"/>
      <c r="E37" s="22"/>
    </row>
    <row r="38" spans="1:5" x14ac:dyDescent="0.3">
      <c r="A38" s="8" t="s">
        <v>22</v>
      </c>
      <c r="B38" s="19">
        <f>13170*B32</f>
        <v>65850</v>
      </c>
      <c r="C38" s="19">
        <f>26340*C32</f>
        <v>263400</v>
      </c>
      <c r="D38" s="19">
        <f>52680*D32</f>
        <v>1053600</v>
      </c>
      <c r="E38" s="6"/>
    </row>
    <row r="39" spans="1:5" x14ac:dyDescent="0.3">
      <c r="A39" s="8" t="s">
        <v>26</v>
      </c>
      <c r="B39" s="6">
        <f>300*B36</f>
        <v>1500</v>
      </c>
      <c r="C39" s="6">
        <f t="shared" ref="C39:D39" si="4">300*C36</f>
        <v>2100</v>
      </c>
      <c r="D39" s="6">
        <f t="shared" si="4"/>
        <v>2700</v>
      </c>
      <c r="E39" s="6"/>
    </row>
    <row r="40" spans="1:5" x14ac:dyDescent="0.3">
      <c r="A40" s="8" t="s">
        <v>24</v>
      </c>
      <c r="B40" s="6">
        <f>150*B36</f>
        <v>750</v>
      </c>
      <c r="C40" s="6">
        <f t="shared" ref="C40:D40" si="5">150*C36</f>
        <v>1050</v>
      </c>
      <c r="D40" s="6">
        <f t="shared" si="5"/>
        <v>1350</v>
      </c>
      <c r="E40" s="6"/>
    </row>
    <row r="41" spans="1:5" x14ac:dyDescent="0.3">
      <c r="A41" s="13" t="s">
        <v>25</v>
      </c>
      <c r="B41" s="21">
        <f>SUM(B38:B40)</f>
        <v>68100</v>
      </c>
      <c r="C41" s="21">
        <f>SUM(C38:C40)</f>
        <v>266550</v>
      </c>
      <c r="D41" s="21">
        <f>SUM(D38:D40)</f>
        <v>1057650</v>
      </c>
      <c r="E41" s="14"/>
    </row>
  </sheetData>
  <pageMargins left="0.7" right="0.7" top="0.75" bottom="0.75" header="0.3" footer="0.3"/>
  <pageSetup orientation="portrait" horizontalDpi="4294967293" verticalDpi="0" r:id="rId1"/>
  <ignoredErrors>
    <ignoredError sqref="C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Ανάλυση Εσόδων-Εξόδων</vt:lpstr>
      <vt:lpstr>Τιμολογιακή Πολιτική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K.</dc:creator>
  <cp:lastModifiedBy>natasa K.</cp:lastModifiedBy>
  <dcterms:created xsi:type="dcterms:W3CDTF">2015-06-05T18:19:34Z</dcterms:created>
  <dcterms:modified xsi:type="dcterms:W3CDTF">2021-06-27T15:31:04Z</dcterms:modified>
</cp:coreProperties>
</file>