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trlProps/ctrlProp1.xml" ContentType="application/vnd.ms-excel.controlproperties+xml"/>
  <Override PartName="/xl/drawings/drawing5.xml" ContentType="application/vnd.openxmlformats-officedocument.drawing+xml"/>
  <Override PartName="/xl/comments2.xml" ContentType="application/vnd.openxmlformats-officedocument.spreadsheetml.comments+xml"/>
  <Override PartName="/xl/charts/chartEx2.xml" ContentType="application/vnd.ms-office.chartex+xml"/>
  <Override PartName="/xl/charts/style7.xml" ContentType="application/vnd.ms-office.chartstyle+xml"/>
  <Override PartName="/xl/charts/colors7.xml" ContentType="application/vnd.ms-office.chartcolorsty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2"/>
  <workbookPr/>
  <mc:AlternateContent xmlns:mc="http://schemas.openxmlformats.org/markup-compatibility/2006">
    <mc:Choice Requires="x15">
      <x15ac:absPath xmlns:x15ac="http://schemas.microsoft.com/office/spreadsheetml/2010/11/ac" url="/Users/vasudevdadhich/Desktop/"/>
    </mc:Choice>
  </mc:AlternateContent>
  <xr:revisionPtr revIDLastSave="0" documentId="13_ncr:1_{29594312-8F87-774B-900D-35E03BAB27FF}" xr6:coauthVersionLast="47" xr6:coauthVersionMax="47" xr10:uidLastSave="{00000000-0000-0000-0000-000000000000}"/>
  <bookViews>
    <workbookView xWindow="0" yWindow="0" windowWidth="28800" windowHeight="18000" tabRatio="907" activeTab="2" xr2:uid="{00000000-000D-0000-FFFF-FFFF00000000}"/>
  </bookViews>
  <sheets>
    <sheet name="Cover Page" sheetId="2" r:id="rId1"/>
    <sheet name="Dashboard" sheetId="12" r:id="rId2"/>
    <sheet name="About Tesla" sheetId="5" r:id="rId3"/>
    <sheet name="Assumptions" sheetId="7" r:id="rId4"/>
    <sheet name="Scenarios" sheetId="9" r:id="rId5"/>
    <sheet name="Financial Statements" sheetId="4" r:id="rId6"/>
    <sheet name="Notes to Accounts" sheetId="8" r:id="rId7"/>
    <sheet name="DCF Valuation" sheetId="10" r:id="rId8"/>
    <sheet name="Comp's Analysis" sheetId="11" r:id="rId9"/>
    <sheet name="Ratio Analysis" sheetId="3" state="hidden" r:id="rId10"/>
    <sheet name="Glossary" sheetId="6" state="hidden" r:id="rId11"/>
  </sheets>
  <definedNames>
    <definedName name="_xlchart.v1.0" hidden="1">Dashboard!$AA$29:$AA$33</definedName>
    <definedName name="_xlchart.v1.1" hidden="1">Dashboard!$T$29:$T$33</definedName>
    <definedName name="_xlchart.v1.2" hidden="1">'DCF Valuation'!$W$112:$W$114</definedName>
    <definedName name="_xlchart.v1.3" hidden="1">'DCF Valuation'!$Z$112:$Z$114</definedName>
    <definedName name="_xlnm.Print_Area" localSheetId="2">'About Tesla'!$A$1:$O$77</definedName>
    <definedName name="_xlnm.Print_Area" localSheetId="3">Assumptions!$A$1:$P$101</definedName>
    <definedName name="_xlnm.Print_Area" localSheetId="8">'Comp''s Analysis'!$A$1:$V$63</definedName>
    <definedName name="_xlnm.Print_Area" localSheetId="0">'Cover Page'!$B$2:$O$46</definedName>
    <definedName name="_xlnm.Print_Area" localSheetId="1">Dashboard!$A$1:$R$51</definedName>
    <definedName name="_xlnm.Print_Area" localSheetId="7">'DCF Valuation'!$A$1:$Q$137</definedName>
    <definedName name="_xlnm.Print_Area" localSheetId="5">'Financial Statements'!$A$1:$O$157</definedName>
    <definedName name="_xlnm.Print_Area" localSheetId="10">Glossary!$B$1:$P$49</definedName>
    <definedName name="_xlnm.Print_Area" localSheetId="6">'Notes to Accounts'!$A$1:$O$539</definedName>
    <definedName name="_xlnm.Print_Area" localSheetId="9">'Ratio Analysis'!$A$1:$O$121</definedName>
    <definedName name="_xlnm.Print_Area" localSheetId="4">Scenarios!$A$1:$O$50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2" l="1"/>
  <c r="E41" i="7"/>
  <c r="F41" i="7" s="1"/>
  <c r="G41" i="7" s="1"/>
  <c r="H41" i="7" s="1"/>
  <c r="F21" i="7"/>
  <c r="H43" i="5"/>
  <c r="I43" i="5"/>
  <c r="I42" i="5"/>
  <c r="B37" i="5" l="1"/>
  <c r="B36" i="5"/>
  <c r="F31" i="2"/>
  <c r="F30" i="2"/>
  <c r="F29" i="2"/>
  <c r="F28" i="2"/>
  <c r="F27" i="2"/>
  <c r="F26" i="2"/>
  <c r="F25" i="2"/>
  <c r="N44" i="12"/>
  <c r="N45" i="12"/>
  <c r="N46" i="12"/>
  <c r="N47" i="12"/>
  <c r="N43" i="12"/>
  <c r="O43" i="12"/>
  <c r="O45" i="12"/>
  <c r="O46" i="12"/>
  <c r="P41" i="12"/>
  <c r="Q41" i="12"/>
  <c r="O41" i="12"/>
  <c r="W40" i="12"/>
  <c r="W41" i="12"/>
  <c r="Y41" i="12"/>
  <c r="Q46" i="12" s="1"/>
  <c r="Y38" i="12"/>
  <c r="Q43" i="12" s="1"/>
  <c r="W38" i="12"/>
  <c r="AA15" i="12"/>
  <c r="AA20" i="12" s="1"/>
  <c r="AA27" i="12" s="1"/>
  <c r="T24" i="12"/>
  <c r="T25" i="12"/>
  <c r="T23" i="12"/>
  <c r="T22" i="12"/>
  <c r="L15" i="12"/>
  <c r="K15" i="12"/>
  <c r="E3" i="12"/>
  <c r="U59" i="11"/>
  <c r="T59" i="11"/>
  <c r="T57" i="11"/>
  <c r="U57" i="11"/>
  <c r="Y40" i="12" s="1"/>
  <c r="B41" i="11"/>
  <c r="B38" i="11"/>
  <c r="S30" i="11"/>
  <c r="Q30" i="11"/>
  <c r="L22" i="11"/>
  <c r="Q22" i="11" s="1"/>
  <c r="F22" i="11"/>
  <c r="G22" i="11"/>
  <c r="O21" i="11"/>
  <c r="N21" i="11"/>
  <c r="M21" i="11"/>
  <c r="P21" i="11"/>
  <c r="J21" i="11"/>
  <c r="I21" i="11"/>
  <c r="F21" i="11"/>
  <c r="G21" i="11"/>
  <c r="J20" i="11"/>
  <c r="I20" i="11"/>
  <c r="P20" i="11"/>
  <c r="O20" i="11"/>
  <c r="N20" i="11"/>
  <c r="M20" i="11"/>
  <c r="F20" i="11"/>
  <c r="G20" i="11"/>
  <c r="P19" i="11"/>
  <c r="M19" i="11"/>
  <c r="J19" i="11"/>
  <c r="I19" i="11"/>
  <c r="F19" i="11"/>
  <c r="G19" i="11"/>
  <c r="O18" i="11"/>
  <c r="N18" i="11"/>
  <c r="M18" i="11"/>
  <c r="J18" i="11"/>
  <c r="I18" i="11"/>
  <c r="F18" i="11"/>
  <c r="G18" i="11"/>
  <c r="O17" i="11"/>
  <c r="N17" i="11"/>
  <c r="M17" i="11"/>
  <c r="P17" i="11"/>
  <c r="J17" i="11"/>
  <c r="I17" i="11"/>
  <c r="F17" i="11"/>
  <c r="G17" i="11"/>
  <c r="O16" i="11"/>
  <c r="N16" i="11"/>
  <c r="M16" i="11"/>
  <c r="P16" i="11"/>
  <c r="J16" i="11"/>
  <c r="I16" i="11"/>
  <c r="F16" i="11"/>
  <c r="G16" i="11"/>
  <c r="O15" i="11"/>
  <c r="N15" i="11"/>
  <c r="M15" i="11"/>
  <c r="P15" i="11"/>
  <c r="J15" i="11"/>
  <c r="I15" i="11"/>
  <c r="F15" i="11"/>
  <c r="G15" i="11"/>
  <c r="O14" i="11"/>
  <c r="N14" i="11"/>
  <c r="M14" i="11"/>
  <c r="P14" i="11"/>
  <c r="J14" i="11"/>
  <c r="I14" i="11"/>
  <c r="F14" i="11"/>
  <c r="G14" i="11"/>
  <c r="O13" i="11"/>
  <c r="N13" i="11"/>
  <c r="M13" i="11"/>
  <c r="P13" i="11"/>
  <c r="J13" i="11"/>
  <c r="I13" i="11"/>
  <c r="F13" i="11"/>
  <c r="G13" i="11"/>
  <c r="P12" i="11"/>
  <c r="O12" i="11"/>
  <c r="N12" i="11"/>
  <c r="M12" i="11"/>
  <c r="J12" i="11"/>
  <c r="I12" i="11"/>
  <c r="F12" i="11"/>
  <c r="G12" i="11"/>
  <c r="P10" i="11"/>
  <c r="P28" i="11" s="1"/>
  <c r="O10" i="11"/>
  <c r="O26" i="11" s="1"/>
  <c r="N10" i="11"/>
  <c r="N25" i="11" s="1"/>
  <c r="M10" i="11"/>
  <c r="M24" i="11" s="1"/>
  <c r="J10" i="11"/>
  <c r="L11" i="12" s="1"/>
  <c r="I10" i="11"/>
  <c r="L12" i="12" s="1"/>
  <c r="G10" i="11"/>
  <c r="L9" i="12" s="1"/>
  <c r="F10" i="11"/>
  <c r="F24" i="11" s="1"/>
  <c r="C10" i="11"/>
  <c r="C13" i="11"/>
  <c r="C14" i="11"/>
  <c r="C15" i="11"/>
  <c r="C16" i="11"/>
  <c r="C17" i="11"/>
  <c r="C18" i="11"/>
  <c r="C19" i="11"/>
  <c r="C20" i="11"/>
  <c r="C21" i="11"/>
  <c r="C22" i="11"/>
  <c r="C12" i="11"/>
  <c r="B5" i="11"/>
  <c r="B3" i="11"/>
  <c r="B2" i="11"/>
  <c r="E101" i="10"/>
  <c r="E132" i="10"/>
  <c r="E133" i="10" s="1"/>
  <c r="E130" i="10"/>
  <c r="E129" i="10" s="1"/>
  <c r="I128" i="10"/>
  <c r="J128" i="10" s="1"/>
  <c r="G128" i="10"/>
  <c r="F128" i="10" s="1"/>
  <c r="X40" i="12" l="1"/>
  <c r="P45" i="12" s="1"/>
  <c r="Q45" i="12"/>
  <c r="X41" i="12"/>
  <c r="P46" i="12" s="1"/>
  <c r="K13" i="11"/>
  <c r="K15" i="11"/>
  <c r="K16" i="11"/>
  <c r="K17" i="11"/>
  <c r="K18" i="11"/>
  <c r="K10" i="11"/>
  <c r="K24" i="11" s="1"/>
  <c r="K12" i="11"/>
  <c r="K14" i="11"/>
  <c r="O27" i="11"/>
  <c r="H20" i="11"/>
  <c r="U20" i="11" s="1"/>
  <c r="H22" i="11"/>
  <c r="T22" i="11" s="1"/>
  <c r="H12" i="11"/>
  <c r="H13" i="11"/>
  <c r="U13" i="11" s="1"/>
  <c r="H14" i="11"/>
  <c r="U14" i="11" s="1"/>
  <c r="H15" i="11"/>
  <c r="U15" i="11" s="1"/>
  <c r="U28" i="11" s="1"/>
  <c r="H28" i="11" s="1"/>
  <c r="H16" i="11"/>
  <c r="T16" i="11" s="1"/>
  <c r="H17" i="11"/>
  <c r="U17" i="11" s="1"/>
  <c r="H18" i="11"/>
  <c r="L18" i="11" s="1"/>
  <c r="F28" i="11"/>
  <c r="K20" i="11"/>
  <c r="H10" i="11"/>
  <c r="H19" i="11"/>
  <c r="U19" i="11" s="1"/>
  <c r="K21" i="11"/>
  <c r="F27" i="11"/>
  <c r="K19" i="11"/>
  <c r="H21" i="11"/>
  <c r="T21" i="11" s="1"/>
  <c r="F26" i="11"/>
  <c r="K25" i="11"/>
  <c r="T13" i="11"/>
  <c r="T27" i="11" s="1"/>
  <c r="H27" i="11" s="1"/>
  <c r="L13" i="11"/>
  <c r="R22" i="11"/>
  <c r="S22" i="11"/>
  <c r="F25" i="11"/>
  <c r="T17" i="11" l="1"/>
  <c r="U22" i="11"/>
  <c r="U10" i="11"/>
  <c r="L10" i="12"/>
  <c r="L13" i="12" s="1"/>
  <c r="T10" i="11"/>
  <c r="L12" i="11"/>
  <c r="S12" i="11" s="1"/>
  <c r="K22" i="11"/>
  <c r="T20" i="11"/>
  <c r="K26" i="11"/>
  <c r="T18" i="11"/>
  <c r="T14" i="11"/>
  <c r="L10" i="11"/>
  <c r="R10" i="11" s="1"/>
  <c r="L20" i="11"/>
  <c r="S20" i="11" s="1"/>
  <c r="L17" i="11"/>
  <c r="S17" i="11" s="1"/>
  <c r="U21" i="11"/>
  <c r="U18" i="11"/>
  <c r="L21" i="11"/>
  <c r="R21" i="11" s="1"/>
  <c r="L19" i="11"/>
  <c r="R19" i="11" s="1"/>
  <c r="R25" i="11" s="1"/>
  <c r="L25" i="11" s="1"/>
  <c r="H25" i="11" s="1"/>
  <c r="G25" i="11" s="1"/>
  <c r="G27" i="11"/>
  <c r="T12" i="11"/>
  <c r="U16" i="11"/>
  <c r="U12" i="11"/>
  <c r="G28" i="11"/>
  <c r="L16" i="11"/>
  <c r="Q16" i="11" s="1"/>
  <c r="L14" i="11"/>
  <c r="Q14" i="11" s="1"/>
  <c r="T15" i="11"/>
  <c r="L15" i="11"/>
  <c r="S15" i="11" s="1"/>
  <c r="T19" i="11"/>
  <c r="Q18" i="11"/>
  <c r="S18" i="11"/>
  <c r="R18" i="11"/>
  <c r="S16" i="11"/>
  <c r="S21" i="11"/>
  <c r="S13" i="11"/>
  <c r="R13" i="11"/>
  <c r="Q13" i="11"/>
  <c r="R12" i="11"/>
  <c r="Q12" i="11"/>
  <c r="Q20" i="11" l="1"/>
  <c r="R20" i="11"/>
  <c r="S19" i="11"/>
  <c r="S26" i="11" s="1"/>
  <c r="L26" i="11" s="1"/>
  <c r="H26" i="11" s="1"/>
  <c r="G26" i="11" s="1"/>
  <c r="S32" i="11" s="1"/>
  <c r="W39" i="12" s="1"/>
  <c r="Q10" i="11"/>
  <c r="S10" i="11"/>
  <c r="R16" i="11"/>
  <c r="Q17" i="11"/>
  <c r="Q19" i="11"/>
  <c r="R17" i="11"/>
  <c r="Q21" i="11"/>
  <c r="Q15" i="11"/>
  <c r="R15" i="11"/>
  <c r="R14" i="11"/>
  <c r="S14" i="11"/>
  <c r="O44" i="12" l="1"/>
  <c r="O47" i="12" s="1"/>
  <c r="W42" i="12"/>
  <c r="Q24" i="11"/>
  <c r="L24" i="11" s="1"/>
  <c r="H24" i="11" s="1"/>
  <c r="G24" i="11" s="1"/>
  <c r="Q32" i="11" s="1"/>
  <c r="Y39" i="12" s="1"/>
  <c r="Y42" i="12" l="1"/>
  <c r="Q44" i="12"/>
  <c r="Q47" i="12" s="1"/>
  <c r="X39" i="12"/>
  <c r="P44" i="12" s="1"/>
  <c r="L114" i="10" a="1"/>
  <c r="L114" i="10" s="1"/>
  <c r="F24" i="7"/>
  <c r="G24" i="7" s="1"/>
  <c r="L28" i="9"/>
  <c r="K29" i="9"/>
  <c r="K15" i="8"/>
  <c r="K14" i="8"/>
  <c r="K28" i="9"/>
  <c r="J28" i="9"/>
  <c r="F26" i="7"/>
  <c r="L26" i="9" s="1"/>
  <c r="K26" i="9"/>
  <c r="F28" i="7"/>
  <c r="L15" i="8" s="1"/>
  <c r="F27" i="7"/>
  <c r="L14" i="8" s="1"/>
  <c r="F20" i="7"/>
  <c r="G20" i="7" s="1"/>
  <c r="H20" i="7" s="1"/>
  <c r="G27" i="7" l="1"/>
  <c r="M14" i="8" s="1"/>
  <c r="G26" i="7"/>
  <c r="H26" i="7" s="1"/>
  <c r="M114" i="10"/>
  <c r="N114" i="10"/>
  <c r="G28" i="7"/>
  <c r="H27" i="7"/>
  <c r="N14" i="8" s="1"/>
  <c r="H24" i="7"/>
  <c r="N29" i="9" s="1"/>
  <c r="M29" i="9"/>
  <c r="L29" i="9"/>
  <c r="G21" i="7"/>
  <c r="M28" i="9" s="1"/>
  <c r="K109" i="10"/>
  <c r="K94" i="10"/>
  <c r="K93" i="10"/>
  <c r="J109" i="10"/>
  <c r="C107" i="10"/>
  <c r="XEV140" i="3"/>
  <c r="XEX140" i="3"/>
  <c r="XEV141" i="3"/>
  <c r="XEX141" i="3"/>
  <c r="XEV142" i="3"/>
  <c r="XEX142" i="3"/>
  <c r="XEV143" i="3"/>
  <c r="XEX143" i="3"/>
  <c r="XEV144" i="3"/>
  <c r="XEX144" i="3"/>
  <c r="XEV145" i="3"/>
  <c r="XEX145" i="3"/>
  <c r="XEV146" i="3"/>
  <c r="XEX146" i="3"/>
  <c r="XEV147" i="3"/>
  <c r="XEX147" i="3"/>
  <c r="XEV148" i="3"/>
  <c r="XEX148" i="3"/>
  <c r="XEV149" i="3"/>
  <c r="XEX149" i="3"/>
  <c r="XEV150" i="3"/>
  <c r="XEX150" i="3"/>
  <c r="XEV151" i="3"/>
  <c r="XEX151" i="3"/>
  <c r="XEV152" i="3"/>
  <c r="XEX152" i="3"/>
  <c r="XEV153" i="3"/>
  <c r="XEX153" i="3"/>
  <c r="XEV154" i="3"/>
  <c r="XEX154" i="3"/>
  <c r="XEV155" i="3"/>
  <c r="XEX155" i="3"/>
  <c r="XEV156" i="3"/>
  <c r="XEX156" i="3"/>
  <c r="XEV157" i="3"/>
  <c r="XEX157" i="3"/>
  <c r="XEV158" i="3"/>
  <c r="XEX158" i="3"/>
  <c r="XEV159" i="3"/>
  <c r="XEX159" i="3"/>
  <c r="XEV160" i="3"/>
  <c r="XEX160" i="3"/>
  <c r="XEV161" i="3"/>
  <c r="XEX161" i="3"/>
  <c r="XEV162" i="3"/>
  <c r="XEX162" i="3"/>
  <c r="XEV163" i="3"/>
  <c r="XEX163" i="3"/>
  <c r="XEV164" i="3"/>
  <c r="XEX164" i="3"/>
  <c r="XEV165" i="3"/>
  <c r="XEX165" i="3"/>
  <c r="XEV166" i="3"/>
  <c r="XEX166" i="3"/>
  <c r="XEV167" i="3"/>
  <c r="XEX167" i="3"/>
  <c r="XEV168" i="3"/>
  <c r="XEX168" i="3"/>
  <c r="XEV169" i="3"/>
  <c r="XEX169" i="3"/>
  <c r="XEV170" i="3"/>
  <c r="XEX170" i="3"/>
  <c r="XEV171" i="3"/>
  <c r="XEX171" i="3"/>
  <c r="XEV172" i="3"/>
  <c r="XEX172" i="3"/>
  <c r="XEV173" i="3"/>
  <c r="XEX173" i="3"/>
  <c r="XEV174" i="3"/>
  <c r="XEX174" i="3"/>
  <c r="XEV175" i="3"/>
  <c r="XEX175" i="3"/>
  <c r="XEV176" i="3"/>
  <c r="XEX176" i="3"/>
  <c r="XEV177" i="3"/>
  <c r="XEX177" i="3"/>
  <c r="XEV178" i="3"/>
  <c r="XEX178" i="3"/>
  <c r="XEV179" i="3"/>
  <c r="XEX179" i="3"/>
  <c r="XEV180" i="3"/>
  <c r="XEX180" i="3"/>
  <c r="XEV181" i="3"/>
  <c r="XEX181" i="3"/>
  <c r="XEV182" i="3"/>
  <c r="XEX182" i="3"/>
  <c r="XEV183" i="3"/>
  <c r="XEX183" i="3"/>
  <c r="XEV184" i="3"/>
  <c r="XEX184" i="3"/>
  <c r="XEV185" i="3"/>
  <c r="XEX185" i="3"/>
  <c r="XEV186" i="3"/>
  <c r="XEX186" i="3"/>
  <c r="XEV187" i="3"/>
  <c r="XEX187" i="3"/>
  <c r="XEV188" i="3"/>
  <c r="XEX188" i="3"/>
  <c r="XEV189" i="3"/>
  <c r="XEX189" i="3"/>
  <c r="XEV190" i="3"/>
  <c r="XEX190" i="3"/>
  <c r="XEV191" i="3"/>
  <c r="XEX191" i="3"/>
  <c r="XEV192" i="3"/>
  <c r="XEX192" i="3"/>
  <c r="XEV193" i="3"/>
  <c r="XEX193" i="3"/>
  <c r="XEV194" i="3"/>
  <c r="XEX194" i="3"/>
  <c r="XEV195" i="3"/>
  <c r="XEX195" i="3"/>
  <c r="XEV196" i="3"/>
  <c r="XEX196" i="3"/>
  <c r="XEV197" i="3"/>
  <c r="XEX197" i="3"/>
  <c r="XEV198" i="3"/>
  <c r="XEX198" i="3"/>
  <c r="XEV199" i="3"/>
  <c r="XEX199" i="3"/>
  <c r="XEV200" i="3"/>
  <c r="XEX200" i="3"/>
  <c r="XEV201" i="3"/>
  <c r="XEX201" i="3"/>
  <c r="XEV202" i="3"/>
  <c r="XEX202" i="3"/>
  <c r="XEV203" i="3"/>
  <c r="XEX203" i="3"/>
  <c r="XEV204" i="3"/>
  <c r="XEX204" i="3"/>
  <c r="XEV205" i="3"/>
  <c r="XEX205" i="3"/>
  <c r="XEV206" i="3"/>
  <c r="XEX206" i="3"/>
  <c r="XEV207" i="3"/>
  <c r="XEX207" i="3"/>
  <c r="XEV208" i="3"/>
  <c r="XEX208" i="3"/>
  <c r="XEV209" i="3"/>
  <c r="XEX209" i="3"/>
  <c r="XEV210" i="3"/>
  <c r="XEX210" i="3"/>
  <c r="XEV211" i="3"/>
  <c r="XEX211" i="3"/>
  <c r="XEV212" i="3"/>
  <c r="XEX212" i="3"/>
  <c r="XEV213" i="3"/>
  <c r="XEX213" i="3"/>
  <c r="XEV214" i="3"/>
  <c r="XEX214" i="3"/>
  <c r="XEV215" i="3"/>
  <c r="XEX215" i="3"/>
  <c r="XEV216" i="3"/>
  <c r="XEX216" i="3"/>
  <c r="XEV217" i="3"/>
  <c r="XEX217" i="3"/>
  <c r="XEV218" i="3"/>
  <c r="XEX218" i="3"/>
  <c r="XEV219" i="3"/>
  <c r="XEX219" i="3"/>
  <c r="XEV220" i="3"/>
  <c r="XEX220" i="3"/>
  <c r="XEV221" i="3"/>
  <c r="XEX221" i="3"/>
  <c r="XEV222" i="3"/>
  <c r="XEX222" i="3"/>
  <c r="XEV223" i="3"/>
  <c r="XEX223" i="3"/>
  <c r="XEV224" i="3"/>
  <c r="XEX224" i="3"/>
  <c r="XEV225" i="3"/>
  <c r="XEX225" i="3"/>
  <c r="XEV226" i="3"/>
  <c r="XEX226" i="3"/>
  <c r="XEV227" i="3"/>
  <c r="XEX227" i="3"/>
  <c r="XEV228" i="3"/>
  <c r="XEX228" i="3"/>
  <c r="XEV229" i="3"/>
  <c r="XEX229" i="3"/>
  <c r="XEV230" i="3"/>
  <c r="XEX230" i="3"/>
  <c r="XEV231" i="3"/>
  <c r="XEX231" i="3"/>
  <c r="XEV232" i="3"/>
  <c r="XEX232" i="3"/>
  <c r="XEV233" i="3"/>
  <c r="XEX233" i="3"/>
  <c r="XEV234" i="3"/>
  <c r="XEX234" i="3"/>
  <c r="XEV235" i="3"/>
  <c r="XEX235" i="3"/>
  <c r="XEV236" i="3"/>
  <c r="XEX236" i="3"/>
  <c r="XEV237" i="3"/>
  <c r="XEX237" i="3"/>
  <c r="XEV238" i="3"/>
  <c r="XEX238" i="3"/>
  <c r="XEV239" i="3"/>
  <c r="XEX239" i="3"/>
  <c r="XEV240" i="3"/>
  <c r="XEX240" i="3"/>
  <c r="XEV241" i="3"/>
  <c r="XEX241" i="3"/>
  <c r="XEV242" i="3"/>
  <c r="XEX242" i="3"/>
  <c r="XEV243" i="3"/>
  <c r="XEX243" i="3"/>
  <c r="XEV244" i="3"/>
  <c r="XEX244" i="3"/>
  <c r="XEV245" i="3"/>
  <c r="XEX245" i="3"/>
  <c r="XEV246" i="3"/>
  <c r="XEX246" i="3"/>
  <c r="XEV247" i="3"/>
  <c r="XEX247" i="3"/>
  <c r="XEV248" i="3"/>
  <c r="XEX248" i="3"/>
  <c r="XEV249" i="3"/>
  <c r="XEX249" i="3"/>
  <c r="XEV250" i="3"/>
  <c r="XEX250" i="3"/>
  <c r="XEV251" i="3"/>
  <c r="XEX251" i="3"/>
  <c r="XEV252" i="3"/>
  <c r="XEX252" i="3"/>
  <c r="XEV253" i="3"/>
  <c r="XEX253" i="3"/>
  <c r="XEV254" i="3"/>
  <c r="XEX254" i="3"/>
  <c r="XEV255" i="3"/>
  <c r="XEX255" i="3"/>
  <c r="XEV256" i="3"/>
  <c r="XEX256" i="3"/>
  <c r="XEV257" i="3"/>
  <c r="XEX257" i="3"/>
  <c r="XEV258" i="3"/>
  <c r="XEX258" i="3"/>
  <c r="XEV259" i="3"/>
  <c r="XEX259" i="3"/>
  <c r="XEV260" i="3"/>
  <c r="XEX260" i="3"/>
  <c r="XEV261" i="3"/>
  <c r="XEX261" i="3"/>
  <c r="XEV262" i="3"/>
  <c r="XEX262" i="3"/>
  <c r="XEV263" i="3"/>
  <c r="XEX263" i="3"/>
  <c r="XEV264" i="3"/>
  <c r="XEX264" i="3"/>
  <c r="XEV265" i="3"/>
  <c r="XEX265" i="3"/>
  <c r="XEV266" i="3"/>
  <c r="XEX266" i="3"/>
  <c r="XEV267" i="3"/>
  <c r="XEX267" i="3"/>
  <c r="XEV268" i="3"/>
  <c r="XEX268" i="3"/>
  <c r="XEV269" i="3"/>
  <c r="XEX269" i="3"/>
  <c r="XEV270" i="3"/>
  <c r="XEX270" i="3"/>
  <c r="XEV271" i="3"/>
  <c r="XEX271" i="3"/>
  <c r="XEV272" i="3"/>
  <c r="XEX272" i="3"/>
  <c r="XEV273" i="3"/>
  <c r="XEX273" i="3"/>
  <c r="XEV274" i="3"/>
  <c r="XEX274" i="3"/>
  <c r="XEV275" i="3"/>
  <c r="XEX275" i="3"/>
  <c r="XEV276" i="3"/>
  <c r="XEX276" i="3"/>
  <c r="XEV277" i="3"/>
  <c r="XEX277" i="3"/>
  <c r="XEV278" i="3"/>
  <c r="XEX278" i="3"/>
  <c r="XEV279" i="3"/>
  <c r="XEX279" i="3"/>
  <c r="XEV280" i="3"/>
  <c r="XEX280" i="3"/>
  <c r="XEV281" i="3"/>
  <c r="XEX281" i="3"/>
  <c r="XEV282" i="3"/>
  <c r="XEX282" i="3"/>
  <c r="XEV283" i="3"/>
  <c r="XEX283" i="3"/>
  <c r="XEV284" i="3"/>
  <c r="XEX284" i="3"/>
  <c r="XEV285" i="3"/>
  <c r="XEX285" i="3"/>
  <c r="XEV286" i="3"/>
  <c r="XEX286" i="3"/>
  <c r="XEV287" i="3"/>
  <c r="XEX287" i="3"/>
  <c r="XEV288" i="3"/>
  <c r="XEX288" i="3"/>
  <c r="XEV289" i="3"/>
  <c r="XEX289" i="3"/>
  <c r="XEV290" i="3"/>
  <c r="XEX290" i="3"/>
  <c r="XEV291" i="3"/>
  <c r="XEX291" i="3"/>
  <c r="XEV292" i="3"/>
  <c r="XEX292" i="3"/>
  <c r="XEV293" i="3"/>
  <c r="XEX293" i="3"/>
  <c r="XEV294" i="3"/>
  <c r="XEX294" i="3"/>
  <c r="XEV295" i="3"/>
  <c r="XEX295" i="3"/>
  <c r="XEV296" i="3"/>
  <c r="XEX296" i="3"/>
  <c r="XEV297" i="3"/>
  <c r="XEX297" i="3"/>
  <c r="XEV298" i="3"/>
  <c r="XEX298" i="3"/>
  <c r="XEV299" i="3"/>
  <c r="XEX299" i="3"/>
  <c r="XEV300" i="3"/>
  <c r="XEX300" i="3"/>
  <c r="XEV301" i="3"/>
  <c r="XEX301" i="3"/>
  <c r="XEV302" i="3"/>
  <c r="XEX302" i="3"/>
  <c r="XEV303" i="3"/>
  <c r="XEX303" i="3"/>
  <c r="XEV304" i="3"/>
  <c r="XEX304" i="3"/>
  <c r="XEV305" i="3"/>
  <c r="XEX305" i="3"/>
  <c r="XEV306" i="3"/>
  <c r="XEX306" i="3"/>
  <c r="XEV307" i="3"/>
  <c r="XEX307" i="3"/>
  <c r="XEV308" i="3"/>
  <c r="XEX308" i="3"/>
  <c r="XEV309" i="3"/>
  <c r="XEX309" i="3"/>
  <c r="XEV310" i="3"/>
  <c r="XEX310" i="3"/>
  <c r="XEV311" i="3"/>
  <c r="XEX311" i="3"/>
  <c r="XEV312" i="3"/>
  <c r="XEX312" i="3"/>
  <c r="XEV313" i="3"/>
  <c r="XEX313" i="3"/>
  <c r="XEV314" i="3"/>
  <c r="XEX314" i="3"/>
  <c r="XEV315" i="3"/>
  <c r="XEX315" i="3"/>
  <c r="XEV316" i="3"/>
  <c r="XEX316" i="3"/>
  <c r="XEV317" i="3"/>
  <c r="XEX317" i="3"/>
  <c r="XEV318" i="3"/>
  <c r="XEX318" i="3"/>
  <c r="XEV319" i="3"/>
  <c r="XEX319" i="3"/>
  <c r="XEV320" i="3"/>
  <c r="XEX320" i="3"/>
  <c r="XEV321" i="3"/>
  <c r="XEX321" i="3"/>
  <c r="XEV322" i="3"/>
  <c r="XEX322" i="3"/>
  <c r="XEV323" i="3"/>
  <c r="XEX323" i="3"/>
  <c r="XEV324" i="3"/>
  <c r="XEX324" i="3"/>
  <c r="XEV325" i="3"/>
  <c r="XEX325" i="3"/>
  <c r="XEV326" i="3"/>
  <c r="XEX326" i="3"/>
  <c r="XEV327" i="3"/>
  <c r="XEX327" i="3"/>
  <c r="XEV328" i="3"/>
  <c r="XEX328" i="3"/>
  <c r="XEV329" i="3"/>
  <c r="XEX329" i="3"/>
  <c r="XEV330" i="3"/>
  <c r="XEX330" i="3"/>
  <c r="XEV331" i="3"/>
  <c r="XEX331" i="3"/>
  <c r="XEV332" i="3"/>
  <c r="XEX332" i="3"/>
  <c r="XEV333" i="3"/>
  <c r="XEX333" i="3"/>
  <c r="XEV334" i="3"/>
  <c r="XEX334" i="3"/>
  <c r="XEV335" i="3"/>
  <c r="XEX335" i="3"/>
  <c r="XEV336" i="3"/>
  <c r="XEX336" i="3"/>
  <c r="XEV337" i="3"/>
  <c r="XEX337" i="3"/>
  <c r="XEV338" i="3"/>
  <c r="XEX338" i="3"/>
  <c r="XEV339" i="3"/>
  <c r="XEX339" i="3"/>
  <c r="XEV340" i="3"/>
  <c r="XEX340" i="3"/>
  <c r="XEV341" i="3"/>
  <c r="XEX341" i="3"/>
  <c r="XEV342" i="3"/>
  <c r="XEX342" i="3"/>
  <c r="XEV343" i="3"/>
  <c r="XEX343" i="3"/>
  <c r="XEV344" i="3"/>
  <c r="XEX344" i="3"/>
  <c r="XEV345" i="3"/>
  <c r="XEX345" i="3"/>
  <c r="XEV346" i="3"/>
  <c r="XEX346" i="3"/>
  <c r="XEV347" i="3"/>
  <c r="XEX347" i="3"/>
  <c r="XEV348" i="3"/>
  <c r="XEX348" i="3"/>
  <c r="XEV349" i="3"/>
  <c r="XEX349" i="3"/>
  <c r="XEV350" i="3"/>
  <c r="XEX350" i="3"/>
  <c r="XEV351" i="3"/>
  <c r="XEX351" i="3"/>
  <c r="XEV352" i="3"/>
  <c r="XEX352" i="3"/>
  <c r="XEV353" i="3"/>
  <c r="XEX353" i="3"/>
  <c r="XEV354" i="3"/>
  <c r="XEX354" i="3"/>
  <c r="XEV355" i="3"/>
  <c r="XEX355" i="3"/>
  <c r="XEV356" i="3"/>
  <c r="XEX356" i="3"/>
  <c r="XEV357" i="3"/>
  <c r="XEX357" i="3"/>
  <c r="XEV358" i="3"/>
  <c r="XEX358" i="3"/>
  <c r="XEV359" i="3"/>
  <c r="XEX359" i="3"/>
  <c r="XEV360" i="3"/>
  <c r="XEX360" i="3"/>
  <c r="XEV361" i="3"/>
  <c r="XEX361" i="3"/>
  <c r="XEV362" i="3"/>
  <c r="XEX362" i="3"/>
  <c r="XEV363" i="3"/>
  <c r="XEX363" i="3"/>
  <c r="XEV364" i="3"/>
  <c r="XEX364" i="3"/>
  <c r="XEV365" i="3"/>
  <c r="XEX365" i="3"/>
  <c r="XEV366" i="3"/>
  <c r="XEX366" i="3"/>
  <c r="XEV367" i="3"/>
  <c r="XEX367" i="3"/>
  <c r="XEV368" i="3"/>
  <c r="XEX368" i="3"/>
  <c r="XEV369" i="3"/>
  <c r="XEX369" i="3"/>
  <c r="XEV370" i="3"/>
  <c r="XEX370" i="3"/>
  <c r="XEV371" i="3"/>
  <c r="XEX371" i="3"/>
  <c r="XEV372" i="3"/>
  <c r="XEX372" i="3"/>
  <c r="XEV373" i="3"/>
  <c r="XEX373" i="3"/>
  <c r="XEV374" i="3"/>
  <c r="XEX374" i="3"/>
  <c r="XEV375" i="3"/>
  <c r="XEX375" i="3"/>
  <c r="XEV376" i="3"/>
  <c r="XEX376" i="3"/>
  <c r="XEV377" i="3"/>
  <c r="XEX377" i="3"/>
  <c r="XEV378" i="3"/>
  <c r="XEX378" i="3"/>
  <c r="XEV379" i="3"/>
  <c r="XEX379" i="3"/>
  <c r="XEV380" i="3"/>
  <c r="XEX380" i="3"/>
  <c r="XEV381" i="3"/>
  <c r="XEX381" i="3"/>
  <c r="XEV382" i="3"/>
  <c r="XEX382" i="3"/>
  <c r="XEV383" i="3"/>
  <c r="XEX383" i="3"/>
  <c r="XEV384" i="3"/>
  <c r="XEX384" i="3"/>
  <c r="XEV385" i="3"/>
  <c r="XEX385" i="3"/>
  <c r="XEV386" i="3"/>
  <c r="XEX386" i="3"/>
  <c r="XEV387" i="3"/>
  <c r="XEX387" i="3"/>
  <c r="XEV388" i="3"/>
  <c r="XEX388" i="3"/>
  <c r="XEV389" i="3"/>
  <c r="XEX389" i="3"/>
  <c r="XEV390" i="3"/>
  <c r="XEX390" i="3"/>
  <c r="XEV391" i="3"/>
  <c r="XEX391" i="3"/>
  <c r="XEV392" i="3"/>
  <c r="XEX392" i="3"/>
  <c r="XEV393" i="3"/>
  <c r="XEX393" i="3"/>
  <c r="XEV394" i="3"/>
  <c r="XEX394" i="3"/>
  <c r="XEV395" i="3"/>
  <c r="XEX395" i="3"/>
  <c r="XEV396" i="3"/>
  <c r="XEX396" i="3"/>
  <c r="XEV397" i="3"/>
  <c r="XEX397" i="3"/>
  <c r="XEV398" i="3"/>
  <c r="XEX398" i="3"/>
  <c r="XEV399" i="3"/>
  <c r="XEX399" i="3"/>
  <c r="XEV400" i="3"/>
  <c r="XEX400" i="3"/>
  <c r="XEV401" i="3"/>
  <c r="XEX401" i="3"/>
  <c r="XEV402" i="3"/>
  <c r="XEX402" i="3"/>
  <c r="XEV403" i="3"/>
  <c r="XEX403" i="3"/>
  <c r="XEV404" i="3"/>
  <c r="XEX404" i="3"/>
  <c r="XEV405" i="3"/>
  <c r="XEX405" i="3"/>
  <c r="XEV406" i="3"/>
  <c r="XEX406" i="3"/>
  <c r="XEV407" i="3"/>
  <c r="XEX407" i="3"/>
  <c r="XEV408" i="3"/>
  <c r="XEX408" i="3"/>
  <c r="XEV409" i="3"/>
  <c r="XEX409" i="3"/>
  <c r="XEV410" i="3"/>
  <c r="XEX410" i="3"/>
  <c r="XEV411" i="3"/>
  <c r="XEX411" i="3"/>
  <c r="XEV412" i="3"/>
  <c r="XEX412" i="3"/>
  <c r="XEV413" i="3"/>
  <c r="XEX413" i="3"/>
  <c r="XEV414" i="3"/>
  <c r="XEX414" i="3"/>
  <c r="XEV415" i="3"/>
  <c r="XEX415" i="3"/>
  <c r="XEV416" i="3"/>
  <c r="XEX416" i="3"/>
  <c r="XEV417" i="3"/>
  <c r="XEX417" i="3"/>
  <c r="XEV418" i="3"/>
  <c r="XEX418" i="3"/>
  <c r="XEV419" i="3"/>
  <c r="XEX419" i="3"/>
  <c r="XEV420" i="3"/>
  <c r="XEX420" i="3"/>
  <c r="XEV421" i="3"/>
  <c r="XEX421" i="3"/>
  <c r="XEV422" i="3"/>
  <c r="XEX422" i="3"/>
  <c r="XEV423" i="3"/>
  <c r="XEX423" i="3"/>
  <c r="XEV424" i="3"/>
  <c r="XEX424" i="3"/>
  <c r="XEV425" i="3"/>
  <c r="XEX425" i="3"/>
  <c r="XEV426" i="3"/>
  <c r="XEX426" i="3"/>
  <c r="XEV427" i="3"/>
  <c r="XEX427" i="3"/>
  <c r="XEV428" i="3"/>
  <c r="XEX428" i="3"/>
  <c r="XEV429" i="3"/>
  <c r="XEX429" i="3"/>
  <c r="XEV430" i="3"/>
  <c r="XEX430" i="3"/>
  <c r="XEV431" i="3"/>
  <c r="XEX431" i="3"/>
  <c r="XEV432" i="3"/>
  <c r="XEX432" i="3"/>
  <c r="XEV433" i="3"/>
  <c r="XEX433" i="3"/>
  <c r="XEV434" i="3"/>
  <c r="XEX434" i="3"/>
  <c r="XEV435" i="3"/>
  <c r="XEX435" i="3"/>
  <c r="XEV436" i="3"/>
  <c r="XEX436" i="3"/>
  <c r="XEV437" i="3"/>
  <c r="XEX437" i="3"/>
  <c r="XEV438" i="3"/>
  <c r="XEX438" i="3"/>
  <c r="XEV439" i="3"/>
  <c r="XEX439" i="3"/>
  <c r="XEV440" i="3"/>
  <c r="XEX440" i="3"/>
  <c r="XEV441" i="3"/>
  <c r="XEX441" i="3"/>
  <c r="XEV442" i="3"/>
  <c r="XEX442" i="3"/>
  <c r="XEV443" i="3"/>
  <c r="XEX443" i="3"/>
  <c r="XEV444" i="3"/>
  <c r="XEX444" i="3"/>
  <c r="XEV445" i="3"/>
  <c r="XEX445" i="3"/>
  <c r="XEV446" i="3"/>
  <c r="XEX446" i="3"/>
  <c r="XEV447" i="3"/>
  <c r="XEX447" i="3"/>
  <c r="XEV448" i="3"/>
  <c r="XEX448" i="3"/>
  <c r="XEV449" i="3"/>
  <c r="XEX449" i="3"/>
  <c r="XEV450" i="3"/>
  <c r="XEX450" i="3"/>
  <c r="XEV451" i="3"/>
  <c r="XEX451" i="3"/>
  <c r="XEV452" i="3"/>
  <c r="XEX452" i="3"/>
  <c r="XEV453" i="3"/>
  <c r="XEX453" i="3"/>
  <c r="XEV454" i="3"/>
  <c r="XEX454" i="3"/>
  <c r="XEV455" i="3"/>
  <c r="XEX455" i="3"/>
  <c r="XEV456" i="3"/>
  <c r="XEX456" i="3"/>
  <c r="XEV457" i="3"/>
  <c r="XEX457" i="3"/>
  <c r="XEV458" i="3"/>
  <c r="XEX458" i="3"/>
  <c r="XEV459" i="3"/>
  <c r="XEX459" i="3"/>
  <c r="XEV460" i="3"/>
  <c r="XEX460" i="3"/>
  <c r="XEV461" i="3"/>
  <c r="XEX461" i="3"/>
  <c r="XEV462" i="3"/>
  <c r="XEX462" i="3"/>
  <c r="XEV463" i="3"/>
  <c r="XEX463" i="3"/>
  <c r="XEV464" i="3"/>
  <c r="XEX464" i="3"/>
  <c r="XEV465" i="3"/>
  <c r="XEX465" i="3"/>
  <c r="XEV466" i="3"/>
  <c r="XEX466" i="3"/>
  <c r="XEV467" i="3"/>
  <c r="XEX467" i="3"/>
  <c r="XEV468" i="3"/>
  <c r="XEX468" i="3"/>
  <c r="XEV469" i="3"/>
  <c r="XEX469" i="3"/>
  <c r="XEV470" i="3"/>
  <c r="XEX470" i="3"/>
  <c r="XEV471" i="3"/>
  <c r="XEX471" i="3"/>
  <c r="XEV472" i="3"/>
  <c r="XEX472" i="3"/>
  <c r="XEV473" i="3"/>
  <c r="XEX473" i="3"/>
  <c r="XEV474" i="3"/>
  <c r="XEX474" i="3"/>
  <c r="XEV475" i="3"/>
  <c r="XEX475" i="3"/>
  <c r="XEV476" i="3"/>
  <c r="XEX476" i="3"/>
  <c r="XEV477" i="3"/>
  <c r="XEX477" i="3"/>
  <c r="XEV478" i="3"/>
  <c r="XEX478" i="3"/>
  <c r="XEV479" i="3"/>
  <c r="XEX479" i="3"/>
  <c r="XEV480" i="3"/>
  <c r="XEX480" i="3"/>
  <c r="XEV481" i="3"/>
  <c r="XEX481" i="3"/>
  <c r="XEV482" i="3"/>
  <c r="XEX482" i="3"/>
  <c r="XEV483" i="3"/>
  <c r="XEX483" i="3"/>
  <c r="XEV484" i="3"/>
  <c r="XEX484" i="3"/>
  <c r="XEV485" i="3"/>
  <c r="XEX485" i="3"/>
  <c r="XEV486" i="3"/>
  <c r="XEX486" i="3"/>
  <c r="XEV487" i="3"/>
  <c r="XEX487" i="3"/>
  <c r="XEV488" i="3"/>
  <c r="XEX488" i="3"/>
  <c r="XEV489" i="3"/>
  <c r="XEX489" i="3"/>
  <c r="XEV490" i="3"/>
  <c r="XEX490" i="3"/>
  <c r="XEV491" i="3"/>
  <c r="XEX491" i="3"/>
  <c r="XEV492" i="3"/>
  <c r="XEX492" i="3"/>
  <c r="XEV493" i="3"/>
  <c r="XEX493" i="3"/>
  <c r="XEV494" i="3"/>
  <c r="XEX494" i="3"/>
  <c r="XEV495" i="3"/>
  <c r="XEX495" i="3"/>
  <c r="XEV496" i="3"/>
  <c r="XEX496" i="3"/>
  <c r="XEV497" i="3"/>
  <c r="XEX497" i="3"/>
  <c r="XEV498" i="3"/>
  <c r="XEX498" i="3"/>
  <c r="XEV499" i="3"/>
  <c r="XEX499" i="3"/>
  <c r="XEV500" i="3"/>
  <c r="XEX500" i="3"/>
  <c r="XEV501" i="3"/>
  <c r="XEX501" i="3"/>
  <c r="XEV502" i="3"/>
  <c r="XEX502" i="3"/>
  <c r="XEV503" i="3"/>
  <c r="XEX503" i="3"/>
  <c r="XEV504" i="3"/>
  <c r="XEX504" i="3"/>
  <c r="XEV505" i="3"/>
  <c r="XEX505" i="3"/>
  <c r="XEV506" i="3"/>
  <c r="XEX506" i="3"/>
  <c r="XEV507" i="3"/>
  <c r="XEX507" i="3"/>
  <c r="XEV508" i="3"/>
  <c r="XEX508" i="3"/>
  <c r="XEV509" i="3"/>
  <c r="XEX509" i="3"/>
  <c r="XEV510" i="3"/>
  <c r="XEX510" i="3"/>
  <c r="XEV511" i="3"/>
  <c r="XEX511" i="3"/>
  <c r="XEV512" i="3"/>
  <c r="XEX512" i="3"/>
  <c r="XEV513" i="3"/>
  <c r="XEX513" i="3"/>
  <c r="XEV514" i="3"/>
  <c r="XEX514" i="3"/>
  <c r="XEV515" i="3"/>
  <c r="XEX515" i="3"/>
  <c r="XEV516" i="3"/>
  <c r="XEX516" i="3"/>
  <c r="XEV517" i="3"/>
  <c r="XEX517" i="3"/>
  <c r="XEV518" i="3"/>
  <c r="XEX518" i="3"/>
  <c r="XEV519" i="3"/>
  <c r="XEX519" i="3"/>
  <c r="XEV520" i="3"/>
  <c r="XEX520" i="3"/>
  <c r="XEV521" i="3"/>
  <c r="XEX521" i="3"/>
  <c r="XEV522" i="3"/>
  <c r="XEX522" i="3"/>
  <c r="XEV523" i="3"/>
  <c r="XEX523" i="3"/>
  <c r="XEV524" i="3"/>
  <c r="XEX524" i="3"/>
  <c r="XEV525" i="3"/>
  <c r="XEX525" i="3"/>
  <c r="XEV526" i="3"/>
  <c r="XEX526" i="3"/>
  <c r="XEV527" i="3"/>
  <c r="XEX527" i="3"/>
  <c r="XEV528" i="3"/>
  <c r="XEX528" i="3"/>
  <c r="XEV529" i="3"/>
  <c r="XEX529" i="3"/>
  <c r="XEV530" i="3"/>
  <c r="XEX530" i="3"/>
  <c r="XEV531" i="3"/>
  <c r="XEX531" i="3"/>
  <c r="XEV532" i="3"/>
  <c r="XEX532" i="3"/>
  <c r="XEV533" i="3"/>
  <c r="XEX533" i="3"/>
  <c r="XEV534" i="3"/>
  <c r="XEX534" i="3"/>
  <c r="XEV535" i="3"/>
  <c r="XEX535" i="3"/>
  <c r="XEV536" i="3"/>
  <c r="XEX536" i="3"/>
  <c r="XEV537" i="3"/>
  <c r="XEX537" i="3"/>
  <c r="XEV538" i="3"/>
  <c r="XEX538" i="3"/>
  <c r="XEV539" i="3"/>
  <c r="XEX539" i="3"/>
  <c r="XEV540" i="3"/>
  <c r="XEX540" i="3"/>
  <c r="XEV541" i="3"/>
  <c r="XEX541" i="3"/>
  <c r="XEV542" i="3"/>
  <c r="XEX542" i="3"/>
  <c r="XEV543" i="3"/>
  <c r="XEX543" i="3"/>
  <c r="XEV544" i="3"/>
  <c r="XEX544" i="3"/>
  <c r="XEV545" i="3"/>
  <c r="XEX545" i="3"/>
  <c r="XEV546" i="3"/>
  <c r="XEX546" i="3"/>
  <c r="XEV547" i="3"/>
  <c r="XEX547" i="3"/>
  <c r="XEV548" i="3"/>
  <c r="XEX548" i="3"/>
  <c r="XEV549" i="3"/>
  <c r="XEX549" i="3"/>
  <c r="XEV550" i="3"/>
  <c r="XEX550" i="3"/>
  <c r="XEV551" i="3"/>
  <c r="XEX551" i="3"/>
  <c r="XEV552" i="3"/>
  <c r="XEX552" i="3"/>
  <c r="XEV553" i="3"/>
  <c r="XEX553" i="3"/>
  <c r="XEV554" i="3"/>
  <c r="XEX554" i="3"/>
  <c r="XEV555" i="3"/>
  <c r="XEX555" i="3"/>
  <c r="XEV556" i="3"/>
  <c r="XEX556" i="3"/>
  <c r="XEV557" i="3"/>
  <c r="XEX557" i="3"/>
  <c r="XEV558" i="3"/>
  <c r="XEX558" i="3"/>
  <c r="XEV559" i="3"/>
  <c r="XEX559" i="3"/>
  <c r="XEV560" i="3"/>
  <c r="XEX560" i="3"/>
  <c r="XEV561" i="3"/>
  <c r="XEX561" i="3"/>
  <c r="XEV562" i="3"/>
  <c r="XEX562" i="3"/>
  <c r="XEV563" i="3"/>
  <c r="XEX563" i="3"/>
  <c r="XEV564" i="3"/>
  <c r="XEX564" i="3"/>
  <c r="XEV565" i="3"/>
  <c r="XEX565" i="3"/>
  <c r="XEV566" i="3"/>
  <c r="XEX566" i="3"/>
  <c r="XEV567" i="3"/>
  <c r="XEX567" i="3"/>
  <c r="XEV568" i="3"/>
  <c r="XEX568" i="3"/>
  <c r="XEV569" i="3"/>
  <c r="XEX569" i="3"/>
  <c r="XEV570" i="3"/>
  <c r="XEX570" i="3"/>
  <c r="XEV571" i="3"/>
  <c r="XEX571" i="3"/>
  <c r="XEV572" i="3"/>
  <c r="XEX572" i="3"/>
  <c r="XEV573" i="3"/>
  <c r="XEX573" i="3"/>
  <c r="XEV574" i="3"/>
  <c r="XEX574" i="3"/>
  <c r="XEV575" i="3"/>
  <c r="XEX575" i="3"/>
  <c r="XEV576" i="3"/>
  <c r="XEX576" i="3"/>
  <c r="XEV577" i="3"/>
  <c r="XEX577" i="3"/>
  <c r="XEV578" i="3"/>
  <c r="XEX578" i="3"/>
  <c r="XEV579" i="3"/>
  <c r="XEX579" i="3"/>
  <c r="XEV580" i="3"/>
  <c r="XEX580" i="3"/>
  <c r="XEV581" i="3"/>
  <c r="XEX581" i="3"/>
  <c r="XEV582" i="3"/>
  <c r="XEX582" i="3"/>
  <c r="XEV583" i="3"/>
  <c r="XEX583" i="3"/>
  <c r="XEV584" i="3"/>
  <c r="XEX584" i="3"/>
  <c r="XEV585" i="3"/>
  <c r="XEX585" i="3"/>
  <c r="XEV586" i="3"/>
  <c r="XEX586" i="3"/>
  <c r="XEV587" i="3"/>
  <c r="XEX587" i="3"/>
  <c r="XEV588" i="3"/>
  <c r="XEX588" i="3"/>
  <c r="XEV589" i="3"/>
  <c r="XEX589" i="3"/>
  <c r="XEV590" i="3"/>
  <c r="XEX590" i="3"/>
  <c r="XEV591" i="3"/>
  <c r="XEX591" i="3"/>
  <c r="XEV592" i="3"/>
  <c r="XEX592" i="3"/>
  <c r="XEV593" i="3"/>
  <c r="XEX593" i="3"/>
  <c r="XEV594" i="3"/>
  <c r="XEX594" i="3"/>
  <c r="XEV595" i="3"/>
  <c r="XEX595" i="3"/>
  <c r="XEV596" i="3"/>
  <c r="XEX596" i="3"/>
  <c r="XEV597" i="3"/>
  <c r="XEX597" i="3"/>
  <c r="XEV598" i="3"/>
  <c r="XEX598" i="3"/>
  <c r="XEV599" i="3"/>
  <c r="XEX599" i="3"/>
  <c r="XEV600" i="3"/>
  <c r="XEX600" i="3"/>
  <c r="XEV601" i="3"/>
  <c r="XEX601" i="3"/>
  <c r="XEV602" i="3"/>
  <c r="XEX602" i="3"/>
  <c r="XEV603" i="3"/>
  <c r="XEX603" i="3"/>
  <c r="XEV604" i="3"/>
  <c r="XEX604" i="3"/>
  <c r="XEV605" i="3"/>
  <c r="XEX605" i="3"/>
  <c r="XEV606" i="3"/>
  <c r="XEX606" i="3"/>
  <c r="XEV607" i="3"/>
  <c r="XEX607" i="3"/>
  <c r="XEV608" i="3"/>
  <c r="XEX608" i="3"/>
  <c r="XEV609" i="3"/>
  <c r="XEX609" i="3"/>
  <c r="XEV610" i="3"/>
  <c r="XEX610" i="3"/>
  <c r="XEV611" i="3"/>
  <c r="XEX611" i="3"/>
  <c r="XEV612" i="3"/>
  <c r="XEX612" i="3"/>
  <c r="XEV613" i="3"/>
  <c r="XEX613" i="3"/>
  <c r="XEV614" i="3"/>
  <c r="XEX614" i="3"/>
  <c r="XEV615" i="3"/>
  <c r="XEX615" i="3"/>
  <c r="XEV616" i="3"/>
  <c r="XEX616" i="3"/>
  <c r="XEV617" i="3"/>
  <c r="XEX617" i="3"/>
  <c r="XEV618" i="3"/>
  <c r="XEX618" i="3"/>
  <c r="XEV619" i="3"/>
  <c r="XEX619" i="3"/>
  <c r="XEV620" i="3"/>
  <c r="XEX620" i="3"/>
  <c r="XEV621" i="3"/>
  <c r="XEX621" i="3"/>
  <c r="XEV622" i="3"/>
  <c r="XEX622" i="3"/>
  <c r="XEV623" i="3"/>
  <c r="XEX623" i="3"/>
  <c r="XEV624" i="3"/>
  <c r="XEX624" i="3"/>
  <c r="XEV625" i="3"/>
  <c r="XEX625" i="3"/>
  <c r="XEV626" i="3"/>
  <c r="XEX626" i="3"/>
  <c r="XEV627" i="3"/>
  <c r="XEX627" i="3"/>
  <c r="XEV628" i="3"/>
  <c r="XEX628" i="3"/>
  <c r="XEV629" i="3"/>
  <c r="XEX629" i="3"/>
  <c r="XEV630" i="3"/>
  <c r="XEX630" i="3"/>
  <c r="XEV631" i="3"/>
  <c r="XEX631" i="3"/>
  <c r="XEV632" i="3"/>
  <c r="XEX632" i="3"/>
  <c r="XEV633" i="3"/>
  <c r="XEX633" i="3"/>
  <c r="XEV634" i="3"/>
  <c r="XEX634" i="3"/>
  <c r="XEV635" i="3"/>
  <c r="XEX635" i="3"/>
  <c r="XEV636" i="3"/>
  <c r="XEX636" i="3"/>
  <c r="XEV637" i="3"/>
  <c r="XEX637" i="3"/>
  <c r="XEV638" i="3"/>
  <c r="XEX638" i="3"/>
  <c r="XEV639" i="3"/>
  <c r="XEX639" i="3"/>
  <c r="XEV640" i="3"/>
  <c r="XEX640" i="3"/>
  <c r="XEV641" i="3"/>
  <c r="XEX641" i="3"/>
  <c r="XEV642" i="3"/>
  <c r="XEX642" i="3"/>
  <c r="XEV643" i="3"/>
  <c r="XEX643" i="3"/>
  <c r="XEV644" i="3"/>
  <c r="XEX644" i="3"/>
  <c r="XEV645" i="3"/>
  <c r="XEX645" i="3"/>
  <c r="XEV646" i="3"/>
  <c r="XEX646" i="3"/>
  <c r="XEV647" i="3"/>
  <c r="XEX647" i="3"/>
  <c r="XEV648" i="3"/>
  <c r="XEX648" i="3"/>
  <c r="XEV649" i="3"/>
  <c r="XEX649" i="3"/>
  <c r="XEV650" i="3"/>
  <c r="XEX650" i="3"/>
  <c r="XEV651" i="3"/>
  <c r="XEX651" i="3"/>
  <c r="XEV652" i="3"/>
  <c r="XEX652" i="3"/>
  <c r="XEV653" i="3"/>
  <c r="XEX653" i="3"/>
  <c r="XEV654" i="3"/>
  <c r="XEX654" i="3"/>
  <c r="XEV655" i="3"/>
  <c r="XEX655" i="3"/>
  <c r="XEV656" i="3"/>
  <c r="XEX656" i="3"/>
  <c r="XEV657" i="3"/>
  <c r="XEX657" i="3"/>
  <c r="XEV658" i="3"/>
  <c r="XEX658" i="3"/>
  <c r="XEV659" i="3"/>
  <c r="XEX659" i="3"/>
  <c r="XEV660" i="3"/>
  <c r="XEX660" i="3"/>
  <c r="XEV661" i="3"/>
  <c r="XEX661" i="3"/>
  <c r="XEV662" i="3"/>
  <c r="XEX662" i="3"/>
  <c r="XEV663" i="3"/>
  <c r="XEX663" i="3"/>
  <c r="XEV664" i="3"/>
  <c r="XEX664" i="3"/>
  <c r="XEV665" i="3"/>
  <c r="XEX665" i="3"/>
  <c r="XEV666" i="3"/>
  <c r="XEX666" i="3"/>
  <c r="XEV667" i="3"/>
  <c r="XEX667" i="3"/>
  <c r="XEV668" i="3"/>
  <c r="XEX668" i="3"/>
  <c r="XEV669" i="3"/>
  <c r="XEX669" i="3"/>
  <c r="XEV670" i="3"/>
  <c r="XEX670" i="3"/>
  <c r="XEV671" i="3"/>
  <c r="XEX671" i="3"/>
  <c r="XEV672" i="3"/>
  <c r="XEX672" i="3"/>
  <c r="XEV673" i="3"/>
  <c r="XEX673" i="3"/>
  <c r="XEV674" i="3"/>
  <c r="XEX674" i="3"/>
  <c r="XEV675" i="3"/>
  <c r="XEX675" i="3"/>
  <c r="XEV676" i="3"/>
  <c r="XEX676" i="3"/>
  <c r="XEV677" i="3"/>
  <c r="XEX677" i="3"/>
  <c r="XEV678" i="3"/>
  <c r="XEX678" i="3"/>
  <c r="XEV679" i="3"/>
  <c r="XEX679" i="3"/>
  <c r="XEV680" i="3"/>
  <c r="XEX680" i="3"/>
  <c r="XEV681" i="3"/>
  <c r="XEX681" i="3"/>
  <c r="XEV682" i="3"/>
  <c r="XEX682" i="3"/>
  <c r="XEV683" i="3"/>
  <c r="XEX683" i="3"/>
  <c r="XEV684" i="3"/>
  <c r="XEX684" i="3"/>
  <c r="XEV685" i="3"/>
  <c r="XEX685" i="3"/>
  <c r="XEV686" i="3"/>
  <c r="XEX686" i="3"/>
  <c r="XEV687" i="3"/>
  <c r="XEX687" i="3"/>
  <c r="XEV688" i="3"/>
  <c r="XEX688" i="3"/>
  <c r="XEV689" i="3"/>
  <c r="XEX689" i="3"/>
  <c r="XEV690" i="3"/>
  <c r="XEX690" i="3"/>
  <c r="XEV691" i="3"/>
  <c r="XEX691" i="3"/>
  <c r="XEV692" i="3"/>
  <c r="XEX692" i="3"/>
  <c r="XEV693" i="3"/>
  <c r="XEX693" i="3"/>
  <c r="XEV694" i="3"/>
  <c r="XEX694" i="3"/>
  <c r="XEV695" i="3"/>
  <c r="XEX695" i="3"/>
  <c r="XEV696" i="3"/>
  <c r="XEX696" i="3"/>
  <c r="XEV697" i="3"/>
  <c r="XEX697" i="3"/>
  <c r="XEV698" i="3"/>
  <c r="XEX698" i="3"/>
  <c r="XEV699" i="3"/>
  <c r="XEX699" i="3"/>
  <c r="XEV700" i="3"/>
  <c r="XEX700" i="3"/>
  <c r="XEV701" i="3"/>
  <c r="XEX701" i="3"/>
  <c r="XEV702" i="3"/>
  <c r="XEX702" i="3"/>
  <c r="XEV703" i="3"/>
  <c r="XEX703" i="3"/>
  <c r="XEV704" i="3"/>
  <c r="XEX704" i="3"/>
  <c r="XEV705" i="3"/>
  <c r="XEX705" i="3"/>
  <c r="XEV706" i="3"/>
  <c r="XEX706" i="3"/>
  <c r="XEV707" i="3"/>
  <c r="XEX707" i="3"/>
  <c r="XEV708" i="3"/>
  <c r="XEX708" i="3"/>
  <c r="XEV709" i="3"/>
  <c r="XEX709" i="3"/>
  <c r="XEV710" i="3"/>
  <c r="XEX710" i="3"/>
  <c r="XEV711" i="3"/>
  <c r="XEX711" i="3"/>
  <c r="XEV712" i="3"/>
  <c r="XEX712" i="3"/>
  <c r="XEV713" i="3"/>
  <c r="XEX713" i="3"/>
  <c r="XEV714" i="3"/>
  <c r="XEX714" i="3"/>
  <c r="XEV715" i="3"/>
  <c r="XEX715" i="3"/>
  <c r="XEV716" i="3"/>
  <c r="XEX716" i="3"/>
  <c r="XEV717" i="3"/>
  <c r="XEX717" i="3"/>
  <c r="XEV718" i="3"/>
  <c r="XEX718" i="3"/>
  <c r="XEV719" i="3"/>
  <c r="XEX719" i="3"/>
  <c r="XEV720" i="3"/>
  <c r="XEX720" i="3"/>
  <c r="XEV721" i="3"/>
  <c r="XEX721" i="3"/>
  <c r="XEV722" i="3"/>
  <c r="XEX722" i="3"/>
  <c r="XEV723" i="3"/>
  <c r="XEX723" i="3"/>
  <c r="XEV724" i="3"/>
  <c r="XEX724" i="3"/>
  <c r="XEV725" i="3"/>
  <c r="XEX725" i="3"/>
  <c r="XEV726" i="3"/>
  <c r="XEX726" i="3"/>
  <c r="XEV727" i="3"/>
  <c r="XEX727" i="3"/>
  <c r="XEV728" i="3"/>
  <c r="XEX728" i="3"/>
  <c r="XEV729" i="3"/>
  <c r="XEX729" i="3"/>
  <c r="XEV730" i="3"/>
  <c r="XEX730" i="3"/>
  <c r="XEV731" i="3"/>
  <c r="XEX731" i="3"/>
  <c r="XEV732" i="3"/>
  <c r="XEX732" i="3"/>
  <c r="XEV733" i="3"/>
  <c r="XEX733" i="3"/>
  <c r="XEV734" i="3"/>
  <c r="XEX734" i="3"/>
  <c r="XEV735" i="3"/>
  <c r="XEX735" i="3"/>
  <c r="XEV736" i="3"/>
  <c r="XEX736" i="3"/>
  <c r="XEV737" i="3"/>
  <c r="XEX737" i="3"/>
  <c r="XEV738" i="3"/>
  <c r="XEX738" i="3"/>
  <c r="XEV739" i="3"/>
  <c r="XEX739" i="3"/>
  <c r="XEV740" i="3"/>
  <c r="XEX740" i="3"/>
  <c r="XEV741" i="3"/>
  <c r="XEX741" i="3"/>
  <c r="XEV742" i="3"/>
  <c r="XEX742" i="3"/>
  <c r="XEV743" i="3"/>
  <c r="XEX743" i="3"/>
  <c r="XEV744" i="3"/>
  <c r="XEX744" i="3"/>
  <c r="XEV745" i="3"/>
  <c r="XEX745" i="3"/>
  <c r="XEV746" i="3"/>
  <c r="XEX746" i="3"/>
  <c r="XEV747" i="3"/>
  <c r="XEX747" i="3"/>
  <c r="XEV748" i="3"/>
  <c r="XEX748" i="3"/>
  <c r="XEV749" i="3"/>
  <c r="XEX749" i="3"/>
  <c r="XEV750" i="3"/>
  <c r="XEX750" i="3"/>
  <c r="XEV751" i="3"/>
  <c r="XEX751" i="3"/>
  <c r="XEV752" i="3"/>
  <c r="XEX752" i="3"/>
  <c r="XEV753" i="3"/>
  <c r="XEX753" i="3"/>
  <c r="XEV754" i="3"/>
  <c r="XEX754" i="3"/>
  <c r="XEV755" i="3"/>
  <c r="XEX755" i="3"/>
  <c r="XEV756" i="3"/>
  <c r="XEX756" i="3"/>
  <c r="XEV757" i="3"/>
  <c r="XEX757" i="3"/>
  <c r="XEV758" i="3"/>
  <c r="XEX758" i="3"/>
  <c r="XEV759" i="3"/>
  <c r="XEX759" i="3"/>
  <c r="XEV760" i="3"/>
  <c r="XEX760" i="3"/>
  <c r="XEV761" i="3"/>
  <c r="XEX761" i="3"/>
  <c r="XEV762" i="3"/>
  <c r="XEX762" i="3"/>
  <c r="XEV763" i="3"/>
  <c r="XEX763" i="3"/>
  <c r="XEV764" i="3"/>
  <c r="XEX764" i="3"/>
  <c r="XEV765" i="3"/>
  <c r="XEX765" i="3"/>
  <c r="XEV766" i="3"/>
  <c r="XEX766" i="3"/>
  <c r="XEV767" i="3"/>
  <c r="XEX767" i="3"/>
  <c r="XEV768" i="3"/>
  <c r="XEX768" i="3"/>
  <c r="XEV769" i="3"/>
  <c r="XEX769" i="3"/>
  <c r="XEV770" i="3"/>
  <c r="XEX770" i="3"/>
  <c r="XEV771" i="3"/>
  <c r="XEX771" i="3"/>
  <c r="XEV772" i="3"/>
  <c r="XEX772" i="3"/>
  <c r="XEV773" i="3"/>
  <c r="XEX773" i="3"/>
  <c r="XEV774" i="3"/>
  <c r="XEX774" i="3"/>
  <c r="XEV775" i="3"/>
  <c r="XEX775" i="3"/>
  <c r="XEV776" i="3"/>
  <c r="XEX776" i="3"/>
  <c r="XEV777" i="3"/>
  <c r="XEX777" i="3"/>
  <c r="XEV778" i="3"/>
  <c r="XEX778" i="3"/>
  <c r="XEV779" i="3"/>
  <c r="XEX779" i="3"/>
  <c r="XEV780" i="3"/>
  <c r="XEX780" i="3"/>
  <c r="XEV781" i="3"/>
  <c r="XEX781" i="3"/>
  <c r="XEV782" i="3"/>
  <c r="XEX782" i="3"/>
  <c r="XEV783" i="3"/>
  <c r="XEX783" i="3"/>
  <c r="XEV784" i="3"/>
  <c r="XEX784" i="3"/>
  <c r="XEV785" i="3"/>
  <c r="XEX785" i="3"/>
  <c r="XEV786" i="3"/>
  <c r="XEX786" i="3"/>
  <c r="XEV787" i="3"/>
  <c r="XEX787" i="3"/>
  <c r="XEV788" i="3"/>
  <c r="XEX788" i="3"/>
  <c r="XEV789" i="3"/>
  <c r="XEX789" i="3"/>
  <c r="XEV790" i="3"/>
  <c r="XEX790" i="3"/>
  <c r="XEV791" i="3"/>
  <c r="XEX791" i="3"/>
  <c r="XEV792" i="3"/>
  <c r="XEX792" i="3"/>
  <c r="XEV793" i="3"/>
  <c r="XEX793" i="3"/>
  <c r="XEV794" i="3"/>
  <c r="XEX794" i="3"/>
  <c r="XEV795" i="3"/>
  <c r="XEX795" i="3"/>
  <c r="XEV796" i="3"/>
  <c r="XEX796" i="3"/>
  <c r="XEV797" i="3"/>
  <c r="XEX797" i="3"/>
  <c r="XEV798" i="3"/>
  <c r="XEX798" i="3"/>
  <c r="XEV799" i="3"/>
  <c r="XEX799" i="3"/>
  <c r="XEV800" i="3"/>
  <c r="XEX800" i="3"/>
  <c r="XEV801" i="3"/>
  <c r="XEX801" i="3"/>
  <c r="XEV802" i="3"/>
  <c r="XEX802" i="3"/>
  <c r="XEV803" i="3"/>
  <c r="XEX803" i="3"/>
  <c r="XEV804" i="3"/>
  <c r="XEX804" i="3"/>
  <c r="XEV805" i="3"/>
  <c r="XEX805" i="3"/>
  <c r="XEV806" i="3"/>
  <c r="XEX806" i="3"/>
  <c r="XEV807" i="3"/>
  <c r="XEX807" i="3"/>
  <c r="XEV808" i="3"/>
  <c r="XEX808" i="3"/>
  <c r="XEV809" i="3"/>
  <c r="XEX809" i="3"/>
  <c r="XEV810" i="3"/>
  <c r="XEX810" i="3"/>
  <c r="XEV811" i="3"/>
  <c r="XEX811" i="3"/>
  <c r="XEV812" i="3"/>
  <c r="XEX812" i="3"/>
  <c r="XEV813" i="3"/>
  <c r="XEX813" i="3"/>
  <c r="XEV814" i="3"/>
  <c r="XEX814" i="3"/>
  <c r="XEV815" i="3"/>
  <c r="XEX815" i="3"/>
  <c r="XEV816" i="3"/>
  <c r="XEX816" i="3"/>
  <c r="XEV817" i="3"/>
  <c r="XEX817" i="3"/>
  <c r="XEV818" i="3"/>
  <c r="XEX818" i="3"/>
  <c r="XEV819" i="3"/>
  <c r="XEX819" i="3"/>
  <c r="XEV820" i="3"/>
  <c r="XEX820" i="3"/>
  <c r="XEV821" i="3"/>
  <c r="XEX821" i="3"/>
  <c r="XEV822" i="3"/>
  <c r="XEX822" i="3"/>
  <c r="XEV823" i="3"/>
  <c r="XEX823" i="3"/>
  <c r="XEV824" i="3"/>
  <c r="XEX824" i="3"/>
  <c r="XEV825" i="3"/>
  <c r="XEX825" i="3"/>
  <c r="XEV826" i="3"/>
  <c r="XEX826" i="3"/>
  <c r="XEV827" i="3"/>
  <c r="XEX827" i="3"/>
  <c r="XEV828" i="3"/>
  <c r="XEX828" i="3"/>
  <c r="XEV829" i="3"/>
  <c r="XEX829" i="3"/>
  <c r="XEV830" i="3"/>
  <c r="XEX830" i="3"/>
  <c r="XEV831" i="3"/>
  <c r="XEX831" i="3"/>
  <c r="XEV832" i="3"/>
  <c r="XEX832" i="3"/>
  <c r="XEV833" i="3"/>
  <c r="XEX833" i="3"/>
  <c r="XEV834" i="3"/>
  <c r="XEX834" i="3"/>
  <c r="XEV835" i="3"/>
  <c r="XEX835" i="3"/>
  <c r="XEV836" i="3"/>
  <c r="XEX836" i="3"/>
  <c r="XEV837" i="3"/>
  <c r="XEX837" i="3"/>
  <c r="XEV838" i="3"/>
  <c r="XEX838" i="3"/>
  <c r="XEV839" i="3"/>
  <c r="XEX839" i="3"/>
  <c r="XEV840" i="3"/>
  <c r="XEX840" i="3"/>
  <c r="XEV841" i="3"/>
  <c r="XEX841" i="3"/>
  <c r="XEV842" i="3"/>
  <c r="XEX842" i="3"/>
  <c r="XEV843" i="3"/>
  <c r="XEX843" i="3"/>
  <c r="XEV844" i="3"/>
  <c r="XEX844" i="3"/>
  <c r="XEV845" i="3"/>
  <c r="XEX845" i="3"/>
  <c r="XEV846" i="3"/>
  <c r="XEX846" i="3"/>
  <c r="XEV847" i="3"/>
  <c r="XEX847" i="3"/>
  <c r="XEV848" i="3"/>
  <c r="XEX848" i="3"/>
  <c r="XEV849" i="3"/>
  <c r="XEX849" i="3"/>
  <c r="XEV850" i="3"/>
  <c r="XEX850" i="3"/>
  <c r="XEV851" i="3"/>
  <c r="XEX851" i="3"/>
  <c r="XEV852" i="3"/>
  <c r="XEX852" i="3"/>
  <c r="XEV853" i="3"/>
  <c r="XEX853" i="3"/>
  <c r="XEV854" i="3"/>
  <c r="XEX854" i="3"/>
  <c r="XEV855" i="3"/>
  <c r="XEX855" i="3"/>
  <c r="XEV856" i="3"/>
  <c r="XEX856" i="3"/>
  <c r="XEV857" i="3"/>
  <c r="XEX857" i="3"/>
  <c r="XEV858" i="3"/>
  <c r="XEX858" i="3"/>
  <c r="XEV859" i="3"/>
  <c r="XEX859" i="3"/>
  <c r="XEV860" i="3"/>
  <c r="XEX860" i="3"/>
  <c r="XEV861" i="3"/>
  <c r="XEX861" i="3"/>
  <c r="XEV862" i="3"/>
  <c r="XEX862" i="3"/>
  <c r="XEV863" i="3"/>
  <c r="XEX863" i="3"/>
  <c r="XEV864" i="3"/>
  <c r="XEX864" i="3"/>
  <c r="XEV865" i="3"/>
  <c r="XEX865" i="3"/>
  <c r="XEV866" i="3"/>
  <c r="XEX866" i="3"/>
  <c r="XEV867" i="3"/>
  <c r="XEX867" i="3"/>
  <c r="XEV868" i="3"/>
  <c r="XEX868" i="3"/>
  <c r="XEV869" i="3"/>
  <c r="XEX869" i="3"/>
  <c r="XEV870" i="3"/>
  <c r="XEX870" i="3"/>
  <c r="XEV871" i="3"/>
  <c r="XEX871" i="3"/>
  <c r="XEV872" i="3"/>
  <c r="XEX872" i="3"/>
  <c r="XEV873" i="3"/>
  <c r="XEX873" i="3"/>
  <c r="XEV874" i="3"/>
  <c r="XEX874" i="3"/>
  <c r="XEV875" i="3"/>
  <c r="XEX875" i="3"/>
  <c r="XEV876" i="3"/>
  <c r="XEX876" i="3"/>
  <c r="XEV877" i="3"/>
  <c r="XEX877" i="3"/>
  <c r="XEV878" i="3"/>
  <c r="XEX878" i="3"/>
  <c r="XEV879" i="3"/>
  <c r="XEX879" i="3"/>
  <c r="XEV880" i="3"/>
  <c r="XEX880" i="3"/>
  <c r="XEV881" i="3"/>
  <c r="XEX881" i="3"/>
  <c r="XEV882" i="3"/>
  <c r="XEX882" i="3"/>
  <c r="XEV883" i="3"/>
  <c r="XEX883" i="3"/>
  <c r="XEV884" i="3"/>
  <c r="XEX884" i="3"/>
  <c r="XEV885" i="3"/>
  <c r="XEX885" i="3"/>
  <c r="XEV886" i="3"/>
  <c r="XEX886" i="3"/>
  <c r="XEV887" i="3"/>
  <c r="XEX887" i="3"/>
  <c r="XEV888" i="3"/>
  <c r="XEX888" i="3"/>
  <c r="XEV889" i="3"/>
  <c r="XEX889" i="3"/>
  <c r="XEV890" i="3"/>
  <c r="XEX890" i="3"/>
  <c r="XEV891" i="3"/>
  <c r="XEX891" i="3"/>
  <c r="XEV892" i="3"/>
  <c r="XEX892" i="3"/>
  <c r="XEV893" i="3"/>
  <c r="XEX893" i="3"/>
  <c r="XEV894" i="3"/>
  <c r="XEX894" i="3"/>
  <c r="XEV895" i="3"/>
  <c r="XEX895" i="3"/>
  <c r="XEV896" i="3"/>
  <c r="XEX896" i="3"/>
  <c r="XEV897" i="3"/>
  <c r="XEX897" i="3"/>
  <c r="XEV898" i="3"/>
  <c r="XEX898" i="3"/>
  <c r="XEV899" i="3"/>
  <c r="XEX899" i="3"/>
  <c r="XEV900" i="3"/>
  <c r="XEX900" i="3"/>
  <c r="XEV901" i="3"/>
  <c r="XEX901" i="3"/>
  <c r="XEV902" i="3"/>
  <c r="XEX902" i="3"/>
  <c r="XEV903" i="3"/>
  <c r="XEX903" i="3"/>
  <c r="XEV904" i="3"/>
  <c r="XEX904" i="3"/>
  <c r="XEV905" i="3"/>
  <c r="XEX905" i="3"/>
  <c r="XEV906" i="3"/>
  <c r="XEX906" i="3"/>
  <c r="XEV907" i="3"/>
  <c r="XEX907" i="3"/>
  <c r="XEV908" i="3"/>
  <c r="XEX908" i="3"/>
  <c r="XEV909" i="3"/>
  <c r="XEX909" i="3"/>
  <c r="XEV910" i="3"/>
  <c r="XEX910" i="3"/>
  <c r="XEV911" i="3"/>
  <c r="XEX911" i="3"/>
  <c r="XEV912" i="3"/>
  <c r="XEX912" i="3"/>
  <c r="XEV913" i="3"/>
  <c r="XEX913" i="3"/>
  <c r="XEV914" i="3"/>
  <c r="XEX914" i="3"/>
  <c r="XEV915" i="3"/>
  <c r="XEX915" i="3"/>
  <c r="XEV916" i="3"/>
  <c r="XEX916" i="3"/>
  <c r="XEV917" i="3"/>
  <c r="XEX917" i="3"/>
  <c r="XEV918" i="3"/>
  <c r="XEX918" i="3"/>
  <c r="XEV919" i="3"/>
  <c r="XEX919" i="3"/>
  <c r="XEV920" i="3"/>
  <c r="XEX920" i="3"/>
  <c r="XEV921" i="3"/>
  <c r="XEX921" i="3"/>
  <c r="XEV922" i="3"/>
  <c r="XEX922" i="3"/>
  <c r="XEV923" i="3"/>
  <c r="XEX923" i="3"/>
  <c r="XEV924" i="3"/>
  <c r="XEX924" i="3"/>
  <c r="XEV925" i="3"/>
  <c r="XEX925" i="3"/>
  <c r="XEV926" i="3"/>
  <c r="XEX926" i="3"/>
  <c r="XEV927" i="3"/>
  <c r="XEX927" i="3"/>
  <c r="XEV928" i="3"/>
  <c r="XEX928" i="3"/>
  <c r="XEV929" i="3"/>
  <c r="XEX929" i="3"/>
  <c r="XEV930" i="3"/>
  <c r="XEX930" i="3"/>
  <c r="XEV931" i="3"/>
  <c r="XEX931" i="3"/>
  <c r="XEV932" i="3"/>
  <c r="XEX932" i="3"/>
  <c r="XEV933" i="3"/>
  <c r="XEX933" i="3"/>
  <c r="XEV934" i="3"/>
  <c r="XEX934" i="3"/>
  <c r="XEV935" i="3"/>
  <c r="XEX935" i="3"/>
  <c r="XEV936" i="3"/>
  <c r="XEX936" i="3"/>
  <c r="XEV937" i="3"/>
  <c r="XEX937" i="3"/>
  <c r="XEV938" i="3"/>
  <c r="XEX938" i="3"/>
  <c r="XEV939" i="3"/>
  <c r="XEX939" i="3"/>
  <c r="XEV940" i="3"/>
  <c r="XEX940" i="3"/>
  <c r="XEV941" i="3"/>
  <c r="XEX941" i="3"/>
  <c r="XEV942" i="3"/>
  <c r="XEX942" i="3"/>
  <c r="XEV943" i="3"/>
  <c r="XEX943" i="3"/>
  <c r="XEV944" i="3"/>
  <c r="XEX944" i="3"/>
  <c r="XEV945" i="3"/>
  <c r="XEX945" i="3"/>
  <c r="XEV946" i="3"/>
  <c r="XEX946" i="3"/>
  <c r="XEV947" i="3"/>
  <c r="XEX947" i="3"/>
  <c r="XEV948" i="3"/>
  <c r="XEX948" i="3"/>
  <c r="XEV949" i="3"/>
  <c r="XEX949" i="3"/>
  <c r="XEV950" i="3"/>
  <c r="XEX950" i="3"/>
  <c r="XEV951" i="3"/>
  <c r="XEX951" i="3"/>
  <c r="XEV952" i="3"/>
  <c r="XEX952" i="3"/>
  <c r="XEV953" i="3"/>
  <c r="XEX953" i="3"/>
  <c r="XEV954" i="3"/>
  <c r="XEX954" i="3"/>
  <c r="XEV955" i="3"/>
  <c r="XEX955" i="3"/>
  <c r="XEV956" i="3"/>
  <c r="XEX956" i="3"/>
  <c r="XEV957" i="3"/>
  <c r="XEX957" i="3"/>
  <c r="XEV958" i="3"/>
  <c r="XEX958" i="3"/>
  <c r="XEV959" i="3"/>
  <c r="XEX959" i="3"/>
  <c r="XEV960" i="3"/>
  <c r="XEX960" i="3"/>
  <c r="XEV961" i="3"/>
  <c r="XEX961" i="3"/>
  <c r="XEV962" i="3"/>
  <c r="XEX962" i="3"/>
  <c r="XEV963" i="3"/>
  <c r="XEX963" i="3"/>
  <c r="XEV964" i="3"/>
  <c r="XEX964" i="3"/>
  <c r="XEV965" i="3"/>
  <c r="XEX965" i="3"/>
  <c r="XEV966" i="3"/>
  <c r="XEX966" i="3"/>
  <c r="XEV967" i="3"/>
  <c r="XEX967" i="3"/>
  <c r="XEV968" i="3"/>
  <c r="XEX968" i="3"/>
  <c r="XEV969" i="3"/>
  <c r="XEX969" i="3"/>
  <c r="XEV970" i="3"/>
  <c r="XEX970" i="3"/>
  <c r="XEV971" i="3"/>
  <c r="XEX971" i="3"/>
  <c r="XEV972" i="3"/>
  <c r="XEX972" i="3"/>
  <c r="XEV973" i="3"/>
  <c r="XEX973" i="3"/>
  <c r="XEV974" i="3"/>
  <c r="XEX974" i="3"/>
  <c r="XEV975" i="3"/>
  <c r="XEX975" i="3"/>
  <c r="XEV976" i="3"/>
  <c r="XEX976" i="3"/>
  <c r="XEV977" i="3"/>
  <c r="XEX977" i="3"/>
  <c r="XEV978" i="3"/>
  <c r="XEX978" i="3"/>
  <c r="XEV979" i="3"/>
  <c r="XEX979" i="3"/>
  <c r="XEV980" i="3"/>
  <c r="XEX980" i="3"/>
  <c r="XEV981" i="3"/>
  <c r="XEX981" i="3"/>
  <c r="XEV982" i="3"/>
  <c r="XEX982" i="3"/>
  <c r="XEV983" i="3"/>
  <c r="XEX983" i="3"/>
  <c r="XEV984" i="3"/>
  <c r="XEX984" i="3"/>
  <c r="XEV985" i="3"/>
  <c r="XEX985" i="3"/>
  <c r="XEV986" i="3"/>
  <c r="XEX986" i="3"/>
  <c r="XEV987" i="3"/>
  <c r="XEX987" i="3"/>
  <c r="XEV988" i="3"/>
  <c r="XEX988" i="3"/>
  <c r="XEV989" i="3"/>
  <c r="XEX989" i="3"/>
  <c r="XEV990" i="3"/>
  <c r="XEX990" i="3"/>
  <c r="XEV991" i="3"/>
  <c r="XEX991" i="3"/>
  <c r="XEV992" i="3"/>
  <c r="XEX992" i="3"/>
  <c r="XEV993" i="3"/>
  <c r="XEX993" i="3"/>
  <c r="XEV994" i="3"/>
  <c r="XEX994" i="3"/>
  <c r="XEV995" i="3"/>
  <c r="XEX995" i="3"/>
  <c r="XEV996" i="3"/>
  <c r="XEX996" i="3"/>
  <c r="XEV997" i="3"/>
  <c r="XEX997" i="3"/>
  <c r="XEV998" i="3"/>
  <c r="XEX998" i="3"/>
  <c r="XEV999" i="3"/>
  <c r="XEX999" i="3"/>
  <c r="XEV1000" i="3"/>
  <c r="XEX1000" i="3"/>
  <c r="XEV1001" i="3"/>
  <c r="XEX1001" i="3"/>
  <c r="XEV1002" i="3"/>
  <c r="XEX1002" i="3"/>
  <c r="XEV1003" i="3"/>
  <c r="XEX1003" i="3"/>
  <c r="XEV1004" i="3"/>
  <c r="XEX1004" i="3"/>
  <c r="XEV1005" i="3"/>
  <c r="XEX1005" i="3"/>
  <c r="XEV1006" i="3"/>
  <c r="XEX1006" i="3"/>
  <c r="XEV1007" i="3"/>
  <c r="XEX1007" i="3"/>
  <c r="XEV1008" i="3"/>
  <c r="XEX1008" i="3"/>
  <c r="XEV1009" i="3"/>
  <c r="XEX1009" i="3"/>
  <c r="XEV1010" i="3"/>
  <c r="XEX1010" i="3"/>
  <c r="XEV1011" i="3"/>
  <c r="XEX1011" i="3"/>
  <c r="XEV1012" i="3"/>
  <c r="XEX1012" i="3"/>
  <c r="XEV1013" i="3"/>
  <c r="XEX1013" i="3"/>
  <c r="XEV1014" i="3"/>
  <c r="XEX1014" i="3"/>
  <c r="XEV1015" i="3"/>
  <c r="XEX1015" i="3"/>
  <c r="XEV1016" i="3"/>
  <c r="XEX1016" i="3"/>
  <c r="XEV1017" i="3"/>
  <c r="XEX1017" i="3"/>
  <c r="XEV1018" i="3"/>
  <c r="XEX1018" i="3"/>
  <c r="XEV1019" i="3"/>
  <c r="XEX1019" i="3"/>
  <c r="XEV1020" i="3"/>
  <c r="XEX1020" i="3"/>
  <c r="XEV1021" i="3"/>
  <c r="XEX1021" i="3"/>
  <c r="XEV1022" i="3"/>
  <c r="XEX1022" i="3"/>
  <c r="XEV1023" i="3"/>
  <c r="XEX1023" i="3"/>
  <c r="XEV1024" i="3"/>
  <c r="XEX1024" i="3"/>
  <c r="XEV1025" i="3"/>
  <c r="XEX1025" i="3"/>
  <c r="XEV1026" i="3"/>
  <c r="XEX1026" i="3"/>
  <c r="XEV1027" i="3"/>
  <c r="XEX1027" i="3"/>
  <c r="XEV1028" i="3"/>
  <c r="XEX1028" i="3"/>
  <c r="XEV1029" i="3"/>
  <c r="XEX1029" i="3"/>
  <c r="XEV1030" i="3"/>
  <c r="XEX1030" i="3"/>
  <c r="XEV1031" i="3"/>
  <c r="XEX1031" i="3"/>
  <c r="XEV1032" i="3"/>
  <c r="XEX1032" i="3"/>
  <c r="XEV1033" i="3"/>
  <c r="XEX1033" i="3"/>
  <c r="XEV1034" i="3"/>
  <c r="XEX1034" i="3"/>
  <c r="XEV1035" i="3"/>
  <c r="XEX1035" i="3"/>
  <c r="XEV1036" i="3"/>
  <c r="XEX1036" i="3"/>
  <c r="XEV1037" i="3"/>
  <c r="XEX1037" i="3"/>
  <c r="XEV1038" i="3"/>
  <c r="XEX1038" i="3"/>
  <c r="XEV1039" i="3"/>
  <c r="XEX1039" i="3"/>
  <c r="XEV1040" i="3"/>
  <c r="XEX1040" i="3"/>
  <c r="XEV1041" i="3"/>
  <c r="XEX1041" i="3"/>
  <c r="XEV1042" i="3"/>
  <c r="XEX1042" i="3"/>
  <c r="XEV1043" i="3"/>
  <c r="XEX1043" i="3"/>
  <c r="XEV1044" i="3"/>
  <c r="XEX1044" i="3"/>
  <c r="XEV1045" i="3"/>
  <c r="XEX1045" i="3"/>
  <c r="XEV1046" i="3"/>
  <c r="XEX1046" i="3"/>
  <c r="XEV1047" i="3"/>
  <c r="XEX1047" i="3"/>
  <c r="XEV1048" i="3"/>
  <c r="XEX1048" i="3"/>
  <c r="XEV1049" i="3"/>
  <c r="XEX1049" i="3"/>
  <c r="XEV1050" i="3"/>
  <c r="XEX1050" i="3"/>
  <c r="XEV1051" i="3"/>
  <c r="XEX1051" i="3"/>
  <c r="XEV1052" i="3"/>
  <c r="XEX1052" i="3"/>
  <c r="XEV1053" i="3"/>
  <c r="XEX1053" i="3"/>
  <c r="XEV1054" i="3"/>
  <c r="XEX1054" i="3"/>
  <c r="XEV1055" i="3"/>
  <c r="XEX1055" i="3"/>
  <c r="XEV1056" i="3"/>
  <c r="XEX1056" i="3"/>
  <c r="XEV1057" i="3"/>
  <c r="XEX1057" i="3"/>
  <c r="XEV1058" i="3"/>
  <c r="XEX1058" i="3"/>
  <c r="XEV1059" i="3"/>
  <c r="XEX1059" i="3"/>
  <c r="XEV1060" i="3"/>
  <c r="XEX1060" i="3"/>
  <c r="XEV1061" i="3"/>
  <c r="XEX1061" i="3"/>
  <c r="XEV1062" i="3"/>
  <c r="XEX1062" i="3"/>
  <c r="XEV1063" i="3"/>
  <c r="XEX1063" i="3"/>
  <c r="XEV1064" i="3"/>
  <c r="XEX1064" i="3"/>
  <c r="XEV1065" i="3"/>
  <c r="XEX1065" i="3"/>
  <c r="XEV1066" i="3"/>
  <c r="XEX1066" i="3"/>
  <c r="XEV1067" i="3"/>
  <c r="XEX1067" i="3"/>
  <c r="XEV1068" i="3"/>
  <c r="XEX1068" i="3"/>
  <c r="XEV1069" i="3"/>
  <c r="XEX1069" i="3"/>
  <c r="XEV1070" i="3"/>
  <c r="XEX1070" i="3"/>
  <c r="XEV1071" i="3"/>
  <c r="XEX1071" i="3"/>
  <c r="XEV1072" i="3"/>
  <c r="XEX1072" i="3"/>
  <c r="XEV1073" i="3"/>
  <c r="XEX1073" i="3"/>
  <c r="XEV1074" i="3"/>
  <c r="XEX1074" i="3"/>
  <c r="XEV1075" i="3"/>
  <c r="XEX1075" i="3"/>
  <c r="XEV1076" i="3"/>
  <c r="XEX1076" i="3"/>
  <c r="XEV1077" i="3"/>
  <c r="XEX1077" i="3"/>
  <c r="XEV1078" i="3"/>
  <c r="XEX1078" i="3"/>
  <c r="XEV1079" i="3"/>
  <c r="XEX1079" i="3"/>
  <c r="XEV1080" i="3"/>
  <c r="XEX1080" i="3"/>
  <c r="XEV1081" i="3"/>
  <c r="XEX1081" i="3"/>
  <c r="XEV1082" i="3"/>
  <c r="XEX1082" i="3"/>
  <c r="XEV1083" i="3"/>
  <c r="XEX1083" i="3"/>
  <c r="XEV1084" i="3"/>
  <c r="XEX1084" i="3"/>
  <c r="XEV1085" i="3"/>
  <c r="XEX1085" i="3"/>
  <c r="XEV1086" i="3"/>
  <c r="XEX1086" i="3"/>
  <c r="XEV1087" i="3"/>
  <c r="XEX1087" i="3"/>
  <c r="XEV1088" i="3"/>
  <c r="XEX1088" i="3"/>
  <c r="XEV1089" i="3"/>
  <c r="XEX1089" i="3"/>
  <c r="XEV1090" i="3"/>
  <c r="XEX1090" i="3"/>
  <c r="XEV1091" i="3"/>
  <c r="XEX1091" i="3"/>
  <c r="XEV1092" i="3"/>
  <c r="XEX1092" i="3"/>
  <c r="XEV1093" i="3"/>
  <c r="XEX1093" i="3"/>
  <c r="XEV1094" i="3"/>
  <c r="XEX1094" i="3"/>
  <c r="XEV1095" i="3"/>
  <c r="XEX1095" i="3"/>
  <c r="XEV1096" i="3"/>
  <c r="XEX1096" i="3"/>
  <c r="XEV1097" i="3"/>
  <c r="XEX1097" i="3"/>
  <c r="XEV1098" i="3"/>
  <c r="XEX1098" i="3"/>
  <c r="XEV1099" i="3"/>
  <c r="XEX1099" i="3"/>
  <c r="XEV1100" i="3"/>
  <c r="XEX1100" i="3"/>
  <c r="XEV1101" i="3"/>
  <c r="XEX1101" i="3"/>
  <c r="XEV1102" i="3"/>
  <c r="XEX1102" i="3"/>
  <c r="XEV1103" i="3"/>
  <c r="XEX1103" i="3"/>
  <c r="XEV1104" i="3"/>
  <c r="XEX1104" i="3"/>
  <c r="XEV1105" i="3"/>
  <c r="XEX1105" i="3"/>
  <c r="XEV1106" i="3"/>
  <c r="XEX1106" i="3"/>
  <c r="XEV1107" i="3"/>
  <c r="XEX1107" i="3"/>
  <c r="XEV1108" i="3"/>
  <c r="XEX1108" i="3"/>
  <c r="XEV1109" i="3"/>
  <c r="XEX1109" i="3"/>
  <c r="XEV1110" i="3"/>
  <c r="XEX1110" i="3"/>
  <c r="XEV1111" i="3"/>
  <c r="XEX1111" i="3"/>
  <c r="XEV1112" i="3"/>
  <c r="XEX1112" i="3"/>
  <c r="XEV1113" i="3"/>
  <c r="XEX1113" i="3"/>
  <c r="XEV1114" i="3"/>
  <c r="XEX1114" i="3"/>
  <c r="XEV1115" i="3"/>
  <c r="XEX1115" i="3"/>
  <c r="XEV1116" i="3"/>
  <c r="XEX1116" i="3"/>
  <c r="XEV1117" i="3"/>
  <c r="XEX1117" i="3"/>
  <c r="XEV1118" i="3"/>
  <c r="XEX1118" i="3"/>
  <c r="XEV1119" i="3"/>
  <c r="XEX1119" i="3"/>
  <c r="XEV1120" i="3"/>
  <c r="XEX1120" i="3"/>
  <c r="XEV1121" i="3"/>
  <c r="XEX1121" i="3"/>
  <c r="XEV1122" i="3"/>
  <c r="XEX1122" i="3"/>
  <c r="XEV1123" i="3"/>
  <c r="XEX1123" i="3"/>
  <c r="XEV1124" i="3"/>
  <c r="XEX1124" i="3"/>
  <c r="XEV1125" i="3"/>
  <c r="XEX1125" i="3"/>
  <c r="XEV1126" i="3"/>
  <c r="XEX1126" i="3"/>
  <c r="XEV1127" i="3"/>
  <c r="XEX1127" i="3"/>
  <c r="XEV1128" i="3"/>
  <c r="XEX1128" i="3"/>
  <c r="XEV1129" i="3"/>
  <c r="XEX1129" i="3"/>
  <c r="XEV1130" i="3"/>
  <c r="XEX1130" i="3"/>
  <c r="XEV1131" i="3"/>
  <c r="XEX1131" i="3"/>
  <c r="XEV1132" i="3"/>
  <c r="XEX1132" i="3"/>
  <c r="XEV1133" i="3"/>
  <c r="XEX1133" i="3"/>
  <c r="XEV1134" i="3"/>
  <c r="XEX1134" i="3"/>
  <c r="XEV1135" i="3"/>
  <c r="XEX1135" i="3"/>
  <c r="XEV1136" i="3"/>
  <c r="XEX1136" i="3"/>
  <c r="XEV1137" i="3"/>
  <c r="XEX1137" i="3"/>
  <c r="XEV1138" i="3"/>
  <c r="XEX1138" i="3"/>
  <c r="XEV1139" i="3"/>
  <c r="XEX1139" i="3"/>
  <c r="XEV1140" i="3"/>
  <c r="XEX1140" i="3"/>
  <c r="XEV1141" i="3"/>
  <c r="XEX1141" i="3"/>
  <c r="XEV1142" i="3"/>
  <c r="XEX1142" i="3"/>
  <c r="XEV1143" i="3"/>
  <c r="XEX1143" i="3"/>
  <c r="XEV1144" i="3"/>
  <c r="XEX1144" i="3"/>
  <c r="XEV1145" i="3"/>
  <c r="XEX1145" i="3"/>
  <c r="XEV1146" i="3"/>
  <c r="XEX1146" i="3"/>
  <c r="XEV1147" i="3"/>
  <c r="XEX1147" i="3"/>
  <c r="XEV1148" i="3"/>
  <c r="XEX1148" i="3"/>
  <c r="XEV1149" i="3"/>
  <c r="XEX1149" i="3"/>
  <c r="XEV1150" i="3"/>
  <c r="XEX1150" i="3"/>
  <c r="XEV1151" i="3"/>
  <c r="XEX1151" i="3"/>
  <c r="XEV1152" i="3"/>
  <c r="XEX1152" i="3"/>
  <c r="XEV1153" i="3"/>
  <c r="XEX1153" i="3"/>
  <c r="XEV1154" i="3"/>
  <c r="XEX1154" i="3"/>
  <c r="XEV1155" i="3"/>
  <c r="XEX1155" i="3"/>
  <c r="XEV1156" i="3"/>
  <c r="XEX1156" i="3"/>
  <c r="XEV1157" i="3"/>
  <c r="XEX1157" i="3"/>
  <c r="XEV1158" i="3"/>
  <c r="XEX1158" i="3"/>
  <c r="XEV1159" i="3"/>
  <c r="XEX1159" i="3"/>
  <c r="XEV1160" i="3"/>
  <c r="XEX1160" i="3"/>
  <c r="XEV1161" i="3"/>
  <c r="XEX1161" i="3"/>
  <c r="XEV1162" i="3"/>
  <c r="XEX1162" i="3"/>
  <c r="XEV1163" i="3"/>
  <c r="XEX1163" i="3"/>
  <c r="XEV1164" i="3"/>
  <c r="XEX1164" i="3"/>
  <c r="XEV1165" i="3"/>
  <c r="XEX1165" i="3"/>
  <c r="XEV1166" i="3"/>
  <c r="XEX1166" i="3"/>
  <c r="XEV1167" i="3"/>
  <c r="XEX1167" i="3"/>
  <c r="XEV1168" i="3"/>
  <c r="XEX1168" i="3"/>
  <c r="XEV1169" i="3"/>
  <c r="XEX1169" i="3"/>
  <c r="XEV1170" i="3"/>
  <c r="XEX1170" i="3"/>
  <c r="XEV1171" i="3"/>
  <c r="XEX1171" i="3"/>
  <c r="XEV1172" i="3"/>
  <c r="XEX1172" i="3"/>
  <c r="XEV1173" i="3"/>
  <c r="XEX1173" i="3"/>
  <c r="XEV1174" i="3"/>
  <c r="XEX1174" i="3"/>
  <c r="XEV1175" i="3"/>
  <c r="XEX1175" i="3"/>
  <c r="XEV1176" i="3"/>
  <c r="XEX1176" i="3"/>
  <c r="XEV1177" i="3"/>
  <c r="XEX1177" i="3"/>
  <c r="XEV1178" i="3"/>
  <c r="XEX1178" i="3"/>
  <c r="XEV1179" i="3"/>
  <c r="XEX1179" i="3"/>
  <c r="XEV1180" i="3"/>
  <c r="XEX1180" i="3"/>
  <c r="XEV1181" i="3"/>
  <c r="XEX1181" i="3"/>
  <c r="XEV1182" i="3"/>
  <c r="XEX1182" i="3"/>
  <c r="XEV1183" i="3"/>
  <c r="XEX1183" i="3"/>
  <c r="XEV1184" i="3"/>
  <c r="XEX1184" i="3"/>
  <c r="XEV1185" i="3"/>
  <c r="XEX1185" i="3"/>
  <c r="XEV1186" i="3"/>
  <c r="XEX1186" i="3"/>
  <c r="XEV1187" i="3"/>
  <c r="XEX1187" i="3"/>
  <c r="XEV1188" i="3"/>
  <c r="XEX1188" i="3"/>
  <c r="XEV1189" i="3"/>
  <c r="XEX1189" i="3"/>
  <c r="XEV1190" i="3"/>
  <c r="XEX1190" i="3"/>
  <c r="XEV1191" i="3"/>
  <c r="XEX1191" i="3"/>
  <c r="XEV1192" i="3"/>
  <c r="XEX1192" i="3"/>
  <c r="XEV1193" i="3"/>
  <c r="XEX1193" i="3"/>
  <c r="XEV1194" i="3"/>
  <c r="XEX1194" i="3"/>
  <c r="XEV1195" i="3"/>
  <c r="XEX1195" i="3"/>
  <c r="XEV1196" i="3"/>
  <c r="XEX1196" i="3"/>
  <c r="XEV1197" i="3"/>
  <c r="XEX1197" i="3"/>
  <c r="XEV1198" i="3"/>
  <c r="XEX1198" i="3"/>
  <c r="XEV1199" i="3"/>
  <c r="XEX1199" i="3"/>
  <c r="XEV1200" i="3"/>
  <c r="XEX1200" i="3"/>
  <c r="XEV1201" i="3"/>
  <c r="XEX1201" i="3"/>
  <c r="XEV1202" i="3"/>
  <c r="XEX1202" i="3"/>
  <c r="XEV1203" i="3"/>
  <c r="XEX1203" i="3"/>
  <c r="XEV1204" i="3"/>
  <c r="XEX1204" i="3"/>
  <c r="XEV1205" i="3"/>
  <c r="XEX1205" i="3"/>
  <c r="XEV1206" i="3"/>
  <c r="XEX1206" i="3"/>
  <c r="XEV1207" i="3"/>
  <c r="XEX1207" i="3"/>
  <c r="XEV1208" i="3"/>
  <c r="XEX1208" i="3"/>
  <c r="XEV1209" i="3"/>
  <c r="XEX1209" i="3"/>
  <c r="XEV1210" i="3"/>
  <c r="XEX1210" i="3"/>
  <c r="XEV1211" i="3"/>
  <c r="XEX1211" i="3"/>
  <c r="XEV1212" i="3"/>
  <c r="XEX1212" i="3"/>
  <c r="XEV1213" i="3"/>
  <c r="XEX1213" i="3"/>
  <c r="XEV1214" i="3"/>
  <c r="XEX1214" i="3"/>
  <c r="XEV1215" i="3"/>
  <c r="XEX1215" i="3"/>
  <c r="XEV1216" i="3"/>
  <c r="XEX1216" i="3"/>
  <c r="XEV1217" i="3"/>
  <c r="XEX1217" i="3"/>
  <c r="XEV1218" i="3"/>
  <c r="XEX1218" i="3"/>
  <c r="XEV1219" i="3"/>
  <c r="XEX1219" i="3"/>
  <c r="XEV1220" i="3"/>
  <c r="XEX1220" i="3"/>
  <c r="XEV1221" i="3"/>
  <c r="XEX1221" i="3"/>
  <c r="XEV1222" i="3"/>
  <c r="XEX1222" i="3"/>
  <c r="XEV1223" i="3"/>
  <c r="XEX1223" i="3"/>
  <c r="XEV1224" i="3"/>
  <c r="XEX1224" i="3"/>
  <c r="XEV1225" i="3"/>
  <c r="XEX1225" i="3"/>
  <c r="XEV1226" i="3"/>
  <c r="XEX1226" i="3"/>
  <c r="XEV1227" i="3"/>
  <c r="XEX1227" i="3"/>
  <c r="XEV1228" i="3"/>
  <c r="XEX1228" i="3"/>
  <c r="XEV1229" i="3"/>
  <c r="XEX1229" i="3"/>
  <c r="XEV1230" i="3"/>
  <c r="XEX1230" i="3"/>
  <c r="XEV1231" i="3"/>
  <c r="XEX1231" i="3"/>
  <c r="XEV1232" i="3"/>
  <c r="XEX1232" i="3"/>
  <c r="XEV1233" i="3"/>
  <c r="XEX1233" i="3"/>
  <c r="XEV1234" i="3"/>
  <c r="XEX1234" i="3"/>
  <c r="XEV1235" i="3"/>
  <c r="XEX1235" i="3"/>
  <c r="XEV1236" i="3"/>
  <c r="XEX1236" i="3"/>
  <c r="XEV1237" i="3"/>
  <c r="XEX1237" i="3"/>
  <c r="XEV1238" i="3"/>
  <c r="XEX1238" i="3"/>
  <c r="XEV1239" i="3"/>
  <c r="XEX1239" i="3"/>
  <c r="XEV1240" i="3"/>
  <c r="XEX1240" i="3"/>
  <c r="XEV1241" i="3"/>
  <c r="XEX1241" i="3"/>
  <c r="XEV1242" i="3"/>
  <c r="XEX1242" i="3"/>
  <c r="XEV1243" i="3"/>
  <c r="XEX1243" i="3"/>
  <c r="XEV1244" i="3"/>
  <c r="XEX1244" i="3"/>
  <c r="XEV1245" i="3"/>
  <c r="XEX1245" i="3"/>
  <c r="XEV1246" i="3"/>
  <c r="XEX1246" i="3"/>
  <c r="XEV1247" i="3"/>
  <c r="XEX1247" i="3"/>
  <c r="XEV1248" i="3"/>
  <c r="XEX1248" i="3"/>
  <c r="XEV1249" i="3"/>
  <c r="XEX1249" i="3"/>
  <c r="XEV1250" i="3"/>
  <c r="XEX1250" i="3"/>
  <c r="XEV1251" i="3"/>
  <c r="XEX1251" i="3"/>
  <c r="XEV1252" i="3"/>
  <c r="XEX1252" i="3"/>
  <c r="XEV1253" i="3"/>
  <c r="XEX1253" i="3"/>
  <c r="XEV1254" i="3"/>
  <c r="XEX1254" i="3"/>
  <c r="XEV1255" i="3"/>
  <c r="XEX1255" i="3"/>
  <c r="XEV1256" i="3"/>
  <c r="XEX1256" i="3"/>
  <c r="XEV1257" i="3"/>
  <c r="XEX1257" i="3"/>
  <c r="XEV1258" i="3"/>
  <c r="XEX1258" i="3"/>
  <c r="XEV1259" i="3"/>
  <c r="XEX1259" i="3"/>
  <c r="XEV1260" i="3"/>
  <c r="XEX1260" i="3"/>
  <c r="XEV1261" i="3"/>
  <c r="XEX1261" i="3"/>
  <c r="XEV1262" i="3"/>
  <c r="XEX1262" i="3"/>
  <c r="XEV1263" i="3"/>
  <c r="XEX1263" i="3"/>
  <c r="XEV1264" i="3"/>
  <c r="XEX1264" i="3"/>
  <c r="XEV1265" i="3"/>
  <c r="XEX1265" i="3"/>
  <c r="XEV1266" i="3"/>
  <c r="XEX1266" i="3"/>
  <c r="XEV1267" i="3"/>
  <c r="XEX1267" i="3"/>
  <c r="XEV1268" i="3"/>
  <c r="XEX1268" i="3"/>
  <c r="XEV1269" i="3"/>
  <c r="XEX1269" i="3"/>
  <c r="XEV1270" i="3"/>
  <c r="XEX1270" i="3"/>
  <c r="XEV1271" i="3"/>
  <c r="XEX1271" i="3"/>
  <c r="XEV1272" i="3"/>
  <c r="XEX1272" i="3"/>
  <c r="XEV1273" i="3"/>
  <c r="XEX1273" i="3"/>
  <c r="XEV1274" i="3"/>
  <c r="XEX1274" i="3"/>
  <c r="XEV1275" i="3"/>
  <c r="XEX1275" i="3"/>
  <c r="XEV1276" i="3"/>
  <c r="XEX1276" i="3"/>
  <c r="XEV1277" i="3"/>
  <c r="XEX1277" i="3"/>
  <c r="XEV1278" i="3"/>
  <c r="XEX1278" i="3"/>
  <c r="XEV1279" i="3"/>
  <c r="XEX1279" i="3"/>
  <c r="XEV1280" i="3"/>
  <c r="XEX1280" i="3"/>
  <c r="XEV1281" i="3"/>
  <c r="XEX1281" i="3"/>
  <c r="XEV1282" i="3"/>
  <c r="XEX1282" i="3"/>
  <c r="XEV1283" i="3"/>
  <c r="XEX1283" i="3"/>
  <c r="XEV1284" i="3"/>
  <c r="XEX1284" i="3"/>
  <c r="XEV1285" i="3"/>
  <c r="XEX1285" i="3"/>
  <c r="XEV1286" i="3"/>
  <c r="XEX1286" i="3"/>
  <c r="XEV1287" i="3"/>
  <c r="XEX1287" i="3"/>
  <c r="XEV1288" i="3"/>
  <c r="XEX1288" i="3"/>
  <c r="XEV1289" i="3"/>
  <c r="XEX1289" i="3"/>
  <c r="XEV1290" i="3"/>
  <c r="XEX1290" i="3"/>
  <c r="XEV1291" i="3"/>
  <c r="XEX1291" i="3"/>
  <c r="XEV1292" i="3"/>
  <c r="XEX1292" i="3"/>
  <c r="XEV1293" i="3"/>
  <c r="XEX1293" i="3"/>
  <c r="XEV1294" i="3"/>
  <c r="XEX1294" i="3"/>
  <c r="XEV1295" i="3"/>
  <c r="XEX1295" i="3"/>
  <c r="XEV1296" i="3"/>
  <c r="XEX1296" i="3"/>
  <c r="XEV1297" i="3"/>
  <c r="XEX1297" i="3"/>
  <c r="XEV1298" i="3"/>
  <c r="XEX1298" i="3"/>
  <c r="XEV1299" i="3"/>
  <c r="XEX1299" i="3"/>
  <c r="XEV1300" i="3"/>
  <c r="XEX1300" i="3"/>
  <c r="XEV1301" i="3"/>
  <c r="XEX1301" i="3"/>
  <c r="XEV1302" i="3"/>
  <c r="XEX1302" i="3"/>
  <c r="XEV1303" i="3"/>
  <c r="XEX1303" i="3"/>
  <c r="XEV1304" i="3"/>
  <c r="XEX1304" i="3"/>
  <c r="XEV1305" i="3"/>
  <c r="XEX1305" i="3"/>
  <c r="XEV1306" i="3"/>
  <c r="XEX1306" i="3"/>
  <c r="XEV1307" i="3"/>
  <c r="XEX1307" i="3"/>
  <c r="XEV1308" i="3"/>
  <c r="XEX1308" i="3"/>
  <c r="XEV1309" i="3"/>
  <c r="XEX1309" i="3"/>
  <c r="XEV1310" i="3"/>
  <c r="XEX1310" i="3"/>
  <c r="XEV1311" i="3"/>
  <c r="XEX1311" i="3"/>
  <c r="XEV1312" i="3"/>
  <c r="XEX1312" i="3"/>
  <c r="XEV1313" i="3"/>
  <c r="XEX1313" i="3"/>
  <c r="XEV1314" i="3"/>
  <c r="XEX1314" i="3"/>
  <c r="XEV1315" i="3"/>
  <c r="XEX1315" i="3"/>
  <c r="XEV1316" i="3"/>
  <c r="XEX1316" i="3"/>
  <c r="XEV1317" i="3"/>
  <c r="XEX1317" i="3"/>
  <c r="XEV1318" i="3"/>
  <c r="XEX1318" i="3"/>
  <c r="XEV1319" i="3"/>
  <c r="XEX1319" i="3"/>
  <c r="XEV1320" i="3"/>
  <c r="XEX1320" i="3"/>
  <c r="XEV1321" i="3"/>
  <c r="XEX1321" i="3"/>
  <c r="XEV1322" i="3"/>
  <c r="XEX1322" i="3"/>
  <c r="XEV1323" i="3"/>
  <c r="XEX1323" i="3"/>
  <c r="XEV1324" i="3"/>
  <c r="XEX1324" i="3"/>
  <c r="XEV1325" i="3"/>
  <c r="XEX1325" i="3"/>
  <c r="XEV1326" i="3"/>
  <c r="XEX1326" i="3"/>
  <c r="XEV1327" i="3"/>
  <c r="XEX1327" i="3"/>
  <c r="XEV1328" i="3"/>
  <c r="XEX1328" i="3"/>
  <c r="XEV1329" i="3"/>
  <c r="XEX1329" i="3"/>
  <c r="XEV1330" i="3"/>
  <c r="XEX1330" i="3"/>
  <c r="XEV1331" i="3"/>
  <c r="XEX1331" i="3"/>
  <c r="XEV1332" i="3"/>
  <c r="XEX1332" i="3"/>
  <c r="XEV1333" i="3"/>
  <c r="XEX1333" i="3"/>
  <c r="XEV1334" i="3"/>
  <c r="XEX1334" i="3"/>
  <c r="XEV1335" i="3"/>
  <c r="XEX1335" i="3"/>
  <c r="XEV1336" i="3"/>
  <c r="XEX1336" i="3"/>
  <c r="XEV1337" i="3"/>
  <c r="XEX1337" i="3"/>
  <c r="XEV1338" i="3"/>
  <c r="XEX1338" i="3"/>
  <c r="XEV1339" i="3"/>
  <c r="XEX1339" i="3"/>
  <c r="XEV1340" i="3"/>
  <c r="XEX1340" i="3"/>
  <c r="XEV1341" i="3"/>
  <c r="XEX1341" i="3"/>
  <c r="XEV1342" i="3"/>
  <c r="XEX1342" i="3"/>
  <c r="XEV1343" i="3"/>
  <c r="XEX1343" i="3"/>
  <c r="XEV1344" i="3"/>
  <c r="XEX1344" i="3"/>
  <c r="XEV1345" i="3"/>
  <c r="XEX1345" i="3"/>
  <c r="XEV1346" i="3"/>
  <c r="XEX1346" i="3"/>
  <c r="XEV1347" i="3"/>
  <c r="XEX1347" i="3"/>
  <c r="XEV1348" i="3"/>
  <c r="XEX1348" i="3"/>
  <c r="XEV1349" i="3"/>
  <c r="XEX1349" i="3"/>
  <c r="XEV1350" i="3"/>
  <c r="XEX1350" i="3"/>
  <c r="XEV1351" i="3"/>
  <c r="XEX1351" i="3"/>
  <c r="XEV1352" i="3"/>
  <c r="XEX1352" i="3"/>
  <c r="XEV1353" i="3"/>
  <c r="XEX1353" i="3"/>
  <c r="XEV1354" i="3"/>
  <c r="XEX1354" i="3"/>
  <c r="XEV1355" i="3"/>
  <c r="XEX1355" i="3"/>
  <c r="XEV1356" i="3"/>
  <c r="XEX1356" i="3"/>
  <c r="XEV1357" i="3"/>
  <c r="XEX1357" i="3"/>
  <c r="XEV1358" i="3"/>
  <c r="XEX1358" i="3"/>
  <c r="XEV1359" i="3"/>
  <c r="XEX1359" i="3"/>
  <c r="XEV1360" i="3"/>
  <c r="XEX1360" i="3"/>
  <c r="XEV1361" i="3"/>
  <c r="XEX1361" i="3"/>
  <c r="XEV1362" i="3"/>
  <c r="XEX1362" i="3"/>
  <c r="XEV1363" i="3"/>
  <c r="XEX1363" i="3"/>
  <c r="XEV1364" i="3"/>
  <c r="XEX1364" i="3"/>
  <c r="XEV1365" i="3"/>
  <c r="XEX1365" i="3"/>
  <c r="XEV1366" i="3"/>
  <c r="XEX1366" i="3"/>
  <c r="XEV1367" i="3"/>
  <c r="XEX1367" i="3"/>
  <c r="XEV1368" i="3"/>
  <c r="XEX1368" i="3"/>
  <c r="XEV1369" i="3"/>
  <c r="XEX1369" i="3"/>
  <c r="XEV1370" i="3"/>
  <c r="XEX1370" i="3"/>
  <c r="XEV1371" i="3"/>
  <c r="XEX1371" i="3"/>
  <c r="XEV1372" i="3"/>
  <c r="XEX1372" i="3"/>
  <c r="XEV1373" i="3"/>
  <c r="XEX1373" i="3"/>
  <c r="XEV1374" i="3"/>
  <c r="XEX1374" i="3"/>
  <c r="XEV1375" i="3"/>
  <c r="XEX1375" i="3"/>
  <c r="XEV1376" i="3"/>
  <c r="XEX1376" i="3"/>
  <c r="XEV1377" i="3"/>
  <c r="XEX1377" i="3"/>
  <c r="XEV1378" i="3"/>
  <c r="XEX1378" i="3"/>
  <c r="XEV1379" i="3"/>
  <c r="XEX1379" i="3"/>
  <c r="XEV1380" i="3"/>
  <c r="XEX1380" i="3"/>
  <c r="XEV1381" i="3"/>
  <c r="XEX1381" i="3"/>
  <c r="XEV1382" i="3"/>
  <c r="XEX1382" i="3"/>
  <c r="XEV1383" i="3"/>
  <c r="XEX1383" i="3"/>
  <c r="XEV1384" i="3"/>
  <c r="XEX1384" i="3"/>
  <c r="XEV1385" i="3"/>
  <c r="XEX1385" i="3"/>
  <c r="XEV1386" i="3"/>
  <c r="XEX1386" i="3"/>
  <c r="XEV1387" i="3"/>
  <c r="XEX1387" i="3"/>
  <c r="XEV1388" i="3"/>
  <c r="XEX1388" i="3"/>
  <c r="XEV1389" i="3"/>
  <c r="XEX1389" i="3"/>
  <c r="XEV1390" i="3"/>
  <c r="XEX1390" i="3"/>
  <c r="XEV1391" i="3"/>
  <c r="XEX1391" i="3"/>
  <c r="XEV1392" i="3"/>
  <c r="XEX1392" i="3"/>
  <c r="XEV1393" i="3"/>
  <c r="XEX1393" i="3"/>
  <c r="XEV1394" i="3"/>
  <c r="XEX1394" i="3"/>
  <c r="XEV1395" i="3"/>
  <c r="XEX1395" i="3"/>
  <c r="XEV1396" i="3"/>
  <c r="XEX1396" i="3"/>
  <c r="XEV1397" i="3"/>
  <c r="XEX1397" i="3"/>
  <c r="XEV1398" i="3"/>
  <c r="XEX1398" i="3"/>
  <c r="XEV1399" i="3"/>
  <c r="XEX1399" i="3"/>
  <c r="XEV1400" i="3"/>
  <c r="XEX1400" i="3"/>
  <c r="XEV1401" i="3"/>
  <c r="XEX1401" i="3"/>
  <c r="XEV1402" i="3"/>
  <c r="XEX1402" i="3"/>
  <c r="XEV1403" i="3"/>
  <c r="XEX1403" i="3"/>
  <c r="XEV1404" i="3"/>
  <c r="XEX1404" i="3"/>
  <c r="XEV1405" i="3"/>
  <c r="XEX1405" i="3"/>
  <c r="XEV1406" i="3"/>
  <c r="XEX1406" i="3"/>
  <c r="XEV1407" i="3"/>
  <c r="XEX1407" i="3"/>
  <c r="XEV1408" i="3"/>
  <c r="XEX1408" i="3"/>
  <c r="XEV1409" i="3"/>
  <c r="XEX1409" i="3"/>
  <c r="XEV1410" i="3"/>
  <c r="XEX1410" i="3"/>
  <c r="XEV1411" i="3"/>
  <c r="XEX1411" i="3"/>
  <c r="XEV1412" i="3"/>
  <c r="XEX1412" i="3"/>
  <c r="XEV1413" i="3"/>
  <c r="XEX1413" i="3"/>
  <c r="XEV1414" i="3"/>
  <c r="XEX1414" i="3"/>
  <c r="XEV1415" i="3"/>
  <c r="XEX1415" i="3"/>
  <c r="XEV1416" i="3"/>
  <c r="XEX1416" i="3"/>
  <c r="XEV1417" i="3"/>
  <c r="XEX1417" i="3"/>
  <c r="XEV1418" i="3"/>
  <c r="XEX1418" i="3"/>
  <c r="XEV1419" i="3"/>
  <c r="XEX1419" i="3"/>
  <c r="XEV1420" i="3"/>
  <c r="XEX1420" i="3"/>
  <c r="XEV1421" i="3"/>
  <c r="XEX1421" i="3"/>
  <c r="XEV1422" i="3"/>
  <c r="XEX1422" i="3"/>
  <c r="XEV1423" i="3"/>
  <c r="XEX1423" i="3"/>
  <c r="XEV1424" i="3"/>
  <c r="XEX1424" i="3"/>
  <c r="XEV1425" i="3"/>
  <c r="XEX1425" i="3"/>
  <c r="XEV1426" i="3"/>
  <c r="XEX1426" i="3"/>
  <c r="XEV1427" i="3"/>
  <c r="XEX1427" i="3"/>
  <c r="XEV1428" i="3"/>
  <c r="XEX1428" i="3"/>
  <c r="XEV1429" i="3"/>
  <c r="XEX1429" i="3"/>
  <c r="XEV1430" i="3"/>
  <c r="XEX1430" i="3"/>
  <c r="XEV1431" i="3"/>
  <c r="XEX1431" i="3"/>
  <c r="XEV1432" i="3"/>
  <c r="XEX1432" i="3"/>
  <c r="XEV1433" i="3"/>
  <c r="XEX1433" i="3"/>
  <c r="XEV1434" i="3"/>
  <c r="XEX1434" i="3"/>
  <c r="XEV1435" i="3"/>
  <c r="XEX1435" i="3"/>
  <c r="XEV1436" i="3"/>
  <c r="XEX1436" i="3"/>
  <c r="XEV1437" i="3"/>
  <c r="XEX1437" i="3"/>
  <c r="XEV1438" i="3"/>
  <c r="XEX1438" i="3"/>
  <c r="XEV1439" i="3"/>
  <c r="XEX1439" i="3"/>
  <c r="XEV1440" i="3"/>
  <c r="XEX1440" i="3"/>
  <c r="XEV1441" i="3"/>
  <c r="XEX1441" i="3"/>
  <c r="XEV1442" i="3"/>
  <c r="XEX1442" i="3"/>
  <c r="XEV1443" i="3"/>
  <c r="XEX1443" i="3"/>
  <c r="XEV1444" i="3"/>
  <c r="XEX1444" i="3"/>
  <c r="XEV1445" i="3"/>
  <c r="XEX1445" i="3"/>
  <c r="XEV1446" i="3"/>
  <c r="XEX1446" i="3"/>
  <c r="XEV1447" i="3"/>
  <c r="XEX1447" i="3"/>
  <c r="XEV1448" i="3"/>
  <c r="XEX1448" i="3"/>
  <c r="XEV1449" i="3"/>
  <c r="XEX1449" i="3"/>
  <c r="XEV1450" i="3"/>
  <c r="XEX1450" i="3"/>
  <c r="XEV1451" i="3"/>
  <c r="XEX1451" i="3"/>
  <c r="XEV1452" i="3"/>
  <c r="XEX1452" i="3"/>
  <c r="XEV1453" i="3"/>
  <c r="XEX1453" i="3"/>
  <c r="XEV1454" i="3"/>
  <c r="XEX1454" i="3"/>
  <c r="XEV1455" i="3"/>
  <c r="XEX1455" i="3"/>
  <c r="XEV1456" i="3"/>
  <c r="XEX1456" i="3"/>
  <c r="XEV1457" i="3"/>
  <c r="XEX1457" i="3"/>
  <c r="XEV1458" i="3"/>
  <c r="XEX1458" i="3"/>
  <c r="XEV1459" i="3"/>
  <c r="XEX1459" i="3"/>
  <c r="XEV1460" i="3"/>
  <c r="XEX1460" i="3"/>
  <c r="XEV1461" i="3"/>
  <c r="XEX1461" i="3"/>
  <c r="XEV1462" i="3"/>
  <c r="XEX1462" i="3"/>
  <c r="XEV1463" i="3"/>
  <c r="XEX1463" i="3"/>
  <c r="XEV1464" i="3"/>
  <c r="XEX1464" i="3"/>
  <c r="XEV1465" i="3"/>
  <c r="XEX1465" i="3"/>
  <c r="XEV1466" i="3"/>
  <c r="XEX1466" i="3"/>
  <c r="XEV1467" i="3"/>
  <c r="XEX1467" i="3"/>
  <c r="XEV1468" i="3"/>
  <c r="XEX1468" i="3"/>
  <c r="XEV1469" i="3"/>
  <c r="XEX1469" i="3"/>
  <c r="XEV1470" i="3"/>
  <c r="XEX1470" i="3"/>
  <c r="XEV1471" i="3"/>
  <c r="XEX1471" i="3"/>
  <c r="XEV1472" i="3"/>
  <c r="XEX1472" i="3"/>
  <c r="XEV1473" i="3"/>
  <c r="XEX1473" i="3"/>
  <c r="XEV1474" i="3"/>
  <c r="XEX1474" i="3"/>
  <c r="XEV1475" i="3"/>
  <c r="XEX1475" i="3"/>
  <c r="XEV1476" i="3"/>
  <c r="XEX1476" i="3"/>
  <c r="XEV1477" i="3"/>
  <c r="XEX1477" i="3"/>
  <c r="XEV1478" i="3"/>
  <c r="XEX1478" i="3"/>
  <c r="XEV1479" i="3"/>
  <c r="XEX1479" i="3"/>
  <c r="XEV1480" i="3"/>
  <c r="XEX1480" i="3"/>
  <c r="XEV1481" i="3"/>
  <c r="XEX1481" i="3"/>
  <c r="XEV1482" i="3"/>
  <c r="XEX1482" i="3"/>
  <c r="XEV1483" i="3"/>
  <c r="XEX1483" i="3"/>
  <c r="XEV1484" i="3"/>
  <c r="XEX1484" i="3"/>
  <c r="XEV1485" i="3"/>
  <c r="XEX1485" i="3"/>
  <c r="XEV1486" i="3"/>
  <c r="XEX1486" i="3"/>
  <c r="XEV1487" i="3"/>
  <c r="XEX1487" i="3"/>
  <c r="XEV1488" i="3"/>
  <c r="XEX1488" i="3"/>
  <c r="XEV1489" i="3"/>
  <c r="XEX1489" i="3"/>
  <c r="XEV1490" i="3"/>
  <c r="XEX1490" i="3"/>
  <c r="XEV1491" i="3"/>
  <c r="XEX1491" i="3"/>
  <c r="XEV1492" i="3"/>
  <c r="XEX1492" i="3"/>
  <c r="XEV1493" i="3"/>
  <c r="XEX1493" i="3"/>
  <c r="XEV1494" i="3"/>
  <c r="XEX1494" i="3"/>
  <c r="XEV1495" i="3"/>
  <c r="XEX1495" i="3"/>
  <c r="XEV1496" i="3"/>
  <c r="XEX1496" i="3"/>
  <c r="XEV1497" i="3"/>
  <c r="XEX1497" i="3"/>
  <c r="XEV1498" i="3"/>
  <c r="XEX1498" i="3"/>
  <c r="XEV1499" i="3"/>
  <c r="XEX1499" i="3"/>
  <c r="XEV1500" i="3"/>
  <c r="XEX1500" i="3"/>
  <c r="XEV1501" i="3"/>
  <c r="XEX1501" i="3"/>
  <c r="XEV1502" i="3"/>
  <c r="XEX1502" i="3"/>
  <c r="XEV1503" i="3"/>
  <c r="XEX1503" i="3"/>
  <c r="XEV1504" i="3"/>
  <c r="XEX1504" i="3"/>
  <c r="XEV1505" i="3"/>
  <c r="XEX1505" i="3"/>
  <c r="XEV1506" i="3"/>
  <c r="XEX1506" i="3"/>
  <c r="XEV1507" i="3"/>
  <c r="XEX1507" i="3"/>
  <c r="XEV1508" i="3"/>
  <c r="XEX1508" i="3"/>
  <c r="XEV1509" i="3"/>
  <c r="XEX1509" i="3"/>
  <c r="XEV1510" i="3"/>
  <c r="XEX1510" i="3"/>
  <c r="XEV1511" i="3"/>
  <c r="XEX1511" i="3"/>
  <c r="XEV1512" i="3"/>
  <c r="XEX1512" i="3"/>
  <c r="XEV1513" i="3"/>
  <c r="XEX1513" i="3"/>
  <c r="XEV1514" i="3"/>
  <c r="XEX1514" i="3"/>
  <c r="XEV1515" i="3"/>
  <c r="XEX1515" i="3"/>
  <c r="XEV1516" i="3"/>
  <c r="XEX1516" i="3"/>
  <c r="XEV1517" i="3"/>
  <c r="XEX1517" i="3"/>
  <c r="XEV1518" i="3"/>
  <c r="XEX1518" i="3"/>
  <c r="XEV1519" i="3"/>
  <c r="XEX1519" i="3"/>
  <c r="XEV1520" i="3"/>
  <c r="XEX1520" i="3"/>
  <c r="XEV1521" i="3"/>
  <c r="XEX1521" i="3"/>
  <c r="XEV1522" i="3"/>
  <c r="XEX1522" i="3"/>
  <c r="XEV1523" i="3"/>
  <c r="XEX1523" i="3"/>
  <c r="XEV1524" i="3"/>
  <c r="XEX1524" i="3"/>
  <c r="XEV1525" i="3"/>
  <c r="XEX1525" i="3"/>
  <c r="XEV1526" i="3"/>
  <c r="XEX1526" i="3"/>
  <c r="XEV1527" i="3"/>
  <c r="XEX1527" i="3"/>
  <c r="XEV1528" i="3"/>
  <c r="XEX1528" i="3"/>
  <c r="XEV1529" i="3"/>
  <c r="XEX1529" i="3"/>
  <c r="XEV1530" i="3"/>
  <c r="XEX1530" i="3"/>
  <c r="XEV1531" i="3"/>
  <c r="XEX1531" i="3"/>
  <c r="XEV1532" i="3"/>
  <c r="XEX1532" i="3"/>
  <c r="XEV1533" i="3"/>
  <c r="XEX1533" i="3"/>
  <c r="XEV1534" i="3"/>
  <c r="XEX1534" i="3"/>
  <c r="XEV1535" i="3"/>
  <c r="XEX1535" i="3"/>
  <c r="XEV1536" i="3"/>
  <c r="XEX1536" i="3"/>
  <c r="XEV1537" i="3"/>
  <c r="XEX1537" i="3"/>
  <c r="XEV1538" i="3"/>
  <c r="XEX1538" i="3"/>
  <c r="XEV1539" i="3"/>
  <c r="XEX1539" i="3"/>
  <c r="XEV1540" i="3"/>
  <c r="XEX1540" i="3"/>
  <c r="XEV1541" i="3"/>
  <c r="XEX1541" i="3"/>
  <c r="XEV1542" i="3"/>
  <c r="XEX1542" i="3"/>
  <c r="XEV1543" i="3"/>
  <c r="XEX1543" i="3"/>
  <c r="XEV1544" i="3"/>
  <c r="XEX1544" i="3"/>
  <c r="XEV1545" i="3"/>
  <c r="XEX1545" i="3"/>
  <c r="XEV1546" i="3"/>
  <c r="XEX1546" i="3"/>
  <c r="XEV1547" i="3"/>
  <c r="XEX1547" i="3"/>
  <c r="XEV1548" i="3"/>
  <c r="XEX1548" i="3"/>
  <c r="XEV1549" i="3"/>
  <c r="XEX1549" i="3"/>
  <c r="XEV1550" i="3"/>
  <c r="XEX1550" i="3"/>
  <c r="XEV1551" i="3"/>
  <c r="XEX1551" i="3"/>
  <c r="XEV1552" i="3"/>
  <c r="XEX1552" i="3"/>
  <c r="XEV1553" i="3"/>
  <c r="XEX1553" i="3"/>
  <c r="XEV1554" i="3"/>
  <c r="XEX1554" i="3"/>
  <c r="XEV1555" i="3"/>
  <c r="XEX1555" i="3"/>
  <c r="XEV1556" i="3"/>
  <c r="XEX1556" i="3"/>
  <c r="XEV1557" i="3"/>
  <c r="XEX1557" i="3"/>
  <c r="XEV1558" i="3"/>
  <c r="XEX1558" i="3"/>
  <c r="XEV1559" i="3"/>
  <c r="XEX1559" i="3"/>
  <c r="XEV1560" i="3"/>
  <c r="XEX1560" i="3"/>
  <c r="XEV1561" i="3"/>
  <c r="XEX1561" i="3"/>
  <c r="XEV1562" i="3"/>
  <c r="XEX1562" i="3"/>
  <c r="XEV1563" i="3"/>
  <c r="XEX1563" i="3"/>
  <c r="XEV1564" i="3"/>
  <c r="XEX1564" i="3"/>
  <c r="XEV1565" i="3"/>
  <c r="XEX1565" i="3"/>
  <c r="XEV1566" i="3"/>
  <c r="XEX1566" i="3"/>
  <c r="XEV1567" i="3"/>
  <c r="XEX1567" i="3"/>
  <c r="XEV1568" i="3"/>
  <c r="XEX1568" i="3"/>
  <c r="XEV1569" i="3"/>
  <c r="XEX1569" i="3"/>
  <c r="XEV1570" i="3"/>
  <c r="XEX1570" i="3"/>
  <c r="XEV1571" i="3"/>
  <c r="XEX1571" i="3"/>
  <c r="XEV1572" i="3"/>
  <c r="XEX1572" i="3"/>
  <c r="XEV1573" i="3"/>
  <c r="XEX1573" i="3"/>
  <c r="XEV1574" i="3"/>
  <c r="XEX1574" i="3"/>
  <c r="XEV1575" i="3"/>
  <c r="XEX1575" i="3"/>
  <c r="XEV1576" i="3"/>
  <c r="XEX1576" i="3"/>
  <c r="XEV1577" i="3"/>
  <c r="XEX1577" i="3"/>
  <c r="XEV1578" i="3"/>
  <c r="XEX1578" i="3"/>
  <c r="XEV1579" i="3"/>
  <c r="XEX1579" i="3"/>
  <c r="XEV1580" i="3"/>
  <c r="XEX1580" i="3"/>
  <c r="XEV1581" i="3"/>
  <c r="XEX1581" i="3"/>
  <c r="XEV1582" i="3"/>
  <c r="XEX1582" i="3"/>
  <c r="XEV1583" i="3"/>
  <c r="XEX1583" i="3"/>
  <c r="XEV1584" i="3"/>
  <c r="XEX1584" i="3"/>
  <c r="XEV1585" i="3"/>
  <c r="XEX1585" i="3"/>
  <c r="XEV1586" i="3"/>
  <c r="XEX1586" i="3"/>
  <c r="XEV1587" i="3"/>
  <c r="XEX1587" i="3"/>
  <c r="XEV1588" i="3"/>
  <c r="XEX1588" i="3"/>
  <c r="XEV1589" i="3"/>
  <c r="XEX1589" i="3"/>
  <c r="XEV1590" i="3"/>
  <c r="XEX1590" i="3"/>
  <c r="XEV1591" i="3"/>
  <c r="XEX1591" i="3"/>
  <c r="XEV1592" i="3"/>
  <c r="XEX1592" i="3"/>
  <c r="XEV1593" i="3"/>
  <c r="XEX1593" i="3"/>
  <c r="XEV1594" i="3"/>
  <c r="XEX1594" i="3"/>
  <c r="XEV1595" i="3"/>
  <c r="XEX1595" i="3"/>
  <c r="XEV1596" i="3"/>
  <c r="XEX1596" i="3"/>
  <c r="XEV1597" i="3"/>
  <c r="XEX1597" i="3"/>
  <c r="XEV1598" i="3"/>
  <c r="XEX1598" i="3"/>
  <c r="XEV1599" i="3"/>
  <c r="XEX1599" i="3"/>
  <c r="XEV1600" i="3"/>
  <c r="XEX1600" i="3"/>
  <c r="XEV1601" i="3"/>
  <c r="XEX1601" i="3"/>
  <c r="XEV1602" i="3"/>
  <c r="XEX1602" i="3"/>
  <c r="XEV1603" i="3"/>
  <c r="XEX1603" i="3"/>
  <c r="XEV1604" i="3"/>
  <c r="XEX1604" i="3"/>
  <c r="XEV1605" i="3"/>
  <c r="XEX1605" i="3"/>
  <c r="XEV1606" i="3"/>
  <c r="XEX1606" i="3"/>
  <c r="XEV1607" i="3"/>
  <c r="XEX1607" i="3"/>
  <c r="XEV1608" i="3"/>
  <c r="XEX1608" i="3"/>
  <c r="XEV1609" i="3"/>
  <c r="XEX1609" i="3"/>
  <c r="XEV1610" i="3"/>
  <c r="XEX1610" i="3"/>
  <c r="XEV1611" i="3"/>
  <c r="XEX1611" i="3"/>
  <c r="XEV1612" i="3"/>
  <c r="XEX1612" i="3"/>
  <c r="XEV1613" i="3"/>
  <c r="XEX1613" i="3"/>
  <c r="XEV1614" i="3"/>
  <c r="XEX1614" i="3"/>
  <c r="XEV1615" i="3"/>
  <c r="XEX1615" i="3"/>
  <c r="XEV1616" i="3"/>
  <c r="XEX1616" i="3"/>
  <c r="XEV1617" i="3"/>
  <c r="XEX1617" i="3"/>
  <c r="XEV1618" i="3"/>
  <c r="XEX1618" i="3"/>
  <c r="XEV1619" i="3"/>
  <c r="XEX1619" i="3"/>
  <c r="XEV1620" i="3"/>
  <c r="XEX1620" i="3"/>
  <c r="XEV1621" i="3"/>
  <c r="XEX1621" i="3"/>
  <c r="XEV1622" i="3"/>
  <c r="XEX1622" i="3"/>
  <c r="XEV1623" i="3"/>
  <c r="XEX1623" i="3"/>
  <c r="XEV1624" i="3"/>
  <c r="XEX1624" i="3"/>
  <c r="XEV1625" i="3"/>
  <c r="XEX1625" i="3"/>
  <c r="XEV1626" i="3"/>
  <c r="XEX1626" i="3"/>
  <c r="XEV1627" i="3"/>
  <c r="XEX1627" i="3"/>
  <c r="XEV1628" i="3"/>
  <c r="XEX1628" i="3"/>
  <c r="XEV1629" i="3"/>
  <c r="XEX1629" i="3"/>
  <c r="XEV1630" i="3"/>
  <c r="XEX1630" i="3"/>
  <c r="XEV1631" i="3"/>
  <c r="XEX1631" i="3"/>
  <c r="XEV1632" i="3"/>
  <c r="XEX1632" i="3"/>
  <c r="XEV1633" i="3"/>
  <c r="XEX1633" i="3"/>
  <c r="XEV1634" i="3"/>
  <c r="XEX1634" i="3"/>
  <c r="XEV1635" i="3"/>
  <c r="XEX1635" i="3"/>
  <c r="XEV1636" i="3"/>
  <c r="XEX1636" i="3"/>
  <c r="XEV1637" i="3"/>
  <c r="XEX1637" i="3"/>
  <c r="XEV1638" i="3"/>
  <c r="XEX1638" i="3"/>
  <c r="XEV1639" i="3"/>
  <c r="XEX1639" i="3"/>
  <c r="XEV1640" i="3"/>
  <c r="XEX1640" i="3"/>
  <c r="XEV1641" i="3"/>
  <c r="XEX1641" i="3"/>
  <c r="XEV1642" i="3"/>
  <c r="XEX1642" i="3"/>
  <c r="XEV1643" i="3"/>
  <c r="XEX1643" i="3"/>
  <c r="XEV1644" i="3"/>
  <c r="XEX1644" i="3"/>
  <c r="XEV1645" i="3"/>
  <c r="XEX1645" i="3"/>
  <c r="XEV1646" i="3"/>
  <c r="XEX1646" i="3"/>
  <c r="XEV1647" i="3"/>
  <c r="XEX1647" i="3"/>
  <c r="XEV1648" i="3"/>
  <c r="XEX1648" i="3"/>
  <c r="XEV1649" i="3"/>
  <c r="XEX1649" i="3"/>
  <c r="XEV1650" i="3"/>
  <c r="XEX1650" i="3"/>
  <c r="XEV1651" i="3"/>
  <c r="XEX1651" i="3"/>
  <c r="XEV1652" i="3"/>
  <c r="XEX1652" i="3"/>
  <c r="XEV1653" i="3"/>
  <c r="XEX1653" i="3"/>
  <c r="XEV1654" i="3"/>
  <c r="XEX1654" i="3"/>
  <c r="XEV1655" i="3"/>
  <c r="XEX1655" i="3"/>
  <c r="XEV1656" i="3"/>
  <c r="XEX1656" i="3"/>
  <c r="XEV1657" i="3"/>
  <c r="XEX1657" i="3"/>
  <c r="XEV1658" i="3"/>
  <c r="XEX1658" i="3"/>
  <c r="XEV1659" i="3"/>
  <c r="XEX1659" i="3"/>
  <c r="XEV1660" i="3"/>
  <c r="XEX1660" i="3"/>
  <c r="XEV1661" i="3"/>
  <c r="XEX1661" i="3"/>
  <c r="XEV1662" i="3"/>
  <c r="XEX1662" i="3"/>
  <c r="XEV1663" i="3"/>
  <c r="XEX1663" i="3"/>
  <c r="XEV1664" i="3"/>
  <c r="XEX1664" i="3"/>
  <c r="XEV1665" i="3"/>
  <c r="XEX1665" i="3"/>
  <c r="XEV1666" i="3"/>
  <c r="XEX1666" i="3"/>
  <c r="XEV1667" i="3"/>
  <c r="XEX1667" i="3"/>
  <c r="XEV1668" i="3"/>
  <c r="XEX1668" i="3"/>
  <c r="XEV1669" i="3"/>
  <c r="XEX1669" i="3"/>
  <c r="XEV1670" i="3"/>
  <c r="XEX1670" i="3"/>
  <c r="XEV1671" i="3"/>
  <c r="XEX1671" i="3"/>
  <c r="XEV1672" i="3"/>
  <c r="XEX1672" i="3"/>
  <c r="XEV1673" i="3"/>
  <c r="XEX1673" i="3"/>
  <c r="XEV1674" i="3"/>
  <c r="XEX1674" i="3"/>
  <c r="XEV1675" i="3"/>
  <c r="XEX1675" i="3"/>
  <c r="XEV1676" i="3"/>
  <c r="XEX1676" i="3"/>
  <c r="XEV1677" i="3"/>
  <c r="XEX1677" i="3"/>
  <c r="XEV1678" i="3"/>
  <c r="XEX1678" i="3"/>
  <c r="XEV1679" i="3"/>
  <c r="XEX1679" i="3"/>
  <c r="XEV1680" i="3"/>
  <c r="XEX1680" i="3"/>
  <c r="XEV1681" i="3"/>
  <c r="XEX1681" i="3"/>
  <c r="XEV1682" i="3"/>
  <c r="XEX1682" i="3"/>
  <c r="XEV1683" i="3"/>
  <c r="XEX1683" i="3"/>
  <c r="XEV1684" i="3"/>
  <c r="XEX1684" i="3"/>
  <c r="XEV1685" i="3"/>
  <c r="XEX1685" i="3"/>
  <c r="XEV1686" i="3"/>
  <c r="XEX1686" i="3"/>
  <c r="XEV1687" i="3"/>
  <c r="XEX1687" i="3"/>
  <c r="XEV1688" i="3"/>
  <c r="XEX1688" i="3"/>
  <c r="XEV1689" i="3"/>
  <c r="XEX1689" i="3"/>
  <c r="XEV1690" i="3"/>
  <c r="XEX1690" i="3"/>
  <c r="XEV1691" i="3"/>
  <c r="XEX1691" i="3"/>
  <c r="XEV1692" i="3"/>
  <c r="XEX1692" i="3"/>
  <c r="XEV1693" i="3"/>
  <c r="XEX1693" i="3"/>
  <c r="XEV1694" i="3"/>
  <c r="XEX1694" i="3"/>
  <c r="XEV1695" i="3"/>
  <c r="XEX1695" i="3"/>
  <c r="XEV1696" i="3"/>
  <c r="XEX1696" i="3"/>
  <c r="XEV1697" i="3"/>
  <c r="XEX1697" i="3"/>
  <c r="XEV1698" i="3"/>
  <c r="XEX1698" i="3"/>
  <c r="XEV1699" i="3"/>
  <c r="XEX1699" i="3"/>
  <c r="XEV1700" i="3"/>
  <c r="XEX1700" i="3"/>
  <c r="XEV1701" i="3"/>
  <c r="XEX1701" i="3"/>
  <c r="XEV1702" i="3"/>
  <c r="XEX1702" i="3"/>
  <c r="XEV1703" i="3"/>
  <c r="XEX1703" i="3"/>
  <c r="XEV1704" i="3"/>
  <c r="XEX1704" i="3"/>
  <c r="XEV1705" i="3"/>
  <c r="XEX1705" i="3"/>
  <c r="XEV1706" i="3"/>
  <c r="XEX1706" i="3"/>
  <c r="XEV1707" i="3"/>
  <c r="XEX1707" i="3"/>
  <c r="XEV1708" i="3"/>
  <c r="XEX1708" i="3"/>
  <c r="XEV1709" i="3"/>
  <c r="XEX1709" i="3"/>
  <c r="XEV1710" i="3"/>
  <c r="XEX1710" i="3"/>
  <c r="XEV1711" i="3"/>
  <c r="XEX1711" i="3"/>
  <c r="XEV1712" i="3"/>
  <c r="XEX1712" i="3"/>
  <c r="XEV1713" i="3"/>
  <c r="XEX1713" i="3"/>
  <c r="XEV1714" i="3"/>
  <c r="XEX1714" i="3"/>
  <c r="XEV1715" i="3"/>
  <c r="XEX1715" i="3"/>
  <c r="XEV1716" i="3"/>
  <c r="XEX1716" i="3"/>
  <c r="XEV1717" i="3"/>
  <c r="XEX1717" i="3"/>
  <c r="XEV1718" i="3"/>
  <c r="XEX1718" i="3"/>
  <c r="XEV1719" i="3"/>
  <c r="XEX1719" i="3"/>
  <c r="XEV1720" i="3"/>
  <c r="XEX1720" i="3"/>
  <c r="XEV1721" i="3"/>
  <c r="XEX1721" i="3"/>
  <c r="XEV1722" i="3"/>
  <c r="XEX1722" i="3"/>
  <c r="XEV1723" i="3"/>
  <c r="XEX1723" i="3"/>
  <c r="XEV1724" i="3"/>
  <c r="XEX1724" i="3"/>
  <c r="XEV1725" i="3"/>
  <c r="XEX1725" i="3"/>
  <c r="XEV1726" i="3"/>
  <c r="XEX1726" i="3"/>
  <c r="XEV1727" i="3"/>
  <c r="XEX1727" i="3"/>
  <c r="XEV1728" i="3"/>
  <c r="XEX1728" i="3"/>
  <c r="XEV1729" i="3"/>
  <c r="XEX1729" i="3"/>
  <c r="XEV1730" i="3"/>
  <c r="XEX1730" i="3"/>
  <c r="XEV1731" i="3"/>
  <c r="XEX1731" i="3"/>
  <c r="XEV1732" i="3"/>
  <c r="XEX1732" i="3"/>
  <c r="XEV1733" i="3"/>
  <c r="XEX1733" i="3"/>
  <c r="XEV1734" i="3"/>
  <c r="XEX1734" i="3"/>
  <c r="XEV1735" i="3"/>
  <c r="XEX1735" i="3"/>
  <c r="XEV1736" i="3"/>
  <c r="XEX1736" i="3"/>
  <c r="XEV1737" i="3"/>
  <c r="XEX1737" i="3"/>
  <c r="XEV1738" i="3"/>
  <c r="XEX1738" i="3"/>
  <c r="XEV1739" i="3"/>
  <c r="XEX1739" i="3"/>
  <c r="XEV1740" i="3"/>
  <c r="XEX1740" i="3"/>
  <c r="XEV1741" i="3"/>
  <c r="XEX1741" i="3"/>
  <c r="XEV1742" i="3"/>
  <c r="XEX1742" i="3"/>
  <c r="XEV1743" i="3"/>
  <c r="XEX1743" i="3"/>
  <c r="XEV1744" i="3"/>
  <c r="XEX1744" i="3"/>
  <c r="XEV1745" i="3"/>
  <c r="XEX1745" i="3"/>
  <c r="XEV1746" i="3"/>
  <c r="XEX1746" i="3"/>
  <c r="XEV1747" i="3"/>
  <c r="XEX1747" i="3"/>
  <c r="XEV1748" i="3"/>
  <c r="XEX1748" i="3"/>
  <c r="XEV1749" i="3"/>
  <c r="XEX1749" i="3"/>
  <c r="XEV1750" i="3"/>
  <c r="XEX1750" i="3"/>
  <c r="XEV1751" i="3"/>
  <c r="XEX1751" i="3"/>
  <c r="XEV1752" i="3"/>
  <c r="XEX1752" i="3"/>
  <c r="XEV1753" i="3"/>
  <c r="XEX1753" i="3"/>
  <c r="XEV1754" i="3"/>
  <c r="XEX1754" i="3"/>
  <c r="XEV1755" i="3"/>
  <c r="XEX1755" i="3"/>
  <c r="XEV1756" i="3"/>
  <c r="XEX1756" i="3"/>
  <c r="XEV1757" i="3"/>
  <c r="XEX1757" i="3"/>
  <c r="XEV1758" i="3"/>
  <c r="XEX1758" i="3"/>
  <c r="XEV1759" i="3"/>
  <c r="XEX1759" i="3"/>
  <c r="XEV1760" i="3"/>
  <c r="XEX1760" i="3"/>
  <c r="XEV1761" i="3"/>
  <c r="XEX1761" i="3"/>
  <c r="XEV1762" i="3"/>
  <c r="XEX1762" i="3"/>
  <c r="XEV1763" i="3"/>
  <c r="XEX1763" i="3"/>
  <c r="XEV1764" i="3"/>
  <c r="XEX1764" i="3"/>
  <c r="XEV1765" i="3"/>
  <c r="XEX1765" i="3"/>
  <c r="XEV1766" i="3"/>
  <c r="XEX1766" i="3"/>
  <c r="XEV1767" i="3"/>
  <c r="XEX1767" i="3"/>
  <c r="XEV1768" i="3"/>
  <c r="XEX1768" i="3"/>
  <c r="XEV1769" i="3"/>
  <c r="XEX1769" i="3"/>
  <c r="XEV1770" i="3"/>
  <c r="XEX1770" i="3"/>
  <c r="XEV1771" i="3"/>
  <c r="XEX1771" i="3"/>
  <c r="XEV1772" i="3"/>
  <c r="XEX1772" i="3"/>
  <c r="XEV1773" i="3"/>
  <c r="XEX1773" i="3"/>
  <c r="XEV1774" i="3"/>
  <c r="XEX1774" i="3"/>
  <c r="XEV1775" i="3"/>
  <c r="XEX1775" i="3"/>
  <c r="XEV1776" i="3"/>
  <c r="XEX1776" i="3"/>
  <c r="XEV1777" i="3"/>
  <c r="XEX1777" i="3"/>
  <c r="XEV1778" i="3"/>
  <c r="XEX1778" i="3"/>
  <c r="XEV1779" i="3"/>
  <c r="XEX1779" i="3"/>
  <c r="XEV1780" i="3"/>
  <c r="XEX1780" i="3"/>
  <c r="XEV1781" i="3"/>
  <c r="XEX1781" i="3"/>
  <c r="XEV1782" i="3"/>
  <c r="XEX1782" i="3"/>
  <c r="XEV1783" i="3"/>
  <c r="XEX1783" i="3"/>
  <c r="XEV1784" i="3"/>
  <c r="XEX1784" i="3"/>
  <c r="XEV1785" i="3"/>
  <c r="XEX1785" i="3"/>
  <c r="XEV1786" i="3"/>
  <c r="XEX1786" i="3"/>
  <c r="XEV1787" i="3"/>
  <c r="XEX1787" i="3"/>
  <c r="XEV1788" i="3"/>
  <c r="XEX1788" i="3"/>
  <c r="XEV1789" i="3"/>
  <c r="XEX1789" i="3"/>
  <c r="XEV1790" i="3"/>
  <c r="XEX1790" i="3"/>
  <c r="XEV1791" i="3"/>
  <c r="XEX1791" i="3"/>
  <c r="XEV1792" i="3"/>
  <c r="XEX1792" i="3"/>
  <c r="XEV1793" i="3"/>
  <c r="XEX1793" i="3"/>
  <c r="XEV1794" i="3"/>
  <c r="XEX1794" i="3"/>
  <c r="XEV1795" i="3"/>
  <c r="XEX1795" i="3"/>
  <c r="XEV1796" i="3"/>
  <c r="XEX1796" i="3"/>
  <c r="XEV1797" i="3"/>
  <c r="XEX1797" i="3"/>
  <c r="XEV1798" i="3"/>
  <c r="XEX1798" i="3"/>
  <c r="XEV1799" i="3"/>
  <c r="XEX1799" i="3"/>
  <c r="XEV1800" i="3"/>
  <c r="XEX1800" i="3"/>
  <c r="XEV1801" i="3"/>
  <c r="XEX1801" i="3"/>
  <c r="XEV1802" i="3"/>
  <c r="XEX1802" i="3"/>
  <c r="XEV1803" i="3"/>
  <c r="XEX1803" i="3"/>
  <c r="XEV1804" i="3"/>
  <c r="XEX1804" i="3"/>
  <c r="XEV1805" i="3"/>
  <c r="XEX1805" i="3"/>
  <c r="XEV1806" i="3"/>
  <c r="XEX1806" i="3"/>
  <c r="XEV1807" i="3"/>
  <c r="XEX1807" i="3"/>
  <c r="XEV1808" i="3"/>
  <c r="XEX1808" i="3"/>
  <c r="XEV1809" i="3"/>
  <c r="XEX1809" i="3"/>
  <c r="XEV1810" i="3"/>
  <c r="XEX1810" i="3"/>
  <c r="XEV1811" i="3"/>
  <c r="XEX1811" i="3"/>
  <c r="XEV1812" i="3"/>
  <c r="XEX1812" i="3"/>
  <c r="XEV1813" i="3"/>
  <c r="XEX1813" i="3"/>
  <c r="XEV1814" i="3"/>
  <c r="XEX1814" i="3"/>
  <c r="XEV1815" i="3"/>
  <c r="XEX1815" i="3"/>
  <c r="XEV1816" i="3"/>
  <c r="XEX1816" i="3"/>
  <c r="XEV1817" i="3"/>
  <c r="XEX1817" i="3"/>
  <c r="XEV1818" i="3"/>
  <c r="XEX1818" i="3"/>
  <c r="XEV1819" i="3"/>
  <c r="XEX1819" i="3"/>
  <c r="XEV1820" i="3"/>
  <c r="XEX1820" i="3"/>
  <c r="XEV1821" i="3"/>
  <c r="XEX1821" i="3"/>
  <c r="XEV1822" i="3"/>
  <c r="XEX1822" i="3"/>
  <c r="XEV1823" i="3"/>
  <c r="XEX1823" i="3"/>
  <c r="XEV1824" i="3"/>
  <c r="XEX1824" i="3"/>
  <c r="XEV1825" i="3"/>
  <c r="XEX1825" i="3"/>
  <c r="XEV1826" i="3"/>
  <c r="XEX1826" i="3"/>
  <c r="XEV1827" i="3"/>
  <c r="XEX1827" i="3"/>
  <c r="XEV1828" i="3"/>
  <c r="XEX1828" i="3"/>
  <c r="XEV1829" i="3"/>
  <c r="XEX1829" i="3"/>
  <c r="XEV1830" i="3"/>
  <c r="XEX1830" i="3"/>
  <c r="XEV1831" i="3"/>
  <c r="XEX1831" i="3"/>
  <c r="XEV1832" i="3"/>
  <c r="XEX1832" i="3"/>
  <c r="XEV1833" i="3"/>
  <c r="XEX1833" i="3"/>
  <c r="XEV1834" i="3"/>
  <c r="XEX1834" i="3"/>
  <c r="XEV1835" i="3"/>
  <c r="XEX1835" i="3"/>
  <c r="XEV1836" i="3"/>
  <c r="XEX1836" i="3"/>
  <c r="XEV1837" i="3"/>
  <c r="XEX1837" i="3"/>
  <c r="XEV1838" i="3"/>
  <c r="XEX1838" i="3"/>
  <c r="XEV1839" i="3"/>
  <c r="XEX1839" i="3"/>
  <c r="XEV1840" i="3"/>
  <c r="XEX1840" i="3"/>
  <c r="XEV1841" i="3"/>
  <c r="XEX1841" i="3"/>
  <c r="XEV1842" i="3"/>
  <c r="XEX1842" i="3"/>
  <c r="XEV1843" i="3"/>
  <c r="XEX1843" i="3"/>
  <c r="XEV1844" i="3"/>
  <c r="XEX1844" i="3"/>
  <c r="XEV1845" i="3"/>
  <c r="XEX1845" i="3"/>
  <c r="XEV1846" i="3"/>
  <c r="XEX1846" i="3"/>
  <c r="XEV1847" i="3"/>
  <c r="XEX1847" i="3"/>
  <c r="XEV1848" i="3"/>
  <c r="XEX1848" i="3"/>
  <c r="XEV1849" i="3"/>
  <c r="XEX1849" i="3"/>
  <c r="XEV1850" i="3"/>
  <c r="XEX1850" i="3"/>
  <c r="XEV1851" i="3"/>
  <c r="XEX1851" i="3"/>
  <c r="XEV1852" i="3"/>
  <c r="XEX1852" i="3"/>
  <c r="XEV1853" i="3"/>
  <c r="XEX1853" i="3"/>
  <c r="XEV1854" i="3"/>
  <c r="XEX1854" i="3"/>
  <c r="XEV1855" i="3"/>
  <c r="XEX1855" i="3"/>
  <c r="XEV1856" i="3"/>
  <c r="XEX1856" i="3"/>
  <c r="XEV1857" i="3"/>
  <c r="XEX1857" i="3"/>
  <c r="XEV1858" i="3"/>
  <c r="XEX1858" i="3"/>
  <c r="XEV1859" i="3"/>
  <c r="XEX1859" i="3"/>
  <c r="XEV1860" i="3"/>
  <c r="XEX1860" i="3"/>
  <c r="XEV1861" i="3"/>
  <c r="XEX1861" i="3"/>
  <c r="XEV1862" i="3"/>
  <c r="XEX1862" i="3"/>
  <c r="XEV1863" i="3"/>
  <c r="XEX1863" i="3"/>
  <c r="XEV1864" i="3"/>
  <c r="XEX1864" i="3"/>
  <c r="XEV1865" i="3"/>
  <c r="XEX1865" i="3"/>
  <c r="XEV1866" i="3"/>
  <c r="XEX1866" i="3"/>
  <c r="XEV1867" i="3"/>
  <c r="XEX1867" i="3"/>
  <c r="XEV1868" i="3"/>
  <c r="XEX1868" i="3"/>
  <c r="XEV1869" i="3"/>
  <c r="XEX1869" i="3"/>
  <c r="XEV1870" i="3"/>
  <c r="XEX1870" i="3"/>
  <c r="XEV1871" i="3"/>
  <c r="XEX1871" i="3"/>
  <c r="XEV1872" i="3"/>
  <c r="XEX1872" i="3"/>
  <c r="XEV1873" i="3"/>
  <c r="XEX1873" i="3"/>
  <c r="XEV1874" i="3"/>
  <c r="XEX1874" i="3"/>
  <c r="XEV1875" i="3"/>
  <c r="XEX1875" i="3"/>
  <c r="XEV1876" i="3"/>
  <c r="XEX1876" i="3"/>
  <c r="XEV1877" i="3"/>
  <c r="XEX1877" i="3"/>
  <c r="XEV1878" i="3"/>
  <c r="XEX1878" i="3"/>
  <c r="XEV1879" i="3"/>
  <c r="XEX1879" i="3"/>
  <c r="XEV1880" i="3"/>
  <c r="XEX1880" i="3"/>
  <c r="XEV1881" i="3"/>
  <c r="XEX1881" i="3"/>
  <c r="XEV1882" i="3"/>
  <c r="XEX1882" i="3"/>
  <c r="XEV1883" i="3"/>
  <c r="XEX1883" i="3"/>
  <c r="XEV1884" i="3"/>
  <c r="XEX1884" i="3"/>
  <c r="XEV1885" i="3"/>
  <c r="XEX1885" i="3"/>
  <c r="XEV1886" i="3"/>
  <c r="XEX1886" i="3"/>
  <c r="XEV1887" i="3"/>
  <c r="XEX1887" i="3"/>
  <c r="XEV1888" i="3"/>
  <c r="XEX1888" i="3"/>
  <c r="XEV1889" i="3"/>
  <c r="XEX1889" i="3"/>
  <c r="XEV1890" i="3"/>
  <c r="XEX1890" i="3"/>
  <c r="XEV1891" i="3"/>
  <c r="XEX1891" i="3"/>
  <c r="XEV1892" i="3"/>
  <c r="XEX1892" i="3"/>
  <c r="XEV1893" i="3"/>
  <c r="XEX1893" i="3"/>
  <c r="XEV1894" i="3"/>
  <c r="XEX1894" i="3"/>
  <c r="XEV1895" i="3"/>
  <c r="XEX1895" i="3"/>
  <c r="XEV1896" i="3"/>
  <c r="XEX1896" i="3"/>
  <c r="XEV1897" i="3"/>
  <c r="XEX1897" i="3"/>
  <c r="XEV1898" i="3"/>
  <c r="XEX1898" i="3"/>
  <c r="XEV1899" i="3"/>
  <c r="XEX1899" i="3"/>
  <c r="XEV1900" i="3"/>
  <c r="XEX1900" i="3"/>
  <c r="XEV1901" i="3"/>
  <c r="XEX1901" i="3"/>
  <c r="XEV1902" i="3"/>
  <c r="XEX1902" i="3"/>
  <c r="XEV1903" i="3"/>
  <c r="XEX1903" i="3"/>
  <c r="XEV1904" i="3"/>
  <c r="XEX1904" i="3"/>
  <c r="XEV1905" i="3"/>
  <c r="XEX1905" i="3"/>
  <c r="XEV1906" i="3"/>
  <c r="XEX1906" i="3"/>
  <c r="XEV1907" i="3"/>
  <c r="XEX1907" i="3"/>
  <c r="XEV1908" i="3"/>
  <c r="XEX1908" i="3"/>
  <c r="XEV1909" i="3"/>
  <c r="XEX1909" i="3"/>
  <c r="XEV1910" i="3"/>
  <c r="XEX1910" i="3"/>
  <c r="XEV1911" i="3"/>
  <c r="XEX1911" i="3"/>
  <c r="XEV1912" i="3"/>
  <c r="XEX1912" i="3"/>
  <c r="XEV1913" i="3"/>
  <c r="XEX1913" i="3"/>
  <c r="XEV1914" i="3"/>
  <c r="XEX1914" i="3"/>
  <c r="XEV1915" i="3"/>
  <c r="XEX1915" i="3"/>
  <c r="XEV1916" i="3"/>
  <c r="XEX1916" i="3"/>
  <c r="XEV1917" i="3"/>
  <c r="XEX1917" i="3"/>
  <c r="XEV1918" i="3"/>
  <c r="XEX1918" i="3"/>
  <c r="XEV1919" i="3"/>
  <c r="XEX1919" i="3"/>
  <c r="XEV1920" i="3"/>
  <c r="XEX1920" i="3"/>
  <c r="XEV1921" i="3"/>
  <c r="XEX1921" i="3"/>
  <c r="XEV1922" i="3"/>
  <c r="XEX1922" i="3"/>
  <c r="XEV1923" i="3"/>
  <c r="XEX1923" i="3"/>
  <c r="XEV1924" i="3"/>
  <c r="XEX1924" i="3"/>
  <c r="XEV1925" i="3"/>
  <c r="XEX1925" i="3"/>
  <c r="XEV1926" i="3"/>
  <c r="XEX1926" i="3"/>
  <c r="XEV1927" i="3"/>
  <c r="XEX1927" i="3"/>
  <c r="XEV1928" i="3"/>
  <c r="XEX1928" i="3"/>
  <c r="XEV1929" i="3"/>
  <c r="XEX1929" i="3"/>
  <c r="XEV1930" i="3"/>
  <c r="XEX1930" i="3"/>
  <c r="XEV1931" i="3"/>
  <c r="XEX1931" i="3"/>
  <c r="XEV1932" i="3"/>
  <c r="XEX1932" i="3"/>
  <c r="XEV1933" i="3"/>
  <c r="XEX1933" i="3"/>
  <c r="XEV1934" i="3"/>
  <c r="XEX1934" i="3"/>
  <c r="XEV1935" i="3"/>
  <c r="XEX1935" i="3"/>
  <c r="XEV1936" i="3"/>
  <c r="XEX1936" i="3"/>
  <c r="XEV1937" i="3"/>
  <c r="XEX1937" i="3"/>
  <c r="XEV1938" i="3"/>
  <c r="XEX1938" i="3"/>
  <c r="XEV1939" i="3"/>
  <c r="XEX1939" i="3"/>
  <c r="XEV1940" i="3"/>
  <c r="XEX1940" i="3"/>
  <c r="XEV1941" i="3"/>
  <c r="XEX1941" i="3"/>
  <c r="XEV1942" i="3"/>
  <c r="XEX1942" i="3"/>
  <c r="XEV1943" i="3"/>
  <c r="XEX1943" i="3"/>
  <c r="XEV1944" i="3"/>
  <c r="XEX1944" i="3"/>
  <c r="XEV1945" i="3"/>
  <c r="XEX1945" i="3"/>
  <c r="XEV1946" i="3"/>
  <c r="XEX1946" i="3"/>
  <c r="XEV1947" i="3"/>
  <c r="XEX1947" i="3"/>
  <c r="XEV1948" i="3"/>
  <c r="XEX1948" i="3"/>
  <c r="XEV1949" i="3"/>
  <c r="XEX1949" i="3"/>
  <c r="XEV1950" i="3"/>
  <c r="XEX1950" i="3"/>
  <c r="XEV1951" i="3"/>
  <c r="XEX1951" i="3"/>
  <c r="XEV1952" i="3"/>
  <c r="XEX1952" i="3"/>
  <c r="XEV1953" i="3"/>
  <c r="XEX1953" i="3"/>
  <c r="XEV1954" i="3"/>
  <c r="XEX1954" i="3"/>
  <c r="XEV1955" i="3"/>
  <c r="XEX1955" i="3"/>
  <c r="XEV1956" i="3"/>
  <c r="XEX1956" i="3"/>
  <c r="XEV1957" i="3"/>
  <c r="XEX1957" i="3"/>
  <c r="XEV1958" i="3"/>
  <c r="XEX1958" i="3"/>
  <c r="XEV1959" i="3"/>
  <c r="XEX1959" i="3"/>
  <c r="XEV1960" i="3"/>
  <c r="XEX1960" i="3"/>
  <c r="XEV1961" i="3"/>
  <c r="XEX1961" i="3"/>
  <c r="XEV1962" i="3"/>
  <c r="XEX1962" i="3"/>
  <c r="XEV1963" i="3"/>
  <c r="XEX1963" i="3"/>
  <c r="XEV1964" i="3"/>
  <c r="XEX1964" i="3"/>
  <c r="XEV1965" i="3"/>
  <c r="XEX1965" i="3"/>
  <c r="XEV1966" i="3"/>
  <c r="XEX1966" i="3"/>
  <c r="XEV1967" i="3"/>
  <c r="XEX1967" i="3"/>
  <c r="XEV1968" i="3"/>
  <c r="XEX1968" i="3"/>
  <c r="XEV1969" i="3"/>
  <c r="XEX1969" i="3"/>
  <c r="XEV1970" i="3"/>
  <c r="XEX1970" i="3"/>
  <c r="XEV1971" i="3"/>
  <c r="XEX1971" i="3"/>
  <c r="XEV1972" i="3"/>
  <c r="XEX1972" i="3"/>
  <c r="XEV1973" i="3"/>
  <c r="XEX1973" i="3"/>
  <c r="XEV1974" i="3"/>
  <c r="XEX1974" i="3"/>
  <c r="XEV1975" i="3"/>
  <c r="XEX1975" i="3"/>
  <c r="XEV1976" i="3"/>
  <c r="XEX1976" i="3"/>
  <c r="XEV1977" i="3"/>
  <c r="XEX1977" i="3"/>
  <c r="XEV1978" i="3"/>
  <c r="XEX1978" i="3"/>
  <c r="XEV1979" i="3"/>
  <c r="XEX1979" i="3"/>
  <c r="XEV1980" i="3"/>
  <c r="XEX1980" i="3"/>
  <c r="XEV1981" i="3"/>
  <c r="XEX1981" i="3"/>
  <c r="XEV1982" i="3"/>
  <c r="XEX1982" i="3"/>
  <c r="XEV1983" i="3"/>
  <c r="XEX1983" i="3"/>
  <c r="XEV1984" i="3"/>
  <c r="XEX1984" i="3"/>
  <c r="XEV1985" i="3"/>
  <c r="XEX1985" i="3"/>
  <c r="XEV1986" i="3"/>
  <c r="XEX1986" i="3"/>
  <c r="XEV1987" i="3"/>
  <c r="XEX1987" i="3"/>
  <c r="XEV1988" i="3"/>
  <c r="XEX1988" i="3"/>
  <c r="XEV1989" i="3"/>
  <c r="XEX1989" i="3"/>
  <c r="XEV1990" i="3"/>
  <c r="XEX1990" i="3"/>
  <c r="XEV1991" i="3"/>
  <c r="XEX1991" i="3"/>
  <c r="XEV1992" i="3"/>
  <c r="XEX1992" i="3"/>
  <c r="XEV1993" i="3"/>
  <c r="XEX1993" i="3"/>
  <c r="XEV1994" i="3"/>
  <c r="XEX1994" i="3"/>
  <c r="XEV1995" i="3"/>
  <c r="XEX1995" i="3"/>
  <c r="XEV1996" i="3"/>
  <c r="XEX1996" i="3"/>
  <c r="XEV1997" i="3"/>
  <c r="XEX1997" i="3"/>
  <c r="XEV1998" i="3"/>
  <c r="XEX1998" i="3"/>
  <c r="XEV1999" i="3"/>
  <c r="XEX1999" i="3"/>
  <c r="XEV2000" i="3"/>
  <c r="XEX2000" i="3"/>
  <c r="XEV2001" i="3"/>
  <c r="XEX2001" i="3"/>
  <c r="XEV2002" i="3"/>
  <c r="XEX2002" i="3"/>
  <c r="XEV2003" i="3"/>
  <c r="XEX2003" i="3"/>
  <c r="XEV2004" i="3"/>
  <c r="XEX2004" i="3"/>
  <c r="XEV2005" i="3"/>
  <c r="XEX2005" i="3"/>
  <c r="XEV2006" i="3"/>
  <c r="XEX2006" i="3"/>
  <c r="XEV2007" i="3"/>
  <c r="XEX2007" i="3"/>
  <c r="XEV2008" i="3"/>
  <c r="XEX2008" i="3"/>
  <c r="XEV2009" i="3"/>
  <c r="XEX2009" i="3"/>
  <c r="XEV2010" i="3"/>
  <c r="XEX2010" i="3"/>
  <c r="XEV2011" i="3"/>
  <c r="XEX2011" i="3"/>
  <c r="XEV2012" i="3"/>
  <c r="XEX2012" i="3"/>
  <c r="XEV2013" i="3"/>
  <c r="XEX2013" i="3"/>
  <c r="XEV2014" i="3"/>
  <c r="XEX2014" i="3"/>
  <c r="XEV2015" i="3"/>
  <c r="XEX2015" i="3"/>
  <c r="XEV2016" i="3"/>
  <c r="XEX2016" i="3"/>
  <c r="XEV2017" i="3"/>
  <c r="XEX2017" i="3"/>
  <c r="XEV2018" i="3"/>
  <c r="XEX2018" i="3"/>
  <c r="XEV2019" i="3"/>
  <c r="XEX2019" i="3"/>
  <c r="XEV2020" i="3"/>
  <c r="XEX2020" i="3"/>
  <c r="XEV2021" i="3"/>
  <c r="XEX2021" i="3"/>
  <c r="XEV2022" i="3"/>
  <c r="XEX2022" i="3"/>
  <c r="XEV2023" i="3"/>
  <c r="XEX2023" i="3"/>
  <c r="XEV2024" i="3"/>
  <c r="XEX2024" i="3"/>
  <c r="XEV2025" i="3"/>
  <c r="XEX2025" i="3"/>
  <c r="XEV2026" i="3"/>
  <c r="XEX2026" i="3"/>
  <c r="XEV2027" i="3"/>
  <c r="XEX2027" i="3"/>
  <c r="XEV2028" i="3"/>
  <c r="XEX2028" i="3"/>
  <c r="XEV2029" i="3"/>
  <c r="XEX2029" i="3"/>
  <c r="XEV2030" i="3"/>
  <c r="XEX2030" i="3"/>
  <c r="XEV2031" i="3"/>
  <c r="XEX2031" i="3"/>
  <c r="XEV2032" i="3"/>
  <c r="XEX2032" i="3"/>
  <c r="XEV2033" i="3"/>
  <c r="XEX2033" i="3"/>
  <c r="XEV2034" i="3"/>
  <c r="XEX2034" i="3"/>
  <c r="XEV2035" i="3"/>
  <c r="XEX2035" i="3"/>
  <c r="XEV2036" i="3"/>
  <c r="XEX2036" i="3"/>
  <c r="XEV2037" i="3"/>
  <c r="XEX2037" i="3"/>
  <c r="XEV2038" i="3"/>
  <c r="XEX2038" i="3"/>
  <c r="XEV2039" i="3"/>
  <c r="XEX2039" i="3"/>
  <c r="XEV2040" i="3"/>
  <c r="XEX2040" i="3"/>
  <c r="XEV2041" i="3"/>
  <c r="XEX2041" i="3"/>
  <c r="XEV2042" i="3"/>
  <c r="XEX2042" i="3"/>
  <c r="XEV2043" i="3"/>
  <c r="XEX2043" i="3"/>
  <c r="XEV2044" i="3"/>
  <c r="XEX2044" i="3"/>
  <c r="XEV2045" i="3"/>
  <c r="XEX2045" i="3"/>
  <c r="XEV2046" i="3"/>
  <c r="XEX2046" i="3"/>
  <c r="XEV2047" i="3"/>
  <c r="XEX2047" i="3"/>
  <c r="XEV2048" i="3"/>
  <c r="XEX2048" i="3"/>
  <c r="XEV2049" i="3"/>
  <c r="XEX2049" i="3"/>
  <c r="XEV2050" i="3"/>
  <c r="XEX2050" i="3"/>
  <c r="XEV2051" i="3"/>
  <c r="XEX2051" i="3"/>
  <c r="XEV2052" i="3"/>
  <c r="XEX2052" i="3"/>
  <c r="XEV2053" i="3"/>
  <c r="XEX2053" i="3"/>
  <c r="XEV2054" i="3"/>
  <c r="XEX2054" i="3"/>
  <c r="XEV2055" i="3"/>
  <c r="XEX2055" i="3"/>
  <c r="XEV2056" i="3"/>
  <c r="XEX2056" i="3"/>
  <c r="XEV2057" i="3"/>
  <c r="XEX2057" i="3"/>
  <c r="XEV2058" i="3"/>
  <c r="XEX2058" i="3"/>
  <c r="XEV2059" i="3"/>
  <c r="XEX2059" i="3"/>
  <c r="XEV2060" i="3"/>
  <c r="XEX2060" i="3"/>
  <c r="XEV2061" i="3"/>
  <c r="XEX2061" i="3"/>
  <c r="XEV2062" i="3"/>
  <c r="XEX2062" i="3"/>
  <c r="XEV2063" i="3"/>
  <c r="XEX2063" i="3"/>
  <c r="XEV2064" i="3"/>
  <c r="XEX2064" i="3"/>
  <c r="XEV2065" i="3"/>
  <c r="XEX2065" i="3"/>
  <c r="XEV2066" i="3"/>
  <c r="XEX2066" i="3"/>
  <c r="XEV2067" i="3"/>
  <c r="XEX2067" i="3"/>
  <c r="XEV2068" i="3"/>
  <c r="XEX2068" i="3"/>
  <c r="XEV2069" i="3"/>
  <c r="XEX2069" i="3"/>
  <c r="XEV2070" i="3"/>
  <c r="XEX2070" i="3"/>
  <c r="XEV2071" i="3"/>
  <c r="XEX2071" i="3"/>
  <c r="XEV2072" i="3"/>
  <c r="XEX2072" i="3"/>
  <c r="XEV2073" i="3"/>
  <c r="XEX2073" i="3"/>
  <c r="XEV2074" i="3"/>
  <c r="XEX2074" i="3"/>
  <c r="XEV2075" i="3"/>
  <c r="XEX2075" i="3"/>
  <c r="XEV2076" i="3"/>
  <c r="XEX2076" i="3"/>
  <c r="XEV2077" i="3"/>
  <c r="XEX2077" i="3"/>
  <c r="XEV2078" i="3"/>
  <c r="XEX2078" i="3"/>
  <c r="XEV2079" i="3"/>
  <c r="XEX2079" i="3"/>
  <c r="XEV2080" i="3"/>
  <c r="XEX2080" i="3"/>
  <c r="XEV2081" i="3"/>
  <c r="XEX2081" i="3"/>
  <c r="XEV2082" i="3"/>
  <c r="XEX2082" i="3"/>
  <c r="XEV2083" i="3"/>
  <c r="XEX2083" i="3"/>
  <c r="XEV2084" i="3"/>
  <c r="XEX2084" i="3"/>
  <c r="XEV2085" i="3"/>
  <c r="XEX2085" i="3"/>
  <c r="XEV2086" i="3"/>
  <c r="XEX2086" i="3"/>
  <c r="XEV2087" i="3"/>
  <c r="XEX2087" i="3"/>
  <c r="XEV2088" i="3"/>
  <c r="XEX2088" i="3"/>
  <c r="XEV2089" i="3"/>
  <c r="XEX2089" i="3"/>
  <c r="XEV2090" i="3"/>
  <c r="XEX2090" i="3"/>
  <c r="XEV2091" i="3"/>
  <c r="XEX2091" i="3"/>
  <c r="XEV2092" i="3"/>
  <c r="XEX2092" i="3"/>
  <c r="XEV2093" i="3"/>
  <c r="XEX2093" i="3"/>
  <c r="XEV2094" i="3"/>
  <c r="XEX2094" i="3"/>
  <c r="XEV2095" i="3"/>
  <c r="XEX2095" i="3"/>
  <c r="XEV2096" i="3"/>
  <c r="XEX2096" i="3"/>
  <c r="XEV2097" i="3"/>
  <c r="XEX2097" i="3"/>
  <c r="XEV2098" i="3"/>
  <c r="XEX2098" i="3"/>
  <c r="XEV2099" i="3"/>
  <c r="XEX2099" i="3"/>
  <c r="XEV2100" i="3"/>
  <c r="XEX2100" i="3"/>
  <c r="XEV2101" i="3"/>
  <c r="XEX2101" i="3"/>
  <c r="XEV2102" i="3"/>
  <c r="XEX2102" i="3"/>
  <c r="XEV2103" i="3"/>
  <c r="XEX2103" i="3"/>
  <c r="XEV2104" i="3"/>
  <c r="XEX2104" i="3"/>
  <c r="XEV2105" i="3"/>
  <c r="XEX2105" i="3"/>
  <c r="XEV2106" i="3"/>
  <c r="XEX2106" i="3"/>
  <c r="XEV2107" i="3"/>
  <c r="XEX2107" i="3"/>
  <c r="XEV2108" i="3"/>
  <c r="XEX2108" i="3"/>
  <c r="XEV2109" i="3"/>
  <c r="XEX2109" i="3"/>
  <c r="XEV2110" i="3"/>
  <c r="XEX2110" i="3"/>
  <c r="XEV2111" i="3"/>
  <c r="XEX2111" i="3"/>
  <c r="XEV2112" i="3"/>
  <c r="XEX2112" i="3"/>
  <c r="XEV2113" i="3"/>
  <c r="XEX2113" i="3"/>
  <c r="XEV2114" i="3"/>
  <c r="XEX2114" i="3"/>
  <c r="XEV2115" i="3"/>
  <c r="XEX2115" i="3"/>
  <c r="XEV2116" i="3"/>
  <c r="XEX2116" i="3"/>
  <c r="XEV2117" i="3"/>
  <c r="XEX2117" i="3"/>
  <c r="XEV2118" i="3"/>
  <c r="XEX2118" i="3"/>
  <c r="XEV2119" i="3"/>
  <c r="XEX2119" i="3"/>
  <c r="XEV2120" i="3"/>
  <c r="XEX2120" i="3"/>
  <c r="XEV2121" i="3"/>
  <c r="XEX2121" i="3"/>
  <c r="XEV2122" i="3"/>
  <c r="XEX2122" i="3"/>
  <c r="XEV2123" i="3"/>
  <c r="XEX2123" i="3"/>
  <c r="XEV2124" i="3"/>
  <c r="XEX2124" i="3"/>
  <c r="XEV2125" i="3"/>
  <c r="XEX2125" i="3"/>
  <c r="XEV2126" i="3"/>
  <c r="XEX2126" i="3"/>
  <c r="XEV2127" i="3"/>
  <c r="XEX2127" i="3"/>
  <c r="XEV2128" i="3"/>
  <c r="XEX2128" i="3"/>
  <c r="XEV2129" i="3"/>
  <c r="XEX2129" i="3"/>
  <c r="XEV2130" i="3"/>
  <c r="XEX2130" i="3"/>
  <c r="XEV2131" i="3"/>
  <c r="XEX2131" i="3"/>
  <c r="XEV2132" i="3"/>
  <c r="XEX2132" i="3"/>
  <c r="XEV2133" i="3"/>
  <c r="XEX2133" i="3"/>
  <c r="XEV2134" i="3"/>
  <c r="XEX2134" i="3"/>
  <c r="XEV2135" i="3"/>
  <c r="XEX2135" i="3"/>
  <c r="XEV2136" i="3"/>
  <c r="XEX2136" i="3"/>
  <c r="XEV2137" i="3"/>
  <c r="XEX2137" i="3"/>
  <c r="XEV2138" i="3"/>
  <c r="XEX2138" i="3"/>
  <c r="XEV2139" i="3"/>
  <c r="XEX2139" i="3"/>
  <c r="XEV2140" i="3"/>
  <c r="XEX2140" i="3"/>
  <c r="XEV2141" i="3"/>
  <c r="XEX2141" i="3"/>
  <c r="XEV2142" i="3"/>
  <c r="XEX2142" i="3"/>
  <c r="XEV2143" i="3"/>
  <c r="XEX2143" i="3"/>
  <c r="XEV2144" i="3"/>
  <c r="XEX2144" i="3"/>
  <c r="XEV2145" i="3"/>
  <c r="XEX2145" i="3"/>
  <c r="XEV2146" i="3"/>
  <c r="XEX2146" i="3"/>
  <c r="XEV2147" i="3"/>
  <c r="XEX2147" i="3"/>
  <c r="XEV2148" i="3"/>
  <c r="XEX2148" i="3"/>
  <c r="XEV2149" i="3"/>
  <c r="XEX2149" i="3"/>
  <c r="XEV2150" i="3"/>
  <c r="XEX2150" i="3"/>
  <c r="XEV2151" i="3"/>
  <c r="XEX2151" i="3"/>
  <c r="XEV2152" i="3"/>
  <c r="XEX2152" i="3"/>
  <c r="XEV2153" i="3"/>
  <c r="XEX2153" i="3"/>
  <c r="XEV2154" i="3"/>
  <c r="XEX2154" i="3"/>
  <c r="XEV2155" i="3"/>
  <c r="XEX2155" i="3"/>
  <c r="XEV2156" i="3"/>
  <c r="XEX2156" i="3"/>
  <c r="XEV2157" i="3"/>
  <c r="XEX2157" i="3"/>
  <c r="XEV2158" i="3"/>
  <c r="XEX2158" i="3"/>
  <c r="XEV2159" i="3"/>
  <c r="XEX2159" i="3"/>
  <c r="XEV2160" i="3"/>
  <c r="XEX2160" i="3"/>
  <c r="XEV2161" i="3"/>
  <c r="XEX2161" i="3"/>
  <c r="XEV2162" i="3"/>
  <c r="XEX2162" i="3"/>
  <c r="XEV2163" i="3"/>
  <c r="XEX2163" i="3"/>
  <c r="XEV2164" i="3"/>
  <c r="XEX2164" i="3"/>
  <c r="XEV2165" i="3"/>
  <c r="XEX2165" i="3"/>
  <c r="XEV2166" i="3"/>
  <c r="XEX2166" i="3"/>
  <c r="XEV2167" i="3"/>
  <c r="XEX2167" i="3"/>
  <c r="XEV2168" i="3"/>
  <c r="XEX2168" i="3"/>
  <c r="XEV2169" i="3"/>
  <c r="XEX2169" i="3"/>
  <c r="XEV2170" i="3"/>
  <c r="XEX2170" i="3"/>
  <c r="XEV2171" i="3"/>
  <c r="XEX2171" i="3"/>
  <c r="XEV2172" i="3"/>
  <c r="XEX2172" i="3"/>
  <c r="XEV2173" i="3"/>
  <c r="XEX2173" i="3"/>
  <c r="XEV2174" i="3"/>
  <c r="XEX2174" i="3"/>
  <c r="XEV2175" i="3"/>
  <c r="XEX2175" i="3"/>
  <c r="XEV2176" i="3"/>
  <c r="XEX2176" i="3"/>
  <c r="XEV2177" i="3"/>
  <c r="XEX2177" i="3"/>
  <c r="XEV2178" i="3"/>
  <c r="XEX2178" i="3"/>
  <c r="XEV2179" i="3"/>
  <c r="XEX2179" i="3"/>
  <c r="XEV2180" i="3"/>
  <c r="XEX2180" i="3"/>
  <c r="XEV2181" i="3"/>
  <c r="XEX2181" i="3"/>
  <c r="XEV2182" i="3"/>
  <c r="XEX2182" i="3"/>
  <c r="XEV2183" i="3"/>
  <c r="XEX2183" i="3"/>
  <c r="XEV2184" i="3"/>
  <c r="XEX2184" i="3"/>
  <c r="XEV2185" i="3"/>
  <c r="XEX2185" i="3"/>
  <c r="XEV2186" i="3"/>
  <c r="XEX2186" i="3"/>
  <c r="XEV2187" i="3"/>
  <c r="XEX2187" i="3"/>
  <c r="XEV2188" i="3"/>
  <c r="XEX2188" i="3"/>
  <c r="XEV2189" i="3"/>
  <c r="XEX2189" i="3"/>
  <c r="XEV2190" i="3"/>
  <c r="XEX2190" i="3"/>
  <c r="XEV2191" i="3"/>
  <c r="XEX2191" i="3"/>
  <c r="XEV2192" i="3"/>
  <c r="XEX2192" i="3"/>
  <c r="XEV2193" i="3"/>
  <c r="XEX2193" i="3"/>
  <c r="XEV2194" i="3"/>
  <c r="XEX2194" i="3"/>
  <c r="XEV2195" i="3"/>
  <c r="XEX2195" i="3"/>
  <c r="XEV2196" i="3"/>
  <c r="XEX2196" i="3"/>
  <c r="XEV2197" i="3"/>
  <c r="XEX2197" i="3"/>
  <c r="XEV2198" i="3"/>
  <c r="XEX2198" i="3"/>
  <c r="XEV2199" i="3"/>
  <c r="XEX2199" i="3"/>
  <c r="XEV2200" i="3"/>
  <c r="XEX2200" i="3"/>
  <c r="XEV2201" i="3"/>
  <c r="XEX2201" i="3"/>
  <c r="XEV2202" i="3"/>
  <c r="XEX2202" i="3"/>
  <c r="XEV2203" i="3"/>
  <c r="XEX2203" i="3"/>
  <c r="XEV2204" i="3"/>
  <c r="XEX2204" i="3"/>
  <c r="XEV2205" i="3"/>
  <c r="XEX2205" i="3"/>
  <c r="XEV2206" i="3"/>
  <c r="XEX2206" i="3"/>
  <c r="XEV2207" i="3"/>
  <c r="XEX2207" i="3"/>
  <c r="XEV2208" i="3"/>
  <c r="XEX2208" i="3"/>
  <c r="XEV2209" i="3"/>
  <c r="XEX2209" i="3"/>
  <c r="XEV2210" i="3"/>
  <c r="XEX2210" i="3"/>
  <c r="XEV2211" i="3"/>
  <c r="XEX2211" i="3"/>
  <c r="XEV2212" i="3"/>
  <c r="XEX2212" i="3"/>
  <c r="XEV2213" i="3"/>
  <c r="XEX2213" i="3"/>
  <c r="XEV2214" i="3"/>
  <c r="XEX2214" i="3"/>
  <c r="XEV2215" i="3"/>
  <c r="XEX2215" i="3"/>
  <c r="XEV2216" i="3"/>
  <c r="XEX2216" i="3"/>
  <c r="XEV2217" i="3"/>
  <c r="XEX2217" i="3"/>
  <c r="XEV2218" i="3"/>
  <c r="XEX2218" i="3"/>
  <c r="XEV2219" i="3"/>
  <c r="XEX2219" i="3"/>
  <c r="XEV2220" i="3"/>
  <c r="XEX2220" i="3"/>
  <c r="XEV2221" i="3"/>
  <c r="XEX2221" i="3"/>
  <c r="XEV2222" i="3"/>
  <c r="XEX2222" i="3"/>
  <c r="XEV2223" i="3"/>
  <c r="XEX2223" i="3"/>
  <c r="XEV2224" i="3"/>
  <c r="XEX2224" i="3"/>
  <c r="XEV2225" i="3"/>
  <c r="XEX2225" i="3"/>
  <c r="XEV2226" i="3"/>
  <c r="XEX2226" i="3"/>
  <c r="XEV2227" i="3"/>
  <c r="XEX2227" i="3"/>
  <c r="XEV2228" i="3"/>
  <c r="XEX2228" i="3"/>
  <c r="XEV2229" i="3"/>
  <c r="XEX2229" i="3"/>
  <c r="XEV2230" i="3"/>
  <c r="XEX2230" i="3"/>
  <c r="XEV2231" i="3"/>
  <c r="XEX2231" i="3"/>
  <c r="XEV2232" i="3"/>
  <c r="XEX2232" i="3"/>
  <c r="XEV2233" i="3"/>
  <c r="XEX2233" i="3"/>
  <c r="XEV2234" i="3"/>
  <c r="XEX2234" i="3"/>
  <c r="XEV2235" i="3"/>
  <c r="XEX2235" i="3"/>
  <c r="XEV2236" i="3"/>
  <c r="XEX2236" i="3"/>
  <c r="XEV2237" i="3"/>
  <c r="XEX2237" i="3"/>
  <c r="XEV2238" i="3"/>
  <c r="XEX2238" i="3"/>
  <c r="XEV2239" i="3"/>
  <c r="XEX2239" i="3"/>
  <c r="XEV2240" i="3"/>
  <c r="XEX2240" i="3"/>
  <c r="XEV2241" i="3"/>
  <c r="XEX2241" i="3"/>
  <c r="XEV2242" i="3"/>
  <c r="XEX2242" i="3"/>
  <c r="XEV2243" i="3"/>
  <c r="XEX2243" i="3"/>
  <c r="XEV2244" i="3"/>
  <c r="XEX2244" i="3"/>
  <c r="XEV2245" i="3"/>
  <c r="XEX2245" i="3"/>
  <c r="XEV2246" i="3"/>
  <c r="XEX2246" i="3"/>
  <c r="XEV2247" i="3"/>
  <c r="XEX2247" i="3"/>
  <c r="XEV2248" i="3"/>
  <c r="XEX2248" i="3"/>
  <c r="XEV2249" i="3"/>
  <c r="XEX2249" i="3"/>
  <c r="XEV2250" i="3"/>
  <c r="XEX2250" i="3"/>
  <c r="XEV2251" i="3"/>
  <c r="XEX2251" i="3"/>
  <c r="XEV2252" i="3"/>
  <c r="XEX2252" i="3"/>
  <c r="XEV2253" i="3"/>
  <c r="XEX2253" i="3"/>
  <c r="XEV2254" i="3"/>
  <c r="XEX2254" i="3"/>
  <c r="XEV2255" i="3"/>
  <c r="XEX2255" i="3"/>
  <c r="XEV2256" i="3"/>
  <c r="XEX2256" i="3"/>
  <c r="XEV2257" i="3"/>
  <c r="XEX2257" i="3"/>
  <c r="XEV2258" i="3"/>
  <c r="XEX2258" i="3"/>
  <c r="XEV2259" i="3"/>
  <c r="XEX2259" i="3"/>
  <c r="XEV2260" i="3"/>
  <c r="XEX2260" i="3"/>
  <c r="XEV2261" i="3"/>
  <c r="XEX2261" i="3"/>
  <c r="XEV2262" i="3"/>
  <c r="XEX2262" i="3"/>
  <c r="XEV2263" i="3"/>
  <c r="XEX2263" i="3"/>
  <c r="XEV2264" i="3"/>
  <c r="XEX2264" i="3"/>
  <c r="XEV2265" i="3"/>
  <c r="XEX2265" i="3"/>
  <c r="XEV2266" i="3"/>
  <c r="XEX2266" i="3"/>
  <c r="XEV2267" i="3"/>
  <c r="XEX2267" i="3"/>
  <c r="XEV2268" i="3"/>
  <c r="XEX2268" i="3"/>
  <c r="XEV2269" i="3"/>
  <c r="XEX2269" i="3"/>
  <c r="XEV2270" i="3"/>
  <c r="XEX2270" i="3"/>
  <c r="XEV2271" i="3"/>
  <c r="XEX2271" i="3"/>
  <c r="XEV2272" i="3"/>
  <c r="XEX2272" i="3"/>
  <c r="XEV2273" i="3"/>
  <c r="XEX2273" i="3"/>
  <c r="XEV2274" i="3"/>
  <c r="XEX2274" i="3"/>
  <c r="XEV2275" i="3"/>
  <c r="XEX2275" i="3"/>
  <c r="XEV2276" i="3"/>
  <c r="XEX2276" i="3"/>
  <c r="XEV2277" i="3"/>
  <c r="XEX2277" i="3"/>
  <c r="XEV2278" i="3"/>
  <c r="XEX2278" i="3"/>
  <c r="XEV2279" i="3"/>
  <c r="XEX2279" i="3"/>
  <c r="XEV2280" i="3"/>
  <c r="XEX2280" i="3"/>
  <c r="XEV2281" i="3"/>
  <c r="XEX2281" i="3"/>
  <c r="XEV2282" i="3"/>
  <c r="XEX2282" i="3"/>
  <c r="XEV2283" i="3"/>
  <c r="XEX2283" i="3"/>
  <c r="XEV2284" i="3"/>
  <c r="XEX2284" i="3"/>
  <c r="XEV2285" i="3"/>
  <c r="XEX2285" i="3"/>
  <c r="XEV2286" i="3"/>
  <c r="XEX2286" i="3"/>
  <c r="XEV2287" i="3"/>
  <c r="XEX2287" i="3"/>
  <c r="XEV2288" i="3"/>
  <c r="XEX2288" i="3"/>
  <c r="XEV2289" i="3"/>
  <c r="XEX2289" i="3"/>
  <c r="XEV2290" i="3"/>
  <c r="XEX2290" i="3"/>
  <c r="XEV2291" i="3"/>
  <c r="XEX2291" i="3"/>
  <c r="XEV2292" i="3"/>
  <c r="XEX2292" i="3"/>
  <c r="XEV2293" i="3"/>
  <c r="XEX2293" i="3"/>
  <c r="XEV2294" i="3"/>
  <c r="XEX2294" i="3"/>
  <c r="XEV2295" i="3"/>
  <c r="XEX2295" i="3"/>
  <c r="XEV2296" i="3"/>
  <c r="XEX2296" i="3"/>
  <c r="XEV2297" i="3"/>
  <c r="XEX2297" i="3"/>
  <c r="XEV2298" i="3"/>
  <c r="XEX2298" i="3"/>
  <c r="XEV2299" i="3"/>
  <c r="XEX2299" i="3"/>
  <c r="XEV2300" i="3"/>
  <c r="XEX2300" i="3"/>
  <c r="XEV2301" i="3"/>
  <c r="XEX2301" i="3"/>
  <c r="XEV2302" i="3"/>
  <c r="XEX2302" i="3"/>
  <c r="XEV2303" i="3"/>
  <c r="XEX2303" i="3"/>
  <c r="XEV2304" i="3"/>
  <c r="XEX2304" i="3"/>
  <c r="XEV2305" i="3"/>
  <c r="XEX2305" i="3"/>
  <c r="XEV2306" i="3"/>
  <c r="XEX2306" i="3"/>
  <c r="XEV2307" i="3"/>
  <c r="XEX2307" i="3"/>
  <c r="XEV2308" i="3"/>
  <c r="XEX2308" i="3"/>
  <c r="XEV2309" i="3"/>
  <c r="XEX2309" i="3"/>
  <c r="XEV2310" i="3"/>
  <c r="XEX2310" i="3"/>
  <c r="XEV2311" i="3"/>
  <c r="XEX2311" i="3"/>
  <c r="XEV2312" i="3"/>
  <c r="XEX2312" i="3"/>
  <c r="XEV2313" i="3"/>
  <c r="XEX2313" i="3"/>
  <c r="XEV2314" i="3"/>
  <c r="XEX2314" i="3"/>
  <c r="XEV2315" i="3"/>
  <c r="XEX2315" i="3"/>
  <c r="XEV2316" i="3"/>
  <c r="XEX2316" i="3"/>
  <c r="XEV2317" i="3"/>
  <c r="XEX2317" i="3"/>
  <c r="XEV2318" i="3"/>
  <c r="XEX2318" i="3"/>
  <c r="XEV2319" i="3"/>
  <c r="XEX2319" i="3"/>
  <c r="XEV2320" i="3"/>
  <c r="XEX2320" i="3"/>
  <c r="XEV2321" i="3"/>
  <c r="XEX2321" i="3"/>
  <c r="XEV2322" i="3"/>
  <c r="XEX2322" i="3"/>
  <c r="XEV2323" i="3"/>
  <c r="XEX2323" i="3"/>
  <c r="XEV2324" i="3"/>
  <c r="XEX2324" i="3"/>
  <c r="XEV2325" i="3"/>
  <c r="XEX2325" i="3"/>
  <c r="XEV2326" i="3"/>
  <c r="XEX2326" i="3"/>
  <c r="XEV2327" i="3"/>
  <c r="XEX2327" i="3"/>
  <c r="XEV2328" i="3"/>
  <c r="XEX2328" i="3"/>
  <c r="XEV2329" i="3"/>
  <c r="XEX2329" i="3"/>
  <c r="XEV2330" i="3"/>
  <c r="XEX2330" i="3"/>
  <c r="XEV2331" i="3"/>
  <c r="XEX2331" i="3"/>
  <c r="XEV2332" i="3"/>
  <c r="XEX2332" i="3"/>
  <c r="XEV2333" i="3"/>
  <c r="XEX2333" i="3"/>
  <c r="XEV2334" i="3"/>
  <c r="XEX2334" i="3"/>
  <c r="XEV2335" i="3"/>
  <c r="XEX2335" i="3"/>
  <c r="XEV2336" i="3"/>
  <c r="XEX2336" i="3"/>
  <c r="XEV2337" i="3"/>
  <c r="XEX2337" i="3"/>
  <c r="XEV2338" i="3"/>
  <c r="XEX2338" i="3"/>
  <c r="XEV2339" i="3"/>
  <c r="XEX2339" i="3"/>
  <c r="XEV2340" i="3"/>
  <c r="XEX2340" i="3"/>
  <c r="XEV2341" i="3"/>
  <c r="XEX2341" i="3"/>
  <c r="XEV2342" i="3"/>
  <c r="XEX2342" i="3"/>
  <c r="XEV2343" i="3"/>
  <c r="XEX2343" i="3"/>
  <c r="XEV2344" i="3"/>
  <c r="XEX2344" i="3"/>
  <c r="XEV2345" i="3"/>
  <c r="XEX2345" i="3"/>
  <c r="XEV2346" i="3"/>
  <c r="XEX2346" i="3"/>
  <c r="XEV2347" i="3"/>
  <c r="XEX2347" i="3"/>
  <c r="XEV2348" i="3"/>
  <c r="XEX2348" i="3"/>
  <c r="XEV2349" i="3"/>
  <c r="XEX2349" i="3"/>
  <c r="XEV2350" i="3"/>
  <c r="XEX2350" i="3"/>
  <c r="XEV2351" i="3"/>
  <c r="XEX2351" i="3"/>
  <c r="XEV2352" i="3"/>
  <c r="XEX2352" i="3"/>
  <c r="XEV2353" i="3"/>
  <c r="XEX2353" i="3"/>
  <c r="XEV2354" i="3"/>
  <c r="XEX2354" i="3"/>
  <c r="XEV2355" i="3"/>
  <c r="XEX2355" i="3"/>
  <c r="XEV2356" i="3"/>
  <c r="XEX2356" i="3"/>
  <c r="XEV2357" i="3"/>
  <c r="XEX2357" i="3"/>
  <c r="XEV2358" i="3"/>
  <c r="XEX2358" i="3"/>
  <c r="XEV2359" i="3"/>
  <c r="XEX2359" i="3"/>
  <c r="XEV2360" i="3"/>
  <c r="XEX2360" i="3"/>
  <c r="XEV2361" i="3"/>
  <c r="XEX2361" i="3"/>
  <c r="XEV2362" i="3"/>
  <c r="XEX2362" i="3"/>
  <c r="XEV2363" i="3"/>
  <c r="XEX2363" i="3"/>
  <c r="XEV2364" i="3"/>
  <c r="XEX2364" i="3"/>
  <c r="XEV2365" i="3"/>
  <c r="XEX2365" i="3"/>
  <c r="XEV2366" i="3"/>
  <c r="XEX2366" i="3"/>
  <c r="XEV2367" i="3"/>
  <c r="XEX2367" i="3"/>
  <c r="XEV2368" i="3"/>
  <c r="XEX2368" i="3"/>
  <c r="XEV2369" i="3"/>
  <c r="XEX2369" i="3"/>
  <c r="XEV2370" i="3"/>
  <c r="XEX2370" i="3"/>
  <c r="XEV2371" i="3"/>
  <c r="XEX2371" i="3"/>
  <c r="XEV2372" i="3"/>
  <c r="XEX2372" i="3"/>
  <c r="XEV2373" i="3"/>
  <c r="XEX2373" i="3"/>
  <c r="XEV2374" i="3"/>
  <c r="XEX2374" i="3"/>
  <c r="XEV2375" i="3"/>
  <c r="XEX2375" i="3"/>
  <c r="XEV2376" i="3"/>
  <c r="XEX2376" i="3"/>
  <c r="XEV2377" i="3"/>
  <c r="XEX2377" i="3"/>
  <c r="XEV2378" i="3"/>
  <c r="XEX2378" i="3"/>
  <c r="XEV2379" i="3"/>
  <c r="XEX2379" i="3"/>
  <c r="XEV2380" i="3"/>
  <c r="XEX2380" i="3"/>
  <c r="XEV2381" i="3"/>
  <c r="XEX2381" i="3"/>
  <c r="XEV2382" i="3"/>
  <c r="XEX2382" i="3"/>
  <c r="XEV2383" i="3"/>
  <c r="XEX2383" i="3"/>
  <c r="XEV2384" i="3"/>
  <c r="XEX2384" i="3"/>
  <c r="XEV2385" i="3"/>
  <c r="XEX2385" i="3"/>
  <c r="XEV2386" i="3"/>
  <c r="XEX2386" i="3"/>
  <c r="XEV2387" i="3"/>
  <c r="XEX2387" i="3"/>
  <c r="XEV2388" i="3"/>
  <c r="XEX2388" i="3"/>
  <c r="XEV2389" i="3"/>
  <c r="XEX2389" i="3"/>
  <c r="XEV2390" i="3"/>
  <c r="XEX2390" i="3"/>
  <c r="XEV2391" i="3"/>
  <c r="XEX2391" i="3"/>
  <c r="XEV2392" i="3"/>
  <c r="XEX2392" i="3"/>
  <c r="XEV2393" i="3"/>
  <c r="XEX2393" i="3"/>
  <c r="XEV2394" i="3"/>
  <c r="XEX2394" i="3"/>
  <c r="XEV2395" i="3"/>
  <c r="XEX2395" i="3"/>
  <c r="XEV2396" i="3"/>
  <c r="XEX2396" i="3"/>
  <c r="XEV2397" i="3"/>
  <c r="XEX2397" i="3"/>
  <c r="XEV2398" i="3"/>
  <c r="XEX2398" i="3"/>
  <c r="XEV2399" i="3"/>
  <c r="XEX2399" i="3"/>
  <c r="XEV2400" i="3"/>
  <c r="XEX2400" i="3"/>
  <c r="XEV2401" i="3"/>
  <c r="XEX2401" i="3"/>
  <c r="XEV2402" i="3"/>
  <c r="XEX2402" i="3"/>
  <c r="XEV2403" i="3"/>
  <c r="XEX2403" i="3"/>
  <c r="XEV2404" i="3"/>
  <c r="XEX2404" i="3"/>
  <c r="XEV2405" i="3"/>
  <c r="XEX2405" i="3"/>
  <c r="XEV2406" i="3"/>
  <c r="XEX2406" i="3"/>
  <c r="XEV2407" i="3"/>
  <c r="XEX2407" i="3"/>
  <c r="XEV2408" i="3"/>
  <c r="XEX2408" i="3"/>
  <c r="XEV2409" i="3"/>
  <c r="XEX2409" i="3"/>
  <c r="XEV2410" i="3"/>
  <c r="XEX2410" i="3"/>
  <c r="XEV2411" i="3"/>
  <c r="XEX2411" i="3"/>
  <c r="XEV2412" i="3"/>
  <c r="XEX2412" i="3"/>
  <c r="XEV2413" i="3"/>
  <c r="XEX2413" i="3"/>
  <c r="XEV2414" i="3"/>
  <c r="XEX2414" i="3"/>
  <c r="XEV2415" i="3"/>
  <c r="XEX2415" i="3"/>
  <c r="XEV2416" i="3"/>
  <c r="XEX2416" i="3"/>
  <c r="XEV2417" i="3"/>
  <c r="XEX2417" i="3"/>
  <c r="XEV2418" i="3"/>
  <c r="XEX2418" i="3"/>
  <c r="XEV2419" i="3"/>
  <c r="XEX2419" i="3"/>
  <c r="XEV2420" i="3"/>
  <c r="XEX2420" i="3"/>
  <c r="XEV2421" i="3"/>
  <c r="XEX2421" i="3"/>
  <c r="XEV2422" i="3"/>
  <c r="XEX2422" i="3"/>
  <c r="XEV2423" i="3"/>
  <c r="XEX2423" i="3"/>
  <c r="XEV2424" i="3"/>
  <c r="XEX2424" i="3"/>
  <c r="XEV2425" i="3"/>
  <c r="XEX2425" i="3"/>
  <c r="XEV2426" i="3"/>
  <c r="XEX2426" i="3"/>
  <c r="XEV2427" i="3"/>
  <c r="XEX2427" i="3"/>
  <c r="XEV2428" i="3"/>
  <c r="XEX2428" i="3"/>
  <c r="XEV2429" i="3"/>
  <c r="XEX2429" i="3"/>
  <c r="XEV2430" i="3"/>
  <c r="XEX2430" i="3"/>
  <c r="XEV2431" i="3"/>
  <c r="XEX2431" i="3"/>
  <c r="XEV2432" i="3"/>
  <c r="XEX2432" i="3"/>
  <c r="XEV2433" i="3"/>
  <c r="XEX2433" i="3"/>
  <c r="XEV2434" i="3"/>
  <c r="XEX2434" i="3"/>
  <c r="XEV2435" i="3"/>
  <c r="XEX2435" i="3"/>
  <c r="XEV2436" i="3"/>
  <c r="XEX2436" i="3"/>
  <c r="XEV2437" i="3"/>
  <c r="XEX2437" i="3"/>
  <c r="XEV2438" i="3"/>
  <c r="XEX2438" i="3"/>
  <c r="XEV2439" i="3"/>
  <c r="XEX2439" i="3"/>
  <c r="XEV2440" i="3"/>
  <c r="XEX2440" i="3"/>
  <c r="XEV2441" i="3"/>
  <c r="XEX2441" i="3"/>
  <c r="XEV2442" i="3"/>
  <c r="XEX2442" i="3"/>
  <c r="XEV2443" i="3"/>
  <c r="XEX2443" i="3"/>
  <c r="XEV2444" i="3"/>
  <c r="XEX2444" i="3"/>
  <c r="XEV2445" i="3"/>
  <c r="XEX2445" i="3"/>
  <c r="XEV2446" i="3"/>
  <c r="XEX2446" i="3"/>
  <c r="XEV2447" i="3"/>
  <c r="XEX2447" i="3"/>
  <c r="XEV2448" i="3"/>
  <c r="XEX2448" i="3"/>
  <c r="XEV2449" i="3"/>
  <c r="XEX2449" i="3"/>
  <c r="XEV2450" i="3"/>
  <c r="XEX2450" i="3"/>
  <c r="XEV2451" i="3"/>
  <c r="XEX2451" i="3"/>
  <c r="XEV2452" i="3"/>
  <c r="XEX2452" i="3"/>
  <c r="XEV2453" i="3"/>
  <c r="XEX2453" i="3"/>
  <c r="XEV2454" i="3"/>
  <c r="XEX2454" i="3"/>
  <c r="XEV2455" i="3"/>
  <c r="XEX2455" i="3"/>
  <c r="XEV2456" i="3"/>
  <c r="XEX2456" i="3"/>
  <c r="XEV2457" i="3"/>
  <c r="XEX2457" i="3"/>
  <c r="XEV2458" i="3"/>
  <c r="XEX2458" i="3"/>
  <c r="XEV2459" i="3"/>
  <c r="XEX2459" i="3"/>
  <c r="XEV2460" i="3"/>
  <c r="XEX2460" i="3"/>
  <c r="XEV2461" i="3"/>
  <c r="XEX2461" i="3"/>
  <c r="XEV2462" i="3"/>
  <c r="XEX2462" i="3"/>
  <c r="XEV2463" i="3"/>
  <c r="XEX2463" i="3"/>
  <c r="XEV2464" i="3"/>
  <c r="XEX2464" i="3"/>
  <c r="XEV2465" i="3"/>
  <c r="XEX2465" i="3"/>
  <c r="XEV2466" i="3"/>
  <c r="XEX2466" i="3"/>
  <c r="XEV2467" i="3"/>
  <c r="XEX2467" i="3"/>
  <c r="XEV2468" i="3"/>
  <c r="XEX2468" i="3"/>
  <c r="XEV2469" i="3"/>
  <c r="XEX2469" i="3"/>
  <c r="XEV2470" i="3"/>
  <c r="XEX2470" i="3"/>
  <c r="XEV2471" i="3"/>
  <c r="XEX2471" i="3"/>
  <c r="XEV2472" i="3"/>
  <c r="XEX2472" i="3"/>
  <c r="XEV2473" i="3"/>
  <c r="XEX2473" i="3"/>
  <c r="XEV2474" i="3"/>
  <c r="XEX2474" i="3"/>
  <c r="XEV2475" i="3"/>
  <c r="XEX2475" i="3"/>
  <c r="XEV2476" i="3"/>
  <c r="XEX2476" i="3"/>
  <c r="XEV2477" i="3"/>
  <c r="XEX2477" i="3"/>
  <c r="XEV2478" i="3"/>
  <c r="XEX2478" i="3"/>
  <c r="XEV2479" i="3"/>
  <c r="XEX2479" i="3"/>
  <c r="XEV2480" i="3"/>
  <c r="XEX2480" i="3"/>
  <c r="XEV2481" i="3"/>
  <c r="XEX2481" i="3"/>
  <c r="XEV2482" i="3"/>
  <c r="XEX2482" i="3"/>
  <c r="XEV2483" i="3"/>
  <c r="XEX2483" i="3"/>
  <c r="XEV2484" i="3"/>
  <c r="XEX2484" i="3"/>
  <c r="XEV2485" i="3"/>
  <c r="XEX2485" i="3"/>
  <c r="XEV2486" i="3"/>
  <c r="XEX2486" i="3"/>
  <c r="XEV2487" i="3"/>
  <c r="XEX2487" i="3"/>
  <c r="XEV2488" i="3"/>
  <c r="XEX2488" i="3"/>
  <c r="XEV2489" i="3"/>
  <c r="XEX2489" i="3"/>
  <c r="XEV2490" i="3"/>
  <c r="XEX2490" i="3"/>
  <c r="XEV2491" i="3"/>
  <c r="XEX2491" i="3"/>
  <c r="XEV2492" i="3"/>
  <c r="XEX2492" i="3"/>
  <c r="XEV2493" i="3"/>
  <c r="XEX2493" i="3"/>
  <c r="XEV2494" i="3"/>
  <c r="XEX2494" i="3"/>
  <c r="XEV2495" i="3"/>
  <c r="XEX2495" i="3"/>
  <c r="XEV2496" i="3"/>
  <c r="XEX2496" i="3"/>
  <c r="XEV2497" i="3"/>
  <c r="XEX2497" i="3"/>
  <c r="XEV2498" i="3"/>
  <c r="XEX2498" i="3"/>
  <c r="XEV2499" i="3"/>
  <c r="XEX2499" i="3"/>
  <c r="XEV2500" i="3"/>
  <c r="XEX2500" i="3"/>
  <c r="XEV2501" i="3"/>
  <c r="XEX2501" i="3"/>
  <c r="XEV2502" i="3"/>
  <c r="XEX2502" i="3"/>
  <c r="XEV2503" i="3"/>
  <c r="XEX2503" i="3"/>
  <c r="XEV2504" i="3"/>
  <c r="XEX2504" i="3"/>
  <c r="XEV2505" i="3"/>
  <c r="XEX2505" i="3"/>
  <c r="XEV2506" i="3"/>
  <c r="XEX2506" i="3"/>
  <c r="XEV2507" i="3"/>
  <c r="XEX2507" i="3"/>
  <c r="XEV2508" i="3"/>
  <c r="XEX2508" i="3"/>
  <c r="XEV2509" i="3"/>
  <c r="XEX2509" i="3"/>
  <c r="XEV2510" i="3"/>
  <c r="XEX2510" i="3"/>
  <c r="XEV2511" i="3"/>
  <c r="XEX2511" i="3"/>
  <c r="XEV2512" i="3"/>
  <c r="XEX2512" i="3"/>
  <c r="XEV2513" i="3"/>
  <c r="XEX2513" i="3"/>
  <c r="XEV2514" i="3"/>
  <c r="XEX2514" i="3"/>
  <c r="XEV2515" i="3"/>
  <c r="XEX2515" i="3"/>
  <c r="XEV2516" i="3"/>
  <c r="XEX2516" i="3"/>
  <c r="XEV2517" i="3"/>
  <c r="XEX2517" i="3"/>
  <c r="XEV2518" i="3"/>
  <c r="XEX2518" i="3"/>
  <c r="XEV2519" i="3"/>
  <c r="XEX2519" i="3"/>
  <c r="XEV2520" i="3"/>
  <c r="XEX2520" i="3"/>
  <c r="XEV2521" i="3"/>
  <c r="XEX2521" i="3"/>
  <c r="XEV2522" i="3"/>
  <c r="XEX2522" i="3"/>
  <c r="XEV2523" i="3"/>
  <c r="XEX2523" i="3"/>
  <c r="XEV2524" i="3"/>
  <c r="XEX2524" i="3"/>
  <c r="XEV2525" i="3"/>
  <c r="XEX2525" i="3"/>
  <c r="XEV2526" i="3"/>
  <c r="XEX2526" i="3"/>
  <c r="XEV2527" i="3"/>
  <c r="XEX2527" i="3"/>
  <c r="XEV2528" i="3"/>
  <c r="XEX2528" i="3"/>
  <c r="XEV2529" i="3"/>
  <c r="XEX2529" i="3"/>
  <c r="XEV2530" i="3"/>
  <c r="XEX2530" i="3"/>
  <c r="XEV2531" i="3"/>
  <c r="XEX2531" i="3"/>
  <c r="XEV2532" i="3"/>
  <c r="XEX2532" i="3"/>
  <c r="XEV2533" i="3"/>
  <c r="XEX2533" i="3"/>
  <c r="XEV2534" i="3"/>
  <c r="XEX2534" i="3"/>
  <c r="XEV2535" i="3"/>
  <c r="XEX2535" i="3"/>
  <c r="XEV2536" i="3"/>
  <c r="XEX2536" i="3"/>
  <c r="XEV2537" i="3"/>
  <c r="XEX2537" i="3"/>
  <c r="XEV2538" i="3"/>
  <c r="XEX2538" i="3"/>
  <c r="XEV2539" i="3"/>
  <c r="XEX2539" i="3"/>
  <c r="XEV2540" i="3"/>
  <c r="XEX2540" i="3"/>
  <c r="XEV2541" i="3"/>
  <c r="XEX2541" i="3"/>
  <c r="XEV2542" i="3"/>
  <c r="XEX2542" i="3"/>
  <c r="XEV2543" i="3"/>
  <c r="XEX2543" i="3"/>
  <c r="XEV2544" i="3"/>
  <c r="XEX2544" i="3"/>
  <c r="XEV2545" i="3"/>
  <c r="XEX2545" i="3"/>
  <c r="XEV2546" i="3"/>
  <c r="XEX2546" i="3"/>
  <c r="XEV2547" i="3"/>
  <c r="XEX2547" i="3"/>
  <c r="XEV2548" i="3"/>
  <c r="XEX2548" i="3"/>
  <c r="XEV2549" i="3"/>
  <c r="XEX2549" i="3"/>
  <c r="XEV2550" i="3"/>
  <c r="XEX2550" i="3"/>
  <c r="XEV2551" i="3"/>
  <c r="XEX2551" i="3"/>
  <c r="XEV2552" i="3"/>
  <c r="XEX2552" i="3"/>
  <c r="XEV2553" i="3"/>
  <c r="XEX2553" i="3"/>
  <c r="XEV2554" i="3"/>
  <c r="XEX2554" i="3"/>
  <c r="XEV2555" i="3"/>
  <c r="XEX2555" i="3"/>
  <c r="XEV2556" i="3"/>
  <c r="XEX2556" i="3"/>
  <c r="XEV2557" i="3"/>
  <c r="XEX2557" i="3"/>
  <c r="XEV2558" i="3"/>
  <c r="XEX2558" i="3"/>
  <c r="XEV2559" i="3"/>
  <c r="XEX2559" i="3"/>
  <c r="XEV2560" i="3"/>
  <c r="XEX2560" i="3"/>
  <c r="XEV2561" i="3"/>
  <c r="XEX2561" i="3"/>
  <c r="XEV2562" i="3"/>
  <c r="XEX2562" i="3"/>
  <c r="XEV2563" i="3"/>
  <c r="XEX2563" i="3"/>
  <c r="XEV2564" i="3"/>
  <c r="XEX2564" i="3"/>
  <c r="XEV2565" i="3"/>
  <c r="XEX2565" i="3"/>
  <c r="XEV2566" i="3"/>
  <c r="XEX2566" i="3"/>
  <c r="XEV2567" i="3"/>
  <c r="XEX2567" i="3"/>
  <c r="XEV2568" i="3"/>
  <c r="XEX2568" i="3"/>
  <c r="XEV2569" i="3"/>
  <c r="XEX2569" i="3"/>
  <c r="XEV2570" i="3"/>
  <c r="XEX2570" i="3"/>
  <c r="XEV2571" i="3"/>
  <c r="XEX2571" i="3"/>
  <c r="XEV2572" i="3"/>
  <c r="XEX2572" i="3"/>
  <c r="XEV2573" i="3"/>
  <c r="XEX2573" i="3"/>
  <c r="XEV2574" i="3"/>
  <c r="XEX2574" i="3"/>
  <c r="XEV2575" i="3"/>
  <c r="XEX2575" i="3"/>
  <c r="XEV2576" i="3"/>
  <c r="XEX2576" i="3"/>
  <c r="XEV2577" i="3"/>
  <c r="XEX2577" i="3"/>
  <c r="XEV2578" i="3"/>
  <c r="XEX2578" i="3"/>
  <c r="XEV2579" i="3"/>
  <c r="XEX2579" i="3"/>
  <c r="XEV2580" i="3"/>
  <c r="XEX2580" i="3"/>
  <c r="XEV2581" i="3"/>
  <c r="XEX2581" i="3"/>
  <c r="XEV2582" i="3"/>
  <c r="XEX2582" i="3"/>
  <c r="XEV2583" i="3"/>
  <c r="XEX2583" i="3"/>
  <c r="XEV2584" i="3"/>
  <c r="XEX2584" i="3"/>
  <c r="XEV2585" i="3"/>
  <c r="XEX2585" i="3"/>
  <c r="XEV2586" i="3"/>
  <c r="XEX2586" i="3"/>
  <c r="XEV2587" i="3"/>
  <c r="XEX2587" i="3"/>
  <c r="XEV2588" i="3"/>
  <c r="XEX2588" i="3"/>
  <c r="XEV2589" i="3"/>
  <c r="XEX2589" i="3"/>
  <c r="XEV2590" i="3"/>
  <c r="XEX2590" i="3"/>
  <c r="XEV2591" i="3"/>
  <c r="XEX2591" i="3"/>
  <c r="XEV2592" i="3"/>
  <c r="XEX2592" i="3"/>
  <c r="XEV2593" i="3"/>
  <c r="XEX2593" i="3"/>
  <c r="XEV2594" i="3"/>
  <c r="XEX2594" i="3"/>
  <c r="XEV2595" i="3"/>
  <c r="XEX2595" i="3"/>
  <c r="XEV2596" i="3"/>
  <c r="XEX2596" i="3"/>
  <c r="XEV2597" i="3"/>
  <c r="XEX2597" i="3"/>
  <c r="XEV2598" i="3"/>
  <c r="XEX2598" i="3"/>
  <c r="XEV2599" i="3"/>
  <c r="XEX2599" i="3"/>
  <c r="XEV2600" i="3"/>
  <c r="XEX2600" i="3"/>
  <c r="XEV2601" i="3"/>
  <c r="XEX2601" i="3"/>
  <c r="XEV2602" i="3"/>
  <c r="XEX2602" i="3"/>
  <c r="XEV2603" i="3"/>
  <c r="XEX2603" i="3"/>
  <c r="XEV2604" i="3"/>
  <c r="XEX2604" i="3"/>
  <c r="XEV2605" i="3"/>
  <c r="XEX2605" i="3"/>
  <c r="XEV2606" i="3"/>
  <c r="XEX2606" i="3"/>
  <c r="XEV2607" i="3"/>
  <c r="XEX2607" i="3"/>
  <c r="XEV2608" i="3"/>
  <c r="XEX2608" i="3"/>
  <c r="XEV2609" i="3"/>
  <c r="XEX2609" i="3"/>
  <c r="XEV2610" i="3"/>
  <c r="XEX2610" i="3"/>
  <c r="XEV2611" i="3"/>
  <c r="XEX2611" i="3"/>
  <c r="XEV2612" i="3"/>
  <c r="XEX2612" i="3"/>
  <c r="XEV2613" i="3"/>
  <c r="XEX2613" i="3"/>
  <c r="XEV2614" i="3"/>
  <c r="XEX2614" i="3"/>
  <c r="XEV2615" i="3"/>
  <c r="XEX2615" i="3"/>
  <c r="XEV2616" i="3"/>
  <c r="XEX2616" i="3"/>
  <c r="XEV2617" i="3"/>
  <c r="XEX2617" i="3"/>
  <c r="XEV2618" i="3"/>
  <c r="XEX2618" i="3"/>
  <c r="XEV2619" i="3"/>
  <c r="XEX2619" i="3"/>
  <c r="XEV2620" i="3"/>
  <c r="XEX2620" i="3"/>
  <c r="XEV2621" i="3"/>
  <c r="XEX2621" i="3"/>
  <c r="XEV2622" i="3"/>
  <c r="XEX2622" i="3"/>
  <c r="XEV2623" i="3"/>
  <c r="XEX2623" i="3"/>
  <c r="XEV2624" i="3"/>
  <c r="XEX2624" i="3"/>
  <c r="XEV2625" i="3"/>
  <c r="XEX2625" i="3"/>
  <c r="XEV2626" i="3"/>
  <c r="XEX2626" i="3"/>
  <c r="XEV2627" i="3"/>
  <c r="XEX2627" i="3"/>
  <c r="XEV2628" i="3"/>
  <c r="XEX2628" i="3"/>
  <c r="XEV2629" i="3"/>
  <c r="XEX2629" i="3"/>
  <c r="XEV2630" i="3"/>
  <c r="XEX2630" i="3"/>
  <c r="XEV2631" i="3"/>
  <c r="XEX2631" i="3"/>
  <c r="XEV2632" i="3"/>
  <c r="XEX2632" i="3"/>
  <c r="XEV2633" i="3"/>
  <c r="XEX2633" i="3"/>
  <c r="XEV2634" i="3"/>
  <c r="XEX2634" i="3"/>
  <c r="XEV2635" i="3"/>
  <c r="XEX2635" i="3"/>
  <c r="XEV2636" i="3"/>
  <c r="XEX2636" i="3"/>
  <c r="XEV2637" i="3"/>
  <c r="XEX2637" i="3"/>
  <c r="XEV2638" i="3"/>
  <c r="XEX2638" i="3"/>
  <c r="XEV2639" i="3"/>
  <c r="XEX2639" i="3"/>
  <c r="XEV2640" i="3"/>
  <c r="XEX2640" i="3"/>
  <c r="XEV2641" i="3"/>
  <c r="XEX2641" i="3"/>
  <c r="XEV2642" i="3"/>
  <c r="XEX2642" i="3"/>
  <c r="XEV2643" i="3"/>
  <c r="XEX2643" i="3"/>
  <c r="XEV2644" i="3"/>
  <c r="XEX2644" i="3"/>
  <c r="XEV2645" i="3"/>
  <c r="XEX2645" i="3"/>
  <c r="XEV2646" i="3"/>
  <c r="XEX2646" i="3"/>
  <c r="XEV2647" i="3"/>
  <c r="XEX2647" i="3"/>
  <c r="XEV2648" i="3"/>
  <c r="XEX2648" i="3"/>
  <c r="XEV2649" i="3"/>
  <c r="XEX2649" i="3"/>
  <c r="XEV2650" i="3"/>
  <c r="XEX2650" i="3"/>
  <c r="XEV2651" i="3"/>
  <c r="XEX2651" i="3"/>
  <c r="XEV2652" i="3"/>
  <c r="XEX2652" i="3"/>
  <c r="XEV2653" i="3"/>
  <c r="XEX2653" i="3"/>
  <c r="XEV2654" i="3"/>
  <c r="XEX2654" i="3"/>
  <c r="XEV2655" i="3"/>
  <c r="XEX2655" i="3"/>
  <c r="AI304" i="3"/>
  <c r="AF307" i="3"/>
  <c r="AG307" i="3"/>
  <c r="AH307" i="3"/>
  <c r="AI307" i="3"/>
  <c r="L76" i="10"/>
  <c r="F76" i="10"/>
  <c r="F75" i="10"/>
  <c r="P56" i="10"/>
  <c r="O47" i="10"/>
  <c r="P47" i="10" s="1"/>
  <c r="H61" i="10"/>
  <c r="H58" i="10"/>
  <c r="H57" i="10"/>
  <c r="H56" i="10"/>
  <c r="H54" i="10"/>
  <c r="H52" i="10"/>
  <c r="H51" i="10"/>
  <c r="F61" i="10"/>
  <c r="G61" i="10" s="1"/>
  <c r="E60" i="10"/>
  <c r="F60" i="10"/>
  <c r="E59" i="10"/>
  <c r="F59" i="10"/>
  <c r="E58" i="10"/>
  <c r="F58" i="10"/>
  <c r="I58" i="10"/>
  <c r="E57" i="10"/>
  <c r="F57" i="10"/>
  <c r="I57" i="10"/>
  <c r="E56" i="10"/>
  <c r="F56" i="10"/>
  <c r="I56" i="10"/>
  <c r="E55" i="10"/>
  <c r="F55" i="10"/>
  <c r="I55" i="10"/>
  <c r="E54" i="10"/>
  <c r="I54" i="10"/>
  <c r="F54" i="10"/>
  <c r="E53" i="10"/>
  <c r="F53" i="10"/>
  <c r="F52" i="10"/>
  <c r="E52" i="10"/>
  <c r="I51" i="10"/>
  <c r="F51" i="10"/>
  <c r="E51" i="10"/>
  <c r="I49" i="10"/>
  <c r="F49" i="10"/>
  <c r="E49" i="10"/>
  <c r="B42" i="10"/>
  <c r="B39" i="10"/>
  <c r="J94" i="10"/>
  <c r="J93" i="10"/>
  <c r="B89" i="10"/>
  <c r="B86" i="10"/>
  <c r="C24" i="10"/>
  <c r="C22" i="10"/>
  <c r="D19" i="10"/>
  <c r="M15" i="8" l="1"/>
  <c r="H28" i="7"/>
  <c r="N15" i="8" s="1"/>
  <c r="H21" i="7"/>
  <c r="N28" i="9" s="1"/>
  <c r="G54" i="10"/>
  <c r="M26" i="9"/>
  <c r="N26" i="9"/>
  <c r="G60" i="10"/>
  <c r="J60" i="10" s="1"/>
  <c r="J54" i="10"/>
  <c r="G55" i="10"/>
  <c r="J55" i="10" s="1"/>
  <c r="G57" i="10"/>
  <c r="J57" i="10" s="1"/>
  <c r="G59" i="10"/>
  <c r="J59" i="10" s="1"/>
  <c r="G51" i="10"/>
  <c r="J51" i="10" s="1"/>
  <c r="G52" i="10"/>
  <c r="J52" i="10" s="1"/>
  <c r="F78" i="10"/>
  <c r="F79" i="10" s="1"/>
  <c r="G49" i="10"/>
  <c r="J49" i="10" s="1"/>
  <c r="J61" i="10"/>
  <c r="G58" i="10"/>
  <c r="J58" i="10" s="1"/>
  <c r="G56" i="10"/>
  <c r="J56" i="10" s="1"/>
  <c r="G53" i="10"/>
  <c r="J53" i="10" s="1"/>
  <c r="L93" i="10"/>
  <c r="L94" i="10" s="1"/>
  <c r="J63" i="10" l="1"/>
  <c r="M93" i="10"/>
  <c r="M95" i="10" s="1"/>
  <c r="L95" i="10"/>
  <c r="N93" i="10" l="1"/>
  <c r="N95" i="10" s="1"/>
  <c r="M94" i="10"/>
  <c r="N94" i="10" l="1"/>
  <c r="O93" i="10"/>
  <c r="O94" i="10" s="1"/>
  <c r="O95" i="10" l="1"/>
  <c r="P93" i="10"/>
  <c r="P94" i="10" s="1"/>
  <c r="P95" i="10" l="1"/>
  <c r="M8" i="10" l="1"/>
  <c r="N8" i="10" s="1"/>
  <c r="O8" i="10" s="1"/>
  <c r="P8" i="10" s="1"/>
  <c r="J8" i="10"/>
  <c r="I8" i="10" s="1"/>
  <c r="H8" i="10" s="1"/>
  <c r="G8" i="10" s="1"/>
  <c r="F8" i="10" s="1"/>
  <c r="B5" i="10"/>
  <c r="B2" i="10"/>
  <c r="K36" i="4" l="1"/>
  <c r="L36" i="4"/>
  <c r="M36" i="4"/>
  <c r="N36" i="4"/>
  <c r="J36" i="4"/>
  <c r="F75" i="7"/>
  <c r="F74" i="7"/>
  <c r="F73" i="7"/>
  <c r="F549" i="8"/>
  <c r="F26" i="4" s="1"/>
  <c r="G549" i="8"/>
  <c r="G26" i="4" s="1"/>
  <c r="H549" i="8"/>
  <c r="H26" i="4" s="1"/>
  <c r="I549" i="8"/>
  <c r="I26" i="4" s="1"/>
  <c r="E549" i="8"/>
  <c r="E26" i="4" s="1"/>
  <c r="D548" i="8"/>
  <c r="D547" i="8"/>
  <c r="E544" i="8"/>
  <c r="E62" i="4" s="1"/>
  <c r="F544" i="8"/>
  <c r="F62" i="4" s="1"/>
  <c r="G544" i="8"/>
  <c r="G62" i="4" s="1"/>
  <c r="H544" i="8"/>
  <c r="H62" i="4" s="1"/>
  <c r="I544" i="8"/>
  <c r="J544" i="8" s="1"/>
  <c r="K544" i="8" s="1"/>
  <c r="L544" i="8" s="1"/>
  <c r="M544" i="8" s="1"/>
  <c r="N544" i="8" s="1"/>
  <c r="N62" i="4" s="1"/>
  <c r="F542" i="8"/>
  <c r="F27" i="4" s="1"/>
  <c r="G542" i="8"/>
  <c r="G27" i="4" s="1"/>
  <c r="H542" i="8"/>
  <c r="H27" i="4" s="1"/>
  <c r="I542" i="8"/>
  <c r="I27" i="4" s="1"/>
  <c r="E542" i="8"/>
  <c r="E27" i="4" s="1"/>
  <c r="C536" i="8"/>
  <c r="C535" i="8"/>
  <c r="C534" i="8"/>
  <c r="E532" i="8"/>
  <c r="E536" i="8" s="1"/>
  <c r="E95" i="4" s="1"/>
  <c r="F532" i="8"/>
  <c r="F536" i="8" s="1"/>
  <c r="F95" i="4" s="1"/>
  <c r="G532" i="8"/>
  <c r="G536" i="8" s="1"/>
  <c r="G95" i="4" s="1"/>
  <c r="H532" i="8"/>
  <c r="H536" i="8" s="1"/>
  <c r="H95" i="4" s="1"/>
  <c r="I532" i="8"/>
  <c r="I536" i="8" s="1"/>
  <c r="J536" i="8" s="1"/>
  <c r="E531" i="8"/>
  <c r="E535" i="8" s="1"/>
  <c r="E93" i="4" s="1"/>
  <c r="F531" i="8"/>
  <c r="F535" i="8" s="1"/>
  <c r="F93" i="4" s="1"/>
  <c r="G531" i="8"/>
  <c r="G535" i="8" s="1"/>
  <c r="G93" i="4" s="1"/>
  <c r="H531" i="8"/>
  <c r="H535" i="8" s="1"/>
  <c r="H93" i="4" s="1"/>
  <c r="I531" i="8"/>
  <c r="I535" i="8" s="1"/>
  <c r="E530" i="8"/>
  <c r="E534" i="8" s="1"/>
  <c r="E90" i="4" s="1"/>
  <c r="F530" i="8"/>
  <c r="F534" i="8" s="1"/>
  <c r="F90" i="4" s="1"/>
  <c r="G530" i="8"/>
  <c r="G534" i="8" s="1"/>
  <c r="G90" i="4" s="1"/>
  <c r="H530" i="8"/>
  <c r="H534" i="8" s="1"/>
  <c r="H90" i="4" s="1"/>
  <c r="I530" i="8"/>
  <c r="I534" i="8" s="1"/>
  <c r="J147" i="4"/>
  <c r="J516" i="8"/>
  <c r="J42" i="8"/>
  <c r="J54" i="8" s="1"/>
  <c r="J119" i="4" s="1"/>
  <c r="L23" i="10" s="1"/>
  <c r="E494" i="8"/>
  <c r="E517" i="8" s="1"/>
  <c r="E94" i="4" s="1"/>
  <c r="F494" i="8"/>
  <c r="F517" i="8" s="1"/>
  <c r="F94" i="4" s="1"/>
  <c r="G494" i="8"/>
  <c r="G517" i="8" s="1"/>
  <c r="G94" i="4" s="1"/>
  <c r="H494" i="8"/>
  <c r="H517" i="8" s="1"/>
  <c r="H94" i="4" s="1"/>
  <c r="I494" i="8"/>
  <c r="I517" i="8" s="1"/>
  <c r="I94" i="4" s="1"/>
  <c r="C494" i="8"/>
  <c r="K528" i="8"/>
  <c r="L528" i="8" s="1"/>
  <c r="M528" i="8" s="1"/>
  <c r="N528" i="8" s="1"/>
  <c r="I528" i="8"/>
  <c r="H528" i="8" s="1"/>
  <c r="G528" i="8" s="1"/>
  <c r="F528" i="8" s="1"/>
  <c r="E528" i="8" s="1"/>
  <c r="B525" i="8"/>
  <c r="B522" i="8"/>
  <c r="E495" i="8"/>
  <c r="E510" i="8" s="1"/>
  <c r="E98" i="4" s="1"/>
  <c r="F495" i="8"/>
  <c r="F510" i="8" s="1"/>
  <c r="F98" i="4" s="1"/>
  <c r="G495" i="8"/>
  <c r="G510" i="8" s="1"/>
  <c r="G98" i="4" s="1"/>
  <c r="H495" i="8"/>
  <c r="H510" i="8" s="1"/>
  <c r="H98" i="4" s="1"/>
  <c r="I495" i="8"/>
  <c r="I510" i="8" s="1"/>
  <c r="I98" i="4" s="1"/>
  <c r="C495" i="8"/>
  <c r="J497" i="8"/>
  <c r="J509" i="8" s="1"/>
  <c r="N498" i="8"/>
  <c r="N515" i="8" s="1"/>
  <c r="E493" i="8"/>
  <c r="E504" i="8" s="1"/>
  <c r="E96" i="4" s="1"/>
  <c r="F493" i="8"/>
  <c r="F504" i="8" s="1"/>
  <c r="F96" i="4" s="1"/>
  <c r="G493" i="8"/>
  <c r="G504" i="8" s="1"/>
  <c r="G96" i="4" s="1"/>
  <c r="H493" i="8"/>
  <c r="H504" i="8" s="1"/>
  <c r="H96" i="4" s="1"/>
  <c r="I493" i="8"/>
  <c r="I504" i="8" s="1"/>
  <c r="J502" i="8" s="1"/>
  <c r="K491" i="8"/>
  <c r="L491" i="8" s="1"/>
  <c r="M491" i="8" s="1"/>
  <c r="N491" i="8" s="1"/>
  <c r="I491" i="8"/>
  <c r="H491" i="8" s="1"/>
  <c r="G491" i="8" s="1"/>
  <c r="F491" i="8" s="1"/>
  <c r="E491" i="8" s="1"/>
  <c r="B488" i="8"/>
  <c r="B485" i="8"/>
  <c r="N119" i="4"/>
  <c r="P23" i="10" s="1"/>
  <c r="K42" i="8"/>
  <c r="K54" i="8" s="1"/>
  <c r="K119" i="4" s="1"/>
  <c r="M23" i="10" s="1"/>
  <c r="C40" i="8"/>
  <c r="E41" i="8"/>
  <c r="F41" i="8"/>
  <c r="G41" i="8"/>
  <c r="H41" i="8"/>
  <c r="W76" i="3"/>
  <c r="X76" i="3"/>
  <c r="Y76" i="3"/>
  <c r="Z76" i="3"/>
  <c r="W41" i="3"/>
  <c r="E42" i="8" s="1"/>
  <c r="E54" i="8" s="1"/>
  <c r="E119" i="4" s="1"/>
  <c r="F23" i="10" s="1"/>
  <c r="X41" i="3"/>
  <c r="F42" i="8" s="1"/>
  <c r="F54" i="8" s="1"/>
  <c r="F119" i="4" s="1"/>
  <c r="G23" i="10" s="1"/>
  <c r="Y41" i="3"/>
  <c r="G42" i="8" s="1"/>
  <c r="G54" i="8" s="1"/>
  <c r="G119" i="4" s="1"/>
  <c r="H23" i="10" s="1"/>
  <c r="Z41" i="3"/>
  <c r="Z77" i="3" s="1"/>
  <c r="AA40" i="3"/>
  <c r="AA39" i="3"/>
  <c r="AA38" i="3"/>
  <c r="AA37" i="3"/>
  <c r="AA41" i="3" s="1"/>
  <c r="K45" i="4" l="1"/>
  <c r="K46" i="4" s="1"/>
  <c r="L45" i="4"/>
  <c r="L46" i="4" s="1"/>
  <c r="M45" i="4"/>
  <c r="M46" i="4" s="1"/>
  <c r="N45" i="4"/>
  <c r="N46" i="4" s="1"/>
  <c r="J45" i="4"/>
  <c r="J46" i="4" s="1"/>
  <c r="G118" i="10" s="1"/>
  <c r="AA77" i="3"/>
  <c r="I42" i="8"/>
  <c r="I54" i="8" s="1"/>
  <c r="I119" i="4" s="1"/>
  <c r="J23" i="10" s="1"/>
  <c r="Y77" i="3"/>
  <c r="X77" i="3"/>
  <c r="H42" i="8"/>
  <c r="H54" i="8" s="1"/>
  <c r="H119" i="4" s="1"/>
  <c r="I23" i="10" s="1"/>
  <c r="W77" i="3"/>
  <c r="J62" i="4"/>
  <c r="M62" i="4"/>
  <c r="I62" i="4"/>
  <c r="L62" i="4"/>
  <c r="K62" i="4"/>
  <c r="I95" i="4"/>
  <c r="I90" i="4"/>
  <c r="J534" i="8"/>
  <c r="J535" i="8"/>
  <c r="I93" i="4"/>
  <c r="J95" i="4"/>
  <c r="K536" i="8"/>
  <c r="J514" i="8"/>
  <c r="J508" i="8"/>
  <c r="J510" i="8" s="1"/>
  <c r="I96" i="4"/>
  <c r="K498" i="8"/>
  <c r="K515" i="8" s="1"/>
  <c r="J498" i="8"/>
  <c r="J515" i="8" s="1"/>
  <c r="L42" i="8"/>
  <c r="M113" i="8"/>
  <c r="N113" i="8"/>
  <c r="L113" i="8"/>
  <c r="K113" i="8"/>
  <c r="J113" i="8"/>
  <c r="E130" i="8"/>
  <c r="E86" i="4" s="1"/>
  <c r="F130" i="8"/>
  <c r="F86" i="4" s="1"/>
  <c r="G130" i="8"/>
  <c r="G86" i="4" s="1"/>
  <c r="H130" i="8"/>
  <c r="H86" i="4" s="1"/>
  <c r="I130" i="8"/>
  <c r="I86" i="4" s="1"/>
  <c r="J517" i="8" l="1"/>
  <c r="K514" i="8" s="1"/>
  <c r="K517" i="8" s="1"/>
  <c r="J93" i="4"/>
  <c r="K535" i="8"/>
  <c r="L536" i="8"/>
  <c r="K95" i="4"/>
  <c r="K534" i="8"/>
  <c r="J90" i="4"/>
  <c r="J98" i="4"/>
  <c r="K508" i="8"/>
  <c r="M42" i="8"/>
  <c r="M54" i="8" s="1"/>
  <c r="L54" i="8"/>
  <c r="D462" i="8"/>
  <c r="E457" i="8"/>
  <c r="E463" i="8" s="1"/>
  <c r="F457" i="8"/>
  <c r="F463" i="8" s="1"/>
  <c r="K453" i="8"/>
  <c r="L453" i="8" s="1"/>
  <c r="M453" i="8" s="1"/>
  <c r="N453" i="8" s="1"/>
  <c r="I453" i="8"/>
  <c r="H453" i="8" s="1"/>
  <c r="G453" i="8" s="1"/>
  <c r="F453" i="8" s="1"/>
  <c r="E453" i="8" s="1"/>
  <c r="B450" i="8"/>
  <c r="B447" i="8"/>
  <c r="D436" i="8"/>
  <c r="D258" i="8"/>
  <c r="D252" i="8"/>
  <c r="F246" i="8"/>
  <c r="F253" i="8" s="1"/>
  <c r="G246" i="8"/>
  <c r="G253" i="8" s="1"/>
  <c r="H251" i="8" s="1"/>
  <c r="H246" i="8"/>
  <c r="H253" i="8" s="1"/>
  <c r="I246" i="8"/>
  <c r="I253" i="8" s="1"/>
  <c r="F247" i="8"/>
  <c r="F259" i="8" s="1"/>
  <c r="G257" i="8" s="1"/>
  <c r="G247" i="8"/>
  <c r="G259" i="8" s="1"/>
  <c r="H247" i="8"/>
  <c r="H259" i="8" s="1"/>
  <c r="I247" i="8"/>
  <c r="I259" i="8" s="1"/>
  <c r="J257" i="8" s="1"/>
  <c r="E247" i="8"/>
  <c r="E259" i="8" s="1"/>
  <c r="F257" i="8" s="1"/>
  <c r="E246" i="8"/>
  <c r="E253" i="8" s="1"/>
  <c r="F251" i="8" s="1"/>
  <c r="C247" i="8"/>
  <c r="C255" i="8" s="1"/>
  <c r="C246" i="8"/>
  <c r="C249" i="8" s="1"/>
  <c r="K244" i="8"/>
  <c r="L244" i="8" s="1"/>
  <c r="M244" i="8" s="1"/>
  <c r="N244" i="8" s="1"/>
  <c r="I244" i="8"/>
  <c r="H244" i="8" s="1"/>
  <c r="G244" i="8" s="1"/>
  <c r="F244" i="8" s="1"/>
  <c r="E244" i="8" s="1"/>
  <c r="B241" i="8"/>
  <c r="B238" i="8"/>
  <c r="Y166" i="3"/>
  <c r="G195" i="8" s="1"/>
  <c r="Z166" i="3"/>
  <c r="H195" i="8" s="1"/>
  <c r="AA166" i="3"/>
  <c r="I195" i="8" s="1"/>
  <c r="X166" i="3"/>
  <c r="F195" i="8" s="1"/>
  <c r="I176" i="8"/>
  <c r="I193" i="8" s="1"/>
  <c r="F176" i="8"/>
  <c r="F193" i="8" s="1"/>
  <c r="G176" i="8"/>
  <c r="G193" i="8" s="1"/>
  <c r="H176" i="8"/>
  <c r="H193" i="8" s="1"/>
  <c r="E212" i="8"/>
  <c r="E213" i="8"/>
  <c r="F213" i="8"/>
  <c r="F230" i="8" s="1"/>
  <c r="G213" i="8"/>
  <c r="G230" i="8" s="1"/>
  <c r="H213" i="8"/>
  <c r="H230" i="8" s="1"/>
  <c r="I213" i="8"/>
  <c r="I230" i="8" s="1"/>
  <c r="M70" i="7"/>
  <c r="D428" i="8" s="1"/>
  <c r="J421" i="8"/>
  <c r="E423" i="8"/>
  <c r="E437" i="8" s="1"/>
  <c r="F423" i="8"/>
  <c r="F437" i="8" s="1"/>
  <c r="K419" i="8"/>
  <c r="L419" i="8" s="1"/>
  <c r="M419" i="8" s="1"/>
  <c r="N419" i="8" s="1"/>
  <c r="I419" i="8"/>
  <c r="H419" i="8" s="1"/>
  <c r="G419" i="8" s="1"/>
  <c r="F419" i="8" s="1"/>
  <c r="E419" i="8" s="1"/>
  <c r="B416" i="8"/>
  <c r="B413" i="8"/>
  <c r="O65" i="7"/>
  <c r="J457" i="8" s="1"/>
  <c r="J462" i="8" s="1"/>
  <c r="J478" i="8" s="1"/>
  <c r="M65" i="7"/>
  <c r="J423" i="8" s="1"/>
  <c r="J436" i="8" s="1"/>
  <c r="O63" i="7"/>
  <c r="J456" i="8" s="1"/>
  <c r="M63" i="7"/>
  <c r="J422" i="8" s="1"/>
  <c r="O61" i="7"/>
  <c r="J455" i="8" s="1"/>
  <c r="J94" i="4" l="1"/>
  <c r="M536" i="8"/>
  <c r="L95" i="4"/>
  <c r="L535" i="8"/>
  <c r="K93" i="4"/>
  <c r="L534" i="8"/>
  <c r="K90" i="4"/>
  <c r="L514" i="8"/>
  <c r="K94" i="4"/>
  <c r="L119" i="4"/>
  <c r="N23" i="10" s="1"/>
  <c r="L498" i="8"/>
  <c r="L515" i="8" s="1"/>
  <c r="M119" i="4"/>
  <c r="O23" i="10" s="1"/>
  <c r="M498" i="8"/>
  <c r="M515" i="8" s="1"/>
  <c r="J470" i="8"/>
  <c r="J143" i="4" s="1"/>
  <c r="G258" i="8"/>
  <c r="F252" i="8"/>
  <c r="G251" i="8"/>
  <c r="G252" i="8" s="1"/>
  <c r="J251" i="8"/>
  <c r="H252" i="8"/>
  <c r="I251" i="8"/>
  <c r="I252" i="8" s="1"/>
  <c r="L258" i="8"/>
  <c r="M258" i="8"/>
  <c r="J258" i="8"/>
  <c r="J259" i="8" s="1"/>
  <c r="N258" i="8"/>
  <c r="K258" i="8"/>
  <c r="F258" i="8"/>
  <c r="H257" i="8"/>
  <c r="H258" i="8" s="1"/>
  <c r="I257" i="8"/>
  <c r="I258" i="8" s="1"/>
  <c r="J428" i="8"/>
  <c r="J442" i="8" s="1"/>
  <c r="J479" i="8" s="1"/>
  <c r="J146" i="4" s="1"/>
  <c r="O70" i="7"/>
  <c r="D470" i="8" s="1"/>
  <c r="B404" i="8"/>
  <c r="K402" i="8"/>
  <c r="L402" i="8"/>
  <c r="L120" i="4" s="1"/>
  <c r="N24" i="10" s="1"/>
  <c r="M402" i="8"/>
  <c r="M120" i="4" s="1"/>
  <c r="O24" i="10" s="1"/>
  <c r="N402" i="8"/>
  <c r="J402" i="8"/>
  <c r="J120" i="4" s="1"/>
  <c r="L24" i="10" s="1"/>
  <c r="F60" i="7"/>
  <c r="B57" i="7"/>
  <c r="B5" i="7"/>
  <c r="B55" i="7"/>
  <c r="B54" i="7"/>
  <c r="G401" i="8"/>
  <c r="G408" i="8" s="1"/>
  <c r="H401" i="8"/>
  <c r="H408" i="8" s="1"/>
  <c r="I401" i="8"/>
  <c r="I408" i="8" s="1"/>
  <c r="M534" i="8" l="1"/>
  <c r="L90" i="4"/>
  <c r="N536" i="8"/>
  <c r="N95" i="4" s="1"/>
  <c r="M95" i="4"/>
  <c r="L517" i="8"/>
  <c r="M535" i="8"/>
  <c r="L93" i="4"/>
  <c r="K407" i="8"/>
  <c r="K120" i="4"/>
  <c r="M24" i="10" s="1"/>
  <c r="N407" i="8"/>
  <c r="N120" i="4"/>
  <c r="P24" i="10" s="1"/>
  <c r="K257" i="8"/>
  <c r="K259" i="8" s="1"/>
  <c r="J213" i="8"/>
  <c r="J230" i="8" s="1"/>
  <c r="K252" i="8"/>
  <c r="J252" i="8"/>
  <c r="L252" i="8"/>
  <c r="M252" i="8"/>
  <c r="N252" i="8"/>
  <c r="J407" i="8"/>
  <c r="M407" i="8"/>
  <c r="L407" i="8"/>
  <c r="I74" i="4"/>
  <c r="J406" i="8"/>
  <c r="H74" i="4"/>
  <c r="I406" i="8"/>
  <c r="I407" i="8" s="1"/>
  <c r="H406" i="8"/>
  <c r="H407" i="8" s="1"/>
  <c r="G74" i="4"/>
  <c r="K399" i="8"/>
  <c r="L399" i="8" s="1"/>
  <c r="M399" i="8" s="1"/>
  <c r="N399" i="8" s="1"/>
  <c r="I399" i="8"/>
  <c r="H399" i="8" s="1"/>
  <c r="G399" i="8" s="1"/>
  <c r="F399" i="8" s="1"/>
  <c r="E399" i="8" s="1"/>
  <c r="B396" i="8"/>
  <c r="B393" i="8"/>
  <c r="M387" i="8"/>
  <c r="N387" i="8"/>
  <c r="C386" i="8"/>
  <c r="K382" i="8"/>
  <c r="K387" i="8" s="1"/>
  <c r="L382" i="8"/>
  <c r="L387" i="8" s="1"/>
  <c r="J382" i="8"/>
  <c r="J387" i="8" s="1"/>
  <c r="E382" i="8"/>
  <c r="E381" i="8"/>
  <c r="K379" i="8"/>
  <c r="L379" i="8" s="1"/>
  <c r="M379" i="8" s="1"/>
  <c r="N379" i="8" s="1"/>
  <c r="I379" i="8"/>
  <c r="H379" i="8" s="1"/>
  <c r="G379" i="8" s="1"/>
  <c r="F379" i="8" s="1"/>
  <c r="E379" i="8" s="1"/>
  <c r="B376" i="8"/>
  <c r="B373" i="8"/>
  <c r="E362" i="8"/>
  <c r="E367" i="8" s="1"/>
  <c r="F362" i="8"/>
  <c r="F367" i="8" s="1"/>
  <c r="G362" i="8"/>
  <c r="G367" i="8" s="1"/>
  <c r="H362" i="8"/>
  <c r="H367" i="8" s="1"/>
  <c r="I362" i="8"/>
  <c r="I367" i="8" s="1"/>
  <c r="J362" i="8" a="1"/>
  <c r="J362" i="8" s="1"/>
  <c r="J367" i="8" s="1"/>
  <c r="C366" i="8"/>
  <c r="K359" i="8"/>
  <c r="L359" i="8" s="1"/>
  <c r="M359" i="8" s="1"/>
  <c r="N359" i="8" s="1"/>
  <c r="I359" i="8"/>
  <c r="H359" i="8" s="1"/>
  <c r="G359" i="8" s="1"/>
  <c r="F359" i="8" s="1"/>
  <c r="E359" i="8" s="1"/>
  <c r="B356" i="8"/>
  <c r="B353" i="8"/>
  <c r="J343" i="8"/>
  <c r="K342" i="8"/>
  <c r="K347" i="8" s="1"/>
  <c r="J342" i="8"/>
  <c r="J347" i="8" s="1"/>
  <c r="K343" i="8"/>
  <c r="L343" i="8" s="1"/>
  <c r="M44" i="7"/>
  <c r="E341" i="8"/>
  <c r="E348" i="8" s="1"/>
  <c r="F341" i="8"/>
  <c r="F348" i="8" s="1"/>
  <c r="G345" i="8" s="1"/>
  <c r="G341" i="8"/>
  <c r="G348" i="8" s="1"/>
  <c r="H345" i="8" s="1"/>
  <c r="H341" i="8"/>
  <c r="H348" i="8" s="1"/>
  <c r="I345" i="8" s="1"/>
  <c r="I341" i="8"/>
  <c r="I348" i="8" s="1"/>
  <c r="C341" i="8"/>
  <c r="K339" i="8"/>
  <c r="L339" i="8" s="1"/>
  <c r="M339" i="8" s="1"/>
  <c r="N339" i="8" s="1"/>
  <c r="I339" i="8"/>
  <c r="H339" i="8" s="1"/>
  <c r="G339" i="8" s="1"/>
  <c r="F339" i="8" s="1"/>
  <c r="E339" i="8" s="1"/>
  <c r="B336" i="8"/>
  <c r="B333" i="8"/>
  <c r="N535" i="8" l="1"/>
  <c r="N93" i="4" s="1"/>
  <c r="M93" i="4"/>
  <c r="N534" i="8"/>
  <c r="N90" i="4" s="1"/>
  <c r="M90" i="4"/>
  <c r="M514" i="8"/>
  <c r="M517" i="8" s="1"/>
  <c r="L94" i="4"/>
  <c r="L257" i="8"/>
  <c r="L259" i="8" s="1"/>
  <c r="K213" i="8"/>
  <c r="K230" i="8" s="1"/>
  <c r="J408" i="8"/>
  <c r="K406" i="8" s="1"/>
  <c r="K408" i="8" s="1"/>
  <c r="L342" i="8"/>
  <c r="M347" i="8" s="1"/>
  <c r="F71" i="4"/>
  <c r="G71" i="4"/>
  <c r="J345" i="8"/>
  <c r="I71" i="4"/>
  <c r="F345" i="8"/>
  <c r="E71" i="4"/>
  <c r="H71" i="4"/>
  <c r="M362" i="8"/>
  <c r="M367" i="8" s="1"/>
  <c r="L362" i="8"/>
  <c r="L367" i="8" s="1"/>
  <c r="K362" i="8"/>
  <c r="K367" i="8" s="1"/>
  <c r="N362" i="8"/>
  <c r="N367" i="8" s="1"/>
  <c r="N347" i="8"/>
  <c r="C328" i="8"/>
  <c r="C327" i="8"/>
  <c r="C326" i="8"/>
  <c r="K319" i="8"/>
  <c r="L319" i="8" s="1"/>
  <c r="M319" i="8" s="1"/>
  <c r="N319" i="8" s="1"/>
  <c r="I319" i="8"/>
  <c r="H319" i="8" s="1"/>
  <c r="G319" i="8" s="1"/>
  <c r="F319" i="8" s="1"/>
  <c r="E319" i="8" s="1"/>
  <c r="B316" i="8"/>
  <c r="B313" i="8"/>
  <c r="N514" i="8" l="1"/>
  <c r="M94" i="4"/>
  <c r="M257" i="8"/>
  <c r="M259" i="8" s="1"/>
  <c r="L213" i="8"/>
  <c r="L230" i="8" s="1"/>
  <c r="J74" i="4"/>
  <c r="L347" i="8"/>
  <c r="L406" i="8"/>
  <c r="L408" i="8" s="1"/>
  <c r="K74" i="4"/>
  <c r="O28" i="7"/>
  <c r="D307" i="8" s="1"/>
  <c r="J298" i="8" a="1"/>
  <c r="K298" i="8" s="1"/>
  <c r="L145" i="4" s="1"/>
  <c r="E298" i="8"/>
  <c r="F298" i="8"/>
  <c r="G298" i="8"/>
  <c r="H298" i="8"/>
  <c r="I298" i="8"/>
  <c r="J145" i="4" s="1"/>
  <c r="N517" i="8" l="1"/>
  <c r="N94" i="4" s="1"/>
  <c r="N257" i="8"/>
  <c r="N259" i="8" s="1"/>
  <c r="N213" i="8" s="1"/>
  <c r="N230" i="8" s="1"/>
  <c r="M213" i="8"/>
  <c r="M230" i="8" s="1"/>
  <c r="M406" i="8"/>
  <c r="M408" i="8" s="1"/>
  <c r="L74" i="4"/>
  <c r="K125" i="8"/>
  <c r="K301" i="8"/>
  <c r="L298" i="8"/>
  <c r="M145" i="4" s="1"/>
  <c r="N298" i="8"/>
  <c r="J298" i="8"/>
  <c r="K145" i="4" s="1"/>
  <c r="M298" i="8"/>
  <c r="N145" i="4" s="1"/>
  <c r="N406" i="8" l="1"/>
  <c r="N408" i="8" s="1"/>
  <c r="N74" i="4" s="1"/>
  <c r="M74" i="4"/>
  <c r="M125" i="8"/>
  <c r="M301" i="8"/>
  <c r="J301" i="8"/>
  <c r="J125" i="8"/>
  <c r="N301" i="8"/>
  <c r="N125" i="8"/>
  <c r="L125" i="8"/>
  <c r="L301" i="8"/>
  <c r="F289" i="8"/>
  <c r="F291" i="8"/>
  <c r="G291" i="8"/>
  <c r="H291" i="8"/>
  <c r="I291" i="8"/>
  <c r="G289" i="8"/>
  <c r="H289" i="8"/>
  <c r="I289" i="8"/>
  <c r="F292" i="8"/>
  <c r="F70" i="4" s="1"/>
  <c r="G292" i="8"/>
  <c r="H292" i="8"/>
  <c r="I292" i="8"/>
  <c r="E292" i="8"/>
  <c r="E70" i="4" s="1"/>
  <c r="D279" i="8"/>
  <c r="D277" i="8"/>
  <c r="L274" i="8"/>
  <c r="M274" i="8"/>
  <c r="N274" i="8"/>
  <c r="J274" i="8"/>
  <c r="K274" i="8"/>
  <c r="J215" i="8"/>
  <c r="K215" i="8"/>
  <c r="L215" i="8"/>
  <c r="M215" i="8"/>
  <c r="N215" i="8"/>
  <c r="E272" i="8"/>
  <c r="F272" i="8"/>
  <c r="G272" i="8"/>
  <c r="H272" i="8"/>
  <c r="I272" i="8"/>
  <c r="I288" i="8" l="1"/>
  <c r="I290" i="8" s="1"/>
  <c r="H70" i="4"/>
  <c r="H288" i="8"/>
  <c r="G70" i="4"/>
  <c r="J288" i="8"/>
  <c r="J277" i="8" s="1"/>
  <c r="I70" i="4"/>
  <c r="H290" i="8"/>
  <c r="K270" i="8"/>
  <c r="I270" i="8"/>
  <c r="H270" i="8" s="1"/>
  <c r="G270" i="8" s="1"/>
  <c r="F270" i="8" s="1"/>
  <c r="E270" i="8" s="1"/>
  <c r="B267" i="8"/>
  <c r="B264" i="8"/>
  <c r="L270" i="8" l="1"/>
  <c r="M270" i="8" s="1"/>
  <c r="N270" i="8" s="1"/>
  <c r="C280" i="8" a="1"/>
  <c r="K277" i="8"/>
  <c r="D220" i="8"/>
  <c r="D218" i="8"/>
  <c r="AD175" i="3"/>
  <c r="AC175" i="3"/>
  <c r="C214" i="8"/>
  <c r="X179" i="3"/>
  <c r="F232" i="8" s="1"/>
  <c r="Y179" i="3"/>
  <c r="G232" i="8" s="1"/>
  <c r="Z179" i="3"/>
  <c r="H232" i="8" s="1"/>
  <c r="AA179" i="3"/>
  <c r="I232" i="8" s="1"/>
  <c r="K210" i="8"/>
  <c r="L210" i="8" s="1"/>
  <c r="M210" i="8" s="1"/>
  <c r="N210" i="8" s="1"/>
  <c r="I210" i="8"/>
  <c r="H210" i="8" s="1"/>
  <c r="G210" i="8" s="1"/>
  <c r="F210" i="8" s="1"/>
  <c r="E210" i="8" s="1"/>
  <c r="B207" i="8"/>
  <c r="B204" i="8"/>
  <c r="F197" i="8"/>
  <c r="G197" i="8"/>
  <c r="H197" i="8"/>
  <c r="I197" i="8"/>
  <c r="F198" i="8"/>
  <c r="G198" i="8"/>
  <c r="H198" i="8"/>
  <c r="I198" i="8"/>
  <c r="J198" i="8" s="1"/>
  <c r="K198" i="8" s="1"/>
  <c r="L198" i="8" s="1"/>
  <c r="M198" i="8" s="1"/>
  <c r="N198" i="8" s="1"/>
  <c r="C198" i="8"/>
  <c r="C197" i="8"/>
  <c r="D183" i="8"/>
  <c r="D181" i="8"/>
  <c r="L178" i="8"/>
  <c r="M178" i="8"/>
  <c r="N178" i="8"/>
  <c r="K178" i="8"/>
  <c r="J178" i="8"/>
  <c r="X158" i="3"/>
  <c r="X159" i="3" s="1"/>
  <c r="F159" i="3" s="1"/>
  <c r="Y158" i="3"/>
  <c r="Y159" i="3" s="1"/>
  <c r="G159" i="3" s="1"/>
  <c r="Z158" i="3"/>
  <c r="Z159" i="3" s="1"/>
  <c r="H159" i="3" s="1"/>
  <c r="AA158" i="3"/>
  <c r="AA159" i="3" s="1"/>
  <c r="I159" i="3" s="1"/>
  <c r="J92" i="4"/>
  <c r="K92" i="4" s="1"/>
  <c r="L92" i="4" s="1"/>
  <c r="M92" i="4" s="1"/>
  <c r="N92" i="4" s="1"/>
  <c r="C221" i="8" l="1" a="1"/>
  <c r="C221" i="8" s="1"/>
  <c r="C280" i="8"/>
  <c r="C282" i="8"/>
  <c r="C281" i="8"/>
  <c r="C284" i="8"/>
  <c r="C283" i="8"/>
  <c r="L277" i="8"/>
  <c r="J197" i="8"/>
  <c r="K197" i="8" s="1"/>
  <c r="L197" i="8" s="1"/>
  <c r="M197" i="8" s="1"/>
  <c r="N197" i="8" s="1"/>
  <c r="G163" i="3"/>
  <c r="H163" i="3"/>
  <c r="I163" i="3"/>
  <c r="G164" i="3"/>
  <c r="H164" i="3"/>
  <c r="I164" i="3"/>
  <c r="I239" i="3"/>
  <c r="K173" i="8"/>
  <c r="I173" i="8"/>
  <c r="H173" i="8" s="1"/>
  <c r="G173" i="8" s="1"/>
  <c r="F173" i="8" s="1"/>
  <c r="E173" i="8" s="1"/>
  <c r="B170" i="8"/>
  <c r="B167" i="8"/>
  <c r="D150" i="8"/>
  <c r="D148" i="8"/>
  <c r="C144" i="8"/>
  <c r="E143" i="8"/>
  <c r="K141" i="8"/>
  <c r="L141" i="8" s="1"/>
  <c r="M141" i="8" s="1"/>
  <c r="N141" i="8" s="1"/>
  <c r="I141" i="8"/>
  <c r="H141" i="8" s="1"/>
  <c r="G141" i="8" s="1"/>
  <c r="F141" i="8" s="1"/>
  <c r="E141" i="8" s="1"/>
  <c r="B138" i="8"/>
  <c r="B135" i="8"/>
  <c r="K101" i="8"/>
  <c r="M106" i="8"/>
  <c r="N106" i="8"/>
  <c r="M107" i="8"/>
  <c r="N107" i="8"/>
  <c r="M109" i="8"/>
  <c r="N109" i="8"/>
  <c r="M110" i="8"/>
  <c r="N110" i="8"/>
  <c r="L110" i="8"/>
  <c r="L109" i="8"/>
  <c r="L107" i="8"/>
  <c r="L106" i="8"/>
  <c r="K106" i="8"/>
  <c r="K107" i="8"/>
  <c r="K109" i="8"/>
  <c r="K110" i="8"/>
  <c r="J109" i="8"/>
  <c r="J110" i="8"/>
  <c r="J107" i="8"/>
  <c r="J106" i="8"/>
  <c r="M101" i="8"/>
  <c r="N101" i="8"/>
  <c r="M102" i="8"/>
  <c r="N102" i="8"/>
  <c r="M103" i="8"/>
  <c r="N103" i="8"/>
  <c r="K102" i="8"/>
  <c r="K103" i="8"/>
  <c r="J102" i="8"/>
  <c r="J103" i="8"/>
  <c r="J101" i="8"/>
  <c r="L101" i="8"/>
  <c r="L102" i="8"/>
  <c r="L103" i="8"/>
  <c r="J13" i="7"/>
  <c r="E125" i="8"/>
  <c r="F125" i="8"/>
  <c r="G125" i="8"/>
  <c r="H125" i="8"/>
  <c r="I125" i="8"/>
  <c r="C108" i="8"/>
  <c r="E123" i="8"/>
  <c r="E79" i="4" s="1"/>
  <c r="F123" i="8"/>
  <c r="G123" i="8"/>
  <c r="G79" i="4" s="1"/>
  <c r="H123" i="8"/>
  <c r="H79" i="4" s="1"/>
  <c r="I123" i="8"/>
  <c r="I79" i="4" s="1"/>
  <c r="E126" i="8"/>
  <c r="F126" i="8"/>
  <c r="F81" i="4" s="1"/>
  <c r="G126" i="8"/>
  <c r="G81" i="4" s="1"/>
  <c r="H126" i="8"/>
  <c r="I126" i="8"/>
  <c r="E127" i="8"/>
  <c r="E82" i="4" s="1"/>
  <c r="F127" i="8"/>
  <c r="F82" i="4" s="1"/>
  <c r="G127" i="8"/>
  <c r="G82" i="4" s="1"/>
  <c r="H127" i="8"/>
  <c r="H82" i="4" s="1"/>
  <c r="I127" i="8"/>
  <c r="I82" i="4" s="1"/>
  <c r="E118" i="8"/>
  <c r="E63" i="4" s="1"/>
  <c r="F118" i="8"/>
  <c r="F63" i="4" s="1"/>
  <c r="G118" i="8"/>
  <c r="H118" i="8"/>
  <c r="I118" i="8"/>
  <c r="I63" i="4" s="1"/>
  <c r="C106" i="8"/>
  <c r="J14" i="7" s="1"/>
  <c r="C107" i="8"/>
  <c r="J15" i="7" s="1"/>
  <c r="C109" i="8"/>
  <c r="J16" i="7" s="1"/>
  <c r="C110" i="8"/>
  <c r="J17" i="7" s="1"/>
  <c r="C101" i="8"/>
  <c r="C102" i="8"/>
  <c r="C103" i="8"/>
  <c r="J93" i="8"/>
  <c r="K91" i="8"/>
  <c r="L91" i="8" s="1"/>
  <c r="M91" i="8" s="1"/>
  <c r="N91" i="8" s="1"/>
  <c r="N93" i="8" s="1"/>
  <c r="I91" i="8"/>
  <c r="H91" i="8" s="1"/>
  <c r="G91" i="8" s="1"/>
  <c r="F91" i="8" s="1"/>
  <c r="E91" i="8" s="1"/>
  <c r="E93" i="8" s="1"/>
  <c r="B88" i="8"/>
  <c r="B85" i="8"/>
  <c r="C222" i="8" l="1"/>
  <c r="C223" i="8"/>
  <c r="C225" i="8"/>
  <c r="C224" i="8"/>
  <c r="L173" i="8"/>
  <c r="M173" i="8" s="1"/>
  <c r="N173" i="8" s="1"/>
  <c r="M277" i="8"/>
  <c r="C151" i="8" a="1"/>
  <c r="C151" i="8" s="1"/>
  <c r="I81" i="4"/>
  <c r="E81" i="4"/>
  <c r="H63" i="4"/>
  <c r="F79" i="4"/>
  <c r="H81" i="4"/>
  <c r="G63" i="4"/>
  <c r="F93" i="8"/>
  <c r="G93" i="8"/>
  <c r="I93" i="8"/>
  <c r="K93" i="8"/>
  <c r="M93" i="8"/>
  <c r="L93" i="8"/>
  <c r="H93" i="8"/>
  <c r="Q9" i="9"/>
  <c r="J28" i="4"/>
  <c r="K28" i="4"/>
  <c r="L28" i="4"/>
  <c r="M28" i="4"/>
  <c r="N28" i="4"/>
  <c r="J34" i="4"/>
  <c r="E45" i="7"/>
  <c r="F45" i="7" l="1"/>
  <c r="L34" i="4" s="1"/>
  <c r="K497" i="8"/>
  <c r="K509" i="8" s="1"/>
  <c r="K510" i="8" s="1"/>
  <c r="C184" i="8" a="1"/>
  <c r="C184" i="8" s="1"/>
  <c r="C155" i="8"/>
  <c r="C154" i="8"/>
  <c r="C152" i="8"/>
  <c r="N277" i="8"/>
  <c r="C153" i="8"/>
  <c r="K34" i="4"/>
  <c r="J19" i="4"/>
  <c r="K19" i="4"/>
  <c r="L19" i="4"/>
  <c r="M19" i="4"/>
  <c r="N19" i="4"/>
  <c r="K98" i="4" l="1"/>
  <c r="L508" i="8"/>
  <c r="G45" i="7"/>
  <c r="L497" i="8"/>
  <c r="L509" i="8" s="1"/>
  <c r="C185" i="8"/>
  <c r="C186" i="8"/>
  <c r="C188" i="8"/>
  <c r="C187" i="8"/>
  <c r="D39" i="7"/>
  <c r="E39" i="7" s="1"/>
  <c r="F39" i="7" s="1"/>
  <c r="G39" i="7" s="1"/>
  <c r="H39" i="7" s="1"/>
  <c r="J76" i="8"/>
  <c r="J77" i="8"/>
  <c r="N76" i="8"/>
  <c r="E42" i="7"/>
  <c r="F42" i="7" s="1"/>
  <c r="G42" i="7" s="1"/>
  <c r="H42" i="7" s="1"/>
  <c r="N77" i="8" s="1"/>
  <c r="C74" i="8"/>
  <c r="E71" i="8"/>
  <c r="E79" i="8" s="1"/>
  <c r="E17" i="4" s="1"/>
  <c r="F71" i="8"/>
  <c r="F79" i="8" s="1"/>
  <c r="F17" i="4" s="1"/>
  <c r="G71" i="8"/>
  <c r="G79" i="8" s="1"/>
  <c r="G17" i="4" s="1"/>
  <c r="H71" i="8"/>
  <c r="H79" i="8" s="1"/>
  <c r="H17" i="4" s="1"/>
  <c r="I71" i="8"/>
  <c r="I79" i="8" s="1"/>
  <c r="I17" i="4" s="1"/>
  <c r="E72" i="8"/>
  <c r="E80" i="8" s="1"/>
  <c r="F72" i="8"/>
  <c r="F80" i="8" s="1"/>
  <c r="G72" i="8"/>
  <c r="G80" i="8" s="1"/>
  <c r="H72" i="8"/>
  <c r="H80" i="8" s="1"/>
  <c r="H96" i="8" s="1"/>
  <c r="I72" i="8"/>
  <c r="I80" i="8" s="1"/>
  <c r="C73" i="8"/>
  <c r="C72" i="8"/>
  <c r="C80" i="8" s="1"/>
  <c r="C96" i="8" s="1"/>
  <c r="C71" i="8"/>
  <c r="C79" i="8" s="1"/>
  <c r="K69" i="8"/>
  <c r="L69" i="8" s="1"/>
  <c r="M69" i="8" s="1"/>
  <c r="N69" i="8" s="1"/>
  <c r="I69" i="8"/>
  <c r="H69" i="8" s="1"/>
  <c r="G69" i="8" s="1"/>
  <c r="F69" i="8" s="1"/>
  <c r="E69" i="8" s="1"/>
  <c r="B66" i="8"/>
  <c r="B63" i="8"/>
  <c r="L510" i="8" l="1"/>
  <c r="L98" i="4"/>
  <c r="M508" i="8"/>
  <c r="H45" i="7"/>
  <c r="M497" i="8"/>
  <c r="M509" i="8" s="1"/>
  <c r="M34" i="4"/>
  <c r="M77" i="8"/>
  <c r="G96" i="8"/>
  <c r="G18" i="4"/>
  <c r="F96" i="8"/>
  <c r="F18" i="4"/>
  <c r="I96" i="8"/>
  <c r="I18" i="4"/>
  <c r="E96" i="8"/>
  <c r="E18" i="4"/>
  <c r="H18" i="4"/>
  <c r="M76" i="8"/>
  <c r="L76" i="8"/>
  <c r="L77" i="8"/>
  <c r="K77" i="8"/>
  <c r="K76" i="8"/>
  <c r="C55" i="8"/>
  <c r="C53" i="8"/>
  <c r="I57" i="8"/>
  <c r="H57" i="8"/>
  <c r="G57" i="8"/>
  <c r="F57" i="8"/>
  <c r="E57" i="8"/>
  <c r="I56" i="8"/>
  <c r="I177" i="8" s="1"/>
  <c r="H56" i="8"/>
  <c r="H177" i="8" s="1"/>
  <c r="G56" i="8"/>
  <c r="G177" i="8" s="1"/>
  <c r="F56" i="8"/>
  <c r="F177" i="8" s="1"/>
  <c r="E56" i="8"/>
  <c r="B50" i="8"/>
  <c r="B51" i="8"/>
  <c r="B52" i="8"/>
  <c r="B53" i="8"/>
  <c r="B55" i="8"/>
  <c r="B56" i="8"/>
  <c r="B57" i="8"/>
  <c r="B58" i="8"/>
  <c r="B5" i="8"/>
  <c r="B35" i="8"/>
  <c r="B109" i="4"/>
  <c r="B54" i="4"/>
  <c r="B5" i="4"/>
  <c r="Q8" i="9"/>
  <c r="N5" i="9" s="1"/>
  <c r="Q7" i="9"/>
  <c r="L27" i="9"/>
  <c r="M27" i="9"/>
  <c r="N27" i="9"/>
  <c r="J27" i="9"/>
  <c r="K27" i="9"/>
  <c r="C44" i="8"/>
  <c r="E53" i="8"/>
  <c r="F53" i="8"/>
  <c r="G53" i="8"/>
  <c r="H53" i="8"/>
  <c r="C52" i="8"/>
  <c r="K38" i="8"/>
  <c r="L38" i="8" s="1"/>
  <c r="M38" i="8" s="1"/>
  <c r="N38" i="8" s="1"/>
  <c r="I38" i="8"/>
  <c r="H38" i="8" s="1"/>
  <c r="G38" i="8" s="1"/>
  <c r="F38" i="8" s="1"/>
  <c r="E38" i="8" s="1"/>
  <c r="B32" i="8"/>
  <c r="D33" i="9" a="1"/>
  <c r="D33" i="9" s="1"/>
  <c r="D19" i="9" a="1"/>
  <c r="D19" i="9" s="1"/>
  <c r="J29" i="9"/>
  <c r="J26" i="9"/>
  <c r="K8" i="9"/>
  <c r="L8" i="9" s="1"/>
  <c r="M8" i="9" s="1"/>
  <c r="N8" i="9" s="1"/>
  <c r="I8" i="9"/>
  <c r="H8" i="9" s="1"/>
  <c r="G8" i="9" s="1"/>
  <c r="F8" i="9" s="1"/>
  <c r="E8" i="9" s="1"/>
  <c r="B3" i="9"/>
  <c r="B2" i="9"/>
  <c r="C15" i="8"/>
  <c r="C14" i="8"/>
  <c r="C28" i="7"/>
  <c r="C27" i="7"/>
  <c r="C23" i="7"/>
  <c r="C20" i="7"/>
  <c r="I26" i="8"/>
  <c r="Z25" i="12" s="1"/>
  <c r="H26" i="8"/>
  <c r="Y25" i="12" s="1"/>
  <c r="G26" i="8"/>
  <c r="X25" i="12" s="1"/>
  <c r="F26" i="8"/>
  <c r="W25" i="12" s="1"/>
  <c r="E26" i="8"/>
  <c r="V25" i="12" s="1"/>
  <c r="I25" i="8"/>
  <c r="Z24" i="12" s="1"/>
  <c r="H25" i="8"/>
  <c r="Y24" i="12" s="1"/>
  <c r="G25" i="8"/>
  <c r="X24" i="12" s="1"/>
  <c r="F25" i="8"/>
  <c r="W24" i="12" s="1"/>
  <c r="E25" i="8"/>
  <c r="V24" i="12" s="1"/>
  <c r="E22" i="8"/>
  <c r="F22" i="8"/>
  <c r="G22" i="8"/>
  <c r="H22" i="8"/>
  <c r="I22" i="8"/>
  <c r="E23" i="8"/>
  <c r="V23" i="12" s="1"/>
  <c r="F23" i="8"/>
  <c r="W23" i="12" s="1"/>
  <c r="G23" i="8"/>
  <c r="X23" i="12" s="1"/>
  <c r="H23" i="8"/>
  <c r="Y23" i="12" s="1"/>
  <c r="I23" i="8"/>
  <c r="Z23" i="12" s="1"/>
  <c r="C11" i="8"/>
  <c r="C10" i="8"/>
  <c r="W65" i="3"/>
  <c r="E11" i="8" s="1"/>
  <c r="X65" i="3"/>
  <c r="F11" i="8" s="1"/>
  <c r="Y65" i="3"/>
  <c r="G11" i="8" s="1"/>
  <c r="AG90" i="3"/>
  <c r="AG81" i="3"/>
  <c r="K8" i="8"/>
  <c r="L8" i="8" s="1"/>
  <c r="M8" i="8" s="1"/>
  <c r="N8" i="8" s="1"/>
  <c r="I8" i="8"/>
  <c r="H8" i="8" s="1"/>
  <c r="G8" i="8" s="1"/>
  <c r="F8" i="8" s="1"/>
  <c r="E8" i="8" s="1"/>
  <c r="B2" i="8"/>
  <c r="H144" i="8" l="1"/>
  <c r="Y22" i="12"/>
  <c r="F144" i="8"/>
  <c r="W22" i="12"/>
  <c r="E144" i="8"/>
  <c r="E145" i="8" s="1"/>
  <c r="V22" i="12"/>
  <c r="I144" i="8"/>
  <c r="Z22" i="12"/>
  <c r="M510" i="8"/>
  <c r="G144" i="8"/>
  <c r="X22" i="12"/>
  <c r="U5" i="11"/>
  <c r="U41" i="11"/>
  <c r="P89" i="10"/>
  <c r="P42" i="10"/>
  <c r="P5" i="10"/>
  <c r="N488" i="8"/>
  <c r="N525" i="8"/>
  <c r="N450" i="8"/>
  <c r="N416" i="8"/>
  <c r="N241" i="8"/>
  <c r="O5" i="7"/>
  <c r="O57" i="7"/>
  <c r="N356" i="8"/>
  <c r="N336" i="8"/>
  <c r="N376" i="8"/>
  <c r="N396" i="8"/>
  <c r="N316" i="8"/>
  <c r="N267" i="8"/>
  <c r="N207" i="8"/>
  <c r="N34" i="4"/>
  <c r="N497" i="8"/>
  <c r="N509" i="8" s="1"/>
  <c r="N508" i="8"/>
  <c r="M98" i="4"/>
  <c r="N138" i="8"/>
  <c r="N170" i="8"/>
  <c r="N88" i="8"/>
  <c r="F45" i="8"/>
  <c r="I46" i="8"/>
  <c r="H45" i="8"/>
  <c r="I45" i="8"/>
  <c r="H46" i="8"/>
  <c r="G45" i="8"/>
  <c r="F46" i="8"/>
  <c r="G46" i="8"/>
  <c r="C22" i="2"/>
  <c r="N66" i="8"/>
  <c r="J19" i="9"/>
  <c r="J33" i="9"/>
  <c r="J12" i="9" s="1"/>
  <c r="J13" i="8" s="1"/>
  <c r="J10" i="8" s="1"/>
  <c r="E29" i="9"/>
  <c r="F15" i="8"/>
  <c r="H14" i="8"/>
  <c r="G15" i="8"/>
  <c r="G29" i="9"/>
  <c r="G22" i="9" s="1"/>
  <c r="I14" i="8"/>
  <c r="H15" i="8"/>
  <c r="F29" i="9"/>
  <c r="F14" i="8"/>
  <c r="I15" i="8"/>
  <c r="N54" i="4"/>
  <c r="N35" i="8"/>
  <c r="N109" i="4"/>
  <c r="N5" i="8"/>
  <c r="N5" i="4"/>
  <c r="K33" i="9"/>
  <c r="K12" i="9" s="1"/>
  <c r="K13" i="8" s="1"/>
  <c r="K19" i="9"/>
  <c r="L33" i="9"/>
  <c r="L12" i="9" s="1"/>
  <c r="L13" i="8" s="1"/>
  <c r="L19" i="9"/>
  <c r="G14" i="8"/>
  <c r="D35" i="9"/>
  <c r="D34" i="9"/>
  <c r="D36" i="9"/>
  <c r="D21" i="9"/>
  <c r="D20" i="9"/>
  <c r="D22" i="9"/>
  <c r="G24" i="8"/>
  <c r="F24" i="8"/>
  <c r="I24" i="8"/>
  <c r="H24" i="8"/>
  <c r="E24" i="8"/>
  <c r="L74" i="8" l="1"/>
  <c r="L80" i="8" s="1"/>
  <c r="L18" i="4" s="1"/>
  <c r="L10" i="8"/>
  <c r="L11" i="8"/>
  <c r="K11" i="8"/>
  <c r="K10" i="8"/>
  <c r="N510" i="8"/>
  <c r="N98" i="4" s="1"/>
  <c r="E27" i="8"/>
  <c r="E94" i="8" s="1"/>
  <c r="E113" i="8" s="1"/>
  <c r="E214" i="8"/>
  <c r="E215" i="8" s="1"/>
  <c r="G27" i="8"/>
  <c r="G94" i="8" s="1"/>
  <c r="G113" i="8" s="1"/>
  <c r="G214" i="8"/>
  <c r="H27" i="8"/>
  <c r="H94" i="8" s="1"/>
  <c r="H113" i="8" s="1"/>
  <c r="H214" i="8"/>
  <c r="I27" i="8"/>
  <c r="I94" i="8" s="1"/>
  <c r="I113" i="8" s="1"/>
  <c r="I214" i="8"/>
  <c r="F27" i="8"/>
  <c r="F94" i="8" s="1"/>
  <c r="F113" i="8" s="1"/>
  <c r="F214" i="8"/>
  <c r="J74" i="8"/>
  <c r="J44" i="8"/>
  <c r="J11" i="8"/>
  <c r="K74" i="8"/>
  <c r="K44" i="8"/>
  <c r="L44" i="8"/>
  <c r="K45" i="8"/>
  <c r="H35" i="7"/>
  <c r="J15" i="8"/>
  <c r="J26" i="8" s="1"/>
  <c r="AA25" i="12" s="1"/>
  <c r="G10" i="4"/>
  <c r="F22" i="9"/>
  <c r="E22" i="9"/>
  <c r="G36" i="9"/>
  <c r="G15" i="9" s="1"/>
  <c r="G18" i="8" s="1"/>
  <c r="E36" i="9"/>
  <c r="E15" i="9" s="1"/>
  <c r="E18" i="8" s="1"/>
  <c r="N19" i="9"/>
  <c r="N33" i="9"/>
  <c r="N12" i="9" s="1"/>
  <c r="N13" i="8" s="1"/>
  <c r="F36" i="9"/>
  <c r="F15" i="9" s="1"/>
  <c r="F18" i="8" s="1"/>
  <c r="M36" i="9"/>
  <c r="M15" i="9" s="1"/>
  <c r="M18" i="8" s="1"/>
  <c r="J36" i="9"/>
  <c r="J15" i="9" s="1"/>
  <c r="J18" i="8" s="1"/>
  <c r="N36" i="9"/>
  <c r="N15" i="9" s="1"/>
  <c r="N18" i="8" s="1"/>
  <c r="K36" i="9"/>
  <c r="K15" i="9" s="1"/>
  <c r="K18" i="8" s="1"/>
  <c r="L36" i="9"/>
  <c r="L15" i="9" s="1"/>
  <c r="L18" i="8" s="1"/>
  <c r="K34" i="9"/>
  <c r="K13" i="9" s="1"/>
  <c r="K48" i="8" s="1"/>
  <c r="L34" i="9"/>
  <c r="L13" i="9" s="1"/>
  <c r="L48" i="8" s="1"/>
  <c r="M34" i="9"/>
  <c r="M13" i="9" s="1"/>
  <c r="M48" i="8" s="1"/>
  <c r="J34" i="9"/>
  <c r="J13" i="9" s="1"/>
  <c r="J48" i="8" s="1"/>
  <c r="N34" i="9"/>
  <c r="N13" i="9" s="1"/>
  <c r="N48" i="8" s="1"/>
  <c r="J35" i="9"/>
  <c r="J14" i="9" s="1"/>
  <c r="J17" i="8" s="1"/>
  <c r="N35" i="9"/>
  <c r="N14" i="9" s="1"/>
  <c r="N17" i="8" s="1"/>
  <c r="K35" i="9"/>
  <c r="K14" i="9" s="1"/>
  <c r="K17" i="8" s="1"/>
  <c r="L35" i="9"/>
  <c r="L14" i="9" s="1"/>
  <c r="L17" i="8" s="1"/>
  <c r="M35" i="9"/>
  <c r="M14" i="9" s="1"/>
  <c r="M17" i="8" s="1"/>
  <c r="L20" i="9"/>
  <c r="M20" i="9"/>
  <c r="J20" i="9"/>
  <c r="N20" i="9"/>
  <c r="K20" i="9"/>
  <c r="N21" i="9"/>
  <c r="K21" i="9"/>
  <c r="L21" i="9"/>
  <c r="M21" i="9"/>
  <c r="J21" i="9"/>
  <c r="J22" i="9"/>
  <c r="N22" i="9"/>
  <c r="K22" i="9"/>
  <c r="L22" i="9"/>
  <c r="M22" i="9"/>
  <c r="M19" i="9"/>
  <c r="M33" i="9"/>
  <c r="M12" i="9" s="1"/>
  <c r="M13" i="8" s="1"/>
  <c r="M11" i="8" l="1"/>
  <c r="M10" i="8"/>
  <c r="M22" i="8" s="1"/>
  <c r="L96" i="8"/>
  <c r="L120" i="8" s="1"/>
  <c r="L65" i="4" s="1"/>
  <c r="N10" i="8"/>
  <c r="N22" i="8" s="1"/>
  <c r="N11" i="8"/>
  <c r="L79" i="8"/>
  <c r="L17" i="4" s="1"/>
  <c r="J40" i="8"/>
  <c r="L40" i="8"/>
  <c r="K40" i="8"/>
  <c r="F10" i="4"/>
  <c r="H10" i="4"/>
  <c r="L22" i="8"/>
  <c r="I10" i="4"/>
  <c r="E10" i="4"/>
  <c r="J12" i="8"/>
  <c r="K23" i="8"/>
  <c r="AB23" i="12" s="1"/>
  <c r="H34" i="7"/>
  <c r="M45" i="8" s="1"/>
  <c r="L12" i="8"/>
  <c r="K12" i="8"/>
  <c r="J45" i="8"/>
  <c r="J56" i="8" s="1"/>
  <c r="J177" i="8" s="1"/>
  <c r="J175" i="8" s="1"/>
  <c r="J194" i="8" s="1"/>
  <c r="K46" i="8"/>
  <c r="G109" i="8"/>
  <c r="G110" i="8"/>
  <c r="G101" i="8"/>
  <c r="H109" i="8"/>
  <c r="H110" i="8"/>
  <c r="H101" i="8"/>
  <c r="J46" i="8"/>
  <c r="J57" i="8" s="1"/>
  <c r="I110" i="8"/>
  <c r="I109" i="8"/>
  <c r="I101" i="8"/>
  <c r="F109" i="8"/>
  <c r="F110" i="8"/>
  <c r="F101" i="8"/>
  <c r="E101" i="8"/>
  <c r="E109" i="8"/>
  <c r="E110" i="8"/>
  <c r="N74" i="8"/>
  <c r="N44" i="8"/>
  <c r="N40" i="8" s="1"/>
  <c r="N23" i="8"/>
  <c r="AE23" i="12" s="1"/>
  <c r="M74" i="8"/>
  <c r="M44" i="8"/>
  <c r="M23" i="8"/>
  <c r="AD23" i="12" s="1"/>
  <c r="J22" i="8"/>
  <c r="J23" i="8"/>
  <c r="AA23" i="12" s="1"/>
  <c r="L23" i="8"/>
  <c r="AC23" i="12" s="1"/>
  <c r="K22" i="8"/>
  <c r="AB22" i="12" s="1"/>
  <c r="K80" i="8"/>
  <c r="K79" i="8"/>
  <c r="K17" i="4" s="1"/>
  <c r="J79" i="8"/>
  <c r="J17" i="4" s="1"/>
  <c r="J80" i="8"/>
  <c r="K26" i="8"/>
  <c r="AB25" i="12" s="1"/>
  <c r="N46" i="8"/>
  <c r="L46" i="8"/>
  <c r="M46" i="8"/>
  <c r="J14" i="8"/>
  <c r="J25" i="8" s="1"/>
  <c r="AA24" i="12" s="1"/>
  <c r="L144" i="8" l="1"/>
  <c r="AC22" i="12"/>
  <c r="J144" i="8"/>
  <c r="AA22" i="12"/>
  <c r="M144" i="8"/>
  <c r="AD22" i="12"/>
  <c r="N144" i="8"/>
  <c r="AE22" i="12"/>
  <c r="K57" i="8"/>
  <c r="L57" i="8" s="1"/>
  <c r="M40" i="8"/>
  <c r="M52" i="8" s="1"/>
  <c r="N52" i="8"/>
  <c r="L24" i="8"/>
  <c r="L214" i="8" s="1"/>
  <c r="L212" i="8" s="1"/>
  <c r="L45" i="8"/>
  <c r="J137" i="4"/>
  <c r="J184" i="8"/>
  <c r="K56" i="8"/>
  <c r="K177" i="8" s="1"/>
  <c r="K175" i="8" s="1"/>
  <c r="K194" i="8" s="1"/>
  <c r="N45" i="8"/>
  <c r="K24" i="8"/>
  <c r="K214" i="8" s="1"/>
  <c r="K212" i="8" s="1"/>
  <c r="K231" i="8" s="1"/>
  <c r="K144" i="8"/>
  <c r="N24" i="8"/>
  <c r="N214" i="8" s="1"/>
  <c r="N212" i="8" s="1"/>
  <c r="N231" i="8" s="1"/>
  <c r="K52" i="8"/>
  <c r="J24" i="8"/>
  <c r="N12" i="8"/>
  <c r="K18" i="4"/>
  <c r="K96" i="8"/>
  <c r="K120" i="8" s="1"/>
  <c r="M24" i="8"/>
  <c r="M214" i="8" s="1"/>
  <c r="M212" i="8" s="1"/>
  <c r="M231" i="8" s="1"/>
  <c r="J18" i="4"/>
  <c r="J96" i="8"/>
  <c r="J120" i="8" s="1"/>
  <c r="J52" i="8"/>
  <c r="M12" i="8"/>
  <c r="L52" i="8"/>
  <c r="M80" i="8"/>
  <c r="M79" i="8"/>
  <c r="M17" i="4" s="1"/>
  <c r="N79" i="8"/>
  <c r="N17" i="4" s="1"/>
  <c r="N80" i="8"/>
  <c r="L26" i="8"/>
  <c r="AC25" i="12" s="1"/>
  <c r="K25" i="8"/>
  <c r="AB24" i="12" s="1"/>
  <c r="L231" i="8" l="1"/>
  <c r="L223" i="8" s="1"/>
  <c r="M223" i="8" s="1"/>
  <c r="N223" i="8" s="1"/>
  <c r="M224" i="8"/>
  <c r="N224" i="8" s="1"/>
  <c r="M136" i="4"/>
  <c r="O33" i="10" s="1"/>
  <c r="N225" i="8"/>
  <c r="N136" i="4"/>
  <c r="P33" i="10" s="1"/>
  <c r="K222" i="8"/>
  <c r="L222" i="8" s="1"/>
  <c r="M222" i="8" s="1"/>
  <c r="N222" i="8" s="1"/>
  <c r="K136" i="4"/>
  <c r="M33" i="10" s="1"/>
  <c r="J27" i="8"/>
  <c r="J94" i="8" s="1"/>
  <c r="J130" i="8" s="1"/>
  <c r="J86" i="4" s="1"/>
  <c r="J214" i="8"/>
  <c r="J212" i="8" s="1"/>
  <c r="J231" i="8" s="1"/>
  <c r="L56" i="8"/>
  <c r="M56" i="8" s="1"/>
  <c r="M177" i="8" s="1"/>
  <c r="M175" i="8" s="1"/>
  <c r="M194" i="8" s="1"/>
  <c r="K137" i="4"/>
  <c r="K185" i="8"/>
  <c r="L185" i="8" s="1"/>
  <c r="M185" i="8" s="1"/>
  <c r="N185" i="8" s="1"/>
  <c r="K184" i="8"/>
  <c r="K27" i="8"/>
  <c r="K10" i="4" s="1"/>
  <c r="J65" i="4"/>
  <c r="K126" i="4"/>
  <c r="M28" i="10" s="1"/>
  <c r="M26" i="8"/>
  <c r="K65" i="4"/>
  <c r="L126" i="4"/>
  <c r="N28" i="10" s="1"/>
  <c r="M96" i="8"/>
  <c r="M120" i="8" s="1"/>
  <c r="M18" i="4"/>
  <c r="N18" i="4"/>
  <c r="N96" i="8"/>
  <c r="N120" i="8" s="1"/>
  <c r="N65" i="4" s="1"/>
  <c r="M57" i="8"/>
  <c r="L25" i="8"/>
  <c r="M25" i="8" l="1"/>
  <c r="AC24" i="12"/>
  <c r="N26" i="8"/>
  <c r="AE25" i="12" s="1"/>
  <c r="AD25" i="12"/>
  <c r="L136" i="4"/>
  <c r="N33" i="10" s="1"/>
  <c r="J10" i="4"/>
  <c r="J221" i="8"/>
  <c r="K221" i="8" s="1"/>
  <c r="J136" i="4"/>
  <c r="L33" i="10" s="1"/>
  <c r="L177" i="8"/>
  <c r="L175" i="8" s="1"/>
  <c r="L194" i="8" s="1"/>
  <c r="L186" i="8" s="1"/>
  <c r="M186" i="8" s="1"/>
  <c r="N186" i="8" s="1"/>
  <c r="N56" i="8"/>
  <c r="N177" i="8" s="1"/>
  <c r="N175" i="8" s="1"/>
  <c r="N194" i="8" s="1"/>
  <c r="L184" i="8"/>
  <c r="M137" i="4"/>
  <c r="M187" i="8"/>
  <c r="N187" i="8" s="1"/>
  <c r="K94" i="8"/>
  <c r="N126" i="4"/>
  <c r="P28" i="10" s="1"/>
  <c r="M65" i="4"/>
  <c r="M126" i="4"/>
  <c r="O28" i="10" s="1"/>
  <c r="J126" i="8"/>
  <c r="J129" i="4" s="1"/>
  <c r="L30" i="10" s="1"/>
  <c r="J127" i="8"/>
  <c r="J118" i="8"/>
  <c r="N57" i="8"/>
  <c r="M27" i="8"/>
  <c r="L27" i="8"/>
  <c r="B3" i="7"/>
  <c r="B2" i="7"/>
  <c r="X431" i="3"/>
  <c r="F131" i="4" s="1"/>
  <c r="AA431" i="3"/>
  <c r="I131" i="4" s="1"/>
  <c r="H131" i="4"/>
  <c r="G131" i="4"/>
  <c r="W431" i="3"/>
  <c r="E131" i="4" s="1"/>
  <c r="E153" i="4"/>
  <c r="V29" i="12" s="1"/>
  <c r="E151" i="4"/>
  <c r="F151" i="4"/>
  <c r="G151" i="4"/>
  <c r="H151" i="4"/>
  <c r="I151" i="4"/>
  <c r="J149" i="4"/>
  <c r="AA32" i="12" s="1"/>
  <c r="E148" i="4"/>
  <c r="F148" i="4"/>
  <c r="G148" i="4"/>
  <c r="H148" i="4"/>
  <c r="F147" i="4"/>
  <c r="G147" i="4"/>
  <c r="H147" i="4"/>
  <c r="I147" i="4"/>
  <c r="E147" i="4"/>
  <c r="F145" i="4"/>
  <c r="G145" i="4"/>
  <c r="H145" i="4"/>
  <c r="I145" i="4"/>
  <c r="F146" i="4"/>
  <c r="G146" i="4"/>
  <c r="H146" i="4"/>
  <c r="I146" i="4"/>
  <c r="E146" i="4"/>
  <c r="E145" i="4"/>
  <c r="C146" i="4"/>
  <c r="C145" i="4"/>
  <c r="E144" i="4"/>
  <c r="F144" i="4"/>
  <c r="G144" i="4"/>
  <c r="H144" i="4"/>
  <c r="I144" i="4"/>
  <c r="F143" i="4"/>
  <c r="G143" i="4"/>
  <c r="H143" i="4"/>
  <c r="E143" i="4"/>
  <c r="B141" i="4"/>
  <c r="F138" i="4"/>
  <c r="G138" i="4"/>
  <c r="H138" i="4"/>
  <c r="E138" i="4"/>
  <c r="F136" i="4"/>
  <c r="G33" i="10" s="1"/>
  <c r="G136" i="4"/>
  <c r="H33" i="10" s="1"/>
  <c r="H136" i="4"/>
  <c r="I33" i="10" s="1"/>
  <c r="I136" i="4"/>
  <c r="J33" i="10" s="1"/>
  <c r="F137" i="4"/>
  <c r="G137" i="4"/>
  <c r="H137" i="4"/>
  <c r="I137" i="4"/>
  <c r="E137" i="4"/>
  <c r="E136" i="4"/>
  <c r="F33" i="10" s="1"/>
  <c r="C137" i="4"/>
  <c r="C136" i="4"/>
  <c r="B134" i="4"/>
  <c r="B114" i="4"/>
  <c r="F123" i="4"/>
  <c r="G26" i="10" s="1"/>
  <c r="G123" i="4"/>
  <c r="H26" i="10" s="1"/>
  <c r="H123" i="4"/>
  <c r="I26" i="10" s="1"/>
  <c r="I123" i="4"/>
  <c r="J26" i="10" s="1"/>
  <c r="F124" i="4"/>
  <c r="G27" i="10" s="1"/>
  <c r="G124" i="4"/>
  <c r="H27" i="10" s="1"/>
  <c r="H124" i="4"/>
  <c r="I27" i="10" s="1"/>
  <c r="F125" i="4"/>
  <c r="G125" i="4"/>
  <c r="H125" i="4"/>
  <c r="I125" i="4"/>
  <c r="F126" i="4"/>
  <c r="G28" i="10" s="1"/>
  <c r="G126" i="4"/>
  <c r="H28" i="10" s="1"/>
  <c r="H126" i="4"/>
  <c r="I28" i="10" s="1"/>
  <c r="I126" i="4"/>
  <c r="J28" i="10" s="1"/>
  <c r="F127" i="4"/>
  <c r="G127" i="4"/>
  <c r="H127" i="4"/>
  <c r="I127" i="4"/>
  <c r="F128" i="4"/>
  <c r="G29" i="10" s="1"/>
  <c r="G128" i="4"/>
  <c r="H29" i="10" s="1"/>
  <c r="H128" i="4"/>
  <c r="I29" i="10" s="1"/>
  <c r="F129" i="4"/>
  <c r="G30" i="10" s="1"/>
  <c r="G129" i="4"/>
  <c r="H30" i="10" s="1"/>
  <c r="H129" i="4"/>
  <c r="I30" i="10" s="1"/>
  <c r="F130" i="4"/>
  <c r="G31" i="10" s="1"/>
  <c r="G130" i="4"/>
  <c r="H31" i="10" s="1"/>
  <c r="H130" i="4"/>
  <c r="I31" i="10" s="1"/>
  <c r="E130" i="4"/>
  <c r="F31" i="10" s="1"/>
  <c r="E129" i="4"/>
  <c r="F30" i="10" s="1"/>
  <c r="E128" i="4"/>
  <c r="F29" i="10" s="1"/>
  <c r="E127" i="4"/>
  <c r="E126" i="4"/>
  <c r="F28" i="10" s="1"/>
  <c r="E125" i="4"/>
  <c r="E124" i="4"/>
  <c r="F27" i="10" s="1"/>
  <c r="E123" i="4"/>
  <c r="F26" i="10" s="1"/>
  <c r="C131" i="4"/>
  <c r="C126" i="4"/>
  <c r="C28" i="10" s="1"/>
  <c r="C127" i="4"/>
  <c r="C128" i="4"/>
  <c r="C29" i="10" s="1"/>
  <c r="C129" i="4"/>
  <c r="C30" i="10" s="1"/>
  <c r="C130" i="4"/>
  <c r="C31" i="10" s="1"/>
  <c r="C124" i="4"/>
  <c r="C27" i="10" s="1"/>
  <c r="C125" i="4"/>
  <c r="C123" i="4"/>
  <c r="C26" i="10" s="1"/>
  <c r="E120" i="4"/>
  <c r="F24" i="10" s="1"/>
  <c r="F120" i="4"/>
  <c r="G24" i="10" s="1"/>
  <c r="G120" i="4"/>
  <c r="H24" i="10" s="1"/>
  <c r="H120" i="4"/>
  <c r="I24" i="10" s="1"/>
  <c r="I120" i="4"/>
  <c r="J24" i="10" s="1"/>
  <c r="F118" i="4"/>
  <c r="G118" i="4"/>
  <c r="H118" i="4"/>
  <c r="F121" i="4"/>
  <c r="G121" i="4"/>
  <c r="H121" i="4"/>
  <c r="E121" i="4"/>
  <c r="C119" i="4"/>
  <c r="C23" i="10" s="1"/>
  <c r="E118" i="4"/>
  <c r="AA451" i="3"/>
  <c r="I148" i="4" s="1"/>
  <c r="AA447" i="3"/>
  <c r="I143" i="4" s="1"/>
  <c r="AA438" i="3"/>
  <c r="I138" i="4" s="1"/>
  <c r="AA429" i="3"/>
  <c r="I130" i="4" s="1"/>
  <c r="J31" i="10" s="1"/>
  <c r="AA428" i="3"/>
  <c r="I129" i="4" s="1"/>
  <c r="J30" i="10" s="1"/>
  <c r="AA427" i="3"/>
  <c r="I128" i="4" s="1"/>
  <c r="J29" i="10" s="1"/>
  <c r="AA423" i="3"/>
  <c r="I124" i="4" s="1"/>
  <c r="J27" i="10" s="1"/>
  <c r="AA414" i="3"/>
  <c r="I121" i="4" s="1"/>
  <c r="AA412" i="3"/>
  <c r="AA411" i="3"/>
  <c r="K112" i="4"/>
  <c r="L112" i="4" s="1"/>
  <c r="M112" i="4" s="1"/>
  <c r="N112" i="4" s="1"/>
  <c r="I112" i="4"/>
  <c r="H112" i="4" s="1"/>
  <c r="G112" i="4" s="1"/>
  <c r="F112" i="4" s="1"/>
  <c r="E112" i="4" s="1"/>
  <c r="B106" i="4"/>
  <c r="W461" i="3"/>
  <c r="X461" i="3"/>
  <c r="Y461" i="3"/>
  <c r="Z461" i="3"/>
  <c r="W443" i="3"/>
  <c r="X443" i="3"/>
  <c r="Y443" i="3"/>
  <c r="Z443" i="3"/>
  <c r="I403" i="3"/>
  <c r="H403" i="3" s="1"/>
  <c r="G403" i="3" s="1"/>
  <c r="F403" i="3" s="1"/>
  <c r="E403" i="3" s="1"/>
  <c r="B397" i="3"/>
  <c r="E91" i="4"/>
  <c r="F91" i="4"/>
  <c r="G91" i="4"/>
  <c r="H91" i="4"/>
  <c r="I91" i="4"/>
  <c r="J91" i="4" s="1"/>
  <c r="K91" i="4" s="1"/>
  <c r="L91" i="4" s="1"/>
  <c r="M91" i="4" s="1"/>
  <c r="N91" i="4" s="1"/>
  <c r="C99" i="4"/>
  <c r="C98" i="4"/>
  <c r="C97" i="4"/>
  <c r="C94" i="4"/>
  <c r="C95" i="4"/>
  <c r="C96" i="4"/>
  <c r="C93" i="4"/>
  <c r="K57" i="4"/>
  <c r="L57" i="4" s="1"/>
  <c r="M57" i="4" s="1"/>
  <c r="N57" i="4" s="1"/>
  <c r="I57" i="4"/>
  <c r="B51" i="4"/>
  <c r="W329" i="3"/>
  <c r="AA326" i="3"/>
  <c r="AA323" i="3"/>
  <c r="AA325" i="3"/>
  <c r="AA320" i="3"/>
  <c r="AA322" i="3"/>
  <c r="Z326" i="3"/>
  <c r="Z329" i="3"/>
  <c r="Z323" i="3"/>
  <c r="Z325" i="3"/>
  <c r="Z320" i="3"/>
  <c r="Z322" i="3"/>
  <c r="Y329" i="3"/>
  <c r="X329" i="3"/>
  <c r="W328" i="3"/>
  <c r="X328" i="3"/>
  <c r="Y328" i="3"/>
  <c r="AE318" i="3"/>
  <c r="AA316" i="3" s="1"/>
  <c r="AE307" i="3"/>
  <c r="AA311" i="3"/>
  <c r="I456" i="8" s="1"/>
  <c r="AA310" i="3"/>
  <c r="I455" i="8" s="1"/>
  <c r="AA300" i="3"/>
  <c r="I422" i="8" s="1"/>
  <c r="AA299" i="3"/>
  <c r="I421" i="8" s="1"/>
  <c r="I429" i="8" s="1"/>
  <c r="Z316" i="3"/>
  <c r="Z305" i="3"/>
  <c r="Z311" i="3"/>
  <c r="H456" i="8" s="1"/>
  <c r="Z310" i="3"/>
  <c r="H455" i="8" s="1"/>
  <c r="Z300" i="3"/>
  <c r="H422" i="8" s="1"/>
  <c r="Z299" i="3"/>
  <c r="H421" i="8" s="1"/>
  <c r="Y316" i="3"/>
  <c r="Y311" i="3"/>
  <c r="G456" i="8" s="1"/>
  <c r="Y310" i="3"/>
  <c r="G455" i="8" s="1"/>
  <c r="Y313" i="3"/>
  <c r="G457" i="8" s="1"/>
  <c r="G463" i="8" s="1"/>
  <c r="Z313" i="3"/>
  <c r="H457" i="8" s="1"/>
  <c r="H463" i="8" s="1"/>
  <c r="AA313" i="3"/>
  <c r="I457" i="8" s="1"/>
  <c r="I463" i="8" s="1"/>
  <c r="J461" i="8" s="1"/>
  <c r="Z302" i="3"/>
  <c r="H423" i="8" s="1"/>
  <c r="H437" i="8" s="1"/>
  <c r="AA302" i="3"/>
  <c r="I423" i="8" s="1"/>
  <c r="I437" i="8" s="1"/>
  <c r="J435" i="8" s="1"/>
  <c r="Y302" i="3"/>
  <c r="G423" i="8" s="1"/>
  <c r="G437" i="8" s="1"/>
  <c r="Y300" i="3"/>
  <c r="G422" i="8" s="1"/>
  <c r="Y299" i="3"/>
  <c r="G421" i="8" s="1"/>
  <c r="X316" i="3"/>
  <c r="X311" i="3"/>
  <c r="F456" i="8" s="1"/>
  <c r="X310" i="3"/>
  <c r="F455" i="8" s="1"/>
  <c r="F471" i="8" s="1"/>
  <c r="F473" i="8" s="1"/>
  <c r="F85" i="4" s="1"/>
  <c r="X305" i="3"/>
  <c r="X300" i="3"/>
  <c r="F422" i="8" s="1"/>
  <c r="X299" i="3"/>
  <c r="F421" i="8" s="1"/>
  <c r="W316" i="3"/>
  <c r="AD314" i="3"/>
  <c r="AD315" i="3" s="1"/>
  <c r="AD316" i="3" s="1"/>
  <c r="AD317" i="3" s="1"/>
  <c r="AD318" i="3" s="1"/>
  <c r="AD303" i="3"/>
  <c r="AD304" i="3" s="1"/>
  <c r="AD305" i="3" s="1"/>
  <c r="AD306" i="3" s="1"/>
  <c r="AD307" i="3" s="1"/>
  <c r="W305" i="3"/>
  <c r="W311" i="3"/>
  <c r="E456" i="8" s="1"/>
  <c r="W310" i="3"/>
  <c r="E455" i="8" s="1"/>
  <c r="R309" i="3"/>
  <c r="W300" i="3"/>
  <c r="E422" i="8" s="1"/>
  <c r="W299" i="3"/>
  <c r="E421" i="8" s="1"/>
  <c r="E429" i="8" l="1"/>
  <c r="E441" i="8" s="1"/>
  <c r="E83" i="4" s="1"/>
  <c r="H471" i="8"/>
  <c r="H473" i="8" s="1"/>
  <c r="H85" i="4" s="1"/>
  <c r="Y330" i="3"/>
  <c r="N25" i="8"/>
  <c r="AD24" i="12"/>
  <c r="E471" i="8"/>
  <c r="E473" i="8" s="1"/>
  <c r="E85" i="4" s="1"/>
  <c r="G429" i="8"/>
  <c r="G441" i="8" s="1"/>
  <c r="G83" i="4" s="1"/>
  <c r="G471" i="8"/>
  <c r="G473" i="8" s="1"/>
  <c r="G85" i="4" s="1"/>
  <c r="J437" i="8"/>
  <c r="H429" i="8"/>
  <c r="H441" i="8" s="1"/>
  <c r="H83" i="4" s="1"/>
  <c r="I471" i="8"/>
  <c r="Y129" i="3"/>
  <c r="G321" i="8"/>
  <c r="G326" i="8" s="1"/>
  <c r="AA76" i="3"/>
  <c r="I41" i="8"/>
  <c r="J463" i="8"/>
  <c r="K461" i="8" s="1"/>
  <c r="I441" i="8"/>
  <c r="I83" i="4" s="1"/>
  <c r="J427" i="8"/>
  <c r="J429" i="8" s="1"/>
  <c r="K427" i="8" s="1"/>
  <c r="F429" i="8"/>
  <c r="F441" i="8" s="1"/>
  <c r="F83" i="4" s="1"/>
  <c r="I22" i="10"/>
  <c r="I13" i="10"/>
  <c r="O67" i="7"/>
  <c r="H13" i="10"/>
  <c r="H22" i="10"/>
  <c r="F13" i="10"/>
  <c r="F22" i="10"/>
  <c r="G13" i="10"/>
  <c r="G22" i="10"/>
  <c r="K118" i="8"/>
  <c r="K123" i="4" s="1"/>
  <c r="M26" i="10" s="1"/>
  <c r="K130" i="8"/>
  <c r="K86" i="4" s="1"/>
  <c r="K127" i="8"/>
  <c r="K130" i="4" s="1"/>
  <c r="M31" i="10" s="1"/>
  <c r="L221" i="8"/>
  <c r="L137" i="4"/>
  <c r="K126" i="8"/>
  <c r="N188" i="8"/>
  <c r="N137" i="4"/>
  <c r="M184" i="8"/>
  <c r="I118" i="4"/>
  <c r="I53" i="8"/>
  <c r="J63" i="4"/>
  <c r="J123" i="4"/>
  <c r="L26" i="10" s="1"/>
  <c r="J130" i="4"/>
  <c r="L31" i="10" s="1"/>
  <c r="J82" i="4"/>
  <c r="J81" i="4"/>
  <c r="L10" i="4"/>
  <c r="L94" i="8"/>
  <c r="L130" i="8" s="1"/>
  <c r="L86" i="4" s="1"/>
  <c r="M10" i="4"/>
  <c r="M94" i="8"/>
  <c r="M130" i="8" s="1"/>
  <c r="M86" i="4" s="1"/>
  <c r="E139" i="4"/>
  <c r="V31" i="12" s="1"/>
  <c r="W301" i="3"/>
  <c r="W303" i="3" s="1"/>
  <c r="W125" i="3" s="1"/>
  <c r="X312" i="3"/>
  <c r="X314" i="3" s="1"/>
  <c r="X127" i="3" s="1"/>
  <c r="Z328" i="3"/>
  <c r="Z330" i="3" s="1"/>
  <c r="H149" i="4"/>
  <c r="Y32" i="12" s="1"/>
  <c r="I149" i="4"/>
  <c r="Z32" i="12" s="1"/>
  <c r="G149" i="4"/>
  <c r="X32" i="12" s="1"/>
  <c r="G139" i="4"/>
  <c r="X31" i="12" s="1"/>
  <c r="AA328" i="3"/>
  <c r="AA330" i="3" s="1"/>
  <c r="Y305" i="3"/>
  <c r="X330" i="3"/>
  <c r="H139" i="4"/>
  <c r="Y31" i="12" s="1"/>
  <c r="Z312" i="3"/>
  <c r="Z314" i="3" s="1"/>
  <c r="Z127" i="3" s="1"/>
  <c r="AA443" i="3"/>
  <c r="F139" i="4"/>
  <c r="W31" i="12" s="1"/>
  <c r="AA461" i="3"/>
  <c r="I139" i="4"/>
  <c r="Z31" i="12" s="1"/>
  <c r="E149" i="4"/>
  <c r="V32" i="12" s="1"/>
  <c r="F149" i="4"/>
  <c r="W32" i="12" s="1"/>
  <c r="I97" i="4"/>
  <c r="E97" i="4"/>
  <c r="G97" i="4"/>
  <c r="F97" i="4"/>
  <c r="H97" i="4"/>
  <c r="H57" i="4"/>
  <c r="G57" i="4" s="1"/>
  <c r="F57" i="4" s="1"/>
  <c r="E57" i="4" s="1"/>
  <c r="W330" i="3"/>
  <c r="X301" i="3"/>
  <c r="X303" i="3" s="1"/>
  <c r="X125" i="3" s="1"/>
  <c r="Y301" i="3"/>
  <c r="Y303" i="3" s="1"/>
  <c r="Y125" i="3" s="1"/>
  <c r="Z301" i="3"/>
  <c r="Z303" i="3" s="1"/>
  <c r="Z125" i="3" s="1"/>
  <c r="AA312" i="3"/>
  <c r="AA314" i="3" s="1"/>
  <c r="AA127" i="3" s="1"/>
  <c r="AA305" i="3"/>
  <c r="Y312" i="3"/>
  <c r="Y314" i="3" s="1"/>
  <c r="Y127" i="3" s="1"/>
  <c r="W312" i="3"/>
  <c r="W314" i="3" s="1"/>
  <c r="W127" i="3" s="1"/>
  <c r="AA301" i="3"/>
  <c r="AA303" i="3" s="1"/>
  <c r="AA125" i="3" s="1"/>
  <c r="B3" i="6"/>
  <c r="B2" i="6"/>
  <c r="AE24" i="12" l="1"/>
  <c r="N27" i="8"/>
  <c r="W129" i="3"/>
  <c r="E321" i="8"/>
  <c r="E326" i="8" s="1"/>
  <c r="M67" i="7"/>
  <c r="D431" i="8" s="1"/>
  <c r="J431" i="8" s="1"/>
  <c r="J469" i="8"/>
  <c r="J471" i="8" s="1"/>
  <c r="I473" i="8"/>
  <c r="I85" i="4" s="1"/>
  <c r="AA129" i="3"/>
  <c r="I321" i="8"/>
  <c r="I326" i="8" s="1"/>
  <c r="J326" i="8" s="1"/>
  <c r="K326" i="8" s="1"/>
  <c r="L326" i="8" s="1"/>
  <c r="M326" i="8" s="1"/>
  <c r="N326" i="8" s="1"/>
  <c r="K462" i="8"/>
  <c r="K463" i="8" s="1"/>
  <c r="L461" i="8" s="1"/>
  <c r="K435" i="8"/>
  <c r="J441" i="8"/>
  <c r="J83" i="4" s="1"/>
  <c r="Z129" i="3"/>
  <c r="H321" i="8"/>
  <c r="H326" i="8" s="1"/>
  <c r="X129" i="3"/>
  <c r="F321" i="8"/>
  <c r="F326" i="8" s="1"/>
  <c r="K428" i="8"/>
  <c r="L428" i="8" s="1"/>
  <c r="D475" i="8"/>
  <c r="L75" i="10"/>
  <c r="L77" i="10" s="1"/>
  <c r="P55" i="10"/>
  <c r="P57" i="10" s="1"/>
  <c r="J22" i="10"/>
  <c r="J13" i="10"/>
  <c r="K63" i="4"/>
  <c r="K129" i="4"/>
  <c r="M30" i="10" s="1"/>
  <c r="K82" i="4"/>
  <c r="K81" i="4"/>
  <c r="M221" i="8"/>
  <c r="N184" i="8"/>
  <c r="M126" i="8"/>
  <c r="M127" i="8"/>
  <c r="M118" i="8"/>
  <c r="L127" i="8"/>
  <c r="L118" i="8"/>
  <c r="L126" i="8"/>
  <c r="L129" i="4" s="1"/>
  <c r="N30" i="10" s="1"/>
  <c r="B28" i="5"/>
  <c r="B22" i="5"/>
  <c r="B23" i="5" s="1"/>
  <c r="B24" i="5" s="1"/>
  <c r="B25" i="5" s="1"/>
  <c r="N10" i="4" l="1"/>
  <c r="N94" i="8"/>
  <c r="K431" i="8"/>
  <c r="M428" i="8"/>
  <c r="J473" i="8"/>
  <c r="J85" i="4" s="1"/>
  <c r="K469" i="8"/>
  <c r="K475" i="8" s="1"/>
  <c r="K429" i="8"/>
  <c r="L427" i="8" s="1"/>
  <c r="K436" i="8"/>
  <c r="K437" i="8" s="1"/>
  <c r="L462" i="8"/>
  <c r="K478" i="8"/>
  <c r="J475" i="8"/>
  <c r="M129" i="4"/>
  <c r="O30" i="10" s="1"/>
  <c r="N221" i="8"/>
  <c r="M130" i="4"/>
  <c r="O31" i="10" s="1"/>
  <c r="M82" i="4"/>
  <c r="M63" i="4"/>
  <c r="L130" i="4"/>
  <c r="N31" i="10" s="1"/>
  <c r="L82" i="4"/>
  <c r="M81" i="4"/>
  <c r="M123" i="4"/>
  <c r="O26" i="10" s="1"/>
  <c r="L63" i="4"/>
  <c r="L123" i="4"/>
  <c r="N26" i="10" s="1"/>
  <c r="L81" i="4"/>
  <c r="AA274" i="3"/>
  <c r="W293" i="3"/>
  <c r="W292" i="3"/>
  <c r="S295" i="3"/>
  <c r="N130" i="8" l="1"/>
  <c r="N86" i="4" s="1"/>
  <c r="N127" i="8"/>
  <c r="N126" i="8"/>
  <c r="N118" i="8"/>
  <c r="L436" i="8"/>
  <c r="M436" i="8" s="1"/>
  <c r="N436" i="8" s="1"/>
  <c r="K442" i="8"/>
  <c r="K479" i="8" s="1"/>
  <c r="K146" i="4" s="1"/>
  <c r="L478" i="8"/>
  <c r="M462" i="8"/>
  <c r="M478" i="8" s="1"/>
  <c r="L429" i="8"/>
  <c r="M427" i="8" s="1"/>
  <c r="L431" i="8"/>
  <c r="K470" i="8"/>
  <c r="K143" i="4" s="1"/>
  <c r="N428" i="8"/>
  <c r="L435" i="8"/>
  <c r="K441" i="8"/>
  <c r="K83" i="4" s="1"/>
  <c r="L463" i="8"/>
  <c r="M461" i="8" s="1"/>
  <c r="W295" i="3"/>
  <c r="W122" i="3" s="1"/>
  <c r="X295" i="3"/>
  <c r="X122" i="3" s="1"/>
  <c r="Y295" i="3"/>
  <c r="Y122" i="3" s="1"/>
  <c r="Z295" i="3"/>
  <c r="Z122" i="3" s="1"/>
  <c r="AA295" i="3"/>
  <c r="AA122" i="3" s="1"/>
  <c r="W114" i="3"/>
  <c r="Z114" i="3"/>
  <c r="AA114" i="3"/>
  <c r="X280" i="3"/>
  <c r="Y278" i="3" s="1"/>
  <c r="G381" i="8" s="1"/>
  <c r="G386" i="8" s="1"/>
  <c r="Y280" i="3"/>
  <c r="Z278" i="3" s="1"/>
  <c r="X278" i="3"/>
  <c r="F381" i="8" s="1"/>
  <c r="F386" i="8" s="1"/>
  <c r="AA278" i="3"/>
  <c r="N81" i="4" l="1"/>
  <c r="N129" i="4"/>
  <c r="P30" i="10" s="1"/>
  <c r="N82" i="4"/>
  <c r="N130" i="4"/>
  <c r="P31" i="10" s="1"/>
  <c r="N442" i="8"/>
  <c r="N63" i="4"/>
  <c r="N123" i="4"/>
  <c r="P26" i="10" s="1"/>
  <c r="L442" i="8"/>
  <c r="L479" i="8" s="1"/>
  <c r="L146" i="4" s="1"/>
  <c r="L149" i="4" s="1"/>
  <c r="AC32" i="12" s="1"/>
  <c r="M442" i="8"/>
  <c r="M479" i="8" s="1"/>
  <c r="M146" i="4" s="1"/>
  <c r="K149" i="4"/>
  <c r="AB32" i="12" s="1"/>
  <c r="L470" i="8"/>
  <c r="L143" i="4" s="1"/>
  <c r="Z279" i="3"/>
  <c r="H382" i="8" s="1"/>
  <c r="H387" i="8" s="1"/>
  <c r="H381" i="8"/>
  <c r="H386" i="8" s="1"/>
  <c r="H388" i="8" s="1"/>
  <c r="H73" i="4" s="1"/>
  <c r="N462" i="8"/>
  <c r="N478" i="8" s="1"/>
  <c r="N479" i="8" s="1"/>
  <c r="N146" i="4" s="1"/>
  <c r="AA279" i="3"/>
  <c r="I382" i="8" s="1"/>
  <c r="I387" i="8" s="1"/>
  <c r="I381" i="8"/>
  <c r="I386" i="8" s="1"/>
  <c r="I388" i="8" s="1"/>
  <c r="M463" i="8"/>
  <c r="N461" i="8" s="1"/>
  <c r="E388" i="8"/>
  <c r="E73" i="4" s="1"/>
  <c r="K471" i="8"/>
  <c r="L437" i="8"/>
  <c r="M429" i="8"/>
  <c r="N427" i="8" s="1"/>
  <c r="M431" i="8"/>
  <c r="H124" i="8"/>
  <c r="G124" i="8"/>
  <c r="F124" i="8"/>
  <c r="I124" i="8"/>
  <c r="E124" i="8"/>
  <c r="Y114" i="3"/>
  <c r="X114" i="3"/>
  <c r="X279" i="3"/>
  <c r="F382" i="8" s="1"/>
  <c r="F387" i="8" s="1"/>
  <c r="F388" i="8" s="1"/>
  <c r="F73" i="4" s="1"/>
  <c r="Y279" i="3"/>
  <c r="G382" i="8" s="1"/>
  <c r="G387" i="8" s="1"/>
  <c r="G388" i="8" s="1"/>
  <c r="G73" i="4" s="1"/>
  <c r="R277" i="3"/>
  <c r="AA257" i="3"/>
  <c r="AA260" i="3" s="1"/>
  <c r="AA249" i="3"/>
  <c r="AA252" i="3" s="1"/>
  <c r="Z257" i="3"/>
  <c r="Z260" i="3" s="1"/>
  <c r="Z249" i="3"/>
  <c r="AA247" i="3" s="1"/>
  <c r="Y257" i="3"/>
  <c r="Y260" i="3" s="1"/>
  <c r="Y250" i="3"/>
  <c r="Y249" i="3"/>
  <c r="Z247" i="3" s="1"/>
  <c r="Y247" i="3"/>
  <c r="X259" i="3"/>
  <c r="X257" i="3"/>
  <c r="W257" i="3"/>
  <c r="X255" i="3" s="1"/>
  <c r="X251" i="3"/>
  <c r="W251" i="3"/>
  <c r="X250" i="3"/>
  <c r="W250" i="3"/>
  <c r="X247" i="3"/>
  <c r="X248" i="3" s="1"/>
  <c r="S252" i="3"/>
  <c r="S260" i="3"/>
  <c r="R237" i="3"/>
  <c r="S242" i="3" s="1"/>
  <c r="R245" i="3"/>
  <c r="AA241" i="3"/>
  <c r="AA242" i="3" s="1"/>
  <c r="AA238" i="3"/>
  <c r="AA239" i="3" s="1"/>
  <c r="Z241" i="3"/>
  <c r="Z242" i="3" s="1"/>
  <c r="Z238" i="3"/>
  <c r="Z239" i="3" s="1"/>
  <c r="Y241" i="3"/>
  <c r="Y242" i="3" s="1"/>
  <c r="Y238" i="3"/>
  <c r="Y239" i="3" s="1"/>
  <c r="X241" i="3"/>
  <c r="X242" i="3" s="1"/>
  <c r="X238" i="3"/>
  <c r="X239" i="3" s="1"/>
  <c r="W241" i="3"/>
  <c r="W242" i="3" s="1"/>
  <c r="W111" i="3"/>
  <c r="X111" i="3"/>
  <c r="Y111" i="3"/>
  <c r="Z111" i="3"/>
  <c r="AA111" i="3"/>
  <c r="M470" i="8" l="1"/>
  <c r="M143" i="4" s="1"/>
  <c r="M149" i="4" s="1"/>
  <c r="AD32" i="12" s="1"/>
  <c r="N429" i="8"/>
  <c r="N431" i="8"/>
  <c r="I73" i="4"/>
  <c r="J386" i="8"/>
  <c r="J388" i="8" s="1"/>
  <c r="K473" i="8"/>
  <c r="K85" i="4" s="1"/>
  <c r="L469" i="8"/>
  <c r="N463" i="8"/>
  <c r="M435" i="8"/>
  <c r="L441" i="8"/>
  <c r="L83" i="4" s="1"/>
  <c r="W108" i="3"/>
  <c r="E162" i="8"/>
  <c r="Y108" i="3"/>
  <c r="G162" i="8"/>
  <c r="AA108" i="3"/>
  <c r="I162" i="8"/>
  <c r="I80" i="4"/>
  <c r="G80" i="4"/>
  <c r="G84" i="4" s="1"/>
  <c r="E239" i="3"/>
  <c r="F143" i="8"/>
  <c r="G239" i="3"/>
  <c r="H143" i="8"/>
  <c r="X108" i="3"/>
  <c r="F162" i="8"/>
  <c r="Z108" i="3"/>
  <c r="H162" i="8"/>
  <c r="E80" i="4"/>
  <c r="E84" i="4" s="1"/>
  <c r="F80" i="4"/>
  <c r="F84" i="4" s="1"/>
  <c r="H80" i="4"/>
  <c r="H84" i="4" s="1"/>
  <c r="G143" i="8"/>
  <c r="F239" i="3"/>
  <c r="I143" i="8"/>
  <c r="H239" i="3"/>
  <c r="S262" i="3"/>
  <c r="AA267" i="3"/>
  <c r="Y252" i="3"/>
  <c r="Y262" i="3" s="1"/>
  <c r="W252" i="3"/>
  <c r="X260" i="3"/>
  <c r="AA255" i="3"/>
  <c r="AA256" i="3" s="1"/>
  <c r="Y248" i="3"/>
  <c r="AA248" i="3"/>
  <c r="X252" i="3"/>
  <c r="Z255" i="3"/>
  <c r="Z256" i="3" s="1"/>
  <c r="Y255" i="3"/>
  <c r="Y256" i="3" s="1"/>
  <c r="W260" i="3"/>
  <c r="W262" i="3" s="1"/>
  <c r="Z252" i="3"/>
  <c r="Z262" i="3" s="1"/>
  <c r="AA262" i="3"/>
  <c r="Z248" i="3"/>
  <c r="X256" i="3"/>
  <c r="X393" i="3"/>
  <c r="X392" i="3"/>
  <c r="X391" i="3"/>
  <c r="X390" i="3"/>
  <c r="X389" i="3"/>
  <c r="X388" i="3"/>
  <c r="X381" i="3"/>
  <c r="X382" i="3" s="1"/>
  <c r="X368" i="3"/>
  <c r="X369" i="3" s="1"/>
  <c r="AA355" i="3"/>
  <c r="X355" i="3"/>
  <c r="X356" i="3" s="1"/>
  <c r="AA342" i="3"/>
  <c r="X342" i="3"/>
  <c r="X343" i="3" s="1"/>
  <c r="X262" i="3" l="1"/>
  <c r="N470" i="8"/>
  <c r="N143" i="4" s="1"/>
  <c r="N149" i="4" s="1"/>
  <c r="AE32" i="12" s="1"/>
  <c r="AA113" i="3"/>
  <c r="I361" i="8"/>
  <c r="I366" i="8" s="1"/>
  <c r="I368" i="8" s="1"/>
  <c r="K386" i="8"/>
  <c r="K388" i="8" s="1"/>
  <c r="J73" i="4"/>
  <c r="Z113" i="3"/>
  <c r="H361" i="8"/>
  <c r="H366" i="8" s="1"/>
  <c r="H368" i="8" s="1"/>
  <c r="H72" i="4" s="1"/>
  <c r="X113" i="3"/>
  <c r="F361" i="8"/>
  <c r="F366" i="8" s="1"/>
  <c r="F368" i="8" s="1"/>
  <c r="F72" i="4" s="1"/>
  <c r="W113" i="3"/>
  <c r="E361" i="8"/>
  <c r="E366" i="8" s="1"/>
  <c r="E368" i="8" s="1"/>
  <c r="E72" i="4" s="1"/>
  <c r="M437" i="8"/>
  <c r="L471" i="8"/>
  <c r="L475" i="8"/>
  <c r="Y113" i="3"/>
  <c r="G361" i="8"/>
  <c r="G366" i="8" s="1"/>
  <c r="G368" i="8" s="1"/>
  <c r="G72" i="4" s="1"/>
  <c r="I84" i="4"/>
  <c r="I160" i="8"/>
  <c r="I145" i="8"/>
  <c r="H159" i="8"/>
  <c r="G67" i="4"/>
  <c r="H67" i="4"/>
  <c r="I159" i="8"/>
  <c r="H160" i="8"/>
  <c r="H145" i="8"/>
  <c r="G160" i="8"/>
  <c r="G145" i="8"/>
  <c r="J159" i="8"/>
  <c r="J148" i="8" s="1"/>
  <c r="I67" i="4"/>
  <c r="F159" i="8"/>
  <c r="E67" i="4"/>
  <c r="M23" i="7"/>
  <c r="F67" i="4"/>
  <c r="G159" i="8"/>
  <c r="G161" i="8" s="1"/>
  <c r="F160" i="8"/>
  <c r="F145" i="8"/>
  <c r="X394" i="3"/>
  <c r="X395" i="3" s="1"/>
  <c r="X230" i="3"/>
  <c r="X232" i="3" s="1"/>
  <c r="X234" i="3" s="1"/>
  <c r="AA230" i="3"/>
  <c r="AA232" i="3" s="1"/>
  <c r="AA234" i="3" s="1"/>
  <c r="AA223" i="3"/>
  <c r="X223" i="3"/>
  <c r="Z215" i="3"/>
  <c r="Z214" i="3"/>
  <c r="AA215" i="3"/>
  <c r="AA207" i="3"/>
  <c r="Z207" i="3"/>
  <c r="Y207" i="3"/>
  <c r="X207" i="3"/>
  <c r="W207" i="3"/>
  <c r="AA197" i="3"/>
  <c r="Z197" i="3"/>
  <c r="Y197" i="3"/>
  <c r="X197" i="3"/>
  <c r="W197" i="3"/>
  <c r="AA193" i="3"/>
  <c r="Z193" i="3"/>
  <c r="Y193" i="3"/>
  <c r="X193" i="3"/>
  <c r="W193" i="3"/>
  <c r="Z187" i="3"/>
  <c r="H297" i="8" s="1"/>
  <c r="H305" i="8" s="1"/>
  <c r="H322" i="8" s="1"/>
  <c r="H327" i="8" s="1"/>
  <c r="H328" i="8" s="1"/>
  <c r="H87" i="4" s="1"/>
  <c r="H88" i="4" s="1"/>
  <c r="H99" i="4" s="1"/>
  <c r="Y187" i="3"/>
  <c r="G297" i="8" s="1"/>
  <c r="G305" i="8" s="1"/>
  <c r="G322" i="8" s="1"/>
  <c r="G327" i="8" s="1"/>
  <c r="G328" i="8" s="1"/>
  <c r="G87" i="4" s="1"/>
  <c r="G88" i="4" s="1"/>
  <c r="G99" i="4" s="1"/>
  <c r="X187" i="3"/>
  <c r="F297" i="8" s="1"/>
  <c r="F305" i="8" s="1"/>
  <c r="F322" i="8" s="1"/>
  <c r="F327" i="8" s="1"/>
  <c r="F328" i="8" s="1"/>
  <c r="F87" i="4" s="1"/>
  <c r="F88" i="4" s="1"/>
  <c r="F99" i="4" s="1"/>
  <c r="W187" i="3"/>
  <c r="E297" i="8" s="1"/>
  <c r="E305" i="8" s="1"/>
  <c r="E322" i="8" s="1"/>
  <c r="E327" i="8" s="1"/>
  <c r="E328" i="8" s="1"/>
  <c r="E87" i="4" s="1"/>
  <c r="E88" i="4" s="1"/>
  <c r="E99" i="4" s="1"/>
  <c r="AA187" i="3"/>
  <c r="I297" i="8" s="1"/>
  <c r="I305" i="8" s="1"/>
  <c r="I322" i="8" l="1"/>
  <c r="I327" i="8" s="1"/>
  <c r="I328" i="8" s="1"/>
  <c r="I87" i="4" s="1"/>
  <c r="O49" i="10" s="1"/>
  <c r="O51" i="10" s="1"/>
  <c r="O52" i="10" s="1"/>
  <c r="J300" i="8"/>
  <c r="L473" i="8"/>
  <c r="L85" i="4" s="1"/>
  <c r="M469" i="8"/>
  <c r="K73" i="4"/>
  <c r="L386" i="8"/>
  <c r="L388" i="8" s="1"/>
  <c r="I88" i="4"/>
  <c r="I99" i="4" s="1"/>
  <c r="N435" i="8"/>
  <c r="M441" i="8"/>
  <c r="M83" i="4" s="1"/>
  <c r="I72" i="4"/>
  <c r="J366" i="8"/>
  <c r="J368" i="8" s="1"/>
  <c r="O68" i="7"/>
  <c r="D465" i="8" s="1"/>
  <c r="M68" i="7"/>
  <c r="D439" i="8" s="1"/>
  <c r="F161" i="8"/>
  <c r="I161" i="8"/>
  <c r="H161" i="8"/>
  <c r="O23" i="7"/>
  <c r="J145" i="8"/>
  <c r="J143" i="8" s="1"/>
  <c r="J160" i="8" s="1"/>
  <c r="K145" i="8"/>
  <c r="K143" i="8" s="1"/>
  <c r="K160" i="8" s="1"/>
  <c r="K148" i="8"/>
  <c r="S177" i="3"/>
  <c r="W175" i="3"/>
  <c r="W177" i="3" s="1"/>
  <c r="X175" i="3"/>
  <c r="X177" i="3" s="1"/>
  <c r="Y175" i="3"/>
  <c r="Y177" i="3" s="1"/>
  <c r="Z175" i="3"/>
  <c r="Z177" i="3" s="1"/>
  <c r="AA175" i="3"/>
  <c r="AA177" i="3" s="1"/>
  <c r="S165" i="3"/>
  <c r="W164" i="3"/>
  <c r="W163" i="3"/>
  <c r="W158" i="3"/>
  <c r="W159" i="3" s="1"/>
  <c r="E159" i="3" s="1"/>
  <c r="X162" i="3"/>
  <c r="Y162" i="3"/>
  <c r="Z162" i="3"/>
  <c r="AA162" i="3"/>
  <c r="C44" i="5"/>
  <c r="C45" i="5" s="1"/>
  <c r="C46" i="5" s="1"/>
  <c r="C47" i="5" s="1"/>
  <c r="C48" i="5" s="1"/>
  <c r="C49" i="5" s="1"/>
  <c r="C50" i="5" s="1"/>
  <c r="C51" i="5" s="1"/>
  <c r="C53" i="5" s="1"/>
  <c r="C57" i="5" s="1"/>
  <c r="C58" i="5" s="1"/>
  <c r="C59" i="5" s="1"/>
  <c r="C60" i="5" s="1"/>
  <c r="C61" i="5" s="1"/>
  <c r="C62" i="5" s="1"/>
  <c r="C65" i="5" s="1"/>
  <c r="B3" i="5"/>
  <c r="B2" i="5"/>
  <c r="X110" i="3" l="1"/>
  <c r="F233" i="8"/>
  <c r="X178" i="3"/>
  <c r="J465" i="8"/>
  <c r="J480" i="8" s="1"/>
  <c r="K465" i="8"/>
  <c r="K480" i="8" s="1"/>
  <c r="L465" i="8"/>
  <c r="L480" i="8" s="1"/>
  <c r="M465" i="8"/>
  <c r="N465" i="8"/>
  <c r="N437" i="8"/>
  <c r="N441" i="8" s="1"/>
  <c r="N83" i="4" s="1"/>
  <c r="N439" i="8"/>
  <c r="N443" i="8" s="1"/>
  <c r="M471" i="8"/>
  <c r="M475" i="8"/>
  <c r="AA110" i="3"/>
  <c r="I233" i="8"/>
  <c r="J229" i="8" s="1"/>
  <c r="AA178" i="3"/>
  <c r="AA180" i="3" s="1"/>
  <c r="W110" i="3"/>
  <c r="E233" i="8"/>
  <c r="W178" i="3"/>
  <c r="J72" i="4"/>
  <c r="K366" i="8"/>
  <c r="K368" i="8" s="1"/>
  <c r="Z165" i="3"/>
  <c r="Z109" i="3" s="1"/>
  <c r="H196" i="8"/>
  <c r="F163" i="3"/>
  <c r="E197" i="8"/>
  <c r="Z110" i="3"/>
  <c r="Z178" i="3"/>
  <c r="H233" i="8"/>
  <c r="L73" i="4"/>
  <c r="M386" i="8"/>
  <c r="M388" i="8" s="1"/>
  <c r="J307" i="8"/>
  <c r="J302" i="8"/>
  <c r="X165" i="3"/>
  <c r="X109" i="3" s="1"/>
  <c r="F196" i="8"/>
  <c r="AA165" i="3"/>
  <c r="AA109" i="3" s="1"/>
  <c r="I196" i="8"/>
  <c r="Y165" i="3"/>
  <c r="Y109" i="3" s="1"/>
  <c r="G196" i="8"/>
  <c r="F164" i="3"/>
  <c r="E198" i="8"/>
  <c r="Y110" i="3"/>
  <c r="G233" i="8"/>
  <c r="Y178" i="3"/>
  <c r="J439" i="8"/>
  <c r="J443" i="8" s="1"/>
  <c r="K439" i="8"/>
  <c r="K443" i="8" s="1"/>
  <c r="L439" i="8"/>
  <c r="L443" i="8" s="1"/>
  <c r="M439" i="8"/>
  <c r="M443" i="8" s="1"/>
  <c r="L148" i="8"/>
  <c r="K152" i="8"/>
  <c r="L152" i="8" s="1"/>
  <c r="M152" i="8" s="1"/>
  <c r="N152" i="8" s="1"/>
  <c r="J151" i="8"/>
  <c r="M145" i="8"/>
  <c r="M143" i="8" s="1"/>
  <c r="M160" i="8" s="1"/>
  <c r="N145" i="8"/>
  <c r="N143" i="8" s="1"/>
  <c r="N160" i="8" s="1"/>
  <c r="L145" i="8"/>
  <c r="L143" i="8" s="1"/>
  <c r="L160" i="8" s="1"/>
  <c r="W162" i="3"/>
  <c r="AJ85" i="3"/>
  <c r="AJ76" i="3"/>
  <c r="AJ67" i="3"/>
  <c r="AJ58" i="3"/>
  <c r="AJ84" i="3"/>
  <c r="AJ75" i="3"/>
  <c r="AJ66" i="3"/>
  <c r="AJ57" i="3"/>
  <c r="AJ63" i="3" s="1"/>
  <c r="AJ52" i="3"/>
  <c r="AI87" i="3"/>
  <c r="AI78" i="3"/>
  <c r="AI69" i="3"/>
  <c r="AI60" i="3"/>
  <c r="AI86" i="3"/>
  <c r="AI77" i="3"/>
  <c r="AI68" i="3"/>
  <c r="AI59" i="3"/>
  <c r="AI85" i="3"/>
  <c r="AI76" i="3"/>
  <c r="AI67" i="3"/>
  <c r="AI58" i="3"/>
  <c r="AI84" i="3"/>
  <c r="AI75" i="3"/>
  <c r="AI66" i="3"/>
  <c r="AI72" i="3" s="1"/>
  <c r="AI57" i="3"/>
  <c r="AH87" i="3"/>
  <c r="AH78" i="3"/>
  <c r="AH69" i="3"/>
  <c r="AH60" i="3"/>
  <c r="AH86" i="3"/>
  <c r="AH77" i="3"/>
  <c r="AH68" i="3"/>
  <c r="AH59" i="3"/>
  <c r="AH85" i="3"/>
  <c r="AH76" i="3"/>
  <c r="AH67" i="3"/>
  <c r="AH58" i="3"/>
  <c r="AH84" i="3"/>
  <c r="AH75" i="3"/>
  <c r="AH66" i="3"/>
  <c r="AH72" i="3" s="1"/>
  <c r="AH57" i="3"/>
  <c r="AH63" i="3" s="1"/>
  <c r="AC83" i="3"/>
  <c r="AG88" i="3"/>
  <c r="Y60" i="3" s="1"/>
  <c r="AF88" i="3"/>
  <c r="X60" i="3" s="1"/>
  <c r="AE88" i="3"/>
  <c r="W60" i="3" s="1"/>
  <c r="AG60" i="3"/>
  <c r="AG63" i="3" s="1"/>
  <c r="AG69" i="3"/>
  <c r="AG72" i="3" s="1"/>
  <c r="AG68" i="3"/>
  <c r="AG59" i="3"/>
  <c r="AG67" i="3"/>
  <c r="AG58" i="3"/>
  <c r="AG66" i="3"/>
  <c r="AG57" i="3"/>
  <c r="AG43" i="3"/>
  <c r="Y180" i="3" l="1"/>
  <c r="AH81" i="3"/>
  <c r="AI81" i="3"/>
  <c r="AH90" i="3"/>
  <c r="AJ81" i="3"/>
  <c r="AJ90" i="3"/>
  <c r="L366" i="8"/>
  <c r="L368" i="8" s="1"/>
  <c r="K72" i="4"/>
  <c r="M480" i="8"/>
  <c r="J542" i="8"/>
  <c r="J27" i="4" s="1"/>
  <c r="J192" i="8"/>
  <c r="J181" i="8" s="1"/>
  <c r="I199" i="8"/>
  <c r="I68" i="4" s="1"/>
  <c r="N469" i="8"/>
  <c r="M473" i="8"/>
  <c r="M85" i="4" s="1"/>
  <c r="X180" i="3"/>
  <c r="Z180" i="3"/>
  <c r="H199" i="8"/>
  <c r="H68" i="4" s="1"/>
  <c r="I192" i="8"/>
  <c r="I194" i="8" s="1"/>
  <c r="I175" i="8" s="1"/>
  <c r="I178" i="8" s="1"/>
  <c r="AI63" i="3"/>
  <c r="W165" i="3"/>
  <c r="W109" i="3" s="1"/>
  <c r="E196" i="8"/>
  <c r="H192" i="8"/>
  <c r="H194" i="8" s="1"/>
  <c r="H175" i="8" s="1"/>
  <c r="H178" i="8" s="1"/>
  <c r="G199" i="8"/>
  <c r="G68" i="4" s="1"/>
  <c r="F199" i="8"/>
  <c r="F68" i="4" s="1"/>
  <c r="G192" i="8"/>
  <c r="G194" i="8" s="1"/>
  <c r="G175" i="8" s="1"/>
  <c r="G178" i="8" s="1"/>
  <c r="N386" i="8"/>
  <c r="N388" i="8" s="1"/>
  <c r="N73" i="4" s="1"/>
  <c r="M73" i="4"/>
  <c r="F229" i="8"/>
  <c r="F231" i="8" s="1"/>
  <c r="F212" i="8" s="1"/>
  <c r="F215" i="8" s="1"/>
  <c r="E69" i="4"/>
  <c r="N155" i="8"/>
  <c r="M154" i="8"/>
  <c r="N154" i="8" s="1"/>
  <c r="K151" i="8"/>
  <c r="J156" i="8"/>
  <c r="L153" i="8"/>
  <c r="M153" i="8" s="1"/>
  <c r="N153" i="8" s="1"/>
  <c r="AJ70" i="3"/>
  <c r="AJ72" i="3"/>
  <c r="AH94" i="3"/>
  <c r="AJ94" i="3"/>
  <c r="AI90" i="3"/>
  <c r="AI94" i="3" s="1"/>
  <c r="AJ88" i="3"/>
  <c r="AH88" i="3"/>
  <c r="AI88" i="3"/>
  <c r="AJ79" i="3"/>
  <c r="AJ61" i="3"/>
  <c r="AF43" i="3"/>
  <c r="AC74" i="3"/>
  <c r="AI79" i="3"/>
  <c r="AH79" i="3"/>
  <c r="AG79" i="3"/>
  <c r="AF79" i="3"/>
  <c r="AE79" i="3"/>
  <c r="AI52" i="3"/>
  <c r="AA63" i="3" s="1"/>
  <c r="I26" i="9" s="1"/>
  <c r="AH52" i="3"/>
  <c r="Z63" i="3" s="1"/>
  <c r="H26" i="9" s="1"/>
  <c r="AG52" i="3"/>
  <c r="Y63" i="3" s="1"/>
  <c r="G26" i="9" s="1"/>
  <c r="AF52" i="3"/>
  <c r="AE52" i="3"/>
  <c r="W63" i="3" s="1"/>
  <c r="E26" i="9" s="1"/>
  <c r="AI70" i="3"/>
  <c r="AA58" i="3" s="1"/>
  <c r="AH70" i="3"/>
  <c r="Z58" i="3" s="1"/>
  <c r="AG70" i="3"/>
  <c r="Y58" i="3" s="1"/>
  <c r="AF70" i="3"/>
  <c r="X58" i="3" s="1"/>
  <c r="AE70" i="3"/>
  <c r="W58" i="3" s="1"/>
  <c r="AE61" i="3"/>
  <c r="W57" i="3" s="1"/>
  <c r="AF61" i="3"/>
  <c r="X57" i="3" s="1"/>
  <c r="AG61" i="3"/>
  <c r="Y57" i="3" s="1"/>
  <c r="AH61" i="3"/>
  <c r="Z57" i="3" s="1"/>
  <c r="AI61" i="3"/>
  <c r="AA57" i="3" s="1"/>
  <c r="AC65" i="3"/>
  <c r="AC57" i="3"/>
  <c r="AA60" i="3" l="1"/>
  <c r="Z60" i="3"/>
  <c r="N471" i="8"/>
  <c r="N473" i="8" s="1"/>
  <c r="N85" i="4" s="1"/>
  <c r="N475" i="8"/>
  <c r="N480" i="8" s="1"/>
  <c r="F192" i="8"/>
  <c r="F194" i="8" s="1"/>
  <c r="F175" i="8" s="1"/>
  <c r="F178" i="8" s="1"/>
  <c r="E199" i="8"/>
  <c r="E68" i="4" s="1"/>
  <c r="K181" i="8"/>
  <c r="J189" i="8"/>
  <c r="J195" i="8" s="1"/>
  <c r="L72" i="4"/>
  <c r="M366" i="8"/>
  <c r="M368" i="8" s="1"/>
  <c r="G19" i="9"/>
  <c r="G33" i="9"/>
  <c r="G12" i="9" s="1"/>
  <c r="G13" i="8" s="1"/>
  <c r="L151" i="8"/>
  <c r="K156" i="8"/>
  <c r="H19" i="9"/>
  <c r="H33" i="9"/>
  <c r="H12" i="9" s="1"/>
  <c r="H13" i="8" s="1"/>
  <c r="Y59" i="3"/>
  <c r="AG93" i="3"/>
  <c r="Z65" i="3"/>
  <c r="E19" i="9"/>
  <c r="E33" i="9"/>
  <c r="E12" i="9" s="1"/>
  <c r="E13" i="8" s="1"/>
  <c r="I19" i="9"/>
  <c r="I33" i="9"/>
  <c r="I12" i="9" s="1"/>
  <c r="I13" i="8" s="1"/>
  <c r="AH93" i="3"/>
  <c r="Z59" i="3"/>
  <c r="AF93" i="3"/>
  <c r="X59" i="3"/>
  <c r="AE93" i="3"/>
  <c r="W59" i="3"/>
  <c r="W61" i="3" s="1"/>
  <c r="AI93" i="3"/>
  <c r="AA59" i="3"/>
  <c r="AA61" i="3" s="1"/>
  <c r="AJ93" i="3"/>
  <c r="AA65" i="3"/>
  <c r="J161" i="8"/>
  <c r="J162" i="8" s="1"/>
  <c r="X61" i="3"/>
  <c r="Z64" i="3"/>
  <c r="Y61" i="3"/>
  <c r="AA64" i="3"/>
  <c r="Z61" i="3"/>
  <c r="X63" i="3"/>
  <c r="Z154" i="3"/>
  <c r="Z105" i="3" s="1"/>
  <c r="H119" i="8" s="1"/>
  <c r="Y154" i="3"/>
  <c r="Y105" i="3" s="1"/>
  <c r="G119" i="8" s="1"/>
  <c r="X154" i="3"/>
  <c r="X105" i="3" s="1"/>
  <c r="F119" i="8" s="1"/>
  <c r="W154" i="3"/>
  <c r="W105" i="3" s="1"/>
  <c r="E119" i="8" s="1"/>
  <c r="AA154" i="3"/>
  <c r="AA105" i="3" s="1"/>
  <c r="I119" i="8" s="1"/>
  <c r="R149" i="3"/>
  <c r="S154" i="3" s="1"/>
  <c r="W102" i="3"/>
  <c r="E543" i="8" s="1"/>
  <c r="W115" i="3"/>
  <c r="E401" i="8" s="1"/>
  <c r="E408" i="8" s="1"/>
  <c r="W106" i="3"/>
  <c r="E120" i="8" s="1"/>
  <c r="X115" i="3"/>
  <c r="F401" i="8" s="1"/>
  <c r="F408" i="8" s="1"/>
  <c r="X106" i="3"/>
  <c r="F120" i="8" s="1"/>
  <c r="X102" i="3"/>
  <c r="F543" i="8" s="1"/>
  <c r="Y106" i="3"/>
  <c r="G120" i="8" s="1"/>
  <c r="Y102" i="3"/>
  <c r="G543" i="8" s="1"/>
  <c r="Z102" i="3"/>
  <c r="H543" i="8" s="1"/>
  <c r="Z106" i="3"/>
  <c r="H120" i="8" s="1"/>
  <c r="AA102" i="3"/>
  <c r="I543" i="8" s="1"/>
  <c r="J543" i="8" s="1"/>
  <c r="AA106" i="3"/>
  <c r="I120" i="8" s="1"/>
  <c r="W126" i="3"/>
  <c r="X126" i="3"/>
  <c r="X130" i="3" s="1"/>
  <c r="X142" i="3"/>
  <c r="Y142" i="3"/>
  <c r="Z142" i="3"/>
  <c r="AA142" i="3"/>
  <c r="W142" i="3"/>
  <c r="Z126" i="3"/>
  <c r="Z130" i="3" s="1"/>
  <c r="Y126" i="3"/>
  <c r="Y130" i="3" s="1"/>
  <c r="AA126" i="3"/>
  <c r="AA130" i="3" s="1"/>
  <c r="I94" i="3"/>
  <c r="H94" i="3" s="1"/>
  <c r="G94" i="3" s="1"/>
  <c r="F94" i="3" s="1"/>
  <c r="E94" i="3" s="1"/>
  <c r="B88" i="3"/>
  <c r="K80" i="3"/>
  <c r="L80" i="3"/>
  <c r="M80" i="3"/>
  <c r="N80" i="3"/>
  <c r="K81" i="3"/>
  <c r="L81" i="3"/>
  <c r="M81" i="3"/>
  <c r="N81" i="3"/>
  <c r="K82" i="3"/>
  <c r="L82" i="3"/>
  <c r="M82" i="3"/>
  <c r="N82" i="3"/>
  <c r="N78" i="3"/>
  <c r="M78" i="3"/>
  <c r="L78" i="3"/>
  <c r="K78" i="3"/>
  <c r="K69" i="3"/>
  <c r="L69" i="3"/>
  <c r="M69" i="3"/>
  <c r="N69" i="3"/>
  <c r="K70" i="3"/>
  <c r="L70" i="3"/>
  <c r="M70" i="3"/>
  <c r="N70" i="3"/>
  <c r="K72" i="3"/>
  <c r="L72" i="3"/>
  <c r="M72" i="3"/>
  <c r="N72" i="3"/>
  <c r="K73" i="3"/>
  <c r="L73" i="3"/>
  <c r="M73" i="3"/>
  <c r="N73" i="3"/>
  <c r="K48" i="3"/>
  <c r="L48" i="3"/>
  <c r="M48" i="3"/>
  <c r="N48" i="3"/>
  <c r="K49" i="3"/>
  <c r="L49" i="3"/>
  <c r="M49" i="3"/>
  <c r="N49" i="3"/>
  <c r="K51" i="3"/>
  <c r="L51" i="3"/>
  <c r="M51" i="3"/>
  <c r="N51" i="3"/>
  <c r="K52" i="3"/>
  <c r="L52" i="3"/>
  <c r="M52" i="3"/>
  <c r="N52" i="3"/>
  <c r="B76" i="3"/>
  <c r="B83" i="3"/>
  <c r="B79" i="3"/>
  <c r="B78" i="3"/>
  <c r="C80" i="3"/>
  <c r="C81" i="3"/>
  <c r="C82" i="3"/>
  <c r="C71" i="3"/>
  <c r="B66" i="3"/>
  <c r="C48" i="3"/>
  <c r="C49" i="3"/>
  <c r="C50" i="3"/>
  <c r="C51" i="3"/>
  <c r="C52" i="3"/>
  <c r="C53" i="3"/>
  <c r="B46" i="3"/>
  <c r="B2" i="4"/>
  <c r="B38" i="3"/>
  <c r="B2" i="3"/>
  <c r="I44" i="3"/>
  <c r="H44" i="3" s="1"/>
  <c r="G44" i="3" s="1"/>
  <c r="F44" i="3" s="1"/>
  <c r="E44" i="3" s="1"/>
  <c r="K15" i="3"/>
  <c r="L15" i="3"/>
  <c r="M15" i="3"/>
  <c r="N15" i="3"/>
  <c r="K16" i="3"/>
  <c r="L16" i="3"/>
  <c r="M16" i="3"/>
  <c r="N16" i="3"/>
  <c r="K17" i="3"/>
  <c r="L17" i="3"/>
  <c r="M17" i="3"/>
  <c r="N17" i="3"/>
  <c r="K22" i="3"/>
  <c r="L22" i="3"/>
  <c r="M22" i="3"/>
  <c r="N22" i="3"/>
  <c r="K23" i="3"/>
  <c r="L23" i="3"/>
  <c r="M23" i="3"/>
  <c r="N23" i="3"/>
  <c r="K24" i="3"/>
  <c r="L24" i="3"/>
  <c r="M24" i="3"/>
  <c r="N24" i="3"/>
  <c r="K28" i="3"/>
  <c r="L28" i="3"/>
  <c r="M28" i="3"/>
  <c r="N28" i="3"/>
  <c r="K30" i="3"/>
  <c r="L30" i="3"/>
  <c r="M30" i="3"/>
  <c r="N30" i="3"/>
  <c r="K32" i="3"/>
  <c r="L32" i="3"/>
  <c r="M32" i="3"/>
  <c r="N32" i="3"/>
  <c r="C10" i="3"/>
  <c r="C33" i="6" s="1"/>
  <c r="C11" i="3"/>
  <c r="C40" i="6" s="1"/>
  <c r="C12" i="3"/>
  <c r="C14" i="3"/>
  <c r="C15" i="3"/>
  <c r="C16" i="3"/>
  <c r="C17" i="3"/>
  <c r="C20" i="3"/>
  <c r="C22" i="3"/>
  <c r="C23" i="3"/>
  <c r="C24" i="3"/>
  <c r="C25" i="3"/>
  <c r="C27" i="3"/>
  <c r="C28" i="3"/>
  <c r="C29" i="3"/>
  <c r="C30" i="3"/>
  <c r="C31" i="3"/>
  <c r="C32" i="3"/>
  <c r="C33" i="3"/>
  <c r="W85" i="3"/>
  <c r="E46" i="4" s="1"/>
  <c r="X85" i="3"/>
  <c r="F46" i="4" s="1"/>
  <c r="Y85" i="3"/>
  <c r="G46" i="4" s="1"/>
  <c r="Z85" i="3"/>
  <c r="H46" i="4" s="1"/>
  <c r="AA85" i="3"/>
  <c r="I46" i="4" s="1"/>
  <c r="E45" i="4"/>
  <c r="F45" i="4"/>
  <c r="G45" i="4"/>
  <c r="H45" i="4"/>
  <c r="I45" i="4"/>
  <c r="W50" i="3"/>
  <c r="W53" i="3" s="1"/>
  <c r="W10" i="3" s="1"/>
  <c r="X50" i="3"/>
  <c r="X53" i="3" s="1"/>
  <c r="X10" i="3" s="1"/>
  <c r="Y50" i="3"/>
  <c r="Z50" i="3"/>
  <c r="Z53" i="3" s="1"/>
  <c r="Z10" i="3" s="1"/>
  <c r="AA50" i="3"/>
  <c r="J20" i="4"/>
  <c r="K20" i="4"/>
  <c r="L20" i="4"/>
  <c r="M20" i="4"/>
  <c r="N20" i="4"/>
  <c r="E36" i="4"/>
  <c r="F36" i="4"/>
  <c r="G36" i="4"/>
  <c r="H36" i="4"/>
  <c r="I36" i="4"/>
  <c r="E34" i="4"/>
  <c r="F34" i="4"/>
  <c r="G34" i="4"/>
  <c r="H34" i="4"/>
  <c r="I34" i="4"/>
  <c r="E32" i="4"/>
  <c r="F32" i="4"/>
  <c r="G32" i="4"/>
  <c r="H32" i="4"/>
  <c r="I32" i="4"/>
  <c r="E28" i="4"/>
  <c r="F28" i="4"/>
  <c r="G28" i="4"/>
  <c r="H28" i="4"/>
  <c r="I28" i="4"/>
  <c r="E19" i="4"/>
  <c r="F19" i="4"/>
  <c r="G19" i="4"/>
  <c r="H19" i="4"/>
  <c r="I19" i="4"/>
  <c r="C10" i="4"/>
  <c r="C11" i="4"/>
  <c r="C12" i="4"/>
  <c r="C16" i="4"/>
  <c r="C17" i="4"/>
  <c r="C18" i="4"/>
  <c r="C19" i="4"/>
  <c r="C22" i="4"/>
  <c r="C12" i="10" s="1"/>
  <c r="C26" i="4"/>
  <c r="C27" i="4"/>
  <c r="C28" i="4"/>
  <c r="C29" i="4"/>
  <c r="C31" i="4"/>
  <c r="C32" i="4"/>
  <c r="C33" i="4"/>
  <c r="C34" i="4"/>
  <c r="C35" i="4"/>
  <c r="C36" i="4"/>
  <c r="C37" i="4"/>
  <c r="K8" i="4"/>
  <c r="I8" i="4"/>
  <c r="W25" i="3"/>
  <c r="X25" i="3"/>
  <c r="Y25" i="3"/>
  <c r="Z25" i="3"/>
  <c r="AA25" i="3"/>
  <c r="W18" i="3"/>
  <c r="X18" i="3"/>
  <c r="Y18" i="3"/>
  <c r="Z18" i="3"/>
  <c r="AA18" i="3"/>
  <c r="S18" i="3"/>
  <c r="C20" i="4" s="1"/>
  <c r="S75" i="3"/>
  <c r="S74" i="3"/>
  <c r="S73" i="3"/>
  <c r="W72" i="3"/>
  <c r="X72" i="3"/>
  <c r="Y72" i="3"/>
  <c r="Z72" i="3"/>
  <c r="AA72" i="3"/>
  <c r="S71" i="3"/>
  <c r="C70" i="3" s="1"/>
  <c r="S70" i="3"/>
  <c r="C69" i="3" s="1"/>
  <c r="AA8" i="3"/>
  <c r="I8" i="3"/>
  <c r="H8" i="3" s="1"/>
  <c r="G8" i="3" s="1"/>
  <c r="F8" i="3" s="1"/>
  <c r="E8" i="3" s="1"/>
  <c r="Z20" i="12" l="1"/>
  <c r="Z27" i="12" s="1"/>
  <c r="Z15" i="12"/>
  <c r="L8" i="4"/>
  <c r="AB15" i="12"/>
  <c r="AB20" i="12" s="1"/>
  <c r="AB27" i="12" s="1"/>
  <c r="H40" i="8"/>
  <c r="H43" i="8" s="1"/>
  <c r="H55" i="8" s="1"/>
  <c r="Z78" i="3"/>
  <c r="Y53" i="3"/>
  <c r="Y10" i="3" s="1"/>
  <c r="G16" i="3" s="1"/>
  <c r="G180" i="3"/>
  <c r="F180" i="3"/>
  <c r="G406" i="8"/>
  <c r="G407" i="8" s="1"/>
  <c r="F74" i="4"/>
  <c r="L181" i="8"/>
  <c r="K189" i="8"/>
  <c r="K195" i="8" s="1"/>
  <c r="G40" i="8"/>
  <c r="G43" i="8" s="1"/>
  <c r="G55" i="8" s="1"/>
  <c r="Y78" i="3"/>
  <c r="X78" i="3"/>
  <c r="F40" i="8"/>
  <c r="F43" i="8" s="1"/>
  <c r="F55" i="8" s="1"/>
  <c r="AA53" i="3"/>
  <c r="AA10" i="3" s="1"/>
  <c r="I180" i="3"/>
  <c r="K543" i="8"/>
  <c r="J547" i="8"/>
  <c r="J549" i="8" s="1"/>
  <c r="J26" i="4" s="1"/>
  <c r="J29" i="4" s="1"/>
  <c r="M72" i="4"/>
  <c r="N366" i="8"/>
  <c r="N368" i="8" s="1"/>
  <c r="N72" i="4" s="1"/>
  <c r="AA78" i="3"/>
  <c r="I40" i="8"/>
  <c r="I43" i="8" s="1"/>
  <c r="I55" i="8" s="1"/>
  <c r="W78" i="3"/>
  <c r="E40" i="8"/>
  <c r="E43" i="8" s="1"/>
  <c r="E55" i="8" s="1"/>
  <c r="E74" i="4"/>
  <c r="F406" i="8"/>
  <c r="F407" i="8" s="1"/>
  <c r="H180" i="3"/>
  <c r="AA62" i="3"/>
  <c r="I10" i="8"/>
  <c r="AA66" i="3"/>
  <c r="AA67" i="3" s="1"/>
  <c r="X75" i="3"/>
  <c r="X11" i="3" s="1"/>
  <c r="F11" i="3" s="1"/>
  <c r="H65" i="4"/>
  <c r="H103" i="8"/>
  <c r="E64" i="4"/>
  <c r="W62" i="3"/>
  <c r="E10" i="8"/>
  <c r="W66" i="3"/>
  <c r="Y62" i="3"/>
  <c r="Y66" i="3"/>
  <c r="G10" i="8"/>
  <c r="AJ95" i="3"/>
  <c r="AE95" i="3"/>
  <c r="AE97" i="3" s="1"/>
  <c r="AH95" i="3"/>
  <c r="AH97" i="3" s="1"/>
  <c r="K161" i="8"/>
  <c r="AA75" i="3"/>
  <c r="AA11" i="3" s="1"/>
  <c r="W75" i="3"/>
  <c r="W11" i="3" s="1"/>
  <c r="F65" i="4"/>
  <c r="F103" i="8"/>
  <c r="F64" i="4"/>
  <c r="X64" i="3"/>
  <c r="F26" i="9"/>
  <c r="J67" i="4"/>
  <c r="K159" i="8"/>
  <c r="I74" i="8"/>
  <c r="I44" i="8"/>
  <c r="M151" i="8"/>
  <c r="L156" i="8"/>
  <c r="AG95" i="3"/>
  <c r="AG97" i="3" s="1"/>
  <c r="C72" i="3"/>
  <c r="C56" i="8"/>
  <c r="C177" i="8" s="1"/>
  <c r="C45" i="8"/>
  <c r="C34" i="7" s="1"/>
  <c r="I65" i="4"/>
  <c r="I103" i="8"/>
  <c r="J126" i="4"/>
  <c r="L28" i="10" s="1"/>
  <c r="G64" i="4"/>
  <c r="Z62" i="3"/>
  <c r="H10" i="8"/>
  <c r="Z66" i="3"/>
  <c r="Z67" i="3" s="1"/>
  <c r="X66" i="3"/>
  <c r="F10" i="8"/>
  <c r="AI95" i="3"/>
  <c r="AI97" i="3" s="1"/>
  <c r="AF95" i="3"/>
  <c r="AF97" i="3" s="1"/>
  <c r="H44" i="8"/>
  <c r="H74" i="8"/>
  <c r="G44" i="8"/>
  <c r="G74" i="8"/>
  <c r="C74" i="3"/>
  <c r="C58" i="8"/>
  <c r="C273" i="8" s="1"/>
  <c r="Z75" i="3"/>
  <c r="Z11" i="3" s="1"/>
  <c r="Y75" i="3"/>
  <c r="Y11" i="3" s="1"/>
  <c r="C73" i="3"/>
  <c r="C46" i="8"/>
  <c r="C35" i="7" s="1"/>
  <c r="C57" i="8"/>
  <c r="G65" i="4"/>
  <c r="G103" i="8"/>
  <c r="E65" i="4"/>
  <c r="E103" i="8"/>
  <c r="I64" i="4"/>
  <c r="H64" i="4"/>
  <c r="I11" i="8"/>
  <c r="I29" i="9" s="1"/>
  <c r="AA68" i="3"/>
  <c r="E44" i="8"/>
  <c r="E74" i="8"/>
  <c r="H11" i="8"/>
  <c r="H29" i="9" s="1"/>
  <c r="Z8" i="3"/>
  <c r="Z96" i="3" s="1"/>
  <c r="AA405" i="3"/>
  <c r="E25" i="3"/>
  <c r="I11" i="3"/>
  <c r="E11" i="3"/>
  <c r="E51" i="3"/>
  <c r="H83" i="3"/>
  <c r="Y107" i="3"/>
  <c r="Y116" i="3" s="1"/>
  <c r="H48" i="3"/>
  <c r="AA107" i="3"/>
  <c r="AA116" i="3" s="1"/>
  <c r="X107" i="3"/>
  <c r="X116" i="3" s="1"/>
  <c r="H52" i="3"/>
  <c r="I50" i="3"/>
  <c r="I74" i="3"/>
  <c r="E73" i="3"/>
  <c r="I82" i="3"/>
  <c r="E81" i="3"/>
  <c r="AA96" i="3"/>
  <c r="S268" i="3" s="1"/>
  <c r="S269" i="3" s="1"/>
  <c r="S270" i="3" s="1"/>
  <c r="S271" i="3" s="1"/>
  <c r="S272" i="3" s="1"/>
  <c r="X62" i="3"/>
  <c r="Y64" i="3"/>
  <c r="I51" i="3"/>
  <c r="F50" i="3"/>
  <c r="E74" i="3"/>
  <c r="H71" i="3"/>
  <c r="F69" i="3"/>
  <c r="E82" i="3"/>
  <c r="M83" i="3"/>
  <c r="E70" i="3"/>
  <c r="H51" i="3"/>
  <c r="E50" i="3"/>
  <c r="I70" i="3"/>
  <c r="E69" i="3"/>
  <c r="I81" i="3"/>
  <c r="Z44" i="3"/>
  <c r="AH40" i="3" s="1"/>
  <c r="W107" i="3"/>
  <c r="W116" i="3" s="1"/>
  <c r="Z107" i="3"/>
  <c r="Z116" i="3" s="1"/>
  <c r="L71" i="3"/>
  <c r="L83" i="3"/>
  <c r="Z144" i="3"/>
  <c r="G49" i="3"/>
  <c r="M50" i="3"/>
  <c r="M71" i="3"/>
  <c r="AA144" i="3"/>
  <c r="F53" i="3"/>
  <c r="F49" i="3"/>
  <c r="H74" i="3"/>
  <c r="H70" i="3"/>
  <c r="H78" i="3"/>
  <c r="H82" i="3"/>
  <c r="L53" i="3"/>
  <c r="L50" i="3"/>
  <c r="I53" i="3"/>
  <c r="E53" i="3"/>
  <c r="F52" i="3"/>
  <c r="G51" i="3"/>
  <c r="H50" i="3"/>
  <c r="I49" i="3"/>
  <c r="E49" i="3"/>
  <c r="F48" i="3"/>
  <c r="H73" i="3"/>
  <c r="E72" i="3"/>
  <c r="G70" i="3"/>
  <c r="H69" i="3"/>
  <c r="E78" i="3"/>
  <c r="I78" i="3"/>
  <c r="F83" i="3"/>
  <c r="H81" i="3"/>
  <c r="E80" i="3"/>
  <c r="K53" i="3"/>
  <c r="K50" i="3"/>
  <c r="K71" i="3"/>
  <c r="K83" i="3"/>
  <c r="H53" i="3"/>
  <c r="I52" i="3"/>
  <c r="E52" i="3"/>
  <c r="F51" i="3"/>
  <c r="G50" i="3"/>
  <c r="H49" i="3"/>
  <c r="I48" i="3"/>
  <c r="E48" i="3"/>
  <c r="F74" i="3"/>
  <c r="H72" i="3"/>
  <c r="I71" i="3"/>
  <c r="E71" i="3"/>
  <c r="I83" i="3"/>
  <c r="E83" i="3"/>
  <c r="H80" i="3"/>
  <c r="N53" i="3"/>
  <c r="N50" i="3"/>
  <c r="N71" i="3"/>
  <c r="N83" i="3"/>
  <c r="AA44" i="3"/>
  <c r="AI40" i="3" s="1"/>
  <c r="AJ40" i="3" s="1"/>
  <c r="W130" i="3"/>
  <c r="W144" i="3" s="1"/>
  <c r="X144" i="3"/>
  <c r="Y144" i="3"/>
  <c r="E18" i="3"/>
  <c r="I18" i="3"/>
  <c r="G18" i="3"/>
  <c r="K25" i="3"/>
  <c r="K10" i="3"/>
  <c r="H18" i="3"/>
  <c r="L25" i="3"/>
  <c r="E30" i="3"/>
  <c r="K18" i="3"/>
  <c r="N25" i="3"/>
  <c r="F24" i="3"/>
  <c r="I15" i="3"/>
  <c r="E15" i="3"/>
  <c r="G28" i="3"/>
  <c r="G23" i="3"/>
  <c r="G32" i="3"/>
  <c r="I25" i="3"/>
  <c r="F18" i="3"/>
  <c r="H11" i="3"/>
  <c r="M25" i="3"/>
  <c r="I30" i="3"/>
  <c r="G17" i="3"/>
  <c r="N11" i="3"/>
  <c r="C18" i="3"/>
  <c r="F32" i="3"/>
  <c r="H30" i="3"/>
  <c r="F28" i="3"/>
  <c r="H25" i="3"/>
  <c r="I24" i="3"/>
  <c r="E24" i="3"/>
  <c r="F23" i="3"/>
  <c r="G22" i="3"/>
  <c r="F17" i="3"/>
  <c r="H15" i="3"/>
  <c r="G10" i="3"/>
  <c r="M18" i="3"/>
  <c r="M10" i="3"/>
  <c r="H22" i="3"/>
  <c r="H16" i="3"/>
  <c r="H10" i="3"/>
  <c r="N18" i="3"/>
  <c r="N10" i="3"/>
  <c r="I32" i="3"/>
  <c r="E32" i="3"/>
  <c r="G30" i="3"/>
  <c r="I28" i="3"/>
  <c r="E28" i="3"/>
  <c r="G25" i="3"/>
  <c r="H24" i="3"/>
  <c r="I23" i="3"/>
  <c r="E23" i="3"/>
  <c r="F22" i="3"/>
  <c r="I17" i="3"/>
  <c r="E17" i="3"/>
  <c r="F16" i="3"/>
  <c r="G15" i="3"/>
  <c r="F10" i="3"/>
  <c r="L18" i="3"/>
  <c r="L10" i="3"/>
  <c r="H32" i="3"/>
  <c r="F30" i="3"/>
  <c r="H28" i="3"/>
  <c r="F25" i="3"/>
  <c r="G24" i="3"/>
  <c r="H23" i="3"/>
  <c r="I22" i="3"/>
  <c r="E22" i="3"/>
  <c r="H17" i="3"/>
  <c r="I16" i="3"/>
  <c r="E16" i="3"/>
  <c r="F15" i="3"/>
  <c r="I10" i="3"/>
  <c r="E10" i="3"/>
  <c r="K11" i="3"/>
  <c r="Z12" i="3"/>
  <c r="AA12" i="3"/>
  <c r="W12" i="3"/>
  <c r="H8" i="4"/>
  <c r="I20" i="4"/>
  <c r="E20" i="4"/>
  <c r="G29" i="4"/>
  <c r="H29" i="4"/>
  <c r="H20" i="4"/>
  <c r="G20" i="4"/>
  <c r="F29" i="4"/>
  <c r="F20" i="4"/>
  <c r="I29" i="4"/>
  <c r="E29" i="4"/>
  <c r="N74" i="3" l="1"/>
  <c r="I80" i="3"/>
  <c r="I72" i="3"/>
  <c r="G48" i="3"/>
  <c r="G53" i="3"/>
  <c r="M8" i="4"/>
  <c r="AC15" i="12"/>
  <c r="AC20" i="12" s="1"/>
  <c r="AC27" i="12" s="1"/>
  <c r="M53" i="3"/>
  <c r="G52" i="3"/>
  <c r="I73" i="3"/>
  <c r="I69" i="3"/>
  <c r="G8" i="4"/>
  <c r="Y20" i="12"/>
  <c r="Y27" i="12" s="1"/>
  <c r="Y15" i="12"/>
  <c r="Z68" i="3"/>
  <c r="AI96" i="3"/>
  <c r="L543" i="8"/>
  <c r="K548" i="8"/>
  <c r="K549" i="8" s="1"/>
  <c r="K26" i="4" s="1"/>
  <c r="M181" i="8"/>
  <c r="L189" i="8"/>
  <c r="L195" i="8" s="1"/>
  <c r="M11" i="3"/>
  <c r="AG96" i="3"/>
  <c r="X12" i="3"/>
  <c r="Y12" i="3"/>
  <c r="M12" i="3" s="1"/>
  <c r="L11" i="3"/>
  <c r="G81" i="3"/>
  <c r="F78" i="3"/>
  <c r="K74" i="3"/>
  <c r="F71" i="3"/>
  <c r="G74" i="3"/>
  <c r="F80" i="3"/>
  <c r="G80" i="3"/>
  <c r="F82" i="3"/>
  <c r="G69" i="3"/>
  <c r="G78" i="3"/>
  <c r="L74" i="3"/>
  <c r="G71" i="3"/>
  <c r="G72" i="3"/>
  <c r="F73" i="3"/>
  <c r="G11" i="3"/>
  <c r="F70" i="3"/>
  <c r="G73" i="3"/>
  <c r="G82" i="3"/>
  <c r="G83" i="3"/>
  <c r="F72" i="3"/>
  <c r="M74" i="3"/>
  <c r="F81" i="3"/>
  <c r="H22" i="9"/>
  <c r="H36" i="9"/>
  <c r="H15" i="9" s="1"/>
  <c r="H18" i="8" s="1"/>
  <c r="H52" i="8"/>
  <c r="G77" i="8"/>
  <c r="G76" i="8"/>
  <c r="F12" i="8"/>
  <c r="F28" i="9"/>
  <c r="H12" i="8"/>
  <c r="H28" i="9"/>
  <c r="L161" i="8"/>
  <c r="E52" i="8"/>
  <c r="G12" i="8"/>
  <c r="G28" i="9"/>
  <c r="E12" i="8"/>
  <c r="E28" i="9"/>
  <c r="I36" i="9"/>
  <c r="I15" i="9" s="1"/>
  <c r="I18" i="8" s="1"/>
  <c r="I22" i="9"/>
  <c r="AF96" i="3"/>
  <c r="M156" i="8"/>
  <c r="N151" i="8"/>
  <c r="N156" i="8" s="1"/>
  <c r="K162" i="8"/>
  <c r="AE96" i="3"/>
  <c r="E77" i="8"/>
  <c r="E76" i="8"/>
  <c r="G52" i="8"/>
  <c r="H76" i="8"/>
  <c r="H77" i="8"/>
  <c r="F19" i="9"/>
  <c r="F33" i="9"/>
  <c r="F12" i="9" s="1"/>
  <c r="F13" i="8" s="1"/>
  <c r="I52" i="8"/>
  <c r="R11" i="8"/>
  <c r="R12" i="8" s="1"/>
  <c r="AJ97" i="3"/>
  <c r="F52" i="8"/>
  <c r="I28" i="9"/>
  <c r="I12" i="8"/>
  <c r="I76" i="8"/>
  <c r="I77" i="8"/>
  <c r="AH96" i="3"/>
  <c r="AJ96" i="3"/>
  <c r="Y8" i="3"/>
  <c r="Z405" i="3"/>
  <c r="Z146" i="3"/>
  <c r="S375" i="3"/>
  <c r="S376" i="3" s="1"/>
  <c r="S377" i="3" s="1"/>
  <c r="S378" i="3" s="1"/>
  <c r="S379" i="3" s="1"/>
  <c r="S388" i="3"/>
  <c r="S389" i="3" s="1"/>
  <c r="S390" i="3" s="1"/>
  <c r="S391" i="3" s="1"/>
  <c r="S392" i="3" s="1"/>
  <c r="S362" i="3"/>
  <c r="S363" i="3" s="1"/>
  <c r="S364" i="3" s="1"/>
  <c r="S365" i="3" s="1"/>
  <c r="S366" i="3" s="1"/>
  <c r="X146" i="3"/>
  <c r="S349" i="3"/>
  <c r="S350" i="3" s="1"/>
  <c r="S351" i="3" s="1"/>
  <c r="S352" i="3" s="1"/>
  <c r="S353" i="3" s="1"/>
  <c r="S224" i="3"/>
  <c r="S225" i="3" s="1"/>
  <c r="S226" i="3" s="1"/>
  <c r="S227" i="3" s="1"/>
  <c r="S228" i="3" s="1"/>
  <c r="S336" i="3"/>
  <c r="S337" i="3" s="1"/>
  <c r="S338" i="3" s="1"/>
  <c r="S339" i="3" s="1"/>
  <c r="S340" i="3" s="1"/>
  <c r="AA146" i="3"/>
  <c r="Y146" i="3"/>
  <c r="W146" i="3"/>
  <c r="X20" i="3"/>
  <c r="K12" i="3"/>
  <c r="F12" i="3"/>
  <c r="AA20" i="3"/>
  <c r="N12" i="3"/>
  <c r="I12" i="3"/>
  <c r="W20" i="3"/>
  <c r="E12" i="3"/>
  <c r="Y20" i="3"/>
  <c r="G12" i="3"/>
  <c r="L12" i="3"/>
  <c r="Z20" i="3"/>
  <c r="H12" i="3"/>
  <c r="N8" i="4" l="1"/>
  <c r="AE15" i="12" s="1"/>
  <c r="AE20" i="12" s="1"/>
  <c r="AE27" i="12" s="1"/>
  <c r="AD15" i="12"/>
  <c r="AD20" i="12" s="1"/>
  <c r="AD27" i="12" s="1"/>
  <c r="F8" i="4"/>
  <c r="X20" i="12"/>
  <c r="X27" i="12" s="1"/>
  <c r="X15" i="12"/>
  <c r="N181" i="8"/>
  <c r="N189" i="8" s="1"/>
  <c r="N195" i="8" s="1"/>
  <c r="M189" i="8"/>
  <c r="M195" i="8" s="1"/>
  <c r="M543" i="8"/>
  <c r="L548" i="8"/>
  <c r="L549" i="8" s="1"/>
  <c r="L26" i="4" s="1"/>
  <c r="N161" i="8"/>
  <c r="F44" i="8"/>
  <c r="F74" i="8"/>
  <c r="M161" i="8"/>
  <c r="E35" i="9"/>
  <c r="E14" i="9" s="1"/>
  <c r="E17" i="8" s="1"/>
  <c r="E21" i="9"/>
  <c r="L159" i="8"/>
  <c r="L162" i="8" s="1"/>
  <c r="K67" i="4"/>
  <c r="X8" i="3"/>
  <c r="Y405" i="3"/>
  <c r="Y96" i="3"/>
  <c r="Y44" i="3"/>
  <c r="AG40" i="3" s="1"/>
  <c r="Z27" i="3"/>
  <c r="M20" i="3"/>
  <c r="H20" i="3"/>
  <c r="AA27" i="3"/>
  <c r="N20" i="3"/>
  <c r="I20" i="3"/>
  <c r="W27" i="3"/>
  <c r="E20" i="3"/>
  <c r="Y27" i="3"/>
  <c r="L20" i="3"/>
  <c r="G20" i="3"/>
  <c r="X27" i="3"/>
  <c r="K20" i="3"/>
  <c r="F20" i="3"/>
  <c r="E8" i="4" l="1"/>
  <c r="W20" i="12"/>
  <c r="W27" i="12" s="1"/>
  <c r="W15" i="12"/>
  <c r="N543" i="8"/>
  <c r="N548" i="8" s="1"/>
  <c r="N549" i="8" s="1"/>
  <c r="N26" i="4" s="1"/>
  <c r="M548" i="8"/>
  <c r="M549" i="8" s="1"/>
  <c r="M26" i="4" s="1"/>
  <c r="M159" i="8"/>
  <c r="M162" i="8" s="1"/>
  <c r="L67" i="4"/>
  <c r="F76" i="8"/>
  <c r="F77" i="8"/>
  <c r="W8" i="3"/>
  <c r="X405" i="3"/>
  <c r="X96" i="3"/>
  <c r="X44" i="3"/>
  <c r="AF40" i="3" s="1"/>
  <c r="X29" i="3"/>
  <c r="X409" i="3" s="1"/>
  <c r="X432" i="3" s="1"/>
  <c r="X464" i="3" s="1"/>
  <c r="K27" i="3"/>
  <c r="F27" i="3"/>
  <c r="W29" i="3"/>
  <c r="W409" i="3" s="1"/>
  <c r="W432" i="3" s="1"/>
  <c r="W464" i="3" s="1"/>
  <c r="W466" i="3" s="1"/>
  <c r="X465" i="3" s="1"/>
  <c r="E27" i="3"/>
  <c r="AA29" i="3"/>
  <c r="AA409" i="3" s="1"/>
  <c r="AA432" i="3" s="1"/>
  <c r="AA464" i="3" s="1"/>
  <c r="I27" i="3"/>
  <c r="N27" i="3"/>
  <c r="Y29" i="3"/>
  <c r="Y409" i="3" s="1"/>
  <c r="Y432" i="3" s="1"/>
  <c r="Y464" i="3" s="1"/>
  <c r="L27" i="3"/>
  <c r="G27" i="3"/>
  <c r="Z29" i="3"/>
  <c r="Z409" i="3" s="1"/>
  <c r="Z432" i="3" s="1"/>
  <c r="Z464" i="3" s="1"/>
  <c r="H27" i="3"/>
  <c r="M27" i="3"/>
  <c r="V20" i="12" l="1"/>
  <c r="V27" i="12" s="1"/>
  <c r="V15" i="12"/>
  <c r="M67" i="4"/>
  <c r="N159" i="8"/>
  <c r="N162" i="8" s="1"/>
  <c r="N67" i="4" s="1"/>
  <c r="X466" i="3"/>
  <c r="Y465" i="3" s="1"/>
  <c r="Y466" i="3" s="1"/>
  <c r="Z465" i="3" s="1"/>
  <c r="Z466" i="3" s="1"/>
  <c r="AA465" i="3" s="1"/>
  <c r="AA466" i="3" s="1"/>
  <c r="W44" i="3"/>
  <c r="AE40" i="3" s="1"/>
  <c r="W405" i="3"/>
  <c r="W96" i="3"/>
  <c r="AA31" i="3"/>
  <c r="N29" i="3"/>
  <c r="I29" i="3"/>
  <c r="Z31" i="3"/>
  <c r="H29" i="3"/>
  <c r="M29" i="3"/>
  <c r="W31" i="3"/>
  <c r="E29" i="3"/>
  <c r="Y31" i="3"/>
  <c r="G29" i="3"/>
  <c r="L29" i="3"/>
  <c r="X31" i="3"/>
  <c r="K29" i="3"/>
  <c r="F29" i="3"/>
  <c r="X33" i="3" l="1"/>
  <c r="K31" i="3"/>
  <c r="F31" i="3"/>
  <c r="Z33" i="3"/>
  <c r="H31" i="3"/>
  <c r="M31" i="3"/>
  <c r="W33" i="3"/>
  <c r="E33" i="3" s="1"/>
  <c r="E31" i="3"/>
  <c r="Y33" i="3"/>
  <c r="L31" i="3"/>
  <c r="G31" i="3"/>
  <c r="AA33" i="3"/>
  <c r="I31" i="3"/>
  <c r="N31" i="3"/>
  <c r="N33" i="3" l="1"/>
  <c r="I33" i="3"/>
  <c r="H33" i="3"/>
  <c r="M33" i="3"/>
  <c r="G33" i="3"/>
  <c r="L33" i="3"/>
  <c r="K33" i="3"/>
  <c r="F33" i="3"/>
  <c r="E26" i="2" l="1"/>
  <c r="E27" i="2" s="1"/>
  <c r="E28" i="2" s="1"/>
  <c r="E29" i="2" s="1"/>
  <c r="E30" i="2" s="1"/>
  <c r="E31" i="2" s="1"/>
  <c r="C20" i="2"/>
  <c r="G21" i="9" l="1"/>
  <c r="G35" i="9"/>
  <c r="G14" i="9" s="1"/>
  <c r="G17" i="8" s="1"/>
  <c r="I35" i="9"/>
  <c r="I14" i="9" s="1"/>
  <c r="I17" i="8" s="1"/>
  <c r="I21" i="9"/>
  <c r="F21" i="9"/>
  <c r="F35" i="9"/>
  <c r="F14" i="9" s="1"/>
  <c r="F17" i="8" s="1"/>
  <c r="H35" i="9"/>
  <c r="H14" i="9" s="1"/>
  <c r="H17" i="8" s="1"/>
  <c r="H21" i="9"/>
  <c r="J346" i="8" l="1"/>
  <c r="J138" i="4" s="1"/>
  <c r="J348" i="8" l="1"/>
  <c r="K345" i="8" s="1"/>
  <c r="K346" i="8" s="1"/>
  <c r="K138" i="4" s="1"/>
  <c r="J139" i="4"/>
  <c r="AA31" i="12" s="1"/>
  <c r="J71" i="4" l="1"/>
  <c r="K348" i="8"/>
  <c r="K71" i="4" s="1"/>
  <c r="K139" i="4"/>
  <c r="AB31" i="12" s="1"/>
  <c r="L345" i="8" l="1"/>
  <c r="L346" i="8" s="1"/>
  <c r="L138" i="4" s="1"/>
  <c r="L348" i="8" l="1"/>
  <c r="L139" i="4"/>
  <c r="AC31" i="12" s="1"/>
  <c r="M345" i="8" l="1"/>
  <c r="M346" i="8" s="1"/>
  <c r="M138" i="4" s="1"/>
  <c r="L71" i="4"/>
  <c r="M348" i="8" l="1"/>
  <c r="M139" i="4"/>
  <c r="AD31" i="12" s="1"/>
  <c r="M71" i="4" l="1"/>
  <c r="N345" i="8"/>
  <c r="N346" i="8" l="1"/>
  <c r="N138" i="4" l="1"/>
  <c r="N139" i="4" s="1"/>
  <c r="AE31" i="12" s="1"/>
  <c r="N348" i="8"/>
  <c r="N71" i="4" s="1"/>
  <c r="F69" i="4" l="1"/>
  <c r="G229" i="8"/>
  <c r="G231" i="8" s="1"/>
  <c r="G212" i="8" s="1"/>
  <c r="G215" i="8" s="1"/>
  <c r="H229" i="8" l="1"/>
  <c r="H231" i="8" s="1"/>
  <c r="H212" i="8" s="1"/>
  <c r="H215" i="8" s="1"/>
  <c r="G69" i="4"/>
  <c r="H69" i="4" l="1"/>
  <c r="I229" i="8"/>
  <c r="I231" i="8" s="1"/>
  <c r="I212" i="8" s="1"/>
  <c r="I215" i="8" s="1"/>
  <c r="I69" i="4" l="1"/>
  <c r="J218" i="8"/>
  <c r="J226" i="8" l="1"/>
  <c r="K218" i="8"/>
  <c r="J118" i="4" l="1"/>
  <c r="J41" i="8"/>
  <c r="J53" i="8" s="1"/>
  <c r="J232" i="8"/>
  <c r="J233" i="8" s="1"/>
  <c r="K229" i="8" s="1"/>
  <c r="L218" i="8"/>
  <c r="K226" i="8"/>
  <c r="L13" i="10" l="1"/>
  <c r="L22" i="10"/>
  <c r="J43" i="8"/>
  <c r="J55" i="8" s="1"/>
  <c r="K118" i="4"/>
  <c r="K41" i="8"/>
  <c r="K232" i="8"/>
  <c r="K233" i="8" s="1"/>
  <c r="L229" i="8" s="1"/>
  <c r="M218" i="8"/>
  <c r="L226" i="8"/>
  <c r="J69" i="4"/>
  <c r="M13" i="10" l="1"/>
  <c r="M22" i="10"/>
  <c r="K53" i="8"/>
  <c r="K43" i="8"/>
  <c r="K55" i="8" s="1"/>
  <c r="L118" i="4"/>
  <c r="L41" i="8"/>
  <c r="L232" i="8"/>
  <c r="M226" i="8"/>
  <c r="N218" i="8"/>
  <c r="N226" i="8" s="1"/>
  <c r="K69" i="4"/>
  <c r="N22" i="10" l="1"/>
  <c r="N13" i="10"/>
  <c r="L53" i="8"/>
  <c r="L43" i="8"/>
  <c r="L55" i="8" s="1"/>
  <c r="M118" i="4"/>
  <c r="M41" i="8"/>
  <c r="N118" i="4"/>
  <c r="N41" i="8"/>
  <c r="L233" i="8"/>
  <c r="N232" i="8"/>
  <c r="M232" i="8"/>
  <c r="P13" i="10" l="1"/>
  <c r="P22" i="10"/>
  <c r="O22" i="10"/>
  <c r="O13" i="10"/>
  <c r="M53" i="8"/>
  <c r="M43" i="8"/>
  <c r="M55" i="8" s="1"/>
  <c r="N53" i="8"/>
  <c r="N43" i="8"/>
  <c r="N55" i="8" s="1"/>
  <c r="L69" i="4"/>
  <c r="M229" i="8"/>
  <c r="M233" i="8" s="1"/>
  <c r="N229" i="8" s="1"/>
  <c r="M69" i="4" l="1"/>
  <c r="N233" i="8"/>
  <c r="N69" i="4" s="1"/>
  <c r="J253" i="8" l="1"/>
  <c r="K251" i="8" l="1"/>
  <c r="K253" i="8" s="1"/>
  <c r="J176" i="8"/>
  <c r="J193" i="8" s="1"/>
  <c r="J196" i="8" s="1"/>
  <c r="K192" i="8" l="1"/>
  <c r="J199" i="8"/>
  <c r="J68" i="4" s="1"/>
  <c r="L251" i="8"/>
  <c r="L253" i="8" s="1"/>
  <c r="K176" i="8"/>
  <c r="K193" i="8" s="1"/>
  <c r="K196" i="8" l="1"/>
  <c r="L192" i="8" s="1"/>
  <c r="M251" i="8"/>
  <c r="M253" i="8" s="1"/>
  <c r="L176" i="8"/>
  <c r="L193" i="8" s="1"/>
  <c r="L196" i="8" l="1"/>
  <c r="M192" i="8" s="1"/>
  <c r="K199" i="8"/>
  <c r="K68" i="4" s="1"/>
  <c r="N251" i="8"/>
  <c r="N253" i="8" s="1"/>
  <c r="N176" i="8" s="1"/>
  <c r="N193" i="8" s="1"/>
  <c r="M176" i="8"/>
  <c r="M193" i="8" s="1"/>
  <c r="L199" i="8" l="1"/>
  <c r="L68" i="4" s="1"/>
  <c r="M196" i="8"/>
  <c r="M199" i="8" s="1"/>
  <c r="M68" i="4" s="1"/>
  <c r="N192" i="8" l="1"/>
  <c r="N196" i="8" s="1"/>
  <c r="N199" i="8" s="1"/>
  <c r="N68" i="4" s="1"/>
  <c r="H27" i="9" l="1"/>
  <c r="E58" i="8"/>
  <c r="E273" i="8" s="1"/>
  <c r="E274" i="8" s="1"/>
  <c r="F58" i="8"/>
  <c r="F273" i="8" s="1"/>
  <c r="F274" i="8" s="1"/>
  <c r="G58" i="8"/>
  <c r="G11" i="4" s="1"/>
  <c r="G12" i="4" s="1"/>
  <c r="X16" i="12" s="1"/>
  <c r="H58" i="8"/>
  <c r="I58" i="8"/>
  <c r="I273" i="8" s="1"/>
  <c r="I274" i="8" s="1"/>
  <c r="J58" i="8"/>
  <c r="J273" i="8" s="1"/>
  <c r="J272" i="8" s="1"/>
  <c r="J289" i="8" s="1"/>
  <c r="K58" i="8"/>
  <c r="K11" i="4" s="1"/>
  <c r="K12" i="4" s="1"/>
  <c r="AB16" i="12" s="1"/>
  <c r="L16" i="12" s="1"/>
  <c r="L58" i="8"/>
  <c r="M58" i="8"/>
  <c r="M273" i="8" s="1"/>
  <c r="M272" i="8" s="1"/>
  <c r="M289" i="8" s="1"/>
  <c r="M283" i="8" s="1"/>
  <c r="N283" i="8" s="1"/>
  <c r="N58" i="8"/>
  <c r="N11" i="4" s="1"/>
  <c r="N12" i="4" s="1"/>
  <c r="AE16" i="12" s="1"/>
  <c r="E27" i="9"/>
  <c r="E20" i="9" s="1"/>
  <c r="F27" i="9"/>
  <c r="G27" i="9"/>
  <c r="G34" i="9" s="1"/>
  <c r="I27" i="9"/>
  <c r="I20" i="9" s="1"/>
  <c r="H34" i="9" l="1"/>
  <c r="N273" i="8"/>
  <c r="N272" i="8" s="1"/>
  <c r="N289" i="8" s="1"/>
  <c r="N284" i="8" s="1"/>
  <c r="F95" i="8"/>
  <c r="F106" i="8" s="1"/>
  <c r="N95" i="8"/>
  <c r="N124" i="8" s="1"/>
  <c r="N80" i="4" s="1"/>
  <c r="H20" i="9"/>
  <c r="H13" i="9" s="1"/>
  <c r="H48" i="8" s="1"/>
  <c r="I34" i="9"/>
  <c r="I13" i="9" s="1"/>
  <c r="I48" i="8" s="1"/>
  <c r="F34" i="9"/>
  <c r="E34" i="9"/>
  <c r="E13" i="9" s="1"/>
  <c r="E48" i="8" s="1"/>
  <c r="J11" i="4"/>
  <c r="J12" i="4" s="1"/>
  <c r="G273" i="8"/>
  <c r="G274" i="8" s="1"/>
  <c r="K95" i="8"/>
  <c r="K119" i="8" s="1"/>
  <c r="K64" i="4" s="1"/>
  <c r="F11" i="4"/>
  <c r="F12" i="4" s="1"/>
  <c r="W16" i="12" s="1"/>
  <c r="K273" i="8"/>
  <c r="K272" i="8" s="1"/>
  <c r="K289" i="8" s="1"/>
  <c r="J95" i="8"/>
  <c r="G95" i="8"/>
  <c r="G102" i="8" s="1"/>
  <c r="G20" i="9"/>
  <c r="G13" i="9" s="1"/>
  <c r="G48" i="8" s="1"/>
  <c r="H95" i="8"/>
  <c r="H11" i="4"/>
  <c r="H12" i="4" s="1"/>
  <c r="Y16" i="12" s="1"/>
  <c r="H273" i="8"/>
  <c r="H274" i="8" s="1"/>
  <c r="J280" i="8"/>
  <c r="L95" i="8"/>
  <c r="L11" i="4"/>
  <c r="L12" i="4" s="1"/>
  <c r="AC16" i="12" s="1"/>
  <c r="L273" i="8"/>
  <c r="L272" i="8" s="1"/>
  <c r="L289" i="8" s="1"/>
  <c r="F20" i="9"/>
  <c r="J303" i="8"/>
  <c r="N22" i="4"/>
  <c r="N14" i="4"/>
  <c r="K14" i="4"/>
  <c r="K22" i="4"/>
  <c r="G14" i="4"/>
  <c r="G22" i="4"/>
  <c r="G24" i="4" s="1"/>
  <c r="M303" i="8"/>
  <c r="M95" i="8"/>
  <c r="M11" i="4"/>
  <c r="M12" i="4" s="1"/>
  <c r="AD16" i="12" s="1"/>
  <c r="I95" i="8"/>
  <c r="I11" i="4"/>
  <c r="I12" i="4" s="1"/>
  <c r="Z16" i="12" s="1"/>
  <c r="E95" i="8"/>
  <c r="E11" i="4"/>
  <c r="E12" i="4" s="1"/>
  <c r="V16" i="12" s="1"/>
  <c r="M12" i="10" l="1"/>
  <c r="K24" i="4"/>
  <c r="P12" i="10"/>
  <c r="P14" i="10" s="1"/>
  <c r="N24" i="4"/>
  <c r="J22" i="4"/>
  <c r="J24" i="4" s="1"/>
  <c r="AA16" i="12"/>
  <c r="K16" i="12" s="1"/>
  <c r="M14" i="10"/>
  <c r="M18" i="10"/>
  <c r="M19" i="10" s="1"/>
  <c r="M20" i="10" s="1"/>
  <c r="G31" i="4"/>
  <c r="G33" i="4" s="1"/>
  <c r="H12" i="10"/>
  <c r="F102" i="8"/>
  <c r="F13" i="9"/>
  <c r="F48" i="8" s="1"/>
  <c r="F107" i="8"/>
  <c r="N119" i="8"/>
  <c r="N64" i="4" s="1"/>
  <c r="N123" i="8"/>
  <c r="N79" i="4" s="1"/>
  <c r="N84" i="4" s="1"/>
  <c r="N303" i="8"/>
  <c r="K124" i="8"/>
  <c r="K80" i="4" s="1"/>
  <c r="K123" i="8"/>
  <c r="K79" i="4" s="1"/>
  <c r="G107" i="8"/>
  <c r="G106" i="8"/>
  <c r="J14" i="4"/>
  <c r="F22" i="4"/>
  <c r="F24" i="4" s="1"/>
  <c r="F14" i="4"/>
  <c r="K281" i="8"/>
  <c r="L281" i="8" s="1"/>
  <c r="M281" i="8" s="1"/>
  <c r="N281" i="8" s="1"/>
  <c r="K303" i="8"/>
  <c r="J124" i="8"/>
  <c r="J80" i="4" s="1"/>
  <c r="J119" i="8"/>
  <c r="J123" i="8"/>
  <c r="J285" i="8"/>
  <c r="J291" i="8" s="1"/>
  <c r="K280" i="8"/>
  <c r="E22" i="4"/>
  <c r="E24" i="4" s="1"/>
  <c r="E14" i="4"/>
  <c r="M22" i="4"/>
  <c r="M14" i="4"/>
  <c r="L14" i="4"/>
  <c r="L22" i="4"/>
  <c r="H107" i="8"/>
  <c r="H102" i="8"/>
  <c r="H106" i="8"/>
  <c r="L303" i="8"/>
  <c r="L282" i="8"/>
  <c r="M282" i="8" s="1"/>
  <c r="N282" i="8" s="1"/>
  <c r="L119" i="8"/>
  <c r="L123" i="8"/>
  <c r="L124" i="8"/>
  <c r="L80" i="4" s="1"/>
  <c r="I106" i="8"/>
  <c r="I107" i="8"/>
  <c r="I102" i="8"/>
  <c r="H14" i="4"/>
  <c r="H22" i="4"/>
  <c r="H24" i="4" s="1"/>
  <c r="E106" i="8"/>
  <c r="E107" i="8"/>
  <c r="E102" i="8"/>
  <c r="M119" i="8"/>
  <c r="M124" i="8"/>
  <c r="M80" i="4" s="1"/>
  <c r="M123" i="8"/>
  <c r="G35" i="4"/>
  <c r="G37" i="4" s="1"/>
  <c r="X18" i="12" s="1"/>
  <c r="G116" i="4"/>
  <c r="G132" i="4" s="1"/>
  <c r="I22" i="4"/>
  <c r="I24" i="4" s="1"/>
  <c r="I14" i="4"/>
  <c r="N12" i="10" l="1"/>
  <c r="L24" i="4"/>
  <c r="L12" i="10"/>
  <c r="J31" i="4"/>
  <c r="J32" i="4" s="1"/>
  <c r="J33" i="4" s="1"/>
  <c r="J116" i="4" s="1"/>
  <c r="O12" i="10"/>
  <c r="M24" i="4"/>
  <c r="P18" i="10"/>
  <c r="P19" i="10" s="1"/>
  <c r="P20" i="10" s="1"/>
  <c r="G152" i="4"/>
  <c r="X30" i="12"/>
  <c r="M97" i="10"/>
  <c r="AB17" i="12"/>
  <c r="L17" i="12" s="1"/>
  <c r="P97" i="10"/>
  <c r="P101" i="10" s="1"/>
  <c r="AE17" i="12"/>
  <c r="J35" i="4"/>
  <c r="J37" i="4" s="1"/>
  <c r="J42" i="4" s="1"/>
  <c r="N18" i="10"/>
  <c r="N19" i="10" s="1"/>
  <c r="N20" i="10" s="1"/>
  <c r="N14" i="10"/>
  <c r="H14" i="10"/>
  <c r="X17" i="12" s="1"/>
  <c r="H18" i="10"/>
  <c r="H19" i="10" s="1"/>
  <c r="H20" i="10" s="1"/>
  <c r="H32" i="10" s="1"/>
  <c r="H34" i="10" s="1"/>
  <c r="E31" i="4"/>
  <c r="E33" i="4" s="1"/>
  <c r="E116" i="4" s="1"/>
  <c r="E132" i="4" s="1"/>
  <c r="F12" i="10"/>
  <c r="L14" i="10"/>
  <c r="L18" i="10"/>
  <c r="L19" i="10" s="1"/>
  <c r="L20" i="10" s="1"/>
  <c r="F31" i="4"/>
  <c r="F33" i="4" s="1"/>
  <c r="F35" i="4" s="1"/>
  <c r="F37" i="4" s="1"/>
  <c r="W18" i="12" s="1"/>
  <c r="G12" i="10"/>
  <c r="I31" i="4"/>
  <c r="I33" i="4" s="1"/>
  <c r="J12" i="10"/>
  <c r="H31" i="4"/>
  <c r="H33" i="4" s="1"/>
  <c r="H116" i="4" s="1"/>
  <c r="H132" i="4" s="1"/>
  <c r="I12" i="10"/>
  <c r="O18" i="10"/>
  <c r="O19" i="10" s="1"/>
  <c r="O20" i="10" s="1"/>
  <c r="O14" i="10"/>
  <c r="K84" i="4"/>
  <c r="K128" i="4"/>
  <c r="M29" i="10" s="1"/>
  <c r="J79" i="4"/>
  <c r="J84" i="4" s="1"/>
  <c r="J128" i="4"/>
  <c r="L29" i="10" s="1"/>
  <c r="J64" i="4"/>
  <c r="K124" i="4"/>
  <c r="M27" i="10" s="1"/>
  <c r="J124" i="4"/>
  <c r="L27" i="10" s="1"/>
  <c r="M79" i="4"/>
  <c r="M84" i="4" s="1"/>
  <c r="M128" i="4"/>
  <c r="O29" i="10" s="1"/>
  <c r="N128" i="4"/>
  <c r="P29" i="10" s="1"/>
  <c r="G41" i="4"/>
  <c r="G42" i="4"/>
  <c r="L64" i="4"/>
  <c r="M124" i="4"/>
  <c r="O27" i="10" s="1"/>
  <c r="L124" i="4"/>
  <c r="N27" i="10" s="1"/>
  <c r="M64" i="4"/>
  <c r="N124" i="4"/>
  <c r="P27" i="10" s="1"/>
  <c r="K285" i="8"/>
  <c r="K291" i="8" s="1"/>
  <c r="K304" i="8" s="1"/>
  <c r="L280" i="8"/>
  <c r="I116" i="4"/>
  <c r="I132" i="4" s="1"/>
  <c r="I35" i="4"/>
  <c r="I37" i="4" s="1"/>
  <c r="Z18" i="12" s="1"/>
  <c r="J304" i="8"/>
  <c r="J292" i="8"/>
  <c r="L79" i="4"/>
  <c r="L84" i="4" s="1"/>
  <c r="L128" i="4"/>
  <c r="N29" i="10" s="1"/>
  <c r="J41" i="4" l="1"/>
  <c r="H35" i="4"/>
  <c r="H37" i="4" s="1"/>
  <c r="Y18" i="12" s="1"/>
  <c r="F116" i="4"/>
  <c r="F132" i="4" s="1"/>
  <c r="W30" i="12" s="1"/>
  <c r="H152" i="4"/>
  <c r="Y30" i="12"/>
  <c r="E152" i="4"/>
  <c r="E154" i="4" s="1"/>
  <c r="V33" i="12" s="1"/>
  <c r="V30" i="12"/>
  <c r="F152" i="4"/>
  <c r="I152" i="4"/>
  <c r="Z30" i="12"/>
  <c r="E35" i="4"/>
  <c r="E37" i="4" s="1"/>
  <c r="V18" i="12" s="1"/>
  <c r="L97" i="10"/>
  <c r="AA17" i="12"/>
  <c r="K17" i="12" s="1"/>
  <c r="N97" i="10"/>
  <c r="AC17" i="12"/>
  <c r="O97" i="10"/>
  <c r="AD17" i="12"/>
  <c r="J496" i="8"/>
  <c r="J503" i="8" s="1"/>
  <c r="J504" i="8" s="1"/>
  <c r="K502" i="8" s="1"/>
  <c r="AA18" i="12"/>
  <c r="K18" i="12" s="1"/>
  <c r="M32" i="10"/>
  <c r="M34" i="10" s="1"/>
  <c r="M98" i="10" s="1"/>
  <c r="M107" i="10" s="1"/>
  <c r="M109" i="10" s="1"/>
  <c r="P32" i="10"/>
  <c r="P34" i="10" s="1"/>
  <c r="P98" i="10" s="1"/>
  <c r="P107" i="10" s="1"/>
  <c r="F18" i="10"/>
  <c r="F19" i="10" s="1"/>
  <c r="F20" i="10" s="1"/>
  <c r="F32" i="10" s="1"/>
  <c r="F34" i="10" s="1"/>
  <c r="F14" i="10"/>
  <c r="V17" i="12" s="1"/>
  <c r="G18" i="10"/>
  <c r="G19" i="10" s="1"/>
  <c r="G20" i="10" s="1"/>
  <c r="G32" i="10" s="1"/>
  <c r="G34" i="10" s="1"/>
  <c r="G14" i="10"/>
  <c r="W17" i="12" s="1"/>
  <c r="J18" i="10"/>
  <c r="J19" i="10" s="1"/>
  <c r="J20" i="10" s="1"/>
  <c r="J32" i="10" s="1"/>
  <c r="J34" i="10" s="1"/>
  <c r="J14" i="10"/>
  <c r="Z17" i="12" s="1"/>
  <c r="I18" i="10"/>
  <c r="I19" i="10" s="1"/>
  <c r="I20" i="10" s="1"/>
  <c r="I32" i="10" s="1"/>
  <c r="I34" i="10" s="1"/>
  <c r="I14" i="10"/>
  <c r="Y17" i="12" s="1"/>
  <c r="O32" i="10"/>
  <c r="O34" i="10" s="1"/>
  <c r="O98" i="10" s="1"/>
  <c r="O107" i="10" s="1"/>
  <c r="O109" i="10" s="1"/>
  <c r="L32" i="10"/>
  <c r="L34" i="10" s="1"/>
  <c r="L98" i="10" s="1"/>
  <c r="L107" i="10" s="1"/>
  <c r="L109" i="10" s="1"/>
  <c r="N32" i="10"/>
  <c r="N34" i="10" s="1"/>
  <c r="N98" i="10" s="1"/>
  <c r="N107" i="10" s="1"/>
  <c r="N109" i="10" s="1"/>
  <c r="J132" i="4"/>
  <c r="F42" i="4"/>
  <c r="F41" i="4"/>
  <c r="J70" i="4"/>
  <c r="K288" i="8"/>
  <c r="K292" i="8" s="1"/>
  <c r="J308" i="8"/>
  <c r="J305" i="8"/>
  <c r="I42" i="4"/>
  <c r="I41" i="4"/>
  <c r="H42" i="4"/>
  <c r="H41" i="4"/>
  <c r="M280" i="8"/>
  <c r="L285" i="8"/>
  <c r="L291" i="8" s="1"/>
  <c r="L304" i="8" s="1"/>
  <c r="E42" i="4"/>
  <c r="E41" i="4"/>
  <c r="E61" i="4" l="1"/>
  <c r="E66" i="4" s="1"/>
  <c r="E75" i="4" s="1"/>
  <c r="E101" i="4" s="1"/>
  <c r="F153" i="4"/>
  <c r="J152" i="4"/>
  <c r="AA30" i="12"/>
  <c r="J96" i="4"/>
  <c r="J97" i="4" s="1"/>
  <c r="N280" i="8"/>
  <c r="N285" i="8" s="1"/>
  <c r="N291" i="8" s="1"/>
  <c r="N304" i="8" s="1"/>
  <c r="M285" i="8"/>
  <c r="M291" i="8" s="1"/>
  <c r="M304" i="8" s="1"/>
  <c r="K70" i="4"/>
  <c r="L288" i="8"/>
  <c r="L292" i="8" s="1"/>
  <c r="K300" i="8"/>
  <c r="J327" i="8"/>
  <c r="J328" i="8" s="1"/>
  <c r="J87" i="4" s="1"/>
  <c r="G115" i="10" s="1"/>
  <c r="F154" i="4" l="1"/>
  <c r="W29" i="12"/>
  <c r="J88" i="4"/>
  <c r="J99" i="4" s="1"/>
  <c r="K307" i="8"/>
  <c r="K302" i="8"/>
  <c r="K305" i="8" s="1"/>
  <c r="L70" i="4"/>
  <c r="M288" i="8"/>
  <c r="M292" i="8" s="1"/>
  <c r="W33" i="12" l="1"/>
  <c r="F61" i="4"/>
  <c r="F66" i="4" s="1"/>
  <c r="F75" i="4" s="1"/>
  <c r="F101" i="4" s="1"/>
  <c r="G153" i="4"/>
  <c r="P51" i="10"/>
  <c r="P76" i="10" s="1"/>
  <c r="P75" i="10"/>
  <c r="K308" i="8"/>
  <c r="K542" i="8"/>
  <c r="K27" i="4" s="1"/>
  <c r="K29" i="4" s="1"/>
  <c r="K31" i="4" s="1"/>
  <c r="K32" i="4" s="1"/>
  <c r="K33" i="4" s="1"/>
  <c r="L300" i="8"/>
  <c r="K327" i="8"/>
  <c r="K328" i="8" s="1"/>
  <c r="K87" i="4" s="1"/>
  <c r="K88" i="4" s="1"/>
  <c r="M70" i="4"/>
  <c r="N288" i="8"/>
  <c r="N292" i="8" s="1"/>
  <c r="N70" i="4" s="1"/>
  <c r="G154" i="4" l="1"/>
  <c r="X29" i="12"/>
  <c r="P52" i="10"/>
  <c r="P64" i="10" s="1"/>
  <c r="P65" i="10" s="1"/>
  <c r="P67" i="10" s="1"/>
  <c r="P79" i="10"/>
  <c r="K35" i="4"/>
  <c r="K37" i="4" s="1"/>
  <c r="AB18" i="12" s="1"/>
  <c r="L18" i="12" s="1"/>
  <c r="K116" i="4"/>
  <c r="K132" i="4" s="1"/>
  <c r="L307" i="8"/>
  <c r="L302" i="8"/>
  <c r="L305" i="8" s="1"/>
  <c r="X33" i="12" l="1"/>
  <c r="G61" i="4"/>
  <c r="G66" i="4" s="1"/>
  <c r="G75" i="4" s="1"/>
  <c r="G101" i="4" s="1"/>
  <c r="H153" i="4"/>
  <c r="K152" i="4"/>
  <c r="AB30" i="12"/>
  <c r="P81" i="10"/>
  <c r="L308" i="8"/>
  <c r="L542" i="8"/>
  <c r="L27" i="4" s="1"/>
  <c r="L29" i="4" s="1"/>
  <c r="L31" i="4" s="1"/>
  <c r="L32" i="4" s="1"/>
  <c r="L33" i="4" s="1"/>
  <c r="K496" i="8"/>
  <c r="K503" i="8" s="1"/>
  <c r="K504" i="8" s="1"/>
  <c r="K41" i="4"/>
  <c r="K42" i="4"/>
  <c r="M300" i="8"/>
  <c r="L327" i="8"/>
  <c r="L328" i="8" s="1"/>
  <c r="L87" i="4" s="1"/>
  <c r="L88" i="4" s="1"/>
  <c r="H154" i="4" l="1"/>
  <c r="Y29" i="12"/>
  <c r="E104" i="10"/>
  <c r="Z112" i="10" s="1"/>
  <c r="L502" i="8"/>
  <c r="K96" i="4"/>
  <c r="K97" i="4" s="1"/>
  <c r="K99" i="4" s="1"/>
  <c r="L35" i="4"/>
  <c r="L37" i="4" s="1"/>
  <c r="AC18" i="12" s="1"/>
  <c r="L116" i="4"/>
  <c r="L132" i="4" s="1"/>
  <c r="M302" i="8"/>
  <c r="M305" i="8" s="1"/>
  <c r="M307" i="8"/>
  <c r="Y33" i="12" l="1"/>
  <c r="I153" i="4"/>
  <c r="H61" i="4"/>
  <c r="H66" i="4" s="1"/>
  <c r="H75" i="4" s="1"/>
  <c r="H101" i="4" s="1"/>
  <c r="L152" i="4"/>
  <c r="AC30" i="12"/>
  <c r="P102" i="10"/>
  <c r="P105" i="10" s="1"/>
  <c r="P108" i="10" s="1"/>
  <c r="Z113" i="10" s="1"/>
  <c r="Z114" i="10" s="1"/>
  <c r="L496" i="8"/>
  <c r="L503" i="8" s="1"/>
  <c r="L504" i="8" s="1"/>
  <c r="L41" i="4"/>
  <c r="L42" i="4"/>
  <c r="M308" i="8"/>
  <c r="M542" i="8"/>
  <c r="M27" i="4" s="1"/>
  <c r="M29" i="4" s="1"/>
  <c r="M31" i="4" s="1"/>
  <c r="M32" i="4" s="1"/>
  <c r="M33" i="4" s="1"/>
  <c r="N300" i="8"/>
  <c r="M327" i="8"/>
  <c r="M328" i="8" s="1"/>
  <c r="M87" i="4" s="1"/>
  <c r="M88" i="4" s="1"/>
  <c r="I154" i="4" l="1"/>
  <c r="Z29" i="12"/>
  <c r="P109" i="10"/>
  <c r="G114" i="10" s="1"/>
  <c r="L96" i="4"/>
  <c r="L97" i="4" s="1"/>
  <c r="L99" i="4" s="1"/>
  <c r="M502" i="8"/>
  <c r="M116" i="4"/>
  <c r="M132" i="4" s="1"/>
  <c r="M35" i="4"/>
  <c r="M37" i="4" s="1"/>
  <c r="AD18" i="12" s="1"/>
  <c r="N307" i="8"/>
  <c r="N302" i="8"/>
  <c r="N305" i="8" s="1"/>
  <c r="N327" i="8" s="1"/>
  <c r="N328" i="8" s="1"/>
  <c r="N87" i="4" s="1"/>
  <c r="N88" i="4" s="1"/>
  <c r="Z33" i="12" l="1"/>
  <c r="J153" i="4"/>
  <c r="I61" i="4"/>
  <c r="I66" i="4" s="1"/>
  <c r="I75" i="4" s="1"/>
  <c r="I101" i="4" s="1"/>
  <c r="M152" i="4"/>
  <c r="AD30" i="12"/>
  <c r="M496" i="8"/>
  <c r="M503" i="8" s="1"/>
  <c r="M504" i="8" s="1"/>
  <c r="M42" i="4"/>
  <c r="M41" i="4"/>
  <c r="N308" i="8"/>
  <c r="N542" i="8"/>
  <c r="N27" i="4" s="1"/>
  <c r="N29" i="4" s="1"/>
  <c r="N31" i="4" s="1"/>
  <c r="N32" i="4" s="1"/>
  <c r="N33" i="4" s="1"/>
  <c r="J154" i="4" l="1"/>
  <c r="AA29" i="12"/>
  <c r="N502" i="8"/>
  <c r="M96" i="4"/>
  <c r="M97" i="4" s="1"/>
  <c r="M99" i="4" s="1"/>
  <c r="N35" i="4"/>
  <c r="N37" i="4" s="1"/>
  <c r="AE18" i="12" s="1"/>
  <c r="N116" i="4"/>
  <c r="N132" i="4" s="1"/>
  <c r="AA33" i="12" l="1"/>
  <c r="J61" i="4"/>
  <c r="K153" i="4"/>
  <c r="N152" i="4"/>
  <c r="AE30" i="12"/>
  <c r="N496" i="8"/>
  <c r="N503" i="8" s="1"/>
  <c r="N504" i="8" s="1"/>
  <c r="N96" i="4" s="1"/>
  <c r="N97" i="4" s="1"/>
  <c r="N99" i="4" s="1"/>
  <c r="N41" i="4"/>
  <c r="N42" i="4"/>
  <c r="J66" i="4" l="1"/>
  <c r="J75" i="4" s="1"/>
  <c r="J101" i="4" s="1"/>
  <c r="G116" i="10"/>
  <c r="G117" i="10" s="1"/>
  <c r="G119" i="10" s="1"/>
  <c r="K154" i="4"/>
  <c r="AB29" i="12"/>
  <c r="AB33" i="12" l="1"/>
  <c r="L153" i="4"/>
  <c r="K61" i="4"/>
  <c r="K66" i="4" s="1"/>
  <c r="K75" i="4" s="1"/>
  <c r="K101" i="4" s="1"/>
  <c r="E128" i="10"/>
  <c r="N115" i="10"/>
  <c r="X38" i="12"/>
  <c r="P43" i="12" l="1"/>
  <c r="P47" i="12" s="1"/>
  <c r="X42" i="12"/>
  <c r="J4" i="12"/>
  <c r="AC29" i="12"/>
  <c r="L154" i="4"/>
  <c r="AC33" i="12" l="1"/>
  <c r="L61" i="4"/>
  <c r="L66" i="4" s="1"/>
  <c r="L75" i="4" s="1"/>
  <c r="L101" i="4" s="1"/>
  <c r="M153" i="4"/>
  <c r="AD29" i="12" l="1"/>
  <c r="M154" i="4"/>
  <c r="AD33" i="12" l="1"/>
  <c r="M61" i="4"/>
  <c r="M66" i="4" s="1"/>
  <c r="M75" i="4" s="1"/>
  <c r="M101" i="4" s="1"/>
  <c r="N153" i="4"/>
  <c r="AE29" i="12" l="1"/>
  <c r="N154" i="4"/>
  <c r="N61" i="4" l="1"/>
  <c r="N66" i="4" s="1"/>
  <c r="N75" i="4" s="1"/>
  <c r="N101" i="4" s="1"/>
  <c r="AE33"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Bala Gopi Shyam</author>
  </authors>
  <commentList>
    <comment ref="H50" authorId="0" shapeId="0" xr:uid="{8E0D2DDC-70AA-4A25-80B4-CADD0D4E1219}">
      <text>
        <r>
          <rPr>
            <sz val="9"/>
            <color indexed="81"/>
            <rFont val="Tahoma"/>
            <family val="2"/>
          </rPr>
          <t>As per new bill would minimum tax rate will 15%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Bala Gopi Shyam</author>
  </authors>
  <commentList>
    <comment ref="E103" authorId="0" shapeId="0" xr:uid="{2FFE1C67-EE76-475B-BAFE-45CE6ED3A1A9}">
      <text>
        <r>
          <rPr>
            <b/>
            <sz val="9"/>
            <color indexed="81"/>
            <rFont val="Tahoma"/>
            <family val="2"/>
          </rPr>
          <t>Real GDP Growth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Bala Gopi Shyam</author>
  </authors>
  <commentList>
    <comment ref="M48" authorId="0" shapeId="0" xr:uid="{ECF95FC7-A11B-4F93-9BBB-9D5CE236A725}">
      <text>
        <r>
          <rPr>
            <sz val="9"/>
            <color indexed="81"/>
            <rFont val="Tahoma"/>
            <family val="2"/>
          </rPr>
          <t xml:space="preserve">primarily due to an increase of  Model 3 and Model Y Sales, </t>
        </r>
      </text>
    </comment>
    <comment ref="M49" authorId="0" shapeId="0" xr:uid="{81F3C5C1-F5FE-4CBF-988D-AE88106CF03D}">
      <text>
        <r>
          <rPr>
            <sz val="9"/>
            <color indexed="81"/>
            <rFont val="Tahoma"/>
            <family val="2"/>
          </rPr>
          <t>primarily due to adoption of direct operating lease program</t>
        </r>
      </text>
    </comment>
    <comment ref="M51" authorId="0" shapeId="0" xr:uid="{62A73825-1EA7-463B-9E50-F576EE4302B2}">
      <text>
        <r>
          <rPr>
            <sz val="9"/>
            <color indexed="81"/>
            <rFont val="Tahoma"/>
            <family val="2"/>
          </rPr>
          <t>primarily due to increases in deployments of Megapack</t>
        </r>
      </text>
    </comment>
    <comment ref="M52" authorId="0" shapeId="0" xr:uid="{9D96660E-86E2-49EC-B63F-5A187B8BFA97}">
      <text>
        <r>
          <rPr>
            <sz val="9"/>
            <color indexed="81"/>
            <rFont val="Tahoma"/>
            <family val="2"/>
          </rPr>
          <t>Primarily due to an increase in non-warranty maintenance services</t>
        </r>
      </text>
    </comment>
    <comment ref="Y279" authorId="0" shapeId="0" xr:uid="{AA67A4A1-4F54-40EF-988A-2677612D4A88}">
      <text>
        <r>
          <rPr>
            <sz val="9"/>
            <color indexed="81"/>
            <rFont val="Tahoma"/>
            <family val="2"/>
          </rPr>
          <t>Business Combination -     
( Maxwell Acquisition )</t>
        </r>
      </text>
    </comment>
    <comment ref="Z279" authorId="0" shapeId="0" xr:uid="{DAE88FE6-DC41-4636-A884-447EEBA7768F}">
      <text>
        <r>
          <rPr>
            <sz val="9"/>
            <color indexed="81"/>
            <rFont val="Tahoma"/>
            <family val="2"/>
          </rPr>
          <t>Completed business combinations and foreign currency translation adjustments</t>
        </r>
      </text>
    </comment>
  </commentList>
</comments>
</file>

<file path=xl/sharedStrings.xml><?xml version="1.0" encoding="utf-8"?>
<sst xmlns="http://schemas.openxmlformats.org/spreadsheetml/2006/main" count="1214" uniqueCount="787">
  <si>
    <t>Tesla, Inc.</t>
  </si>
  <si>
    <t>Financial Projections for F2022E - F2025E</t>
  </si>
  <si>
    <t>Index:</t>
  </si>
  <si>
    <t>This Excel model is for educational purposes only and should not be used for any other reason.</t>
  </si>
  <si>
    <t>Note:</t>
  </si>
  <si>
    <t>Historical Data</t>
  </si>
  <si>
    <t>Forecasted</t>
  </si>
  <si>
    <t>Historical</t>
  </si>
  <si>
    <t>Vertical Analysis</t>
  </si>
  <si>
    <t>Horizontal Analysis</t>
  </si>
  <si>
    <t>Revenue</t>
  </si>
  <si>
    <t>Segmented Revenue:</t>
  </si>
  <si>
    <t>Automotive sales</t>
  </si>
  <si>
    <t>Automotive leasing</t>
  </si>
  <si>
    <t>Total automotive revenues</t>
  </si>
  <si>
    <t>Energy generation and storage</t>
  </si>
  <si>
    <t>Services and other</t>
  </si>
  <si>
    <t>Total revenues</t>
  </si>
  <si>
    <t>Cost of revenue</t>
  </si>
  <si>
    <t>Total Automotive Cost</t>
  </si>
  <si>
    <t>Gross Profit</t>
  </si>
  <si>
    <t>Operating Expenses</t>
  </si>
  <si>
    <t>Research and development</t>
  </si>
  <si>
    <t>Selling, general and administrative</t>
  </si>
  <si>
    <t>Restructuring and other</t>
  </si>
  <si>
    <t>Operating Profit</t>
  </si>
  <si>
    <t>Interest income</t>
  </si>
  <si>
    <t>Interest expense</t>
  </si>
  <si>
    <t>Other income (expense), net</t>
  </si>
  <si>
    <t>Income (loss) before income taxes</t>
  </si>
  <si>
    <t>Provision for income taxes</t>
  </si>
  <si>
    <t>Net income (loss)</t>
  </si>
  <si>
    <t>Less: Buy-out of noncontrolling interest</t>
  </si>
  <si>
    <t>Non Operating Income / Expense</t>
  </si>
  <si>
    <t>Weighted average shares used in computing net  income (loss) per share of common stock</t>
  </si>
  <si>
    <t>Stock-based awards</t>
  </si>
  <si>
    <t>Convertible senior notes</t>
  </si>
  <si>
    <t>Warrants</t>
  </si>
  <si>
    <t>Weighted average shares used in computing net income per share of common stock, diluted</t>
  </si>
  <si>
    <t>Net income (loss) per share of common stock</t>
  </si>
  <si>
    <t>Weighted average shares</t>
  </si>
  <si>
    <t>Basic</t>
  </si>
  <si>
    <t>Diluted</t>
  </si>
  <si>
    <t>Income Statement</t>
  </si>
  <si>
    <t>Income Statement Breakup</t>
  </si>
  <si>
    <t>Balance Sheet</t>
  </si>
  <si>
    <t>Assets:</t>
  </si>
  <si>
    <t>Current assets</t>
  </si>
  <si>
    <t>Cash and cash equivalents</t>
  </si>
  <si>
    <t>Short-term marketable securities</t>
  </si>
  <si>
    <t>Accounts receivable, net</t>
  </si>
  <si>
    <t>Inventory</t>
  </si>
  <si>
    <t>Prepaid expenses and other current assets</t>
  </si>
  <si>
    <t>Total current assets</t>
  </si>
  <si>
    <t>Property, plant and equipment, net</t>
  </si>
  <si>
    <t>Operating lease right-of-use assets</t>
  </si>
  <si>
    <t>Digital assets, net</t>
  </si>
  <si>
    <t>Intangible assets, net</t>
  </si>
  <si>
    <t>Goodwill</t>
  </si>
  <si>
    <t>Other non-current assets</t>
  </si>
  <si>
    <t>Total assets</t>
  </si>
  <si>
    <t>Liabilities:</t>
  </si>
  <si>
    <t>Current liabilities</t>
  </si>
  <si>
    <t>Accounts payable</t>
  </si>
  <si>
    <t>Accrued liabilities and other</t>
  </si>
  <si>
    <t>Deferred revenue</t>
  </si>
  <si>
    <t>Customer deposits</t>
  </si>
  <si>
    <t>Current portion of debt and finance leases</t>
  </si>
  <si>
    <t>Total current liabilities</t>
  </si>
  <si>
    <t>Debt and finance leases, net of current portion</t>
  </si>
  <si>
    <t>Deferred revenue, net of current portion</t>
  </si>
  <si>
    <t>Other long-term liabilities</t>
  </si>
  <si>
    <t>Total liabilities</t>
  </si>
  <si>
    <t>Commitments and contingencies (Note 15)</t>
  </si>
  <si>
    <t>Redeemable noncontrolling interests in subsidiaries</t>
  </si>
  <si>
    <t>Convertible senior notes (Note 11)</t>
  </si>
  <si>
    <t>Stockholders' equity</t>
  </si>
  <si>
    <t>Additional paid-in capital</t>
  </si>
  <si>
    <t>Accumulated other comprehensive income</t>
  </si>
  <si>
    <t>Retained earnings (accumulated deficit)</t>
  </si>
  <si>
    <t>Total stockholders' equity</t>
  </si>
  <si>
    <t>Noncontrolling interests in subsidiaries</t>
  </si>
  <si>
    <t>Total liabilities and equity</t>
  </si>
  <si>
    <t>Preferred stock</t>
  </si>
  <si>
    <t>Common stock</t>
  </si>
  <si>
    <t xml:space="preserve"> </t>
  </si>
  <si>
    <t>Operating lease vehicles, net</t>
  </si>
  <si>
    <t>Solar energy systems, net</t>
  </si>
  <si>
    <t>Restricted cash</t>
  </si>
  <si>
    <t>Raw materials</t>
  </si>
  <si>
    <t>Work in process</t>
  </si>
  <si>
    <t>Finished goods</t>
  </si>
  <si>
    <t>Service parts</t>
  </si>
  <si>
    <t>Vehicle Production and Deliveries</t>
  </si>
  <si>
    <t>Model S</t>
  </si>
  <si>
    <t>Model X</t>
  </si>
  <si>
    <t xml:space="preserve">Production </t>
  </si>
  <si>
    <t>Q1</t>
  </si>
  <si>
    <t>Q2</t>
  </si>
  <si>
    <t>Q3</t>
  </si>
  <si>
    <t>Q4</t>
  </si>
  <si>
    <t>Total Production</t>
  </si>
  <si>
    <t>Total Model X</t>
  </si>
  <si>
    <t>Total Model S</t>
  </si>
  <si>
    <t>Model 3</t>
  </si>
  <si>
    <t>Previous Year Transit to customers</t>
  </si>
  <si>
    <t>Model Y</t>
  </si>
  <si>
    <t>Total Deliveries</t>
  </si>
  <si>
    <t>Tesla, Inc. was incorporated in the state of Delaware on July 1, 2003.</t>
  </si>
  <si>
    <t>Automotive</t>
  </si>
  <si>
    <t>Energy generation &amp; storage</t>
  </si>
  <si>
    <t>Production &amp; Transit</t>
  </si>
  <si>
    <t>% of Sold over production</t>
  </si>
  <si>
    <t>Elon Musk the product designer &amp; CEO:</t>
  </si>
  <si>
    <t>Production Expected</t>
  </si>
  <si>
    <t>Cumulative profitablity Since Inception vs Retained earnings</t>
  </si>
  <si>
    <t>CPSI become positive from 2021 &amp; Retained earnings become positive from 2022. Will expected to positive</t>
  </si>
  <si>
    <t>Strong Free Cash Flows</t>
  </si>
  <si>
    <t>Positive. Will expected same</t>
  </si>
  <si>
    <t>Focusing on AI on self driving</t>
  </si>
  <si>
    <t>R &amp; D</t>
  </si>
  <si>
    <t>Operating Margin</t>
  </si>
  <si>
    <t>Approx 15% + Higher in whole industry</t>
  </si>
  <si>
    <t>Highest generator</t>
  </si>
  <si>
    <t>Highest by both revenue &amp; Unit volume.</t>
  </si>
  <si>
    <t>Another factory</t>
  </si>
  <si>
    <t>End of the yr. Will be announcement</t>
  </si>
  <si>
    <t>Factory - Giga</t>
  </si>
  <si>
    <t>Decade 10 - 12 factories</t>
  </si>
  <si>
    <t>1.5 to 2million's output.</t>
  </si>
  <si>
    <t>More energy produced than used</t>
  </si>
  <si>
    <t>Energy Produced</t>
  </si>
  <si>
    <t>Energy Consumed</t>
  </si>
  <si>
    <t>* Energy Consumed = Energy used for factories for last 10yr's + Energy used to charge all tesla vechicles from charging stations + at home</t>
  </si>
  <si>
    <t>Belives in Sustainability</t>
  </si>
  <si>
    <t>Energy production - Solar &amp; Wind</t>
  </si>
  <si>
    <t>Stationary battery packs + Store the energy</t>
  </si>
  <si>
    <t>Electric transportation</t>
  </si>
  <si>
    <t>Future is sustainable</t>
  </si>
  <si>
    <t>Battery recylcing is underway &amp; scalingup.</t>
  </si>
  <si>
    <t>Investment scaling will made from macro-economic standpoint - to make fully sustainable economy for better planet</t>
  </si>
  <si>
    <t>Investments into</t>
  </si>
  <si>
    <t>Electronics advancements in AI + battery advancements</t>
  </si>
  <si>
    <t>Continuous energy reduction per vehicle</t>
  </si>
  <si>
    <t>Factory layout improvement</t>
  </si>
  <si>
    <t>Tesla Moat</t>
  </si>
  <si>
    <t>Hard to replicate tesla manufacturing technology ( Long term standpoint )</t>
  </si>
  <si>
    <t>Superchargers</t>
  </si>
  <si>
    <r>
      <t xml:space="preserve">Improvement - Directly connect to backend for feedback </t>
    </r>
    <r>
      <rPr>
        <b/>
        <sz val="11"/>
        <color theme="1"/>
        <rFont val="Gill Sans Nova"/>
        <family val="2"/>
      </rPr>
      <t>(Expanding)</t>
    </r>
  </si>
  <si>
    <t>* Tesla autopilot AI will able to see if a crash about to occur.</t>
  </si>
  <si>
    <t>Fully self driving beta growing unprecedented rate</t>
  </si>
  <si>
    <t>Q2 - 2022 Q&amp;A</t>
  </si>
  <si>
    <t>Production Growth %</t>
  </si>
  <si>
    <t>Notes to Accounts:</t>
  </si>
  <si>
    <t>Solar Energy Systems, Net</t>
  </si>
  <si>
    <t>Less: accumulated depreciation and amortization</t>
  </si>
  <si>
    <t>Solar energy systems under construction</t>
  </si>
  <si>
    <t>Solar energy systems pending interconnection</t>
  </si>
  <si>
    <t>Gross Closing</t>
  </si>
  <si>
    <t>Closing balance</t>
  </si>
  <si>
    <t>Machinery, equipment, vehicles and office furniture</t>
  </si>
  <si>
    <t>Tooling</t>
  </si>
  <si>
    <t>Leasehold improvements</t>
  </si>
  <si>
    <t>Land and buildings</t>
  </si>
  <si>
    <t>Computer equipment, hardware and software</t>
  </si>
  <si>
    <t>Construction in progress</t>
  </si>
  <si>
    <t xml:space="preserve"> Property, Plant and Equipment, Net</t>
  </si>
  <si>
    <t>Operating leases:</t>
  </si>
  <si>
    <t>Total operating lease liabilities</t>
  </si>
  <si>
    <t>Finance leases:</t>
  </si>
  <si>
    <t>Total finance lease assets</t>
  </si>
  <si>
    <t>Current portion of long-term debt and finance leases</t>
  </si>
  <si>
    <t>Long-term debt and finance leases, net of current portion</t>
  </si>
  <si>
    <t>Total finance lease liabilities</t>
  </si>
  <si>
    <t>Operating lease expense:</t>
  </si>
  <si>
    <t>Operating lease expense</t>
  </si>
  <si>
    <t>Finance lease expense:</t>
  </si>
  <si>
    <t>Amortization of leased assets</t>
  </si>
  <si>
    <t>Interest on lease liabilities</t>
  </si>
  <si>
    <t>Total finance lease expense</t>
  </si>
  <si>
    <t>Weighted-average remaining lease term:</t>
  </si>
  <si>
    <t>Operating leases</t>
  </si>
  <si>
    <t>Finance leases</t>
  </si>
  <si>
    <t>Weighted-average discount rate:</t>
  </si>
  <si>
    <t>Capex:</t>
  </si>
  <si>
    <t>Leased assets obtained in exchange for finance lease liabilities</t>
  </si>
  <si>
    <t>Leased assets obtained in exchange for operating lease liabilities</t>
  </si>
  <si>
    <t>Maturity</t>
  </si>
  <si>
    <t>Thereafter</t>
  </si>
  <si>
    <t>Total minimum lease payments</t>
  </si>
  <si>
    <t>Less: Interest</t>
  </si>
  <si>
    <t>Present value of lease obligations</t>
  </si>
  <si>
    <t>Less: Current portion</t>
  </si>
  <si>
    <t>Long-term portion of lease obligations</t>
  </si>
  <si>
    <t>Sales-type Lease:</t>
  </si>
  <si>
    <t>Gross lease receivables</t>
  </si>
  <si>
    <t>Operating Lease</t>
  </si>
  <si>
    <t>Operating Lease and Sales-type Lease Receivables - 2021</t>
  </si>
  <si>
    <t>Operating Lease and Sales-type Lease Receivables - 2020</t>
  </si>
  <si>
    <t>Other Adjustments</t>
  </si>
  <si>
    <t>Operating Lease and Sales-type Lease Receivables - 2019</t>
  </si>
  <si>
    <t>Operating Lease and Sales-type Lease Receivables - 2018</t>
  </si>
  <si>
    <t>Operating Lease and Sales-type Lease Receivables - 2017</t>
  </si>
  <si>
    <t>Gross Opening Balance</t>
  </si>
  <si>
    <t xml:space="preserve"> +/- Current Adjustments</t>
  </si>
  <si>
    <t>Gross Closing Balance</t>
  </si>
  <si>
    <t>- Accumulated depreciation</t>
  </si>
  <si>
    <t>30 to 35 years</t>
  </si>
  <si>
    <t>Lease term (up to 25 years)</t>
  </si>
  <si>
    <t>3 to 15 years</t>
  </si>
  <si>
    <t>4 to 7 years</t>
  </si>
  <si>
    <t>15 to 30 years</t>
  </si>
  <si>
    <t>3 to 10 years</t>
  </si>
  <si>
    <t>Finite-lived intangible assets</t>
  </si>
  <si>
    <t>Indefinite-lived intangible assets</t>
  </si>
  <si>
    <t>- Other Adjustments</t>
  </si>
  <si>
    <t>+ Other Adjustments</t>
  </si>
  <si>
    <t>Opening Balance</t>
  </si>
  <si>
    <t>Closing Balance</t>
  </si>
  <si>
    <t>+ / - Other adjustments</t>
  </si>
  <si>
    <t>Accrued Liabilities and Other</t>
  </si>
  <si>
    <t>Accrued purchases</t>
  </si>
  <si>
    <t>Payroll and related costs</t>
  </si>
  <si>
    <t>Taxes payable</t>
  </si>
  <si>
    <t>Financing obligation, current portion</t>
  </si>
  <si>
    <t>Accrued warranty</t>
  </si>
  <si>
    <t>Sales return reserve, current portion</t>
  </si>
  <si>
    <t>Accrued interest</t>
  </si>
  <si>
    <t>Build-to-suit lease liability, current portion</t>
  </si>
  <si>
    <t>Other current liabilities</t>
  </si>
  <si>
    <t>Operating lease right-of-use liabilities, current portion</t>
  </si>
  <si>
    <t>Strongest production growth rate than ever</t>
  </si>
  <si>
    <t>Revenue Point of View. Focus more on North America customers.</t>
  </si>
  <si>
    <t>Cash Flows restabilization</t>
  </si>
  <si>
    <t>Car will price reduce. Bez tesla expecting the inflation will normalize by end of year.</t>
  </si>
  <si>
    <t>Resale value guarantees, current portion</t>
  </si>
  <si>
    <t>we currently expect our capital expenditures to be between $5.00 to $7.00 billion in 2022 and each of the next two fiscal years.</t>
  </si>
  <si>
    <t>Amortization Expense</t>
  </si>
  <si>
    <t>Amortization Expense for Next yr's</t>
  </si>
  <si>
    <t>EV Eco-system</t>
  </si>
  <si>
    <t xml:space="preserve">* Tesla design, develop, manufacture, sell &amp; lease high-performance fully electric vechicles &amp; energy generation &amp; storage systems &amp; also offers services related to our products.
* Sell products directly to customers through our websites, retail locations.
* Continues growth of customer-facing infrastructure through a global network of vehicle service centers, Mobile Service technicians, body shops, Supercharger stations and Destination Chargers to accelerate the widespread adoption of our products.
* Tesla more emphasize performance, attractive styling and the safety of our users and workforce in the design and manufacture of our products and are continuing to develop full self-driving technology for improved safety.
* Also, Tesla strive to lower the cost of ownership for our customers through continuous efforts to reduce manufacturing costs and by offering financial and other services tailored to our products.
* Tesla mission to accelerate the world’s transition to sustainable energy, engineering expertise, vertically integrated business model and focus on user experience differentiate us from other companies. </t>
  </si>
  <si>
    <t>* Design, development, manufacturing, sales and leasing of electric vehicles as well as sales of automotive regulatory credits, resale of vechicles, vechicle insurance.</t>
  </si>
  <si>
    <t>* Energy generation and storage segment includes the design, manufacture, installation, sales and leasing of solar energy generation and energy storage products and related services and sales of solar energy systems incentives.</t>
  </si>
  <si>
    <t>Products &amp; Services:</t>
  </si>
  <si>
    <t>Model S &amp; Model X</t>
  </si>
  <si>
    <t>Cybertruck, Tesla Semi, Tesla Roadster</t>
  </si>
  <si>
    <t>Automotive:</t>
  </si>
  <si>
    <t>Energy Generation and Storage:</t>
  </si>
  <si>
    <t>Energy Storage Products:</t>
  </si>
  <si>
    <t>* Powerwall and Megapack are our lithium-ion battery energy storage products.</t>
  </si>
  <si>
    <t>a)</t>
  </si>
  <si>
    <t>b)</t>
  </si>
  <si>
    <t>Powerwall is designed to store energy at a home or small commercial facility</t>
  </si>
  <si>
    <t xml:space="preserve">Megapack is an energy storage solution for commercial, industrial, utility and energy generation customers, multiple of which may be grouped together to form larger installations of gigawatt hours (“GWh”) or greater capacity. </t>
  </si>
  <si>
    <t>* We also continue to develop software capabilities for remotely controlling and dispatching our energy storage systems across a wide range of markets and applications, including through our real-time energy control and optimization platforms.</t>
  </si>
  <si>
    <t>Solar Energy Offerings:</t>
  </si>
  <si>
    <t>We sell retrofit solar energy systems to customers and channel partners and also make them available through power purchase agreement (“PPA”) arrangements.</t>
  </si>
  <si>
    <t>* We sell our Solar Roof, which combines premium glass roof tiles with energy generation, directly to customers, as well as through channel customers. We continue to improve our installation capability and efficiency, including through collaboration with real estate developers and builders on new homes.</t>
  </si>
  <si>
    <t>* Four-door mid-size sedan that we designed for manufacturability with a base price for mass-market</t>
  </si>
  <si>
    <t>* Compact sport utility vehicle (“SUV”) built on the Model 3 platform with seating for up to seven adults</t>
  </si>
  <si>
    <t>* Model S is a four-door full-size sedan &amp; Model X is a mid-size SUV with seating for up to seven adults.</t>
  </si>
  <si>
    <t>* Specialized consumer electric vehicles - Cybertruck, Tesla Roadster &amp; commercial electric vehicle in Tesla Semi.</t>
  </si>
  <si>
    <t>Direct Sales:</t>
  </si>
  <si>
    <t>Tesla sell vehicles on there websites &amp; international network of company owned stores. However, Sales of vehicles in the automobile industry tend to be cyclical in many markets, which may expose to volatility from time to time.</t>
  </si>
  <si>
    <t>Used Vehicle Sales:</t>
  </si>
  <si>
    <t>Selling these used vehicles for Replacement, to existing tesla customers or new customers</t>
  </si>
  <si>
    <t>Public Charging:</t>
  </si>
  <si>
    <t>Also provide charging services for fee or free in some sale programs. The cost of re-locating the super chargers will also be low. As tesla uses solar &amp; energy storage systems. Tesla will install crowed areas, near homes on request, residental place &amp; Complex's</t>
  </si>
  <si>
    <t>In-App Upgrades:</t>
  </si>
  <si>
    <t>As our vehicles are capable of being updated remotely over-the-air. Tesla customers may purchase additional paid options &amp; other features through tesla app. 
Expecting in future, company will earn revenue from this services also viva subscriptions.</t>
  </si>
  <si>
    <t>Services:</t>
  </si>
  <si>
    <t>Tesla provide service for our electric vehicles at our company-owned service locations and through Tesla Mobile Service technicians</t>
  </si>
  <si>
    <t>Sells solar and energy storage products to residential, commercial and industrial customers and utilities through a variety of channels. Which includes websites, stores, galleries. Also sells commercial &amp; utility scale energy storage systems to customers through various channels, Also install solar energy systems with or without storage to commercial customers through cash, lease, PPA agreements. ( Power Purchase agreements )</t>
  </si>
  <si>
    <t>We provide service and repairs to our energy product customers, including under warranty where applicable</t>
  </si>
  <si>
    <t>Energy Generation and Storage &amp; Solar Energy Systems:</t>
  </si>
  <si>
    <t>Financial Services:</t>
  </si>
  <si>
    <t>We offer leasing, financing arrangements for our customers in certain jurisdictions in North America, Europe &amp; Asia through various institutions. Also includes resale</t>
  </si>
  <si>
    <t>Income Statement:</t>
  </si>
  <si>
    <t>Recognition will be, when the control of a vehicle transfers.</t>
  </si>
  <si>
    <t>Direct</t>
  </si>
  <si>
    <t>Sell with resale value</t>
  </si>
  <si>
    <t>Recognition will be, when delivery happens.</t>
  </si>
  <si>
    <t>Automotive Regulatory Credits</t>
  </si>
  <si>
    <t>When control transfer</t>
  </si>
  <si>
    <t>Automotive Leasing Revenue</t>
  </si>
  <si>
    <t>Will be given vehicles on lease. The payment to tesla, will be considered as revenue from leases over 4yr's</t>
  </si>
  <si>
    <t>Upfront payments</t>
  </si>
  <si>
    <t>Considered as deferred revenue.</t>
  </si>
  <si>
    <t>Cost of Direct sales</t>
  </si>
  <si>
    <t>Cost incurred for manufacture + depreciation on Mach</t>
  </si>
  <si>
    <t>Lease amortization</t>
  </si>
  <si>
    <t>Current Debt &amp; Finance Lease</t>
  </si>
  <si>
    <t>Recourse debt</t>
  </si>
  <si>
    <t>Non Recourse debt</t>
  </si>
  <si>
    <t>Total Debt</t>
  </si>
  <si>
    <t>- Other Adjustments / Finance lease</t>
  </si>
  <si>
    <t>Total Current Portion of debt / lease</t>
  </si>
  <si>
    <t>Total Non Current Portion of debt / lease</t>
  </si>
  <si>
    <t>Average Interest rate</t>
  </si>
  <si>
    <t>Interest rate:</t>
  </si>
  <si>
    <t>%</t>
  </si>
  <si>
    <t>Other Long-Term Liabilities:</t>
  </si>
  <si>
    <t>Accrued warranty reserve</t>
  </si>
  <si>
    <t>Deferred rent expense</t>
  </si>
  <si>
    <t>Financing obligation</t>
  </si>
  <si>
    <t>Liability for receipts from an investor</t>
  </si>
  <si>
    <t>Sales return reserve</t>
  </si>
  <si>
    <t>Other noncurrent liabilities</t>
  </si>
  <si>
    <t>Build-to-suit lease liability</t>
  </si>
  <si>
    <t>Operating lease right-of-use liabilities</t>
  </si>
  <si>
    <t>+ Resale value guarantees, net of current portion</t>
  </si>
  <si>
    <t>Total Other long-term liabilities</t>
  </si>
  <si>
    <t>Check</t>
  </si>
  <si>
    <t>Cash Flows from Operating Activities</t>
  </si>
  <si>
    <t>Net loss</t>
  </si>
  <si>
    <t>Adjustments to reconcile net loss to net cash provided by (used in) operating activities:</t>
  </si>
  <si>
    <t>Depreciation, amortization and impairment</t>
  </si>
  <si>
    <t>Stock-based compensation</t>
  </si>
  <si>
    <t>Amortization of debt discounts and issuance costs</t>
  </si>
  <si>
    <t>Inventory and purchase commitments write-downs</t>
  </si>
  <si>
    <t>Loss on disposals of fixed assets</t>
  </si>
  <si>
    <t>Foreign currency transaction (gains) loss</t>
  </si>
  <si>
    <t>Loss related to SolarCity acquisition</t>
  </si>
  <si>
    <t>Non-cash interest and other operating activities</t>
  </si>
  <si>
    <t>Operating cash flow related to repayment of discounted convertible notes</t>
  </si>
  <si>
    <t>Changes in operating assets and liabilities, net of effect of business combinations:</t>
  </si>
  <si>
    <t>Accounts receivable</t>
  </si>
  <si>
    <t>Operating lease vehicles</t>
  </si>
  <si>
    <t>Resale value guarantee</t>
  </si>
  <si>
    <t>Net cash provided by (used in) operating activities</t>
  </si>
  <si>
    <t>Cash Flows from Investing Activities</t>
  </si>
  <si>
    <t>Purchases of solar energy systems</t>
  </si>
  <si>
    <t>Purchase of intangible assets</t>
  </si>
  <si>
    <t>Receipt of government grants</t>
  </si>
  <si>
    <t>Business combinations, net of cash acquired</t>
  </si>
  <si>
    <t>Net cash used in investing activities</t>
  </si>
  <si>
    <t>Cash Flows from Financing Activities</t>
  </si>
  <si>
    <t>Proceeds from issuances of convertible and other debt</t>
  </si>
  <si>
    <t>Repayments of convertible and other debt</t>
  </si>
  <si>
    <t>Repayments of borrowings issued to related parties</t>
  </si>
  <si>
    <t>Collateralized lease repayments</t>
  </si>
  <si>
    <t>Proceeds from exercises of stock options and other stock issuances</t>
  </si>
  <si>
    <t>Principal payments on finance leases</t>
  </si>
  <si>
    <t>Common stock and debt issuance costs</t>
  </si>
  <si>
    <t>Purchase of convertible note hedges</t>
  </si>
  <si>
    <t>Proceeds from settlement of convertible note hedges</t>
  </si>
  <si>
    <t>Proceeds from issuance of warrants</t>
  </si>
  <si>
    <t>Payments for settlements of warrants</t>
  </si>
  <si>
    <t>Proceeds from investments by noncontrolling interests in subsidiaries</t>
  </si>
  <si>
    <t>Distributions paid to noncontrolling interests in subsidiaries</t>
  </si>
  <si>
    <t>Payments for buy-outs of noncontrolling interests in subsidiaries</t>
  </si>
  <si>
    <t>Net cash provided by financing activities</t>
  </si>
  <si>
    <t>Effect of exchange rate changes on cash and cash equivalents and restricted cash</t>
  </si>
  <si>
    <t>Net increase in cash and cash equivalents and restricted cash</t>
  </si>
  <si>
    <t>Cash and cash equivalents and restricted cash, beginning of period</t>
  </si>
  <si>
    <t>Cash and cash equivalents and restricted cash, end of period</t>
  </si>
  <si>
    <t>Net income / loss attributable to CS</t>
  </si>
  <si>
    <t>NI attributable to noncontrolling interests</t>
  </si>
  <si>
    <t xml:space="preserve">Proceeds from issuances of common stock </t>
  </si>
  <si>
    <t>Cash &amp; cash equivalents, restricted cash</t>
  </si>
  <si>
    <t>Digital assets gain, net</t>
  </si>
  <si>
    <t>Purchases of digital assets</t>
  </si>
  <si>
    <t>Proceeds from sales of digital assets</t>
  </si>
  <si>
    <t>Purchases of marketable securities</t>
  </si>
  <si>
    <t>Net Income</t>
  </si>
  <si>
    <t>Adjustments:</t>
  </si>
  <si>
    <t>Depreciation, Amortization &amp; Impairment</t>
  </si>
  <si>
    <t>Other Non-Cash Expenses</t>
  </si>
  <si>
    <t>Non-cash interest &amp; other operating activities</t>
  </si>
  <si>
    <t>Change in Working Cap:</t>
  </si>
  <si>
    <t>Prepaid expenses &amp; other current assets</t>
  </si>
  <si>
    <t>Accounts payable &amp; accrued liabilities</t>
  </si>
  <si>
    <t>Net operating Cash Flows</t>
  </si>
  <si>
    <t xml:space="preserve">Purchases of property and equipment </t>
  </si>
  <si>
    <t>Other capex</t>
  </si>
  <si>
    <t>Repayment of short term debt</t>
  </si>
  <si>
    <t>Issue or repayment of Long term debt</t>
  </si>
  <si>
    <t>Issue or repayment of Common Stock</t>
  </si>
  <si>
    <t xml:space="preserve">Other </t>
  </si>
  <si>
    <t>Net Financing cash Flows</t>
  </si>
  <si>
    <t>Net Investing Cash Flows</t>
  </si>
  <si>
    <t>Exchange rate effect</t>
  </si>
  <si>
    <t>Change in Cash position</t>
  </si>
  <si>
    <t>Opening Cash includes restricted cash</t>
  </si>
  <si>
    <t>Closing Cash includes restricted cash</t>
  </si>
  <si>
    <t>Cash Flows Statement</t>
  </si>
  <si>
    <t>General Assumptions</t>
  </si>
  <si>
    <t>First Financial Forecasting Year</t>
  </si>
  <si>
    <t>Yr's</t>
  </si>
  <si>
    <t>Financial Closing Date</t>
  </si>
  <si>
    <t>MMM-DD</t>
  </si>
  <si>
    <t>Recent Reported Date</t>
  </si>
  <si>
    <t>DD-MMM-YY</t>
  </si>
  <si>
    <t>Pricing Senarios</t>
  </si>
  <si>
    <t>Best Case</t>
  </si>
  <si>
    <t>Base Case</t>
  </si>
  <si>
    <t>Worst Case</t>
  </si>
  <si>
    <t>Revenue Schedule</t>
  </si>
  <si>
    <t>Operating lease</t>
  </si>
  <si>
    <t>Total Delivery</t>
  </si>
  <si>
    <t>Deliveries</t>
  </si>
  <si>
    <t>Total production</t>
  </si>
  <si>
    <t>Revenue per vehicle ( Direct Sale )</t>
  </si>
  <si>
    <t>Revenue per vehicle ( Lease )</t>
  </si>
  <si>
    <t>Delivery</t>
  </si>
  <si>
    <t>As per schedule</t>
  </si>
  <si>
    <t>Average Revenue</t>
  </si>
  <si>
    <t>F2022E - 23E</t>
  </si>
  <si>
    <t>Per Car / Direct / 000's</t>
  </si>
  <si>
    <t>Per Car / Lease / 000's</t>
  </si>
  <si>
    <t>Lkh's</t>
  </si>
  <si>
    <t>Portion % of Total</t>
  </si>
  <si>
    <t>Rev_Direct</t>
  </si>
  <si>
    <t>Rev_Lease</t>
  </si>
  <si>
    <t>Total_Prod</t>
  </si>
  <si>
    <t>Cost_vechicle</t>
  </si>
  <si>
    <t>* Four senarios have been used, for building the model: Revenue Per Car (direct, Lease), Production , Cost per Car</t>
  </si>
  <si>
    <t>F2024E - 26E</t>
  </si>
  <si>
    <t>Live Case</t>
  </si>
  <si>
    <t>Cost per Vehicle</t>
  </si>
  <si>
    <t>Revenue Direct Sales per Vehicle</t>
  </si>
  <si>
    <t>Revenue Lease Sales per Vechicle</t>
  </si>
  <si>
    <t>- Depreciation, Amortization &amp; Impairments</t>
  </si>
  <si>
    <t>Cost of Manufacturing Vehicles</t>
  </si>
  <si>
    <t>Cost Schedule</t>
  </si>
  <si>
    <t>000's</t>
  </si>
  <si>
    <t>$ MM's ( unless otherwise specified )</t>
  </si>
  <si>
    <t>Growth (%)</t>
  </si>
  <si>
    <t>Expected reach in remaining period</t>
  </si>
  <si>
    <t>Already reached as of Q2, 2022</t>
  </si>
  <si>
    <t>Gross profit ( % )</t>
  </si>
  <si>
    <t>* Expected production &amp; deliveries based on article electrek &amp; earning report</t>
  </si>
  <si>
    <t>* Expected cost per vechicle is based on hindustantimes article</t>
  </si>
  <si>
    <t>Average SG&amp;A Exp on per vehicle</t>
  </si>
  <si>
    <t>Average R&amp;D Exp on per vehicle</t>
  </si>
  <si>
    <t>Operating Cost Schedule</t>
  </si>
  <si>
    <t>Expected cost per Vehicle</t>
  </si>
  <si>
    <t>R&amp;D</t>
  </si>
  <si>
    <t>SG&amp;A</t>
  </si>
  <si>
    <t>Operating Expense Schedule</t>
  </si>
  <si>
    <t>Income Tax Schedule</t>
  </si>
  <si>
    <t>* 142 mm's till june-22. Expecting no exp incur next &amp; for other income / exp as per 10-Q no more interest rate swap</t>
  </si>
  <si>
    <t>Effective tax rate</t>
  </si>
  <si>
    <t>F2022E - 26E</t>
  </si>
  <si>
    <t>Non-controlling interests (NI)</t>
  </si>
  <si>
    <t>Days in Year</t>
  </si>
  <si>
    <t>Cost of Revenue</t>
  </si>
  <si>
    <t>Working Capital</t>
  </si>
  <si>
    <t>Current Liabilities:</t>
  </si>
  <si>
    <t>Current Assets:</t>
  </si>
  <si>
    <t>Days:</t>
  </si>
  <si>
    <t>USD in Million's</t>
  </si>
  <si>
    <t>PP&amp;E Schedule</t>
  </si>
  <si>
    <t>Capex % of Revenue</t>
  </si>
  <si>
    <t>Capex as % of Revenue for Operating Lease</t>
  </si>
  <si>
    <t>op</t>
  </si>
  <si>
    <t>Capex</t>
  </si>
  <si>
    <t>Capex % of Sales</t>
  </si>
  <si>
    <t>Old</t>
  </si>
  <si>
    <t>New</t>
  </si>
  <si>
    <t>Depreciation for Operating Lease</t>
  </si>
  <si>
    <t>+ Capex</t>
  </si>
  <si>
    <t>- Depreciation / Sale</t>
  </si>
  <si>
    <t>Total Depreciation</t>
  </si>
  <si>
    <t>Operating Lease Vehicles</t>
  </si>
  <si>
    <t>+ / - Current Year Adjustments / Lease cost</t>
  </si>
  <si>
    <t>Capex as % of Energy Revenue</t>
  </si>
  <si>
    <t>Capex Schedule</t>
  </si>
  <si>
    <t>Capex as % of Energy Revenue for Solar</t>
  </si>
  <si>
    <t>Solar Energy Schedule</t>
  </si>
  <si>
    <t>Depreciation for Solar Energy:</t>
  </si>
  <si>
    <t>Depreciation for Solar Energy</t>
  </si>
  <si>
    <t>Depreciation for current year ( Implied )</t>
  </si>
  <si>
    <t>Capex % of Automotive Revenue</t>
  </si>
  <si>
    <t>Depreciation for PP&amp;E:</t>
  </si>
  <si>
    <t>Depreciation for PP&amp;E</t>
  </si>
  <si>
    <t>Capex as % of Automotive Revenue for PP&amp;E</t>
  </si>
  <si>
    <t>Capex as % of Cost of Revenue for Operating Lease</t>
  </si>
  <si>
    <t>Depreciation for Operating Lease-Right-to-use-of-Assets</t>
  </si>
  <si>
    <t>Amortization of Lease:</t>
  </si>
  <si>
    <t>- Amortization</t>
  </si>
  <si>
    <t>+ Interest / Other adjustments</t>
  </si>
  <si>
    <t>Total Principal Payments</t>
  </si>
  <si>
    <t>Operating Lease Liability:</t>
  </si>
  <si>
    <t>- Current Maturity</t>
  </si>
  <si>
    <t>- Lease principal Payments</t>
  </si>
  <si>
    <t>Existing Lease Closing Balance</t>
  </si>
  <si>
    <t>PV of Lease Payments</t>
  </si>
  <si>
    <t>Current Maturity</t>
  </si>
  <si>
    <t>Interest Expenses</t>
  </si>
  <si>
    <t>Finance Lease</t>
  </si>
  <si>
    <t>Interest rate</t>
  </si>
  <si>
    <t>Lease Payment</t>
  </si>
  <si>
    <t>Principal + Int</t>
  </si>
  <si>
    <t>Other Long term Liabilities</t>
  </si>
  <si>
    <t>Operating Lease Liability (Long-Term)</t>
  </si>
  <si>
    <t>Digital assets</t>
  </si>
  <si>
    <t>sales of Bitcoin's</t>
  </si>
  <si>
    <t>Bitcon's Conversion %</t>
  </si>
  <si>
    <t>- Cash Convertion</t>
  </si>
  <si>
    <t>- Impairments</t>
  </si>
  <si>
    <t>Impairment loss</t>
  </si>
  <si>
    <t>Impairment Loss</t>
  </si>
  <si>
    <t>F2023E -24E</t>
  </si>
  <si>
    <t>Intangible assets</t>
  </si>
  <si>
    <t>Intangible Assets</t>
  </si>
  <si>
    <t>- Amortization Expense</t>
  </si>
  <si>
    <t>Closing intangible assets</t>
  </si>
  <si>
    <t>Intangibles:</t>
  </si>
  <si>
    <t>Goodwill:</t>
  </si>
  <si>
    <t>Impairment</t>
  </si>
  <si>
    <t>Impairments</t>
  </si>
  <si>
    <t>GoodWill</t>
  </si>
  <si>
    <t>Closing Goodwill Balance</t>
  </si>
  <si>
    <t>Other intangible assets</t>
  </si>
  <si>
    <t>* For Intangibles expecting constant for future yr's from F2023E. For F2022E considered values are reported as of June-22</t>
  </si>
  <si>
    <t>Other Non-current assets</t>
  </si>
  <si>
    <t>Incrument</t>
  </si>
  <si>
    <t>Other Assets / Liabilities</t>
  </si>
  <si>
    <t>F2023E -26E</t>
  </si>
  <si>
    <t>Incrument of Assets</t>
  </si>
  <si>
    <t>+ / Current year Adjustments</t>
  </si>
  <si>
    <t>Debt Schedule</t>
  </si>
  <si>
    <t>Current</t>
  </si>
  <si>
    <t>Non-Current</t>
  </si>
  <si>
    <t>Repayment</t>
  </si>
  <si>
    <t>Notes-2022</t>
  </si>
  <si>
    <t>Loan back Notes</t>
  </si>
  <si>
    <t>Asset back Notes from 2022 - 2048</t>
  </si>
  <si>
    <t>Notes-2023 - 2025</t>
  </si>
  <si>
    <t>Finance Lease - Outstanding</t>
  </si>
  <si>
    <t>Interest rate % for Debt</t>
  </si>
  <si>
    <t>Interest rate % for Finance Lease</t>
  </si>
  <si>
    <t>Finance Lease yr's</t>
  </si>
  <si>
    <t>Current Debt &amp; Lease</t>
  </si>
  <si>
    <t>Gross Debt</t>
  </si>
  <si>
    <t>Closing Debt Balance</t>
  </si>
  <si>
    <t>Debt Repayment yr's</t>
  </si>
  <si>
    <t>+ Finance Lease</t>
  </si>
  <si>
    <t>PP&amp;E after adjusting Finance Lease</t>
  </si>
  <si>
    <t>- Depreciation</t>
  </si>
  <si>
    <t>+ Capex / Sales</t>
  </si>
  <si>
    <t>Capex / Sales</t>
  </si>
  <si>
    <t>+ Capex / Sale</t>
  </si>
  <si>
    <t>Depreciation</t>
  </si>
  <si>
    <t>Depreciation for Finance Lease</t>
  </si>
  <si>
    <t>Total Amortization of Finance Lease for Current</t>
  </si>
  <si>
    <t>Non-Current Debt &amp; Lease</t>
  </si>
  <si>
    <t>Long term Finance Lease:</t>
  </si>
  <si>
    <t>- Repayment</t>
  </si>
  <si>
    <t>Total Amortization of Finance Lease for Non - Current</t>
  </si>
  <si>
    <t>Total Amortization on Finance Lease</t>
  </si>
  <si>
    <t>Stock Based Compensation</t>
  </si>
  <si>
    <t>Non-Current Liabilities:</t>
  </si>
  <si>
    <t>Deferred revenue - Non Current</t>
  </si>
  <si>
    <t>Cost of revenues</t>
  </si>
  <si>
    <t>Total</t>
  </si>
  <si>
    <t>- Stock Based compensation</t>
  </si>
  <si>
    <t>Till recent report quarter</t>
  </si>
  <si>
    <t>Unrecognized SBC</t>
  </si>
  <si>
    <t>* will be recognized in 3yrs</t>
  </si>
  <si>
    <t>* will be recognized in 0.3yrs</t>
  </si>
  <si>
    <t>Dep</t>
  </si>
  <si>
    <t>SBC</t>
  </si>
  <si>
    <t>Interest Expense</t>
  </si>
  <si>
    <t>Short term debt + Lease ( Interest)</t>
  </si>
  <si>
    <t>Long term debt + Lease ( Interest)</t>
  </si>
  <si>
    <t>Retained Earnings</t>
  </si>
  <si>
    <t>Retained Earnings:</t>
  </si>
  <si>
    <t>+ Current Year profit / Loss</t>
  </si>
  <si>
    <t>Current Year Profit / Loss</t>
  </si>
  <si>
    <t>Non-controlling interest:</t>
  </si>
  <si>
    <t>Current Year Profit / Loss to Non-controlling Interest</t>
  </si>
  <si>
    <t>Common Shares</t>
  </si>
  <si>
    <t>Additional paid-in capital:</t>
  </si>
  <si>
    <t>Issuance of Common Stock for equity incentive</t>
  </si>
  <si>
    <t>+ Issuance of Common Stock for equity</t>
  </si>
  <si>
    <t>Total Interest Expense</t>
  </si>
  <si>
    <t>Interest Income</t>
  </si>
  <si>
    <t>Total Interest Income</t>
  </si>
  <si>
    <t>Outstanding Shares</t>
  </si>
  <si>
    <t>https://www.cnbc.com/2022/08/24/tesla-stock-set-for-3-for-1-split-after-market-close.html#:~:text=Tesla%20shares%20will%20begin%20trading,annual%20meeting%20in%20early%20August.</t>
  </si>
  <si>
    <t>Constant</t>
  </si>
  <si>
    <t>Other Non recurring Expenses</t>
  </si>
  <si>
    <t>F2022E -26E</t>
  </si>
  <si>
    <t>Buy-out of noncontrolling interest</t>
  </si>
  <si>
    <t>Other Equity Schedule</t>
  </si>
  <si>
    <t>Calculation of EBITDA &amp; FCFF</t>
  </si>
  <si>
    <t>Computataion of EBITDA:</t>
  </si>
  <si>
    <t>+ Depreciation, Amortization &amp; Impairments</t>
  </si>
  <si>
    <t>EBITDA</t>
  </si>
  <si>
    <t>Computataion of FCFF:</t>
  </si>
  <si>
    <t>- Tax rate</t>
  </si>
  <si>
    <t>NOPAT</t>
  </si>
  <si>
    <t>( + ) Non-Cash Expenses</t>
  </si>
  <si>
    <t>( + / - ) Working Capital</t>
  </si>
  <si>
    <t>Operating Cash Flows</t>
  </si>
  <si>
    <t>( - ) Capex</t>
  </si>
  <si>
    <t>Free Cash Flows to Firm</t>
  </si>
  <si>
    <t>Discounted Cash Flows Valuation</t>
  </si>
  <si>
    <t>Time Periods</t>
  </si>
  <si>
    <t>Valuation Date</t>
  </si>
  <si>
    <t>Dates for NPV Calculation</t>
  </si>
  <si>
    <t>Year Fraction</t>
  </si>
  <si>
    <t>WACC Calculation</t>
  </si>
  <si>
    <t>Name</t>
  </si>
  <si>
    <t>Country</t>
  </si>
  <si>
    <t>Debt</t>
  </si>
  <si>
    <t>Equity</t>
  </si>
  <si>
    <t>Beta (5yr's)</t>
  </si>
  <si>
    <t>Beta</t>
  </si>
  <si>
    <t>Mkt. Val.</t>
  </si>
  <si>
    <t>Debt /</t>
  </si>
  <si>
    <t>Levered</t>
  </si>
  <si>
    <t>Unlevered</t>
  </si>
  <si>
    <t>Comparable Companies Beta</t>
  </si>
  <si>
    <t>Tesla WACC Calculation:</t>
  </si>
  <si>
    <t>Target Capital Structure:</t>
  </si>
  <si>
    <t>Tesla</t>
  </si>
  <si>
    <t>Toyota Motor Corporation</t>
  </si>
  <si>
    <t>BYD Company Limited</t>
  </si>
  <si>
    <t>Ford Motor Company</t>
  </si>
  <si>
    <t>Mercedes-Benz Group AG</t>
  </si>
  <si>
    <t>General Motors Company</t>
  </si>
  <si>
    <t>Volkswagen</t>
  </si>
  <si>
    <t>NIO Inc.</t>
  </si>
  <si>
    <t>Li Auto Inc.</t>
  </si>
  <si>
    <t>Rivian Automotive, Inc.</t>
  </si>
  <si>
    <t>Lucid Group, Inc.</t>
  </si>
  <si>
    <t>XPeng Inc.</t>
  </si>
  <si>
    <t>USA</t>
  </si>
  <si>
    <t>Japan</t>
  </si>
  <si>
    <t>China</t>
  </si>
  <si>
    <t>Germany</t>
  </si>
  <si>
    <t>Debt portion</t>
  </si>
  <si>
    <t>Equity portion</t>
  </si>
  <si>
    <t xml:space="preserve">Debt / Equity </t>
  </si>
  <si>
    <t>Effective Tax rate as per Company 10-k</t>
  </si>
  <si>
    <t>Effective TR</t>
  </si>
  <si>
    <t>Kd</t>
  </si>
  <si>
    <t>Cost of Equity:</t>
  </si>
  <si>
    <t>Cost of Debt:</t>
  </si>
  <si>
    <t>Risk free rate</t>
  </si>
  <si>
    <t>Equity risk premium</t>
  </si>
  <si>
    <t>Country risk premium</t>
  </si>
  <si>
    <t>Levered Beta</t>
  </si>
  <si>
    <t>Ke</t>
  </si>
  <si>
    <t>Data Source:</t>
  </si>
  <si>
    <t>https://finance.yahoo.com/</t>
  </si>
  <si>
    <t>https://worldpopulationreview.com/country-rankings/effective-corporate-tax-rate-by-country</t>
  </si>
  <si>
    <t>https://www.bloomberg.com/markets/rates-bonds/government-bonds/us</t>
  </si>
  <si>
    <t>https://www.statista.com/statistics/664840/average-market-risk-premium-usa/#:~:text=The%20average%20market%20risk%20premium,and%205.7%20percent%20since%202011.</t>
  </si>
  <si>
    <t>Average</t>
  </si>
  <si>
    <t>WACC as per Levered Beta</t>
  </si>
  <si>
    <t>WACC as per Regression Analysis</t>
  </si>
  <si>
    <t>WACC as per Regression Analysis:</t>
  </si>
  <si>
    <t>Nasdaq</t>
  </si>
  <si>
    <t>Date</t>
  </si>
  <si>
    <t>Close</t>
  </si>
  <si>
    <t>Beta as per Regression</t>
  </si>
  <si>
    <t>Capital Structure:</t>
  </si>
  <si>
    <t>Average WACC</t>
  </si>
  <si>
    <t>Terminal Cash Flows:</t>
  </si>
  <si>
    <t>Exist Method</t>
  </si>
  <si>
    <t>Perpetuity Method</t>
  </si>
  <si>
    <t>Growth rate</t>
  </si>
  <si>
    <t>WACC</t>
  </si>
  <si>
    <t>Average Terminal Value</t>
  </si>
  <si>
    <t>Terminal Value</t>
  </si>
  <si>
    <t>Free Cash Flows</t>
  </si>
  <si>
    <t>Implied Equity Per Share Calculation:</t>
  </si>
  <si>
    <t>Implied Enterprise Value</t>
  </si>
  <si>
    <t>- Total Debt</t>
  </si>
  <si>
    <t>+ Cash Balance</t>
  </si>
  <si>
    <t>Implied Equity Value</t>
  </si>
  <si>
    <t>Fully Diluted Outstanding Shares</t>
  </si>
  <si>
    <t>Implied Equity Share Price</t>
  </si>
  <si>
    <t>F2022E - 25E</t>
  </si>
  <si>
    <t>Exit</t>
  </si>
  <si>
    <t>Growth</t>
  </si>
  <si>
    <t>Implied range</t>
  </si>
  <si>
    <t>Sensitivity Input: ( Only affect Valuation section )</t>
  </si>
  <si>
    <t>Discount rate</t>
  </si>
  <si>
    <t>Terminal Value / EBITDA Multiple</t>
  </si>
  <si>
    <t>Sensitivity Table</t>
  </si>
  <si>
    <t>Target Price Range as per DCF Analysis:</t>
  </si>
  <si>
    <t>Exist Multiple</t>
  </si>
  <si>
    <t>* Sensitivity Table is hardcorded. While changing any multiple pls make change table to see effect</t>
  </si>
  <si>
    <t>Cash Balance</t>
  </si>
  <si>
    <t>FCFF</t>
  </si>
  <si>
    <t>Company Names</t>
  </si>
  <si>
    <t>Ticker</t>
  </si>
  <si>
    <t># of Shares</t>
  </si>
  <si>
    <t>CMP</t>
  </si>
  <si>
    <t>Mrkt Cap</t>
  </si>
  <si>
    <t>Cash Bal</t>
  </si>
  <si>
    <t>Net Debt</t>
  </si>
  <si>
    <t>Enterprise Value</t>
  </si>
  <si>
    <t>FCFE</t>
  </si>
  <si>
    <t>EV / Revenue</t>
  </si>
  <si>
    <t>EV / EBITDA</t>
  </si>
  <si>
    <t>EV / Net Income</t>
  </si>
  <si>
    <t>Mrkt Cap / NI</t>
  </si>
  <si>
    <t>Markt Cap / FCFF</t>
  </si>
  <si>
    <t>TSLA</t>
  </si>
  <si>
    <t>TM</t>
  </si>
  <si>
    <t>BYDDY</t>
  </si>
  <si>
    <t>F</t>
  </si>
  <si>
    <t>MBG.DE</t>
  </si>
  <si>
    <t>GM</t>
  </si>
  <si>
    <t>VWAGY</t>
  </si>
  <si>
    <t>NIO</t>
  </si>
  <si>
    <t>LI</t>
  </si>
  <si>
    <t>RIVN</t>
  </si>
  <si>
    <t>LCID</t>
  </si>
  <si>
    <t>XPEV</t>
  </si>
  <si>
    <t>N/A</t>
  </si>
  <si>
    <t>Implied Range</t>
  </si>
  <si>
    <t>Equity Research Target Prices</t>
  </si>
  <si>
    <t>Brokerage Name</t>
  </si>
  <si>
    <t>Rating</t>
  </si>
  <si>
    <t>Low</t>
  </si>
  <si>
    <t>High</t>
  </si>
  <si>
    <t>Brokerage</t>
  </si>
  <si>
    <t>Analyst Name</t>
  </si>
  <si>
    <t>Action</t>
  </si>
  <si>
    <t>Piper Sandler</t>
  </si>
  <si>
    <t>$344.00 ? $360.00</t>
  </si>
  <si>
    <t>8/29/2022</t>
  </si>
  <si>
    <t>Deutsche Bank Aktiengesellschaft</t>
  </si>
  <si>
    <t>Buy</t>
  </si>
  <si>
    <t>$375.00</t>
  </si>
  <si>
    <t>8/26/2022</t>
  </si>
  <si>
    <t>Argus</t>
  </si>
  <si>
    <t>$374.00</t>
  </si>
  <si>
    <t>8/25/2022</t>
  </si>
  <si>
    <t>Morgan Stanley</t>
  </si>
  <si>
    <t>$383.33</t>
  </si>
  <si>
    <t>Wedbush</t>
  </si>
  <si>
    <t>Outperform</t>
  </si>
  <si>
    <t>$360.00</t>
  </si>
  <si>
    <t>8/22/2022</t>
  </si>
  <si>
    <t>Loop Capital</t>
  </si>
  <si>
    <t>$33.33</t>
  </si>
  <si>
    <t>Canaccord Genuity Group</t>
  </si>
  <si>
    <t>$271.67 ? $293.67</t>
  </si>
  <si>
    <t>Citigroup</t>
  </si>
  <si>
    <t>Sell</t>
  </si>
  <si>
    <t>$125.00 ? $141.33</t>
  </si>
  <si>
    <t>7/25/2022</t>
  </si>
  <si>
    <t>Daiwa Capital Markets</t>
  </si>
  <si>
    <t>$310.00</t>
  </si>
  <si>
    <t>7/21/2022</t>
  </si>
  <si>
    <t>JPMorgan Chase &amp; Co.</t>
  </si>
  <si>
    <t>$128.33 ? $136.67</t>
  </si>
  <si>
    <t>Overweighted</t>
  </si>
  <si>
    <t>Target Reached</t>
  </si>
  <si>
    <t>Equity Research Target Prices - Average</t>
  </si>
  <si>
    <r>
      <t>52</t>
    </r>
    <r>
      <rPr>
        <b/>
        <vertAlign val="superscript"/>
        <sz val="11"/>
        <color theme="1"/>
        <rFont val="Gill Sans Nova"/>
        <family val="2"/>
      </rPr>
      <t>th</t>
    </r>
    <r>
      <rPr>
        <b/>
        <sz val="11"/>
        <color theme="1"/>
        <rFont val="Gill Sans Nova"/>
        <family val="2"/>
      </rPr>
      <t xml:space="preserve"> Week Range</t>
    </r>
  </si>
  <si>
    <t>Valuation Date:</t>
  </si>
  <si>
    <t>Target Price</t>
  </si>
  <si>
    <t>Recommendation:</t>
  </si>
  <si>
    <t>Company Overview:</t>
  </si>
  <si>
    <t>Its reporting segments are Automotive, Energy generation &amp; storage</t>
  </si>
  <si>
    <t>Market Capitalization</t>
  </si>
  <si>
    <t>Historical Share Price Performance:</t>
  </si>
  <si>
    <t>Financial performance</t>
  </si>
  <si>
    <t>Valuation Summary</t>
  </si>
  <si>
    <t>P/E</t>
  </si>
  <si>
    <t>Current Share Price ($ / Per share)</t>
  </si>
  <si>
    <t>Current Market Capitalization ( LTM basis )</t>
  </si>
  <si>
    <t>Segment</t>
  </si>
  <si>
    <t>Cash Flows</t>
  </si>
  <si>
    <t>Operating</t>
  </si>
  <si>
    <t>Opening</t>
  </si>
  <si>
    <t>Investing</t>
  </si>
  <si>
    <t>Financing</t>
  </si>
  <si>
    <t>Closing</t>
  </si>
  <si>
    <t>Valuation Table</t>
  </si>
  <si>
    <t>DCF</t>
  </si>
  <si>
    <t>Valuation Summary:</t>
  </si>
  <si>
    <t xml:space="preserve">52 Week </t>
  </si>
  <si>
    <t>Comp's</t>
  </si>
  <si>
    <t>Equity Analyst</t>
  </si>
  <si>
    <r>
      <t>December-31</t>
    </r>
    <r>
      <rPr>
        <vertAlign val="superscript"/>
        <sz val="10"/>
        <color theme="4"/>
        <rFont val="Avenir Next LT Pro"/>
        <family val="2"/>
      </rPr>
      <t>st</t>
    </r>
  </si>
  <si>
    <t>Will be grown to the range of $11.0 to $16.0 by 2026</t>
  </si>
  <si>
    <t>Operating Margin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</si>
</sst>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14009]dddd\,\ d\ mmmm\,\ yyyy;@"/>
    <numFmt numFmtId="165" formatCode="\F0\A"/>
    <numFmt numFmtId="166" formatCode="\F0\E"/>
    <numFmt numFmtId="167" formatCode="#,##0.0;\(\ #,##0.0\ \);&quot;-&quot;"/>
    <numFmt numFmtId="168" formatCode="#,##0.0"/>
    <numFmt numFmtId="169" formatCode="0.0%;\(\ 0.0%\ \);&quot;-&quot;"/>
    <numFmt numFmtId="170" formatCode="#,##0.000"/>
    <numFmt numFmtId="171" formatCode="#,##0.0;\(#,##0.0\);&quot;-&quot;"/>
    <numFmt numFmtId="172" formatCode="\+0.0;\(\ 0.0\ \);&quot;-&quot;"/>
    <numFmt numFmtId="173" formatCode="0.0"/>
    <numFmt numFmtId="174" formatCode="0.0%"/>
    <numFmt numFmtId="175" formatCode="0.0\x"/>
    <numFmt numFmtId="176" formatCode="0.0%;\(\ 0.0%\);&quot;-&quot;"/>
    <numFmt numFmtId="177" formatCode=";;;"/>
    <numFmt numFmtId="178" formatCode="0.0\x;\(0.0\x\);&quot;-&quot;"/>
    <numFmt numFmtId="179" formatCode="\$\ #,##0.0;\(\$\ #,##0.0\);&quot;-&quot;"/>
  </numFmts>
  <fonts count="60" x14ac:knownFonts="1">
    <font>
      <sz val="11"/>
      <color theme="1"/>
      <name val="Calibri"/>
      <family val="2"/>
      <scheme val="minor"/>
    </font>
    <font>
      <sz val="11"/>
      <color theme="1"/>
      <name val="Gill Sans Nova"/>
      <family val="2"/>
    </font>
    <font>
      <b/>
      <sz val="14"/>
      <color theme="0"/>
      <name val="Gill Sans Nova"/>
      <family val="2"/>
    </font>
    <font>
      <sz val="11"/>
      <color theme="0"/>
      <name val="Gill Sans Nova"/>
      <family val="2"/>
    </font>
    <font>
      <b/>
      <i/>
      <sz val="10"/>
      <color theme="0"/>
      <name val="Gill Sans Nova"/>
      <family val="2"/>
    </font>
    <font>
      <i/>
      <sz val="10"/>
      <color theme="0"/>
      <name val="Gill Sans Nova"/>
      <family val="2"/>
    </font>
    <font>
      <i/>
      <sz val="10"/>
      <color theme="1"/>
      <name val="Gill Sans Nova"/>
      <family val="2"/>
    </font>
    <font>
      <b/>
      <sz val="11"/>
      <color theme="0"/>
      <name val="Gill Sans Nova"/>
      <family val="2"/>
    </font>
    <font>
      <sz val="11"/>
      <color theme="7"/>
      <name val="Gill Sans Nova"/>
      <family val="2"/>
    </font>
    <font>
      <b/>
      <sz val="11"/>
      <color theme="1"/>
      <name val="Gill Sans Nova"/>
      <family val="2"/>
    </font>
    <font>
      <b/>
      <sz val="24"/>
      <color theme="1"/>
      <name val="Gill Sans Nova"/>
      <family val="2"/>
    </font>
    <font>
      <u/>
      <sz val="11"/>
      <color theme="1"/>
      <name val="Gill Sans Nova"/>
      <family val="2"/>
    </font>
    <font>
      <b/>
      <i/>
      <sz val="12"/>
      <color theme="1"/>
      <name val="Gill Sans Nova"/>
      <family val="2"/>
    </font>
    <font>
      <sz val="10"/>
      <color theme="1"/>
      <name val="Gill Sans Nova"/>
      <family val="2"/>
    </font>
    <font>
      <b/>
      <sz val="10"/>
      <color theme="1"/>
      <name val="Gill Sans Nova"/>
      <family val="2"/>
    </font>
    <font>
      <sz val="8"/>
      <name val="Calibri"/>
      <family val="2"/>
      <scheme val="minor"/>
    </font>
    <font>
      <i/>
      <sz val="11"/>
      <color theme="1"/>
      <name val="Gill Sans Nova"/>
      <family val="2"/>
    </font>
    <font>
      <b/>
      <u/>
      <sz val="11"/>
      <color theme="1"/>
      <name val="Gill Sans Nova"/>
      <family val="2"/>
    </font>
    <font>
      <b/>
      <sz val="11"/>
      <color theme="4"/>
      <name val="Gill Sans Nova"/>
      <family val="2"/>
    </font>
    <font>
      <sz val="9"/>
      <color indexed="81"/>
      <name val="Tahoma"/>
      <family val="2"/>
    </font>
    <font>
      <i/>
      <u/>
      <sz val="10"/>
      <color theme="1"/>
      <name val="Gill Sans Nova"/>
      <family val="2"/>
    </font>
    <font>
      <b/>
      <sz val="11"/>
      <color rgb="FFFFFFFF"/>
      <name val="Gill Sans Nova"/>
      <family val="2"/>
    </font>
    <font>
      <i/>
      <sz val="8"/>
      <color theme="1"/>
      <name val="Avenir Next LT Pro"/>
      <family val="2"/>
    </font>
    <font>
      <sz val="8"/>
      <color theme="1"/>
      <name val="Gill Sans Nova"/>
      <family val="2"/>
    </font>
    <font>
      <sz val="7"/>
      <color theme="1"/>
      <name val="Gill Sans Nova"/>
      <family val="2"/>
    </font>
    <font>
      <sz val="9"/>
      <color theme="1"/>
      <name val="Gill Sans Nova"/>
      <family val="2"/>
    </font>
    <font>
      <i/>
      <sz val="9"/>
      <color theme="1"/>
      <name val="Gill Sans Nova"/>
      <family val="2"/>
    </font>
    <font>
      <i/>
      <sz val="9"/>
      <color theme="7"/>
      <name val="Gill Sans Nova"/>
      <family val="2"/>
    </font>
    <font>
      <u/>
      <sz val="11"/>
      <color theme="10"/>
      <name val="Calibri"/>
      <family val="2"/>
      <scheme val="minor"/>
    </font>
    <font>
      <u/>
      <sz val="11"/>
      <color theme="10"/>
      <name val="Gill Sans Nova"/>
      <family val="2"/>
    </font>
    <font>
      <u/>
      <sz val="11"/>
      <color theme="4"/>
      <name val="Calibri"/>
      <family val="2"/>
      <scheme val="minor"/>
    </font>
    <font>
      <sz val="11"/>
      <color theme="4"/>
      <name val="Gill Sans Nova"/>
      <family val="2"/>
    </font>
    <font>
      <b/>
      <sz val="11"/>
      <color theme="7"/>
      <name val="Gill Sans Nova"/>
      <family val="2"/>
    </font>
    <font>
      <i/>
      <sz val="8"/>
      <color theme="1"/>
      <name val="Gill Sans Nova"/>
      <family val="2"/>
    </font>
    <font>
      <b/>
      <sz val="10"/>
      <color theme="1"/>
      <name val="Avenir Next LT Pro"/>
      <family val="2"/>
    </font>
    <font>
      <i/>
      <u/>
      <sz val="10"/>
      <color theme="1"/>
      <name val="Avenir Next LT Pro"/>
      <family val="2"/>
    </font>
    <font>
      <u/>
      <sz val="11"/>
      <color rgb="FF999999"/>
      <name val="Calibri"/>
      <family val="2"/>
      <scheme val="minor"/>
    </font>
    <font>
      <sz val="11"/>
      <color rgb="FF999999"/>
      <name val="Gill Sans Nova"/>
      <family val="2"/>
    </font>
    <font>
      <u/>
      <sz val="11"/>
      <color theme="0" tint="-0.499984740745262"/>
      <name val="Calibri"/>
      <family val="2"/>
      <scheme val="minor"/>
    </font>
    <font>
      <sz val="11"/>
      <color theme="4"/>
      <name val="Calibri"/>
      <family val="2"/>
      <scheme val="minor"/>
    </font>
    <font>
      <sz val="11"/>
      <color theme="5"/>
      <name val="Gill Sans Nova"/>
      <family val="2"/>
    </font>
    <font>
      <b/>
      <sz val="9"/>
      <color indexed="81"/>
      <name val="Tahoma"/>
      <family val="2"/>
    </font>
    <font>
      <sz val="11"/>
      <color theme="1"/>
      <name val="Book Antiqua"/>
      <family val="1"/>
    </font>
    <font>
      <sz val="11"/>
      <color theme="4"/>
      <name val="Book Antiqua"/>
      <family val="1"/>
    </font>
    <font>
      <u/>
      <sz val="11"/>
      <color theme="1"/>
      <name val="Book Antiqua"/>
      <family val="1"/>
    </font>
    <font>
      <i/>
      <sz val="10"/>
      <color theme="1"/>
      <name val="Book Antiqua"/>
      <family val="1"/>
    </font>
    <font>
      <b/>
      <sz val="11"/>
      <color theme="1"/>
      <name val="Book Antiqua"/>
      <family val="1"/>
    </font>
    <font>
      <b/>
      <sz val="11"/>
      <color theme="4"/>
      <name val="Book Antiqua"/>
      <family val="1"/>
    </font>
    <font>
      <b/>
      <vertAlign val="superscript"/>
      <sz val="11"/>
      <color theme="1"/>
      <name val="Gill Sans Nova"/>
      <family val="2"/>
    </font>
    <font>
      <sz val="11"/>
      <name val="Gill Sans Nova"/>
      <family val="2"/>
    </font>
    <font>
      <b/>
      <sz val="11"/>
      <color theme="7"/>
      <name val="Book Antiqua"/>
      <family val="1"/>
    </font>
    <font>
      <sz val="10"/>
      <name val="Gill Sans Nova"/>
      <family val="2"/>
    </font>
    <font>
      <sz val="10"/>
      <color theme="7"/>
      <name val="Gill Sans Nova"/>
      <family val="2"/>
    </font>
    <font>
      <u/>
      <sz val="12"/>
      <color rgb="FF000000"/>
      <name val="Gill Sans MT"/>
      <family val="2"/>
    </font>
    <font>
      <u/>
      <sz val="11"/>
      <color rgb="FF000000"/>
      <name val="Calibri"/>
      <family val="2"/>
      <scheme val="minor"/>
    </font>
    <font>
      <sz val="10"/>
      <color theme="4"/>
      <name val="Avenir Next LT Pro"/>
      <family val="2"/>
    </font>
    <font>
      <i/>
      <sz val="10"/>
      <color theme="4"/>
      <name val="Gill Sans Nova"/>
      <family val="2"/>
    </font>
    <font>
      <sz val="10"/>
      <color theme="4"/>
      <name val="Gill Sans Nova"/>
      <family val="2"/>
    </font>
    <font>
      <vertAlign val="superscript"/>
      <sz val="10"/>
      <color theme="4"/>
      <name val="Avenir Next LT Pro"/>
      <family val="2"/>
    </font>
    <font>
      <u/>
      <sz val="10"/>
      <color theme="1"/>
      <name val="Gill Sans Nova"/>
      <family val="2"/>
    </font>
  </fonts>
  <fills count="7">
    <fill>
      <patternFill patternType="none"/>
    </fill>
    <fill>
      <patternFill patternType="gray125"/>
    </fill>
    <fill>
      <patternFill patternType="solid">
        <fgColor theme="0" tint="-4.9989318521683403E-2"/>
        <bgColor indexed="64"/>
      </patternFill>
    </fill>
    <fill>
      <patternFill patternType="solid">
        <fgColor rgb="FFCCCCCC"/>
        <bgColor indexed="64"/>
      </patternFill>
    </fill>
    <fill>
      <patternFill patternType="solid">
        <fgColor rgb="FF000000"/>
        <bgColor indexed="64"/>
      </patternFill>
    </fill>
    <fill>
      <patternFill patternType="solid">
        <fgColor rgb="FF999999"/>
        <bgColor indexed="64"/>
      </patternFill>
    </fill>
    <fill>
      <patternFill patternType="solid">
        <fgColor rgb="FFE6E7E8"/>
        <bgColor indexed="64"/>
      </patternFill>
    </fill>
  </fills>
  <borders count="23">
    <border>
      <left/>
      <right/>
      <top/>
      <bottom/>
      <diagonal/>
    </border>
    <border>
      <left/>
      <right/>
      <top/>
      <bottom style="medium">
        <color indexed="64"/>
      </bottom>
      <diagonal/>
    </border>
    <border>
      <left/>
      <right/>
      <top style="thin">
        <color indexed="64"/>
      </top>
      <bottom/>
      <diagonal/>
    </border>
    <border>
      <left style="hair">
        <color auto="1"/>
      </left>
      <right/>
      <top/>
      <bottom/>
      <diagonal/>
    </border>
    <border>
      <left/>
      <right/>
      <top style="thin">
        <color indexed="64"/>
      </top>
      <bottom style="double">
        <color indexed="64"/>
      </bottom>
      <diagonal/>
    </border>
    <border>
      <left style="hair">
        <color indexed="64"/>
      </left>
      <right/>
      <top style="thin">
        <color indexed="64"/>
      </top>
      <bottom/>
      <diagonal/>
    </border>
    <border>
      <left style="hair">
        <color indexed="64"/>
      </left>
      <right/>
      <top style="thin">
        <color indexed="64"/>
      </top>
      <bottom style="double">
        <color indexed="64"/>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style="hair">
        <color auto="1"/>
      </right>
      <top style="thin">
        <color indexed="64"/>
      </top>
      <bottom/>
      <diagonal/>
    </border>
    <border>
      <left/>
      <right/>
      <top/>
      <bottom style="thin">
        <color indexed="64"/>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dashDot">
        <color auto="1"/>
      </left>
      <right/>
      <top/>
      <bottom/>
      <diagonal/>
    </border>
    <border>
      <left/>
      <right/>
      <top/>
      <bottom style="dashDot">
        <color indexed="64"/>
      </bottom>
      <diagonal/>
    </border>
    <border>
      <left/>
      <right/>
      <top style="dashDot">
        <color indexed="64"/>
      </top>
      <bottom/>
      <diagonal/>
    </border>
  </borders>
  <cellStyleXfs count="2">
    <xf numFmtId="0" fontId="0" fillId="0" borderId="0"/>
    <xf numFmtId="0" fontId="28" fillId="0" borderId="0" applyNumberFormat="0" applyFill="0" applyBorder="0" applyAlignment="0" applyProtection="0"/>
  </cellStyleXfs>
  <cellXfs count="314">
    <xf numFmtId="0" fontId="0" fillId="0" borderId="0" xfId="0"/>
    <xf numFmtId="0" fontId="1" fillId="0" borderId="0" xfId="0" applyFont="1"/>
    <xf numFmtId="0" fontId="2" fillId="4" borderId="0" xfId="0" applyFont="1" applyFill="1" applyAlignment="1">
      <alignment horizontal="centerContinuous"/>
    </xf>
    <xf numFmtId="0" fontId="3" fillId="4" borderId="0" xfId="0" applyFont="1" applyFill="1" applyAlignment="1">
      <alignment horizontal="centerContinuous"/>
    </xf>
    <xf numFmtId="0" fontId="1" fillId="0" borderId="0" xfId="0" applyFont="1" applyAlignment="1">
      <alignment horizontal="centerContinuous"/>
    </xf>
    <xf numFmtId="0" fontId="1" fillId="0" borderId="1" xfId="0" applyFont="1" applyBorder="1"/>
    <xf numFmtId="0" fontId="4" fillId="3" borderId="0" xfId="0" applyFont="1" applyFill="1" applyAlignment="1">
      <alignment horizontal="centerContinuous"/>
    </xf>
    <xf numFmtId="0" fontId="5" fillId="3" borderId="0" xfId="0" applyFont="1" applyFill="1" applyAlignment="1">
      <alignment horizontal="centerContinuous"/>
    </xf>
    <xf numFmtId="0" fontId="4" fillId="5" borderId="0" xfId="0" applyFont="1" applyFill="1" applyAlignment="1">
      <alignment horizontal="centerContinuous"/>
    </xf>
    <xf numFmtId="0" fontId="6" fillId="5" borderId="0" xfId="0" applyFont="1" applyFill="1" applyAlignment="1">
      <alignment horizontal="centerContinuous"/>
    </xf>
    <xf numFmtId="165" fontId="7" fillId="3" borderId="0" xfId="0" applyNumberFormat="1" applyFont="1" applyFill="1"/>
    <xf numFmtId="166" fontId="7" fillId="5" borderId="0" xfId="0" applyNumberFormat="1" applyFont="1" applyFill="1"/>
    <xf numFmtId="167" fontId="1" fillId="0" borderId="0" xfId="0" applyNumberFormat="1" applyFont="1"/>
    <xf numFmtId="0" fontId="1" fillId="0" borderId="0" xfId="0" applyFont="1" applyAlignment="1">
      <alignment horizontal="left" indent="1"/>
    </xf>
    <xf numFmtId="167" fontId="8" fillId="0" borderId="0" xfId="0" applyNumberFormat="1" applyFont="1"/>
    <xf numFmtId="0" fontId="9" fillId="0" borderId="2" xfId="0" applyFont="1" applyBorder="1"/>
    <xf numFmtId="167" fontId="9" fillId="0" borderId="2" xfId="0" applyNumberFormat="1" applyFont="1" applyBorder="1"/>
    <xf numFmtId="0" fontId="9" fillId="0" borderId="4" xfId="0" applyFont="1" applyBorder="1"/>
    <xf numFmtId="167" fontId="9" fillId="0" borderId="4" xfId="0" applyNumberFormat="1" applyFont="1" applyBorder="1"/>
    <xf numFmtId="0" fontId="11" fillId="0" borderId="0" xfId="0" applyFont="1"/>
    <xf numFmtId="0" fontId="12" fillId="0" borderId="0" xfId="0" applyFont="1"/>
    <xf numFmtId="0" fontId="6" fillId="0" borderId="2" xfId="0" applyFont="1" applyBorder="1"/>
    <xf numFmtId="0" fontId="1" fillId="0" borderId="2" xfId="0" applyFont="1" applyBorder="1"/>
    <xf numFmtId="0" fontId="4" fillId="3" borderId="3" xfId="0" applyFont="1" applyFill="1" applyBorder="1" applyAlignment="1">
      <alignment horizontal="centerContinuous"/>
    </xf>
    <xf numFmtId="0" fontId="6" fillId="3" borderId="0" xfId="0" applyFont="1" applyFill="1" applyAlignment="1">
      <alignment horizontal="centerContinuous"/>
    </xf>
    <xf numFmtId="165" fontId="7" fillId="3" borderId="3" xfId="0" applyNumberFormat="1" applyFont="1" applyFill="1" applyBorder="1"/>
    <xf numFmtId="0" fontId="1" fillId="0" borderId="3" xfId="0" applyFont="1" applyBorder="1"/>
    <xf numFmtId="0" fontId="1" fillId="0" borderId="4" xfId="0" applyFont="1" applyBorder="1"/>
    <xf numFmtId="167" fontId="1" fillId="0" borderId="4" xfId="0" applyNumberFormat="1" applyFont="1" applyBorder="1"/>
    <xf numFmtId="165" fontId="1" fillId="0" borderId="0" xfId="0" applyNumberFormat="1" applyFont="1"/>
    <xf numFmtId="0" fontId="9" fillId="0" borderId="0" xfId="0" applyFont="1"/>
    <xf numFmtId="169" fontId="13" fillId="0" borderId="0" xfId="0" applyNumberFormat="1" applyFont="1" applyAlignment="1">
      <alignment horizontal="right"/>
    </xf>
    <xf numFmtId="169" fontId="13" fillId="2" borderId="3" xfId="0" applyNumberFormat="1" applyFont="1" applyFill="1" applyBorder="1" applyAlignment="1">
      <alignment horizontal="right"/>
    </xf>
    <xf numFmtId="169" fontId="14" fillId="0" borderId="2" xfId="0" applyNumberFormat="1" applyFont="1" applyBorder="1" applyAlignment="1">
      <alignment horizontal="right"/>
    </xf>
    <xf numFmtId="169" fontId="14" fillId="2" borderId="5" xfId="0" applyNumberFormat="1" applyFont="1" applyFill="1" applyBorder="1" applyAlignment="1">
      <alignment horizontal="right"/>
    </xf>
    <xf numFmtId="169" fontId="13" fillId="0" borderId="3" xfId="0" applyNumberFormat="1" applyFont="1" applyBorder="1" applyAlignment="1">
      <alignment horizontal="right"/>
    </xf>
    <xf numFmtId="169" fontId="14" fillId="0" borderId="4" xfId="0" applyNumberFormat="1" applyFont="1" applyBorder="1" applyAlignment="1">
      <alignment horizontal="right"/>
    </xf>
    <xf numFmtId="169" fontId="14" fillId="2" borderId="6" xfId="0" applyNumberFormat="1" applyFont="1" applyFill="1" applyBorder="1" applyAlignment="1">
      <alignment horizontal="right"/>
    </xf>
    <xf numFmtId="169" fontId="13" fillId="0" borderId="0" xfId="0" applyNumberFormat="1" applyFont="1"/>
    <xf numFmtId="169" fontId="13" fillId="2" borderId="3" xfId="0" applyNumberFormat="1" applyFont="1" applyFill="1" applyBorder="1"/>
    <xf numFmtId="169" fontId="14" fillId="2" borderId="5" xfId="0" applyNumberFormat="1" applyFont="1" applyFill="1" applyBorder="1"/>
    <xf numFmtId="169" fontId="14" fillId="0" borderId="2" xfId="0" applyNumberFormat="1" applyFont="1" applyBorder="1"/>
    <xf numFmtId="169" fontId="13" fillId="2" borderId="3" xfId="0" applyNumberFormat="1" applyFont="1" applyFill="1" applyBorder="1" applyAlignment="1">
      <alignment horizontal="left" indent="1"/>
    </xf>
    <xf numFmtId="169" fontId="13" fillId="0" borderId="3" xfId="0" applyNumberFormat="1" applyFont="1" applyBorder="1"/>
    <xf numFmtId="169" fontId="13" fillId="0" borderId="4" xfId="0" applyNumberFormat="1" applyFont="1" applyBorder="1"/>
    <xf numFmtId="169" fontId="13" fillId="2" borderId="6" xfId="0" applyNumberFormat="1" applyFont="1" applyFill="1" applyBorder="1"/>
    <xf numFmtId="3" fontId="1" fillId="0" borderId="0" xfId="0" applyNumberFormat="1" applyFont="1"/>
    <xf numFmtId="0" fontId="1" fillId="0" borderId="0" xfId="0" applyFont="1" applyAlignment="1">
      <alignment horizontal="center"/>
    </xf>
    <xf numFmtId="0" fontId="9" fillId="0" borderId="4" xfId="0" applyFont="1" applyBorder="1" applyAlignment="1">
      <alignment horizontal="center"/>
    </xf>
    <xf numFmtId="168" fontId="1" fillId="0" borderId="0" xfId="0" applyNumberFormat="1" applyFont="1"/>
    <xf numFmtId="166" fontId="1" fillId="0" borderId="0" xfId="0" applyNumberFormat="1" applyFont="1"/>
    <xf numFmtId="167" fontId="1" fillId="0" borderId="0" xfId="0" applyNumberFormat="1" applyFont="1" applyAlignment="1">
      <alignment horizontal="left" indent="1"/>
    </xf>
    <xf numFmtId="0" fontId="1" fillId="0" borderId="0" xfId="0" applyFont="1" applyAlignment="1">
      <alignment horizontal="left"/>
    </xf>
    <xf numFmtId="167" fontId="1" fillId="0" borderId="0" xfId="0" applyNumberFormat="1" applyFont="1" applyAlignment="1">
      <alignment horizontal="right"/>
    </xf>
    <xf numFmtId="167" fontId="1" fillId="0" borderId="0" xfId="0" applyNumberFormat="1" applyFont="1" applyAlignment="1">
      <alignment horizontal="left"/>
    </xf>
    <xf numFmtId="0" fontId="6" fillId="0" borderId="0" xfId="0" applyFont="1"/>
    <xf numFmtId="167" fontId="16" fillId="0" borderId="0" xfId="0" applyNumberFormat="1" applyFont="1"/>
    <xf numFmtId="167" fontId="6" fillId="0" borderId="0" xfId="0" applyNumberFormat="1" applyFont="1"/>
    <xf numFmtId="167" fontId="16" fillId="0" borderId="0" xfId="0" applyNumberFormat="1" applyFont="1" applyAlignment="1">
      <alignment horizontal="right"/>
    </xf>
    <xf numFmtId="0" fontId="17" fillId="0" borderId="0" xfId="0" applyFont="1"/>
    <xf numFmtId="167" fontId="1" fillId="0" borderId="2" xfId="0" applyNumberFormat="1" applyFont="1" applyBorder="1"/>
    <xf numFmtId="166" fontId="1" fillId="0" borderId="0" xfId="0" applyNumberFormat="1" applyFont="1" applyAlignment="1">
      <alignment horizontal="right"/>
    </xf>
    <xf numFmtId="166" fontId="1" fillId="0" borderId="4" xfId="0" applyNumberFormat="1" applyFont="1" applyBorder="1" applyAlignment="1">
      <alignment horizontal="right"/>
    </xf>
    <xf numFmtId="166" fontId="9" fillId="0" borderId="2" xfId="0" applyNumberFormat="1" applyFont="1" applyBorder="1" applyAlignment="1">
      <alignment horizontal="right"/>
    </xf>
    <xf numFmtId="0" fontId="1" fillId="0" borderId="0" xfId="0" applyFont="1" applyAlignment="1">
      <alignment horizontal="right"/>
    </xf>
    <xf numFmtId="0" fontId="1" fillId="0" borderId="0" xfId="0" quotePrefix="1" applyFont="1"/>
    <xf numFmtId="167" fontId="18" fillId="0" borderId="2" xfId="0" applyNumberFormat="1" applyFont="1" applyBorder="1"/>
    <xf numFmtId="0" fontId="11" fillId="0" borderId="0" xfId="0" quotePrefix="1" applyFont="1"/>
    <xf numFmtId="0" fontId="1" fillId="0" borderId="0" xfId="0" quotePrefix="1" applyFont="1" applyAlignment="1">
      <alignment horizontal="left" indent="1"/>
    </xf>
    <xf numFmtId="0" fontId="9" fillId="0" borderId="2" xfId="0" applyFont="1" applyBorder="1" applyAlignment="1">
      <alignment horizontal="left" indent="1"/>
    </xf>
    <xf numFmtId="0" fontId="9" fillId="0" borderId="4" xfId="0" quotePrefix="1" applyFont="1" applyBorder="1"/>
    <xf numFmtId="167" fontId="18" fillId="0" borderId="4" xfId="0" applyNumberFormat="1" applyFont="1" applyBorder="1"/>
    <xf numFmtId="166" fontId="9" fillId="0" borderId="4" xfId="0" applyNumberFormat="1" applyFont="1" applyBorder="1" applyAlignment="1">
      <alignment horizontal="right"/>
    </xf>
    <xf numFmtId="0" fontId="13" fillId="0" borderId="0" xfId="0" applyFont="1"/>
    <xf numFmtId="0" fontId="13" fillId="0" borderId="0" xfId="0" applyFont="1" applyAlignment="1">
      <alignment horizontal="left" vertical="top" wrapText="1"/>
    </xf>
    <xf numFmtId="167" fontId="13" fillId="0" borderId="0" xfId="0" applyNumberFormat="1" applyFont="1"/>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left" vertical="center"/>
    </xf>
    <xf numFmtId="0" fontId="11" fillId="0" borderId="0" xfId="0" applyFont="1" applyAlignment="1">
      <alignment vertical="top"/>
    </xf>
    <xf numFmtId="167" fontId="20" fillId="0" borderId="0" xfId="0" applyNumberFormat="1" applyFont="1"/>
    <xf numFmtId="0" fontId="20" fillId="0" borderId="0" xfId="0" applyFont="1"/>
    <xf numFmtId="17" fontId="1" fillId="0" borderId="0" xfId="0" quotePrefix="1" applyNumberFormat="1" applyFont="1"/>
    <xf numFmtId="0" fontId="9" fillId="0" borderId="2" xfId="0" quotePrefix="1" applyFont="1" applyBorder="1" applyAlignment="1">
      <alignment horizontal="left" indent="1"/>
    </xf>
    <xf numFmtId="0" fontId="9" fillId="0" borderId="2" xfId="0" quotePrefix="1" applyFont="1" applyBorder="1" applyAlignment="1">
      <alignment horizontal="left"/>
    </xf>
    <xf numFmtId="10" fontId="1" fillId="0" borderId="0" xfId="0" applyNumberFormat="1" applyFont="1"/>
    <xf numFmtId="0" fontId="9" fillId="0" borderId="0" xfId="0" quotePrefix="1" applyFont="1" applyAlignment="1">
      <alignment horizontal="left" indent="1"/>
    </xf>
    <xf numFmtId="167" fontId="9" fillId="0" borderId="0" xfId="0" applyNumberFormat="1" applyFont="1"/>
    <xf numFmtId="4" fontId="1" fillId="0" borderId="0" xfId="0" applyNumberFormat="1" applyFont="1"/>
    <xf numFmtId="0" fontId="9" fillId="0" borderId="2" xfId="0" quotePrefix="1" applyFont="1" applyBorder="1"/>
    <xf numFmtId="170" fontId="6" fillId="0" borderId="0" xfId="0" applyNumberFormat="1" applyFont="1"/>
    <xf numFmtId="0" fontId="1" fillId="3" borderId="0" xfId="0" applyFont="1" applyFill="1"/>
    <xf numFmtId="0" fontId="21" fillId="3" borderId="0" xfId="0" applyFont="1" applyFill="1"/>
    <xf numFmtId="167" fontId="6" fillId="0" borderId="0" xfId="0" applyNumberFormat="1" applyFont="1" applyAlignment="1">
      <alignment horizontal="right"/>
    </xf>
    <xf numFmtId="0" fontId="22" fillId="0" borderId="0" xfId="0" applyFont="1" applyAlignment="1">
      <alignment vertical="center" wrapText="1"/>
    </xf>
    <xf numFmtId="0" fontId="22" fillId="0" borderId="0" xfId="0" applyFont="1" applyAlignment="1">
      <alignment vertical="center"/>
    </xf>
    <xf numFmtId="0" fontId="9" fillId="0" borderId="0" xfId="0" applyFont="1" applyAlignment="1">
      <alignment horizontal="left" indent="1"/>
    </xf>
    <xf numFmtId="167" fontId="9" fillId="0" borderId="0" xfId="0" applyNumberFormat="1" applyFont="1" applyAlignment="1">
      <alignment horizontal="left" indent="1"/>
    </xf>
    <xf numFmtId="0" fontId="9" fillId="0" borderId="4" xfId="0" applyFont="1" applyBorder="1" applyAlignment="1">
      <alignment horizontal="left"/>
    </xf>
    <xf numFmtId="167" fontId="1" fillId="2" borderId="0" xfId="0" applyNumberFormat="1" applyFont="1" applyFill="1"/>
    <xf numFmtId="0" fontId="1" fillId="2" borderId="0" xfId="0" applyFont="1" applyFill="1"/>
    <xf numFmtId="167" fontId="23" fillId="0" borderId="0" xfId="0" applyNumberFormat="1" applyFont="1" applyAlignment="1">
      <alignment horizontal="right"/>
    </xf>
    <xf numFmtId="167" fontId="1" fillId="3" borderId="0" xfId="0" applyNumberFormat="1" applyFont="1" applyFill="1"/>
    <xf numFmtId="167" fontId="24" fillId="0" borderId="0" xfId="0" applyNumberFormat="1" applyFont="1" applyAlignment="1">
      <alignment horizontal="right"/>
    </xf>
    <xf numFmtId="0" fontId="1" fillId="0" borderId="7" xfId="0" applyFont="1" applyBorder="1" applyAlignment="1">
      <alignment horizontal="left" indent="1"/>
    </xf>
    <xf numFmtId="0" fontId="1" fillId="0" borderId="8" xfId="0" applyFont="1" applyBorder="1"/>
    <xf numFmtId="167" fontId="8" fillId="0" borderId="8" xfId="0" applyNumberFormat="1" applyFont="1" applyBorder="1"/>
    <xf numFmtId="167" fontId="1" fillId="0" borderId="8" xfId="0" applyNumberFormat="1" applyFont="1" applyBorder="1"/>
    <xf numFmtId="167" fontId="1" fillId="0" borderId="9" xfId="0" applyNumberFormat="1" applyFont="1" applyBorder="1"/>
    <xf numFmtId="0" fontId="1" fillId="0" borderId="3" xfId="0" applyFont="1" applyBorder="1" applyAlignment="1">
      <alignment horizontal="left" indent="1"/>
    </xf>
    <xf numFmtId="167" fontId="1" fillId="0" borderId="10" xfId="0" applyNumberFormat="1" applyFont="1" applyBorder="1"/>
    <xf numFmtId="0" fontId="9" fillId="0" borderId="3" xfId="0" applyFont="1" applyBorder="1"/>
    <xf numFmtId="167" fontId="9" fillId="0" borderId="10" xfId="0" applyNumberFormat="1" applyFont="1" applyBorder="1"/>
    <xf numFmtId="169" fontId="13" fillId="0" borderId="10" xfId="0" applyNumberFormat="1" applyFont="1" applyBorder="1" applyAlignment="1">
      <alignment horizontal="right"/>
    </xf>
    <xf numFmtId="0" fontId="1" fillId="0" borderId="11" xfId="0" applyFont="1" applyBorder="1"/>
    <xf numFmtId="169" fontId="13" fillId="0" borderId="12" xfId="0" applyNumberFormat="1" applyFont="1" applyBorder="1" applyAlignment="1">
      <alignment horizontal="right"/>
    </xf>
    <xf numFmtId="169" fontId="13" fillId="0" borderId="13" xfId="0" applyNumberFormat="1" applyFont="1" applyBorder="1" applyAlignment="1">
      <alignment horizontal="right"/>
    </xf>
    <xf numFmtId="0" fontId="25" fillId="0" borderId="0" xfId="0" applyFont="1"/>
    <xf numFmtId="0" fontId="26" fillId="0" borderId="0" xfId="0" applyFont="1" applyAlignment="1">
      <alignment horizontal="left"/>
    </xf>
    <xf numFmtId="172" fontId="27" fillId="0" borderId="0" xfId="0" applyNumberFormat="1" applyFont="1" applyAlignment="1">
      <alignment horizontal="left"/>
    </xf>
    <xf numFmtId="0" fontId="27" fillId="0" borderId="0" xfId="0" applyFont="1" applyAlignment="1">
      <alignment horizontal="left"/>
    </xf>
    <xf numFmtId="0" fontId="25" fillId="0" borderId="0" xfId="0" applyFont="1" applyAlignment="1">
      <alignment horizontal="right"/>
    </xf>
    <xf numFmtId="0" fontId="1" fillId="0" borderId="7" xfId="0" applyFont="1" applyBorder="1"/>
    <xf numFmtId="0" fontId="1" fillId="0" borderId="3" xfId="0" quotePrefix="1" applyFont="1" applyBorder="1"/>
    <xf numFmtId="0" fontId="9" fillId="0" borderId="5" xfId="0" applyFont="1" applyBorder="1"/>
    <xf numFmtId="167" fontId="9" fillId="0" borderId="14" xfId="0" applyNumberFormat="1" applyFont="1" applyBorder="1"/>
    <xf numFmtId="0" fontId="6" fillId="0" borderId="0" xfId="0" applyFont="1" applyAlignment="1">
      <alignment horizontal="left"/>
    </xf>
    <xf numFmtId="0" fontId="6" fillId="0" borderId="12" xfId="0" applyFont="1" applyBorder="1" applyAlignment="1">
      <alignment horizontal="left"/>
    </xf>
    <xf numFmtId="167" fontId="8" fillId="2" borderId="0" xfId="0" applyNumberFormat="1" applyFont="1" applyFill="1"/>
    <xf numFmtId="167" fontId="8" fillId="2" borderId="12" xfId="0" applyNumberFormat="1" applyFont="1" applyFill="1" applyBorder="1"/>
    <xf numFmtId="171" fontId="1" fillId="0" borderId="0" xfId="0" applyNumberFormat="1" applyFont="1"/>
    <xf numFmtId="171" fontId="9" fillId="0" borderId="2" xfId="0" applyNumberFormat="1" applyFont="1" applyBorder="1"/>
    <xf numFmtId="167" fontId="8" fillId="0" borderId="10" xfId="0" applyNumberFormat="1" applyFont="1" applyBorder="1"/>
    <xf numFmtId="171" fontId="8" fillId="0" borderId="0" xfId="0" applyNumberFormat="1" applyFont="1"/>
    <xf numFmtId="0" fontId="29" fillId="0" borderId="0" xfId="1" applyFont="1" applyBorder="1" applyAlignment="1">
      <alignment vertical="center" wrapText="1"/>
    </xf>
    <xf numFmtId="167" fontId="1" fillId="2" borderId="8" xfId="0" applyNumberFormat="1" applyFont="1" applyFill="1" applyBorder="1"/>
    <xf numFmtId="167" fontId="1" fillId="2" borderId="9" xfId="0" applyNumberFormat="1" applyFont="1" applyFill="1" applyBorder="1"/>
    <xf numFmtId="167" fontId="1" fillId="2" borderId="10" xfId="0" applyNumberFormat="1" applyFont="1" applyFill="1" applyBorder="1"/>
    <xf numFmtId="0" fontId="1" fillId="0" borderId="12" xfId="0" applyFont="1" applyBorder="1"/>
    <xf numFmtId="167" fontId="1" fillId="0" borderId="12" xfId="0" applyNumberFormat="1" applyFont="1" applyBorder="1"/>
    <xf numFmtId="167" fontId="1" fillId="0" borderId="13" xfId="0" applyNumberFormat="1" applyFont="1" applyBorder="1"/>
    <xf numFmtId="167" fontId="25" fillId="0" borderId="0" xfId="0" applyNumberFormat="1" applyFont="1"/>
    <xf numFmtId="169" fontId="30" fillId="0" borderId="0" xfId="1" applyNumberFormat="1" applyFont="1" applyAlignment="1">
      <alignment horizontal="right"/>
    </xf>
    <xf numFmtId="173" fontId="1" fillId="0" borderId="0" xfId="0" applyNumberFormat="1" applyFont="1"/>
    <xf numFmtId="173" fontId="1" fillId="2" borderId="0" xfId="0" applyNumberFormat="1" applyFont="1" applyFill="1"/>
    <xf numFmtId="174" fontId="1" fillId="0" borderId="0" xfId="0" applyNumberFormat="1" applyFont="1"/>
    <xf numFmtId="169" fontId="1" fillId="0" borderId="0" xfId="0" applyNumberFormat="1" applyFont="1" applyAlignment="1">
      <alignment horizontal="right"/>
    </xf>
    <xf numFmtId="167" fontId="11" fillId="0" borderId="0" xfId="0" applyNumberFormat="1" applyFont="1" applyAlignment="1">
      <alignment horizontal="right"/>
    </xf>
    <xf numFmtId="173" fontId="8" fillId="0" borderId="0" xfId="0" applyNumberFormat="1" applyFont="1"/>
    <xf numFmtId="173" fontId="8" fillId="2" borderId="0" xfId="0" applyNumberFormat="1" applyFont="1" applyFill="1"/>
    <xf numFmtId="174" fontId="8" fillId="0" borderId="0" xfId="0" applyNumberFormat="1" applyFont="1"/>
    <xf numFmtId="167" fontId="9" fillId="2" borderId="2" xfId="0" applyNumberFormat="1" applyFont="1" applyFill="1" applyBorder="1"/>
    <xf numFmtId="169" fontId="1" fillId="0" borderId="12" xfId="0" applyNumberFormat="1" applyFont="1" applyBorder="1" applyAlignment="1">
      <alignment horizontal="right"/>
    </xf>
    <xf numFmtId="169" fontId="8" fillId="0" borderId="12" xfId="0" applyNumberFormat="1" applyFont="1" applyBorder="1" applyAlignment="1">
      <alignment horizontal="right"/>
    </xf>
    <xf numFmtId="169" fontId="8" fillId="0" borderId="13" xfId="0" applyNumberFormat="1" applyFont="1" applyBorder="1" applyAlignment="1">
      <alignment horizontal="right"/>
    </xf>
    <xf numFmtId="169" fontId="13" fillId="2" borderId="0" xfId="0" applyNumberFormat="1" applyFont="1" applyFill="1" applyAlignment="1">
      <alignment horizontal="right"/>
    </xf>
    <xf numFmtId="167" fontId="31" fillId="0" borderId="2" xfId="0" applyNumberFormat="1" applyFont="1" applyBorder="1"/>
    <xf numFmtId="0" fontId="9" fillId="0" borderId="7" xfId="0" applyFont="1" applyBorder="1"/>
    <xf numFmtId="167" fontId="32" fillId="0" borderId="2" xfId="0" applyNumberFormat="1" applyFont="1" applyBorder="1"/>
    <xf numFmtId="167" fontId="32" fillId="0" borderId="4" xfId="0" applyNumberFormat="1" applyFont="1" applyBorder="1"/>
    <xf numFmtId="0" fontId="8" fillId="0" borderId="0" xfId="0" applyFont="1"/>
    <xf numFmtId="173" fontId="8" fillId="0" borderId="0" xfId="0" applyNumberFormat="1" applyFont="1" applyAlignment="1">
      <alignment horizontal="center"/>
    </xf>
    <xf numFmtId="167" fontId="8" fillId="0" borderId="12" xfId="0" applyNumberFormat="1" applyFont="1" applyBorder="1"/>
    <xf numFmtId="167" fontId="8" fillId="0" borderId="13" xfId="0" applyNumberFormat="1" applyFont="1" applyBorder="1"/>
    <xf numFmtId="167" fontId="8" fillId="2" borderId="8" xfId="0" applyNumberFormat="1" applyFont="1" applyFill="1" applyBorder="1"/>
    <xf numFmtId="167" fontId="8" fillId="2" borderId="9" xfId="0" applyNumberFormat="1" applyFont="1" applyFill="1" applyBorder="1"/>
    <xf numFmtId="167" fontId="1" fillId="2" borderId="2" xfId="0" applyNumberFormat="1" applyFont="1" applyFill="1" applyBorder="1"/>
    <xf numFmtId="169" fontId="8" fillId="0" borderId="0" xfId="0" applyNumberFormat="1" applyFont="1" applyAlignment="1">
      <alignment horizontal="right"/>
    </xf>
    <xf numFmtId="0" fontId="33" fillId="0" borderId="0" xfId="0" applyFont="1" applyAlignment="1">
      <alignment horizontal="right"/>
    </xf>
    <xf numFmtId="167" fontId="1" fillId="2" borderId="12" xfId="0" applyNumberFormat="1" applyFont="1" applyFill="1" applyBorder="1"/>
    <xf numFmtId="167" fontId="1" fillId="2" borderId="13" xfId="0" applyNumberFormat="1" applyFont="1" applyFill="1" applyBorder="1"/>
    <xf numFmtId="174" fontId="1" fillId="0" borderId="12" xfId="0" applyNumberFormat="1" applyFont="1" applyBorder="1"/>
    <xf numFmtId="169" fontId="1" fillId="0" borderId="13" xfId="0" applyNumberFormat="1" applyFont="1" applyBorder="1"/>
    <xf numFmtId="167" fontId="11" fillId="0" borderId="0" xfId="0" applyNumberFormat="1" applyFont="1"/>
    <xf numFmtId="0" fontId="11" fillId="0" borderId="0" xfId="0" applyFont="1" applyAlignment="1">
      <alignment horizontal="right"/>
    </xf>
    <xf numFmtId="168" fontId="8" fillId="0" borderId="0" xfId="0" applyNumberFormat="1" applyFont="1"/>
    <xf numFmtId="169" fontId="1" fillId="2" borderId="12" xfId="0" applyNumberFormat="1" applyFont="1" applyFill="1" applyBorder="1" applyAlignment="1">
      <alignment horizontal="right"/>
    </xf>
    <xf numFmtId="0" fontId="9" fillId="0" borderId="2" xfId="0" applyFont="1" applyBorder="1" applyAlignment="1">
      <alignment horizontal="center"/>
    </xf>
    <xf numFmtId="168" fontId="32" fillId="0" borderId="2" xfId="0" applyNumberFormat="1" applyFont="1" applyBorder="1"/>
    <xf numFmtId="0" fontId="11" fillId="0" borderId="0" xfId="0" applyFont="1" applyAlignment="1">
      <alignment horizontal="left"/>
    </xf>
    <xf numFmtId="168" fontId="9" fillId="0" borderId="2" xfId="0" applyNumberFormat="1" applyFont="1" applyBorder="1"/>
    <xf numFmtId="167" fontId="17" fillId="0" borderId="0" xfId="0" applyNumberFormat="1" applyFont="1"/>
    <xf numFmtId="167" fontId="9" fillId="2" borderId="0" xfId="0" applyNumberFormat="1" applyFont="1" applyFill="1"/>
    <xf numFmtId="166" fontId="11" fillId="0" borderId="0" xfId="0" applyNumberFormat="1" applyFont="1"/>
    <xf numFmtId="166" fontId="11" fillId="0" borderId="0" xfId="0" applyNumberFormat="1" applyFont="1" applyAlignment="1">
      <alignment horizontal="right"/>
    </xf>
    <xf numFmtId="169" fontId="8" fillId="0" borderId="0" xfId="1" applyNumberFormat="1" applyFont="1" applyAlignment="1">
      <alignment horizontal="right"/>
    </xf>
    <xf numFmtId="15" fontId="1" fillId="0" borderId="0" xfId="0" applyNumberFormat="1" applyFont="1"/>
    <xf numFmtId="0" fontId="9" fillId="3" borderId="0" xfId="0" applyFont="1" applyFill="1"/>
    <xf numFmtId="0" fontId="34" fillId="0" borderId="0" xfId="0" applyFont="1" applyAlignment="1">
      <alignment horizontal="right"/>
    </xf>
    <xf numFmtId="171" fontId="34" fillId="0" borderId="0" xfId="0" applyNumberFormat="1" applyFont="1" applyAlignment="1">
      <alignment horizontal="right"/>
    </xf>
    <xf numFmtId="0" fontId="1" fillId="0" borderId="15" xfId="0" applyFont="1" applyBorder="1"/>
    <xf numFmtId="0" fontId="1" fillId="0" borderId="15" xfId="0" applyFont="1" applyBorder="1" applyAlignment="1">
      <alignment horizontal="right"/>
    </xf>
    <xf numFmtId="167" fontId="1" fillId="0" borderId="15" xfId="0" applyNumberFormat="1" applyFont="1" applyBorder="1" applyAlignment="1">
      <alignment horizontal="right"/>
    </xf>
    <xf numFmtId="167" fontId="1" fillId="0" borderId="15" xfId="0" applyNumberFormat="1" applyFont="1" applyBorder="1"/>
    <xf numFmtId="166" fontId="1" fillId="0" borderId="15" xfId="0" applyNumberFormat="1" applyFont="1" applyBorder="1"/>
    <xf numFmtId="175" fontId="1" fillId="0" borderId="0" xfId="0" applyNumberFormat="1" applyFont="1"/>
    <xf numFmtId="0" fontId="1" fillId="0" borderId="0" xfId="0" quotePrefix="1" applyFont="1" applyAlignment="1">
      <alignment horizontal="center"/>
    </xf>
    <xf numFmtId="0" fontId="28" fillId="0" borderId="0" xfId="1" quotePrefix="1"/>
    <xf numFmtId="169" fontId="1" fillId="0" borderId="0" xfId="0" applyNumberFormat="1" applyFont="1"/>
    <xf numFmtId="165" fontId="8" fillId="0" borderId="15" xfId="0" applyNumberFormat="1" applyFont="1" applyBorder="1"/>
    <xf numFmtId="167" fontId="9" fillId="0" borderId="16" xfId="0" applyNumberFormat="1" applyFont="1" applyBorder="1"/>
    <xf numFmtId="167" fontId="1" fillId="0" borderId="17" xfId="0" applyNumberFormat="1" applyFont="1" applyBorder="1"/>
    <xf numFmtId="175" fontId="1" fillId="0" borderId="17" xfId="0" applyNumberFormat="1" applyFont="1" applyBorder="1"/>
    <xf numFmtId="175" fontId="1" fillId="0" borderId="18" xfId="0" applyNumberFormat="1" applyFont="1" applyBorder="1"/>
    <xf numFmtId="169" fontId="9" fillId="0" borderId="2" xfId="0" applyNumberFormat="1" applyFont="1" applyBorder="1" applyAlignment="1">
      <alignment horizontal="right"/>
    </xf>
    <xf numFmtId="0" fontId="35" fillId="0" borderId="0" xfId="0" applyFont="1"/>
    <xf numFmtId="0" fontId="36" fillId="0" borderId="0" xfId="1" applyFont="1"/>
    <xf numFmtId="0" fontId="37" fillId="0" borderId="0" xfId="0" applyFont="1"/>
    <xf numFmtId="0" fontId="36" fillId="0" borderId="0" xfId="1" quotePrefix="1" applyFont="1"/>
    <xf numFmtId="0" fontId="36" fillId="0" borderId="0" xfId="1" applyFont="1" applyAlignment="1">
      <alignment horizontal="left"/>
    </xf>
    <xf numFmtId="0" fontId="38" fillId="0" borderId="0" xfId="1" applyFont="1"/>
    <xf numFmtId="169" fontId="31" fillId="0" borderId="0" xfId="0" applyNumberFormat="1" applyFont="1" applyAlignment="1">
      <alignment horizontal="right"/>
    </xf>
    <xf numFmtId="0" fontId="1" fillId="6" borderId="0" xfId="0" applyFont="1" applyFill="1"/>
    <xf numFmtId="167" fontId="1" fillId="6" borderId="0" xfId="0" applyNumberFormat="1" applyFont="1" applyFill="1"/>
    <xf numFmtId="175" fontId="9" fillId="6" borderId="0" xfId="0" applyNumberFormat="1" applyFont="1" applyFill="1"/>
    <xf numFmtId="0" fontId="9" fillId="6" borderId="0" xfId="0" applyFont="1" applyFill="1"/>
    <xf numFmtId="175" fontId="1" fillId="0" borderId="15" xfId="0" applyNumberFormat="1" applyFont="1" applyBorder="1"/>
    <xf numFmtId="174" fontId="9" fillId="2" borderId="0" xfId="0" applyNumberFormat="1" applyFont="1" applyFill="1"/>
    <xf numFmtId="0" fontId="0" fillId="0" borderId="0" xfId="0" applyAlignment="1">
      <alignment horizontal="center"/>
    </xf>
    <xf numFmtId="4" fontId="0" fillId="0" borderId="0" xfId="0" applyNumberFormat="1" applyAlignment="1">
      <alignment horizontal="center"/>
    </xf>
    <xf numFmtId="14" fontId="39" fillId="0" borderId="0" xfId="0" applyNumberFormat="1" applyFont="1" applyAlignment="1">
      <alignment horizontal="center"/>
    </xf>
    <xf numFmtId="167" fontId="31" fillId="0" borderId="0" xfId="0" applyNumberFormat="1" applyFont="1" applyAlignment="1">
      <alignment horizontal="center"/>
    </xf>
    <xf numFmtId="169" fontId="9" fillId="0" borderId="0" xfId="0" applyNumberFormat="1" applyFont="1" applyAlignment="1">
      <alignment horizontal="right"/>
    </xf>
    <xf numFmtId="167" fontId="1" fillId="0" borderId="16" xfId="0" applyNumberFormat="1" applyFont="1" applyBorder="1"/>
    <xf numFmtId="174" fontId="1" fillId="0" borderId="18" xfId="0" applyNumberFormat="1" applyFont="1" applyBorder="1"/>
    <xf numFmtId="0" fontId="31" fillId="0" borderId="0" xfId="0" applyFont="1" applyAlignment="1">
      <alignment horizontal="center"/>
    </xf>
    <xf numFmtId="0" fontId="1" fillId="0" borderId="0" xfId="0" applyFont="1" applyAlignment="1">
      <alignment horizontal="left" indent="2"/>
    </xf>
    <xf numFmtId="174" fontId="1" fillId="0" borderId="0" xfId="0" applyNumberFormat="1" applyFont="1" applyAlignment="1">
      <alignment horizontal="center"/>
    </xf>
    <xf numFmtId="0" fontId="9" fillId="0" borderId="4" xfId="0" applyFont="1" applyBorder="1" applyAlignment="1">
      <alignment horizontal="left" indent="1"/>
    </xf>
    <xf numFmtId="167" fontId="31" fillId="0" borderId="0" xfId="0" applyNumberFormat="1" applyFont="1"/>
    <xf numFmtId="0" fontId="9" fillId="0" borderId="16" xfId="0" applyFont="1" applyBorder="1"/>
    <xf numFmtId="0" fontId="9" fillId="0" borderId="17" xfId="0" applyFont="1" applyBorder="1"/>
    <xf numFmtId="167" fontId="9" fillId="0" borderId="17" xfId="0" applyNumberFormat="1" applyFont="1" applyBorder="1"/>
    <xf numFmtId="167" fontId="9" fillId="0" borderId="18" xfId="0" applyNumberFormat="1" applyFont="1" applyBorder="1"/>
    <xf numFmtId="175" fontId="40" fillId="0" borderId="0" xfId="0" applyNumberFormat="1" applyFont="1"/>
    <xf numFmtId="0" fontId="31" fillId="0" borderId="0" xfId="0" applyFont="1"/>
    <xf numFmtId="0" fontId="1" fillId="2" borderId="0" xfId="0" applyFont="1" applyFill="1" applyAlignment="1">
      <alignment horizontal="center"/>
    </xf>
    <xf numFmtId="167" fontId="1" fillId="0" borderId="0" xfId="0" applyNumberFormat="1" applyFont="1" applyAlignment="1">
      <alignment horizontal="center"/>
    </xf>
    <xf numFmtId="0" fontId="11" fillId="0" borderId="0" xfId="0" applyFont="1" applyAlignment="1">
      <alignment horizontal="center"/>
    </xf>
    <xf numFmtId="167" fontId="11" fillId="0" borderId="0" xfId="0" applyNumberFormat="1" applyFont="1" applyAlignment="1">
      <alignment horizontal="center"/>
    </xf>
    <xf numFmtId="174" fontId="37" fillId="0" borderId="0" xfId="1" applyNumberFormat="1" applyFont="1" applyAlignment="1">
      <alignment horizontal="center"/>
    </xf>
    <xf numFmtId="0" fontId="42" fillId="0" borderId="0" xfId="0" applyFont="1"/>
    <xf numFmtId="176" fontId="43" fillId="2" borderId="19" xfId="0" applyNumberFormat="1" applyFont="1" applyFill="1" applyBorder="1" applyAlignment="1">
      <alignment horizontal="center"/>
    </xf>
    <xf numFmtId="175" fontId="43" fillId="2" borderId="19" xfId="0" applyNumberFormat="1" applyFont="1" applyFill="1" applyBorder="1" applyAlignment="1">
      <alignment horizontal="center"/>
    </xf>
    <xf numFmtId="0" fontId="44" fillId="0" borderId="0" xfId="0" applyFont="1"/>
    <xf numFmtId="0" fontId="45" fillId="0" borderId="0" xfId="0" applyFont="1"/>
    <xf numFmtId="0" fontId="42" fillId="0" borderId="22" xfId="0" applyFont="1" applyBorder="1" applyAlignment="1">
      <alignment horizontal="centerContinuous"/>
    </xf>
    <xf numFmtId="177" fontId="42" fillId="0" borderId="0" xfId="0" applyNumberFormat="1" applyFont="1"/>
    <xf numFmtId="175" fontId="1" fillId="0" borderId="0" xfId="0" applyNumberFormat="1" applyFont="1" applyAlignment="1">
      <alignment horizontal="center"/>
    </xf>
    <xf numFmtId="175" fontId="46" fillId="0" borderId="12" xfId="0" applyNumberFormat="1" applyFont="1" applyBorder="1"/>
    <xf numFmtId="175" fontId="47" fillId="0" borderId="12" xfId="0" applyNumberFormat="1" applyFont="1" applyBorder="1"/>
    <xf numFmtId="174" fontId="46" fillId="0" borderId="20" xfId="0" applyNumberFormat="1" applyFont="1" applyBorder="1"/>
    <xf numFmtId="174" fontId="47" fillId="0" borderId="20" xfId="0" applyNumberFormat="1" applyFont="1" applyBorder="1"/>
    <xf numFmtId="171" fontId="45" fillId="0" borderId="7" xfId="0" applyNumberFormat="1" applyFont="1" applyBorder="1"/>
    <xf numFmtId="171" fontId="45" fillId="0" borderId="8" xfId="0" applyNumberFormat="1" applyFont="1" applyBorder="1"/>
    <xf numFmtId="171" fontId="45" fillId="0" borderId="3" xfId="0" applyNumberFormat="1" applyFont="1" applyBorder="1"/>
    <xf numFmtId="171" fontId="45" fillId="2" borderId="0" xfId="0" applyNumberFormat="1" applyFont="1" applyFill="1"/>
    <xf numFmtId="171" fontId="45" fillId="0" borderId="0" xfId="0" applyNumberFormat="1" applyFont="1"/>
    <xf numFmtId="171" fontId="45" fillId="3" borderId="0" xfId="0" applyNumberFormat="1" applyFont="1" applyFill="1"/>
    <xf numFmtId="0" fontId="1" fillId="3" borderId="0" xfId="0" applyFont="1" applyFill="1" applyAlignment="1">
      <alignment horizontal="center"/>
    </xf>
    <xf numFmtId="167" fontId="1" fillId="3" borderId="0" xfId="0" applyNumberFormat="1" applyFont="1" applyFill="1" applyAlignment="1">
      <alignment horizontal="center"/>
    </xf>
    <xf numFmtId="171" fontId="1" fillId="0" borderId="0" xfId="0" applyNumberFormat="1" applyFont="1" applyAlignment="1">
      <alignment horizontal="center"/>
    </xf>
    <xf numFmtId="171" fontId="31" fillId="0" borderId="0" xfId="0" quotePrefix="1" applyNumberFormat="1" applyFont="1" applyAlignment="1">
      <alignment horizontal="center"/>
    </xf>
    <xf numFmtId="171" fontId="31" fillId="0" borderId="0" xfId="0" applyNumberFormat="1" applyFont="1" applyAlignment="1">
      <alignment horizontal="center"/>
    </xf>
    <xf numFmtId="178" fontId="1" fillId="0" borderId="0" xfId="0" applyNumberFormat="1" applyFont="1" applyAlignment="1">
      <alignment horizontal="center"/>
    </xf>
    <xf numFmtId="171" fontId="1" fillId="0" borderId="2" xfId="0" applyNumberFormat="1" applyFont="1" applyBorder="1" applyAlignment="1">
      <alignment horizontal="center"/>
    </xf>
    <xf numFmtId="171" fontId="9" fillId="0" borderId="0" xfId="0" applyNumberFormat="1" applyFont="1" applyAlignment="1">
      <alignment horizontal="center"/>
    </xf>
    <xf numFmtId="178" fontId="9" fillId="0" borderId="0" xfId="0" applyNumberFormat="1" applyFont="1" applyAlignment="1">
      <alignment horizontal="center"/>
    </xf>
    <xf numFmtId="171" fontId="1" fillId="2" borderId="0" xfId="0" applyNumberFormat="1" applyFont="1" applyFill="1" applyAlignment="1">
      <alignment horizontal="center"/>
    </xf>
    <xf numFmtId="0" fontId="9" fillId="0" borderId="0" xfId="0" applyFont="1" applyAlignment="1">
      <alignment horizontal="center"/>
    </xf>
    <xf numFmtId="14" fontId="1" fillId="0" borderId="0" xfId="0" applyNumberFormat="1" applyFont="1" applyAlignment="1">
      <alignment horizontal="left"/>
    </xf>
    <xf numFmtId="179" fontId="1" fillId="0" borderId="0" xfId="0" applyNumberFormat="1" applyFont="1" applyAlignment="1">
      <alignment horizontal="center"/>
    </xf>
    <xf numFmtId="179" fontId="9" fillId="0" borderId="0" xfId="0" applyNumberFormat="1" applyFont="1" applyAlignment="1">
      <alignment horizontal="center"/>
    </xf>
    <xf numFmtId="179" fontId="1" fillId="0" borderId="15" xfId="0" applyNumberFormat="1" applyFont="1" applyBorder="1" applyAlignment="1">
      <alignment horizontal="center"/>
    </xf>
    <xf numFmtId="15" fontId="31" fillId="0" borderId="0" xfId="0" applyNumberFormat="1" applyFont="1" applyAlignment="1">
      <alignment horizontal="center"/>
    </xf>
    <xf numFmtId="166" fontId="50" fillId="0" borderId="0" xfId="0" applyNumberFormat="1" applyFont="1" applyAlignment="1">
      <alignment horizontal="center"/>
    </xf>
    <xf numFmtId="179" fontId="49" fillId="0" borderId="0" xfId="0" applyNumberFormat="1" applyFont="1"/>
    <xf numFmtId="179" fontId="51" fillId="0" borderId="0" xfId="0" applyNumberFormat="1" applyFont="1"/>
    <xf numFmtId="179" fontId="52" fillId="0" borderId="0" xfId="0" applyNumberFormat="1" applyFont="1"/>
    <xf numFmtId="166" fontId="1" fillId="0" borderId="0" xfId="0" applyNumberFormat="1" applyFont="1" applyAlignment="1">
      <alignment horizontal="center"/>
    </xf>
    <xf numFmtId="167" fontId="8" fillId="0" borderId="0" xfId="0" applyNumberFormat="1" applyFont="1" applyAlignment="1">
      <alignment horizontal="center"/>
    </xf>
    <xf numFmtId="165" fontId="1" fillId="0" borderId="0" xfId="0" applyNumberFormat="1" applyFont="1" applyAlignment="1">
      <alignment horizontal="center"/>
    </xf>
    <xf numFmtId="167" fontId="7" fillId="4" borderId="0" xfId="0" applyNumberFormat="1" applyFont="1" applyFill="1"/>
    <xf numFmtId="167" fontId="3" fillId="4" borderId="0" xfId="0" applyNumberFormat="1" applyFont="1" applyFill="1"/>
    <xf numFmtId="179" fontId="8" fillId="0" borderId="0" xfId="0" applyNumberFormat="1" applyFont="1" applyAlignment="1">
      <alignment horizontal="center"/>
    </xf>
    <xf numFmtId="179" fontId="9" fillId="0" borderId="17" xfId="0" applyNumberFormat="1" applyFont="1" applyBorder="1" applyAlignment="1">
      <alignment horizontal="center"/>
    </xf>
    <xf numFmtId="179" fontId="9" fillId="0" borderId="18" xfId="0" applyNumberFormat="1" applyFont="1" applyBorder="1" applyAlignment="1">
      <alignment horizontal="center"/>
    </xf>
    <xf numFmtId="167" fontId="9" fillId="0" borderId="0" xfId="0" applyNumberFormat="1" applyFont="1" applyAlignment="1">
      <alignment horizontal="center"/>
    </xf>
    <xf numFmtId="0" fontId="1" fillId="0" borderId="0" xfId="0" applyFont="1" applyAlignment="1">
      <alignment horizontal="left" indent="6"/>
    </xf>
    <xf numFmtId="0" fontId="53" fillId="0" borderId="0" xfId="1" applyFont="1" applyFill="1" applyBorder="1" applyAlignment="1">
      <alignment horizontal="center"/>
    </xf>
    <xf numFmtId="0" fontId="53" fillId="0" borderId="0" xfId="1" applyFont="1" applyFill="1" applyBorder="1" applyAlignment="1">
      <alignment horizontal="left"/>
    </xf>
    <xf numFmtId="0" fontId="54" fillId="0" borderId="0" xfId="1" applyFont="1" applyBorder="1" applyAlignment="1">
      <alignment vertical="center"/>
    </xf>
    <xf numFmtId="166" fontId="31" fillId="0" borderId="0" xfId="0" applyNumberFormat="1" applyFont="1"/>
    <xf numFmtId="15" fontId="55" fillId="0" borderId="0" xfId="0" applyNumberFormat="1" applyFont="1" applyAlignment="1">
      <alignment horizontal="right"/>
    </xf>
    <xf numFmtId="172" fontId="56" fillId="0" borderId="0" xfId="0" applyNumberFormat="1" applyFont="1" applyAlignment="1">
      <alignment horizontal="right"/>
    </xf>
    <xf numFmtId="169" fontId="57" fillId="0" borderId="0" xfId="0" applyNumberFormat="1" applyFont="1" applyAlignment="1">
      <alignment horizontal="right"/>
    </xf>
    <xf numFmtId="171" fontId="55" fillId="0" borderId="0" xfId="0" applyNumberFormat="1" applyFont="1" applyAlignment="1">
      <alignment horizontal="right"/>
    </xf>
    <xf numFmtId="0" fontId="59" fillId="0" borderId="0" xfId="1" quotePrefix="1" applyFont="1"/>
    <xf numFmtId="9" fontId="1" fillId="0" borderId="0" xfId="0" applyNumberFormat="1" applyFont="1"/>
    <xf numFmtId="0" fontId="10" fillId="0" borderId="0" xfId="0" applyFont="1" applyAlignment="1">
      <alignment horizontal="left"/>
    </xf>
    <xf numFmtId="164" fontId="1" fillId="0" borderId="0" xfId="0" applyNumberFormat="1" applyFont="1" applyAlignment="1">
      <alignment horizontal="left"/>
    </xf>
    <xf numFmtId="167" fontId="13" fillId="0" borderId="0" xfId="0" applyNumberFormat="1" applyFont="1" applyAlignment="1">
      <alignment horizontal="left" wrapText="1"/>
    </xf>
    <xf numFmtId="0" fontId="1" fillId="0" borderId="0" xfId="0" applyFont="1" applyAlignment="1">
      <alignment horizontal="left" vertical="top" wrapText="1"/>
    </xf>
    <xf numFmtId="0" fontId="13" fillId="0" borderId="0" xfId="0" applyFont="1" applyAlignment="1">
      <alignment horizontal="left" vertical="top" wrapText="1"/>
    </xf>
    <xf numFmtId="0" fontId="13" fillId="0" borderId="0" xfId="0" applyFont="1" applyAlignment="1">
      <alignment horizontal="left" wrapText="1"/>
    </xf>
    <xf numFmtId="0" fontId="1" fillId="0" borderId="0" xfId="0" applyFont="1" applyAlignment="1">
      <alignment horizontal="center"/>
    </xf>
    <xf numFmtId="167" fontId="26" fillId="0" borderId="0" xfId="0" applyNumberFormat="1" applyFont="1" applyAlignment="1">
      <alignment horizontal="left"/>
    </xf>
    <xf numFmtId="167" fontId="1" fillId="0" borderId="21" xfId="0" applyNumberFormat="1" applyFont="1" applyBorder="1" applyAlignment="1">
      <alignment horizontal="center"/>
    </xf>
    <xf numFmtId="0" fontId="1" fillId="0" borderId="0" xfId="0" applyFont="1" applyAlignment="1">
      <alignment horizontal="right" textRotation="90"/>
    </xf>
    <xf numFmtId="0" fontId="1" fillId="0" borderId="0" xfId="0" applyFont="1" applyAlignment="1">
      <alignment horizontal="left" wrapText="1"/>
    </xf>
    <xf numFmtId="0" fontId="0" fillId="0" borderId="0" xfId="0" applyAlignment="1">
      <alignment horizontal="center"/>
    </xf>
    <xf numFmtId="167" fontId="1" fillId="0" borderId="0" xfId="0" applyNumberFormat="1" applyFont="1" applyAlignment="1">
      <alignment horizontal="left" wrapText="1"/>
    </xf>
    <xf numFmtId="167" fontId="1" fillId="0" borderId="0" xfId="0" applyNumberFormat="1" applyFont="1" applyAlignment="1">
      <alignment horizontal="left" vertical="top" wrapText="1"/>
    </xf>
    <xf numFmtId="167" fontId="1" fillId="0" borderId="0" xfId="0" applyNumberFormat="1"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000000"/>
      <color rgb="FF999999"/>
      <color rgb="FFE6E7E8"/>
      <color rgb="FFCCCC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a:solidFill>
                  <a:schemeClr val="tx1"/>
                </a:solidFill>
                <a:latin typeface="Gill Sans Nova" panose="020B0602020104020203" pitchFamily="34" charset="0"/>
              </a:rPr>
              <a:t>Revenue from F2017A to F2026E ( $ MM's )</a:t>
            </a:r>
          </a:p>
        </c:rich>
      </c:tx>
      <c:layout>
        <c:manualLayout>
          <c:xMode val="edge"/>
          <c:yMode val="edge"/>
          <c:x val="3.3549609434427224E-2"/>
          <c:y val="2.80144483966140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2445902928464038E-2"/>
          <c:y val="0.13481089328223086"/>
          <c:w val="0.97803836565697777"/>
          <c:h val="0.68058970046231193"/>
        </c:manualLayout>
      </c:layout>
      <c:barChart>
        <c:barDir val="col"/>
        <c:grouping val="clustered"/>
        <c:varyColors val="0"/>
        <c:ser>
          <c:idx val="0"/>
          <c:order val="0"/>
          <c:spPr>
            <a:solidFill>
              <a:srgbClr val="999999"/>
            </a:solidFill>
            <a:ln>
              <a:noFill/>
            </a:ln>
            <a:effectLst/>
          </c:spPr>
          <c:invertIfNegative val="0"/>
          <c:dLbls>
            <c:numFmt formatCode="#,#00" sourceLinked="0"/>
            <c:spPr>
              <a:noFill/>
              <a:ln>
                <a:noFill/>
              </a:ln>
              <a:effectLst/>
            </c:spPr>
            <c:txPr>
              <a:bodyPr rot="-5400000" spcFirstLastPara="1" vertOverflow="ellipsis" wrap="square" lIns="38100" tIns="19050" rIns="38100" bIns="19050" anchor="t" anchorCtr="1">
                <a:spAutoFit/>
              </a:bodyPr>
              <a:lstStyle/>
              <a:p>
                <a:pPr>
                  <a:defRPr sz="1000" b="0" i="0" u="none" strike="noStrike" kern="1200" baseline="0">
                    <a:solidFill>
                      <a:schemeClr val="tx1"/>
                    </a:solidFill>
                    <a:latin typeface="Gill Sans Nova" panose="020B06020201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Dashboard!$V$15:$AE$15</c:f>
              <c:numCache>
                <c:formatCode>\F0\A</c:formatCode>
                <c:ptCount val="10"/>
                <c:pt idx="0">
                  <c:v>2017</c:v>
                </c:pt>
                <c:pt idx="1">
                  <c:v>2018</c:v>
                </c:pt>
                <c:pt idx="2">
                  <c:v>2019</c:v>
                </c:pt>
                <c:pt idx="3">
                  <c:v>2020</c:v>
                </c:pt>
                <c:pt idx="4">
                  <c:v>2021</c:v>
                </c:pt>
                <c:pt idx="5" formatCode="\F0\E">
                  <c:v>2022</c:v>
                </c:pt>
                <c:pt idx="6" formatCode="\F0\E">
                  <c:v>2023</c:v>
                </c:pt>
                <c:pt idx="7" formatCode="\F0\E">
                  <c:v>2024</c:v>
                </c:pt>
                <c:pt idx="8" formatCode="\F0\E">
                  <c:v>2025</c:v>
                </c:pt>
                <c:pt idx="9" formatCode="\F0\E">
                  <c:v>2026</c:v>
                </c:pt>
              </c:numCache>
            </c:numRef>
          </c:cat>
          <c:val>
            <c:numRef>
              <c:f>Dashboard!$V$16:$AE$16</c:f>
              <c:numCache>
                <c:formatCode>#\ ##0.0;\(\ #\ ##0.0\ \);"-"</c:formatCode>
                <c:ptCount val="10"/>
                <c:pt idx="0">
                  <c:v>2223</c:v>
                </c:pt>
                <c:pt idx="1">
                  <c:v>4042</c:v>
                </c:pt>
                <c:pt idx="2">
                  <c:v>4069</c:v>
                </c:pt>
                <c:pt idx="3">
                  <c:v>6630</c:v>
                </c:pt>
                <c:pt idx="4">
                  <c:v>13606</c:v>
                </c:pt>
                <c:pt idx="5">
                  <c:v>22509.769999999997</c:v>
                </c:pt>
                <c:pt idx="6">
                  <c:v>22804.047200000001</c:v>
                </c:pt>
                <c:pt idx="7">
                  <c:v>35588.566011999996</c:v>
                </c:pt>
                <c:pt idx="8">
                  <c:v>48463.599409520015</c:v>
                </c:pt>
                <c:pt idx="9">
                  <c:v>65511.739769179214</c:v>
                </c:pt>
              </c:numCache>
            </c:numRef>
          </c:val>
          <c:extLst>
            <c:ext xmlns:c16="http://schemas.microsoft.com/office/drawing/2014/chart" uri="{C3380CC4-5D6E-409C-BE32-E72D297353CC}">
              <c16:uniqueId val="{00000000-22BE-4C9A-9578-CC98E98209E1}"/>
            </c:ext>
          </c:extLst>
        </c:ser>
        <c:dLbls>
          <c:showLegendKey val="0"/>
          <c:showVal val="0"/>
          <c:showCatName val="0"/>
          <c:showSerName val="0"/>
          <c:showPercent val="0"/>
          <c:showBubbleSize val="0"/>
        </c:dLbls>
        <c:gapWidth val="80"/>
        <c:overlap val="-27"/>
        <c:axId val="608310816"/>
        <c:axId val="608314424"/>
      </c:barChart>
      <c:catAx>
        <c:axId val="608310816"/>
        <c:scaling>
          <c:orientation val="minMax"/>
        </c:scaling>
        <c:delete val="0"/>
        <c:axPos val="b"/>
        <c:numFmt formatCode="\F0\A"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000" b="0" i="0" u="none" strike="noStrike" kern="1200" baseline="0">
                <a:solidFill>
                  <a:schemeClr val="tx1"/>
                </a:solidFill>
                <a:latin typeface="Gill Sans Nova" panose="020B0602020104020203" pitchFamily="34" charset="0"/>
                <a:ea typeface="+mn-ea"/>
                <a:cs typeface="+mn-cs"/>
              </a:defRPr>
            </a:pPr>
            <a:endParaRPr lang="en-US"/>
          </a:p>
        </c:txPr>
        <c:crossAx val="608314424"/>
        <c:crosses val="autoZero"/>
        <c:auto val="1"/>
        <c:lblAlgn val="ctr"/>
        <c:lblOffset val="100"/>
        <c:noMultiLvlLbl val="0"/>
      </c:catAx>
      <c:valAx>
        <c:axId val="608314424"/>
        <c:scaling>
          <c:orientation val="minMax"/>
        </c:scaling>
        <c:delete val="1"/>
        <c:axPos val="l"/>
        <c:numFmt formatCode="#\ ##0.0;\(\ #\ ##0.0\ \);&quot;-&quot;" sourceLinked="1"/>
        <c:majorTickMark val="out"/>
        <c:minorTickMark val="none"/>
        <c:tickLblPos val="nextTo"/>
        <c:crossAx val="60831081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a:solidFill>
                  <a:schemeClr val="tx1"/>
                </a:solidFill>
                <a:latin typeface="Gill Sans Nova" panose="020B0602020104020203" pitchFamily="34" charset="0"/>
              </a:rPr>
              <a:t>EBITDA vs Net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072538860103627E-2"/>
          <c:y val="3.1264930555555556E-2"/>
          <c:w val="0.9689119170984456"/>
          <c:h val="0.89341979166666663"/>
        </c:manualLayout>
      </c:layout>
      <c:barChart>
        <c:barDir val="col"/>
        <c:grouping val="clustered"/>
        <c:varyColors val="0"/>
        <c:ser>
          <c:idx val="0"/>
          <c:order val="0"/>
          <c:spPr>
            <a:solidFill>
              <a:srgbClr val="999999"/>
            </a:solidFill>
            <a:ln>
              <a:noFill/>
            </a:ln>
            <a:effectLst/>
          </c:spPr>
          <c:invertIfNegative val="0"/>
          <c:dLbls>
            <c:numFmt formatCode="#,#00" sourceLinked="0"/>
            <c:spPr>
              <a:noFill/>
              <a:ln>
                <a:noFill/>
              </a:ln>
              <a:effectLst/>
            </c:spPr>
            <c:txPr>
              <a:bodyPr rot="-5400000" spcFirstLastPara="1" vertOverflow="ellipsis" wrap="square" lIns="38100" tIns="19050" rIns="38100" bIns="19050" anchor="ctr" anchorCtr="1">
                <a:spAutoFit/>
              </a:bodyPr>
              <a:lstStyle/>
              <a:p>
                <a:pPr>
                  <a:defRPr sz="1000" b="0" i="0" u="none" strike="noStrike" kern="1200" baseline="0">
                    <a:solidFill>
                      <a:schemeClr val="tx1"/>
                    </a:solidFill>
                    <a:latin typeface="Gill Sans Nova" panose="020B0602020104020203"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Dashboard!$V$15:$AE$15</c:f>
              <c:numCache>
                <c:formatCode>\F0\A</c:formatCode>
                <c:ptCount val="10"/>
                <c:pt idx="0">
                  <c:v>2017</c:v>
                </c:pt>
                <c:pt idx="1">
                  <c:v>2018</c:v>
                </c:pt>
                <c:pt idx="2">
                  <c:v>2019</c:v>
                </c:pt>
                <c:pt idx="3">
                  <c:v>2020</c:v>
                </c:pt>
                <c:pt idx="4">
                  <c:v>2021</c:v>
                </c:pt>
                <c:pt idx="5" formatCode="\F0\E">
                  <c:v>2022</c:v>
                </c:pt>
                <c:pt idx="6" formatCode="\F0\E">
                  <c:v>2023</c:v>
                </c:pt>
                <c:pt idx="7" formatCode="\F0\E">
                  <c:v>2024</c:v>
                </c:pt>
                <c:pt idx="8" formatCode="\F0\E">
                  <c:v>2025</c:v>
                </c:pt>
                <c:pt idx="9" formatCode="\F0\E">
                  <c:v>2026</c:v>
                </c:pt>
              </c:numCache>
            </c:numRef>
          </c:cat>
          <c:val>
            <c:numRef>
              <c:f>Dashboard!$V$17:$AE$17</c:f>
              <c:numCache>
                <c:formatCode>#\ ##0.0;\(\ #\ ##0.0\ \);"-"</c:formatCode>
                <c:ptCount val="10"/>
                <c:pt idx="0">
                  <c:v>4</c:v>
                </c:pt>
                <c:pt idx="1">
                  <c:v>1513</c:v>
                </c:pt>
                <c:pt idx="2">
                  <c:v>2085</c:v>
                </c:pt>
                <c:pt idx="3">
                  <c:v>4316</c:v>
                </c:pt>
                <c:pt idx="4">
                  <c:v>9434</c:v>
                </c:pt>
                <c:pt idx="5">
                  <c:v>16292.243078082558</c:v>
                </c:pt>
                <c:pt idx="6">
                  <c:v>17819.080635936552</c:v>
                </c:pt>
                <c:pt idx="7">
                  <c:v>29754.05892129038</c:v>
                </c:pt>
                <c:pt idx="8">
                  <c:v>40683.592155198901</c:v>
                </c:pt>
                <c:pt idx="9">
                  <c:v>57681.856990457964</c:v>
                </c:pt>
              </c:numCache>
            </c:numRef>
          </c:val>
          <c:extLst>
            <c:ext xmlns:c16="http://schemas.microsoft.com/office/drawing/2014/chart" uri="{C3380CC4-5D6E-409C-BE32-E72D297353CC}">
              <c16:uniqueId val="{00000000-80D7-40A6-A47E-8287E347610C}"/>
            </c:ext>
          </c:extLst>
        </c:ser>
        <c:dLbls>
          <c:showLegendKey val="0"/>
          <c:showVal val="0"/>
          <c:showCatName val="0"/>
          <c:showSerName val="0"/>
          <c:showPercent val="0"/>
          <c:showBubbleSize val="0"/>
        </c:dLbls>
        <c:gapWidth val="80"/>
        <c:overlap val="-27"/>
        <c:axId val="582015264"/>
        <c:axId val="582014936"/>
      </c:barChart>
      <c:lineChart>
        <c:grouping val="standard"/>
        <c:varyColors val="0"/>
        <c:ser>
          <c:idx val="1"/>
          <c:order val="1"/>
          <c:spPr>
            <a:ln w="28575" cap="rnd">
              <a:solidFill>
                <a:srgbClr val="000000"/>
              </a:solidFill>
              <a:prstDash val="dash"/>
              <a:round/>
            </a:ln>
            <a:effectLst/>
          </c:spPr>
          <c:marker>
            <c:symbol val="none"/>
          </c:marker>
          <c:val>
            <c:numRef>
              <c:f>Dashboard!$V$18:$AE$18</c:f>
              <c:numCache>
                <c:formatCode>#\ ##0.0;\(\ #\ ##0.0\ \);"-"</c:formatCode>
                <c:ptCount val="10"/>
                <c:pt idx="0">
                  <c:v>-1962</c:v>
                </c:pt>
                <c:pt idx="1">
                  <c:v>-976</c:v>
                </c:pt>
                <c:pt idx="2">
                  <c:v>-870</c:v>
                </c:pt>
                <c:pt idx="3">
                  <c:v>690</c:v>
                </c:pt>
                <c:pt idx="4">
                  <c:v>5524</c:v>
                </c:pt>
                <c:pt idx="5">
                  <c:v>10907.160760326837</c:v>
                </c:pt>
                <c:pt idx="6">
                  <c:v>11390.725926804816</c:v>
                </c:pt>
                <c:pt idx="7">
                  <c:v>20620.316881343784</c:v>
                </c:pt>
                <c:pt idx="8">
                  <c:v>30080.416750967321</c:v>
                </c:pt>
                <c:pt idx="9">
                  <c:v>43237.156914431733</c:v>
                </c:pt>
              </c:numCache>
            </c:numRef>
          </c:val>
          <c:smooth val="0"/>
          <c:extLst>
            <c:ext xmlns:c16="http://schemas.microsoft.com/office/drawing/2014/chart" uri="{C3380CC4-5D6E-409C-BE32-E72D297353CC}">
              <c16:uniqueId val="{00000001-80D7-40A6-A47E-8287E347610C}"/>
            </c:ext>
          </c:extLst>
        </c:ser>
        <c:dLbls>
          <c:showLegendKey val="0"/>
          <c:showVal val="0"/>
          <c:showCatName val="0"/>
          <c:showSerName val="0"/>
          <c:showPercent val="0"/>
          <c:showBubbleSize val="0"/>
        </c:dLbls>
        <c:marker val="1"/>
        <c:smooth val="0"/>
        <c:axId val="582015264"/>
        <c:axId val="582014936"/>
      </c:lineChart>
      <c:catAx>
        <c:axId val="582015264"/>
        <c:scaling>
          <c:orientation val="minMax"/>
        </c:scaling>
        <c:delete val="0"/>
        <c:axPos val="b"/>
        <c:numFmt formatCode="\F0\A" sourceLinked="1"/>
        <c:majorTickMark val="none"/>
        <c:minorTickMark val="none"/>
        <c:tickLblPos val="nextTo"/>
        <c:spPr>
          <a:noFill/>
          <a:ln w="9525" cap="flat" cmpd="sng" algn="ctr">
            <a:noFill/>
            <a:round/>
          </a:ln>
          <a:effectLst/>
        </c:spPr>
        <c:txPr>
          <a:bodyPr rot="-5400000" spcFirstLastPara="1" vertOverflow="ellipsis" wrap="square" anchor="ctr" anchorCtr="1"/>
          <a:lstStyle/>
          <a:p>
            <a:pPr>
              <a:defRPr sz="1000" b="0" i="0" u="none" strike="noStrike" kern="1200" baseline="0">
                <a:solidFill>
                  <a:schemeClr val="tx1"/>
                </a:solidFill>
                <a:latin typeface="Gill Sans Nova" panose="020B0602020104020203" pitchFamily="34" charset="0"/>
                <a:ea typeface="+mn-ea"/>
                <a:cs typeface="+mn-cs"/>
              </a:defRPr>
            </a:pPr>
            <a:endParaRPr lang="en-US"/>
          </a:p>
        </c:txPr>
        <c:crossAx val="582014936"/>
        <c:crosses val="autoZero"/>
        <c:auto val="1"/>
        <c:lblAlgn val="ctr"/>
        <c:lblOffset val="100"/>
        <c:noMultiLvlLbl val="0"/>
      </c:catAx>
      <c:valAx>
        <c:axId val="582014936"/>
        <c:scaling>
          <c:orientation val="minMax"/>
        </c:scaling>
        <c:delete val="1"/>
        <c:axPos val="l"/>
        <c:numFmt formatCode="#\ ##0.0;\(\ #\ ##0.0\ \);&quot;-&quot;" sourceLinked="1"/>
        <c:majorTickMark val="none"/>
        <c:minorTickMark val="none"/>
        <c:tickLblPos val="nextTo"/>
        <c:crossAx val="58201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1"/>
                </a:solidFill>
                <a:latin typeface="Gill Sans Nova" panose="020B0602020104020203" pitchFamily="34" charset="0"/>
              </a:rPr>
              <a:t>Segment Revenue for F2022E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5819567497882988E-2"/>
          <c:y val="0.18945509259259261"/>
          <c:w val="0.44454443194600674"/>
          <c:h val="0.80466527777777774"/>
        </c:manualLayout>
      </c:layout>
      <c:pieChart>
        <c:varyColors val="1"/>
        <c:ser>
          <c:idx val="0"/>
          <c:order val="0"/>
          <c:dPt>
            <c:idx val="0"/>
            <c:bubble3D val="0"/>
            <c:spPr>
              <a:solidFill>
                <a:srgbClr val="999999"/>
              </a:solidFill>
              <a:ln w="19050">
                <a:noFill/>
              </a:ln>
              <a:effectLst/>
            </c:spPr>
            <c:extLst>
              <c:ext xmlns:c16="http://schemas.microsoft.com/office/drawing/2014/chart" uri="{C3380CC4-5D6E-409C-BE32-E72D297353CC}">
                <c16:uniqueId val="{00000001-03FC-45C9-9419-D05500A604DC}"/>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03FC-45C9-9419-D05500A604DC}"/>
              </c:ext>
            </c:extLst>
          </c:dPt>
          <c:dPt>
            <c:idx val="2"/>
            <c:bubble3D val="0"/>
            <c:spPr>
              <a:solidFill>
                <a:srgbClr val="000000"/>
              </a:solidFill>
              <a:ln w="19050">
                <a:noFill/>
              </a:ln>
              <a:effectLst/>
            </c:spPr>
            <c:extLst>
              <c:ext xmlns:c16="http://schemas.microsoft.com/office/drawing/2014/chart" uri="{C3380CC4-5D6E-409C-BE32-E72D297353CC}">
                <c16:uniqueId val="{00000005-03FC-45C9-9419-D05500A604DC}"/>
              </c:ext>
            </c:extLst>
          </c:dPt>
          <c:dPt>
            <c:idx val="3"/>
            <c:bubble3D val="0"/>
            <c:spPr>
              <a:solidFill>
                <a:srgbClr val="E6E7E8"/>
              </a:solidFill>
              <a:ln w="19050">
                <a:noFill/>
              </a:ln>
              <a:effectLst/>
            </c:spPr>
            <c:extLst>
              <c:ext xmlns:c16="http://schemas.microsoft.com/office/drawing/2014/chart" uri="{C3380CC4-5D6E-409C-BE32-E72D297353CC}">
                <c16:uniqueId val="{00000007-03FC-45C9-9419-D05500A604DC}"/>
              </c:ext>
            </c:extLst>
          </c:dPt>
          <c:dLbls>
            <c:dLbl>
              <c:idx val="1"/>
              <c:layout>
                <c:manualLayout>
                  <c:x val="4.8842171717171715E-3"/>
                  <c:y val="2.840317460317460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3FC-45C9-9419-D05500A604DC}"/>
                </c:ext>
              </c:extLst>
            </c:dLbl>
            <c:dLbl>
              <c:idx val="2"/>
              <c:layout>
                <c:manualLayout>
                  <c:x val="2.9636616161616149E-2"/>
                  <c:y val="9.31468253968256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3FC-45C9-9419-D05500A604D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Gill Sans Nova" panose="020B0602020104020203" pitchFamily="34" charset="0"/>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Dashboard!$T$22:$T$25</c:f>
              <c:strCache>
                <c:ptCount val="4"/>
                <c:pt idx="0">
                  <c:v>Automotive sales</c:v>
                </c:pt>
                <c:pt idx="1">
                  <c:v>Automotive leasing</c:v>
                </c:pt>
                <c:pt idx="2">
                  <c:v>Energy generation and storage</c:v>
                </c:pt>
                <c:pt idx="3">
                  <c:v>Services and other</c:v>
                </c:pt>
              </c:strCache>
            </c:strRef>
          </c:cat>
          <c:val>
            <c:numRef>
              <c:f>Dashboard!$AA$22:$AA$25</c:f>
              <c:numCache>
                <c:formatCode>#\ ##0.0;\(\ #\ ##0.0\ \);"-"</c:formatCode>
                <c:ptCount val="4"/>
                <c:pt idx="0">
                  <c:v>73391.75</c:v>
                </c:pt>
                <c:pt idx="1">
                  <c:v>1421.0000000000002</c:v>
                </c:pt>
                <c:pt idx="2">
                  <c:v>3625.7000000000003</c:v>
                </c:pt>
                <c:pt idx="3">
                  <c:v>5512.9</c:v>
                </c:pt>
              </c:numCache>
            </c:numRef>
          </c:val>
          <c:extLst>
            <c:ext xmlns:c16="http://schemas.microsoft.com/office/drawing/2014/chart" uri="{C3380CC4-5D6E-409C-BE32-E72D297353CC}">
              <c16:uniqueId val="{00000008-03FC-45C9-9419-D05500A604DC}"/>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layout>
        <c:manualLayout>
          <c:xMode val="edge"/>
          <c:yMode val="edge"/>
          <c:x val="0.48446186868686875"/>
          <c:y val="0.2933674603174603"/>
          <c:w val="0.47962904040404042"/>
          <c:h val="0.51389326334208218"/>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solidFill>
              <a:latin typeface="Gill Sans Nova" panose="020B0602020104020203"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942420409883997"/>
          <c:y val="1.5119047619047619E-2"/>
          <c:w val="0.74835842410890352"/>
          <c:h val="0.92944444444444441"/>
        </c:manualLayout>
      </c:layout>
      <c:barChart>
        <c:barDir val="bar"/>
        <c:grouping val="stacked"/>
        <c:varyColors val="0"/>
        <c:ser>
          <c:idx val="0"/>
          <c:order val="0"/>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Dashboard!$T$38:$T$42</c:f>
              <c:strCache>
                <c:ptCount val="5"/>
                <c:pt idx="0">
                  <c:v>DCF</c:v>
                </c:pt>
                <c:pt idx="1">
                  <c:v>Comp's</c:v>
                </c:pt>
                <c:pt idx="2">
                  <c:v>Equity Analyst</c:v>
                </c:pt>
                <c:pt idx="3">
                  <c:v>52 Week </c:v>
                </c:pt>
                <c:pt idx="4">
                  <c:v>Average</c:v>
                </c:pt>
              </c:strCache>
            </c:strRef>
          </c:cat>
          <c:val>
            <c:numRef>
              <c:f>Dashboard!$W$38:$W$42</c:f>
              <c:numCache>
                <c:formatCode>\$\ #\ ##0.0;\(\$\ #\ ##0.0\);"-"</c:formatCode>
                <c:ptCount val="5"/>
                <c:pt idx="0">
                  <c:v>217.32654268874091</c:v>
                </c:pt>
                <c:pt idx="1">
                  <c:v>124.30977106347737</c:v>
                </c:pt>
                <c:pt idx="2">
                  <c:v>270.45699999999999</c:v>
                </c:pt>
                <c:pt idx="3">
                  <c:v>206.86</c:v>
                </c:pt>
                <c:pt idx="4">
                  <c:v>204.73832843805457</c:v>
                </c:pt>
              </c:numCache>
            </c:numRef>
          </c:val>
          <c:extLst>
            <c:ext xmlns:c16="http://schemas.microsoft.com/office/drawing/2014/chart" uri="{C3380CC4-5D6E-409C-BE32-E72D297353CC}">
              <c16:uniqueId val="{00000000-3E86-475B-A5C2-123BE7C6A982}"/>
            </c:ext>
          </c:extLst>
        </c:ser>
        <c:ser>
          <c:idx val="1"/>
          <c:order val="1"/>
          <c:spPr>
            <a:solidFill>
              <a:srgbClr val="999999"/>
            </a:solidFill>
            <a:ln>
              <a:noFill/>
            </a:ln>
            <a:effectLst/>
          </c:spPr>
          <c:invertIfNegative val="0"/>
          <c:cat>
            <c:strRef>
              <c:f>Dashboard!$T$38:$T$42</c:f>
              <c:strCache>
                <c:ptCount val="5"/>
                <c:pt idx="0">
                  <c:v>DCF</c:v>
                </c:pt>
                <c:pt idx="1">
                  <c:v>Comp's</c:v>
                </c:pt>
                <c:pt idx="2">
                  <c:v>Equity Analyst</c:v>
                </c:pt>
                <c:pt idx="3">
                  <c:v>52 Week </c:v>
                </c:pt>
                <c:pt idx="4">
                  <c:v>Average</c:v>
                </c:pt>
              </c:strCache>
            </c:strRef>
          </c:cat>
          <c:val>
            <c:numRef>
              <c:f>Dashboard!$X$38:$X$42</c:f>
              <c:numCache>
                <c:formatCode>\$\ #\ ##0.0;\(\$\ #\ ##0.0\);"-"</c:formatCode>
                <c:ptCount val="5"/>
                <c:pt idx="0">
                  <c:v>273.10824849289946</c:v>
                </c:pt>
                <c:pt idx="1">
                  <c:v>230.79928016532418</c:v>
                </c:pt>
                <c:pt idx="2">
                  <c:v>6.2770000000000437</c:v>
                </c:pt>
                <c:pt idx="3">
                  <c:v>207.64</c:v>
                </c:pt>
                <c:pt idx="4">
                  <c:v>179.45613216455592</c:v>
                </c:pt>
              </c:numCache>
            </c:numRef>
          </c:val>
          <c:extLst>
            <c:ext xmlns:c16="http://schemas.microsoft.com/office/drawing/2014/chart" uri="{C3380CC4-5D6E-409C-BE32-E72D297353CC}">
              <c16:uniqueId val="{00000001-3E86-475B-A5C2-123BE7C6A982}"/>
            </c:ext>
          </c:extLst>
        </c:ser>
        <c:ser>
          <c:idx val="2"/>
          <c:order val="2"/>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Dashboard!$T$38:$T$42</c:f>
              <c:strCache>
                <c:ptCount val="5"/>
                <c:pt idx="0">
                  <c:v>DCF</c:v>
                </c:pt>
                <c:pt idx="1">
                  <c:v>Comp's</c:v>
                </c:pt>
                <c:pt idx="2">
                  <c:v>Equity Analyst</c:v>
                </c:pt>
                <c:pt idx="3">
                  <c:v>52 Week </c:v>
                </c:pt>
                <c:pt idx="4">
                  <c:v>Average</c:v>
                </c:pt>
              </c:strCache>
            </c:strRef>
          </c:cat>
          <c:val>
            <c:numRef>
              <c:f>Dashboard!$Y$38:$Y$42</c:f>
              <c:numCache>
                <c:formatCode>\$\ #\ ##0.0;\(\$\ #\ ##0.0\);"-"</c:formatCode>
                <c:ptCount val="5"/>
                <c:pt idx="0">
                  <c:v>328.88995429705818</c:v>
                </c:pt>
                <c:pt idx="1">
                  <c:v>355.10905122880155</c:v>
                </c:pt>
                <c:pt idx="2">
                  <c:v>276.73400000000004</c:v>
                </c:pt>
                <c:pt idx="3">
                  <c:v>414.5</c:v>
                </c:pt>
                <c:pt idx="4">
                  <c:v>343.80825138146497</c:v>
                </c:pt>
              </c:numCache>
            </c:numRef>
          </c:val>
          <c:extLst>
            <c:ext xmlns:c16="http://schemas.microsoft.com/office/drawing/2014/chart" uri="{C3380CC4-5D6E-409C-BE32-E72D297353CC}">
              <c16:uniqueId val="{00000002-3E86-475B-A5C2-123BE7C6A982}"/>
            </c:ext>
          </c:extLst>
        </c:ser>
        <c:dLbls>
          <c:showLegendKey val="0"/>
          <c:showVal val="0"/>
          <c:showCatName val="0"/>
          <c:showSerName val="0"/>
          <c:showPercent val="0"/>
          <c:showBubbleSize val="0"/>
        </c:dLbls>
        <c:gapWidth val="150"/>
        <c:overlap val="100"/>
        <c:axId val="715724832"/>
        <c:axId val="715728440"/>
      </c:barChart>
      <c:catAx>
        <c:axId val="71572483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rgbClr val="000000"/>
                </a:solidFill>
                <a:latin typeface="Gill Sans Nova" panose="020B0602020104020203" pitchFamily="34" charset="0"/>
                <a:ea typeface="+mn-ea"/>
                <a:cs typeface="+mn-cs"/>
              </a:defRPr>
            </a:pPr>
            <a:endParaRPr lang="en-US"/>
          </a:p>
        </c:txPr>
        <c:crossAx val="715728440"/>
        <c:crosses val="autoZero"/>
        <c:auto val="1"/>
        <c:lblAlgn val="ctr"/>
        <c:lblOffset val="100"/>
        <c:noMultiLvlLbl val="0"/>
      </c:catAx>
      <c:valAx>
        <c:axId val="715728440"/>
        <c:scaling>
          <c:orientation val="minMax"/>
        </c:scaling>
        <c:delete val="1"/>
        <c:axPos val="b"/>
        <c:numFmt formatCode="\$\ #\ ##0.0;\(\$\ #\ ##0.0\);&quot;-&quot;" sourceLinked="1"/>
        <c:majorTickMark val="none"/>
        <c:minorTickMark val="none"/>
        <c:tickLblPos val="nextTo"/>
        <c:crossAx val="715724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00026455026455"/>
          <c:y val="5.5436507936507937E-2"/>
          <c:w val="0.8946399470899471"/>
          <c:h val="0.82765158730158728"/>
        </c:manualLayout>
      </c:layout>
      <c:lineChart>
        <c:grouping val="standard"/>
        <c:varyColors val="0"/>
        <c:ser>
          <c:idx val="0"/>
          <c:order val="0"/>
          <c:spPr>
            <a:ln w="28575" cap="rnd">
              <a:solidFill>
                <a:srgbClr val="000000"/>
              </a:solidFill>
              <a:round/>
            </a:ln>
            <a:effectLst/>
          </c:spPr>
          <c:marker>
            <c:symbol val="none"/>
          </c:marker>
          <c:cat>
            <c:numRef>
              <c:f>'Ratio Analysis'!$XET$2404:$XET$2655</c:f>
              <c:numCache>
                <c:formatCode>m/d/yy</c:formatCode>
                <c:ptCount val="252"/>
                <c:pt idx="0">
                  <c:v>44442</c:v>
                </c:pt>
                <c:pt idx="1">
                  <c:v>44446</c:v>
                </c:pt>
                <c:pt idx="2">
                  <c:v>44447</c:v>
                </c:pt>
                <c:pt idx="3">
                  <c:v>44448</c:v>
                </c:pt>
                <c:pt idx="4">
                  <c:v>44449</c:v>
                </c:pt>
                <c:pt idx="5">
                  <c:v>44452</c:v>
                </c:pt>
                <c:pt idx="6">
                  <c:v>44453</c:v>
                </c:pt>
                <c:pt idx="7">
                  <c:v>44454</c:v>
                </c:pt>
                <c:pt idx="8">
                  <c:v>44455</c:v>
                </c:pt>
                <c:pt idx="9">
                  <c:v>44456</c:v>
                </c:pt>
                <c:pt idx="10">
                  <c:v>44459</c:v>
                </c:pt>
                <c:pt idx="11">
                  <c:v>44460</c:v>
                </c:pt>
                <c:pt idx="12">
                  <c:v>44461</c:v>
                </c:pt>
                <c:pt idx="13">
                  <c:v>44462</c:v>
                </c:pt>
                <c:pt idx="14">
                  <c:v>44463</c:v>
                </c:pt>
                <c:pt idx="15">
                  <c:v>44466</c:v>
                </c:pt>
                <c:pt idx="16">
                  <c:v>44467</c:v>
                </c:pt>
                <c:pt idx="17">
                  <c:v>44468</c:v>
                </c:pt>
                <c:pt idx="18">
                  <c:v>44469</c:v>
                </c:pt>
                <c:pt idx="19">
                  <c:v>44470</c:v>
                </c:pt>
                <c:pt idx="20">
                  <c:v>44473</c:v>
                </c:pt>
                <c:pt idx="21">
                  <c:v>44474</c:v>
                </c:pt>
                <c:pt idx="22">
                  <c:v>44475</c:v>
                </c:pt>
                <c:pt idx="23">
                  <c:v>44476</c:v>
                </c:pt>
                <c:pt idx="24">
                  <c:v>44477</c:v>
                </c:pt>
                <c:pt idx="25">
                  <c:v>44480</c:v>
                </c:pt>
                <c:pt idx="26">
                  <c:v>44481</c:v>
                </c:pt>
                <c:pt idx="27">
                  <c:v>44482</c:v>
                </c:pt>
                <c:pt idx="28">
                  <c:v>44483</c:v>
                </c:pt>
                <c:pt idx="29">
                  <c:v>44484</c:v>
                </c:pt>
                <c:pt idx="30">
                  <c:v>44487</c:v>
                </c:pt>
                <c:pt idx="31">
                  <c:v>44488</c:v>
                </c:pt>
                <c:pt idx="32">
                  <c:v>44489</c:v>
                </c:pt>
                <c:pt idx="33">
                  <c:v>44490</c:v>
                </c:pt>
                <c:pt idx="34">
                  <c:v>44491</c:v>
                </c:pt>
                <c:pt idx="35">
                  <c:v>44494</c:v>
                </c:pt>
                <c:pt idx="36">
                  <c:v>44495</c:v>
                </c:pt>
                <c:pt idx="37">
                  <c:v>44496</c:v>
                </c:pt>
                <c:pt idx="38">
                  <c:v>44497</c:v>
                </c:pt>
                <c:pt idx="39">
                  <c:v>44498</c:v>
                </c:pt>
                <c:pt idx="40">
                  <c:v>44501</c:v>
                </c:pt>
                <c:pt idx="41">
                  <c:v>44502</c:v>
                </c:pt>
                <c:pt idx="42">
                  <c:v>44503</c:v>
                </c:pt>
                <c:pt idx="43">
                  <c:v>44504</c:v>
                </c:pt>
                <c:pt idx="44">
                  <c:v>44505</c:v>
                </c:pt>
                <c:pt idx="45">
                  <c:v>44508</c:v>
                </c:pt>
                <c:pt idx="46">
                  <c:v>44509</c:v>
                </c:pt>
                <c:pt idx="47">
                  <c:v>44510</c:v>
                </c:pt>
                <c:pt idx="48">
                  <c:v>44511</c:v>
                </c:pt>
                <c:pt idx="49">
                  <c:v>44512</c:v>
                </c:pt>
                <c:pt idx="50">
                  <c:v>44515</c:v>
                </c:pt>
                <c:pt idx="51">
                  <c:v>44516</c:v>
                </c:pt>
                <c:pt idx="52">
                  <c:v>44517</c:v>
                </c:pt>
                <c:pt idx="53">
                  <c:v>44518</c:v>
                </c:pt>
                <c:pt idx="54">
                  <c:v>44519</c:v>
                </c:pt>
                <c:pt idx="55">
                  <c:v>44522</c:v>
                </c:pt>
                <c:pt idx="56">
                  <c:v>44523</c:v>
                </c:pt>
                <c:pt idx="57">
                  <c:v>44524</c:v>
                </c:pt>
                <c:pt idx="58">
                  <c:v>44526</c:v>
                </c:pt>
                <c:pt idx="59">
                  <c:v>44529</c:v>
                </c:pt>
                <c:pt idx="60">
                  <c:v>44530</c:v>
                </c:pt>
                <c:pt idx="61">
                  <c:v>44531</c:v>
                </c:pt>
                <c:pt idx="62">
                  <c:v>44532</c:v>
                </c:pt>
                <c:pt idx="63">
                  <c:v>44533</c:v>
                </c:pt>
                <c:pt idx="64">
                  <c:v>44536</c:v>
                </c:pt>
                <c:pt idx="65">
                  <c:v>44537</c:v>
                </c:pt>
                <c:pt idx="66">
                  <c:v>44538</c:v>
                </c:pt>
                <c:pt idx="67">
                  <c:v>44539</c:v>
                </c:pt>
                <c:pt idx="68">
                  <c:v>44540</c:v>
                </c:pt>
                <c:pt idx="69">
                  <c:v>44543</c:v>
                </c:pt>
                <c:pt idx="70">
                  <c:v>44544</c:v>
                </c:pt>
                <c:pt idx="71">
                  <c:v>44545</c:v>
                </c:pt>
                <c:pt idx="72">
                  <c:v>44546</c:v>
                </c:pt>
                <c:pt idx="73">
                  <c:v>44547</c:v>
                </c:pt>
                <c:pt idx="74">
                  <c:v>44550</c:v>
                </c:pt>
                <c:pt idx="75">
                  <c:v>44551</c:v>
                </c:pt>
                <c:pt idx="76">
                  <c:v>44552</c:v>
                </c:pt>
                <c:pt idx="77">
                  <c:v>44553</c:v>
                </c:pt>
                <c:pt idx="78">
                  <c:v>44557</c:v>
                </c:pt>
                <c:pt idx="79">
                  <c:v>44558</c:v>
                </c:pt>
                <c:pt idx="80">
                  <c:v>44559</c:v>
                </c:pt>
                <c:pt idx="81">
                  <c:v>44560</c:v>
                </c:pt>
                <c:pt idx="82">
                  <c:v>44561</c:v>
                </c:pt>
                <c:pt idx="83">
                  <c:v>44564</c:v>
                </c:pt>
                <c:pt idx="84">
                  <c:v>44565</c:v>
                </c:pt>
                <c:pt idx="85">
                  <c:v>44566</c:v>
                </c:pt>
                <c:pt idx="86">
                  <c:v>44567</c:v>
                </c:pt>
                <c:pt idx="87">
                  <c:v>44568</c:v>
                </c:pt>
                <c:pt idx="88">
                  <c:v>44571</c:v>
                </c:pt>
                <c:pt idx="89">
                  <c:v>44572</c:v>
                </c:pt>
                <c:pt idx="90">
                  <c:v>44573</c:v>
                </c:pt>
                <c:pt idx="91">
                  <c:v>44574</c:v>
                </c:pt>
                <c:pt idx="92">
                  <c:v>44575</c:v>
                </c:pt>
                <c:pt idx="93">
                  <c:v>44579</c:v>
                </c:pt>
                <c:pt idx="94">
                  <c:v>44580</c:v>
                </c:pt>
                <c:pt idx="95">
                  <c:v>44581</c:v>
                </c:pt>
                <c:pt idx="96">
                  <c:v>44582</c:v>
                </c:pt>
                <c:pt idx="97">
                  <c:v>44585</c:v>
                </c:pt>
                <c:pt idx="98">
                  <c:v>44586</c:v>
                </c:pt>
                <c:pt idx="99">
                  <c:v>44587</c:v>
                </c:pt>
                <c:pt idx="100">
                  <c:v>44588</c:v>
                </c:pt>
                <c:pt idx="101">
                  <c:v>44589</c:v>
                </c:pt>
                <c:pt idx="102">
                  <c:v>44592</c:v>
                </c:pt>
                <c:pt idx="103">
                  <c:v>44593</c:v>
                </c:pt>
                <c:pt idx="104">
                  <c:v>44594</c:v>
                </c:pt>
                <c:pt idx="105">
                  <c:v>44595</c:v>
                </c:pt>
                <c:pt idx="106">
                  <c:v>44596</c:v>
                </c:pt>
                <c:pt idx="107">
                  <c:v>44599</c:v>
                </c:pt>
                <c:pt idx="108">
                  <c:v>44600</c:v>
                </c:pt>
                <c:pt idx="109">
                  <c:v>44601</c:v>
                </c:pt>
                <c:pt idx="110">
                  <c:v>44602</c:v>
                </c:pt>
                <c:pt idx="111">
                  <c:v>44603</c:v>
                </c:pt>
                <c:pt idx="112">
                  <c:v>44606</c:v>
                </c:pt>
                <c:pt idx="113">
                  <c:v>44607</c:v>
                </c:pt>
                <c:pt idx="114">
                  <c:v>44608</c:v>
                </c:pt>
                <c:pt idx="115">
                  <c:v>44609</c:v>
                </c:pt>
                <c:pt idx="116">
                  <c:v>44610</c:v>
                </c:pt>
                <c:pt idx="117">
                  <c:v>44614</c:v>
                </c:pt>
                <c:pt idx="118">
                  <c:v>44615</c:v>
                </c:pt>
                <c:pt idx="119">
                  <c:v>44616</c:v>
                </c:pt>
                <c:pt idx="120">
                  <c:v>44617</c:v>
                </c:pt>
                <c:pt idx="121">
                  <c:v>44620</c:v>
                </c:pt>
                <c:pt idx="122">
                  <c:v>44621</c:v>
                </c:pt>
                <c:pt idx="123">
                  <c:v>44622</c:v>
                </c:pt>
                <c:pt idx="124">
                  <c:v>44623</c:v>
                </c:pt>
                <c:pt idx="125">
                  <c:v>44624</c:v>
                </c:pt>
                <c:pt idx="126">
                  <c:v>44627</c:v>
                </c:pt>
                <c:pt idx="127">
                  <c:v>44628</c:v>
                </c:pt>
                <c:pt idx="128">
                  <c:v>44629</c:v>
                </c:pt>
                <c:pt idx="129">
                  <c:v>44630</c:v>
                </c:pt>
                <c:pt idx="130">
                  <c:v>44631</c:v>
                </c:pt>
                <c:pt idx="131">
                  <c:v>44634</c:v>
                </c:pt>
                <c:pt idx="132">
                  <c:v>44635</c:v>
                </c:pt>
                <c:pt idx="133">
                  <c:v>44636</c:v>
                </c:pt>
                <c:pt idx="134">
                  <c:v>44637</c:v>
                </c:pt>
                <c:pt idx="135">
                  <c:v>44638</c:v>
                </c:pt>
                <c:pt idx="136">
                  <c:v>44641</c:v>
                </c:pt>
                <c:pt idx="137">
                  <c:v>44642</c:v>
                </c:pt>
                <c:pt idx="138">
                  <c:v>44643</c:v>
                </c:pt>
                <c:pt idx="139">
                  <c:v>44644</c:v>
                </c:pt>
                <c:pt idx="140">
                  <c:v>44645</c:v>
                </c:pt>
                <c:pt idx="141">
                  <c:v>44648</c:v>
                </c:pt>
                <c:pt idx="142">
                  <c:v>44649</c:v>
                </c:pt>
                <c:pt idx="143">
                  <c:v>44650</c:v>
                </c:pt>
                <c:pt idx="144">
                  <c:v>44651</c:v>
                </c:pt>
                <c:pt idx="145">
                  <c:v>44652</c:v>
                </c:pt>
                <c:pt idx="146">
                  <c:v>44655</c:v>
                </c:pt>
                <c:pt idx="147">
                  <c:v>44656</c:v>
                </c:pt>
                <c:pt idx="148">
                  <c:v>44657</c:v>
                </c:pt>
                <c:pt idx="149">
                  <c:v>44658</c:v>
                </c:pt>
                <c:pt idx="150">
                  <c:v>44659</c:v>
                </c:pt>
                <c:pt idx="151">
                  <c:v>44662</c:v>
                </c:pt>
                <c:pt idx="152">
                  <c:v>44663</c:v>
                </c:pt>
                <c:pt idx="153">
                  <c:v>44664</c:v>
                </c:pt>
                <c:pt idx="154">
                  <c:v>44665</c:v>
                </c:pt>
                <c:pt idx="155">
                  <c:v>44669</c:v>
                </c:pt>
                <c:pt idx="156">
                  <c:v>44670</c:v>
                </c:pt>
                <c:pt idx="157">
                  <c:v>44671</c:v>
                </c:pt>
                <c:pt idx="158">
                  <c:v>44672</c:v>
                </c:pt>
                <c:pt idx="159">
                  <c:v>44673</c:v>
                </c:pt>
                <c:pt idx="160">
                  <c:v>44676</c:v>
                </c:pt>
                <c:pt idx="161">
                  <c:v>44677</c:v>
                </c:pt>
                <c:pt idx="162">
                  <c:v>44678</c:v>
                </c:pt>
                <c:pt idx="163">
                  <c:v>44679</c:v>
                </c:pt>
                <c:pt idx="164">
                  <c:v>44680</c:v>
                </c:pt>
                <c:pt idx="165">
                  <c:v>44683</c:v>
                </c:pt>
                <c:pt idx="166">
                  <c:v>44684</c:v>
                </c:pt>
                <c:pt idx="167">
                  <c:v>44685</c:v>
                </c:pt>
                <c:pt idx="168">
                  <c:v>44686</c:v>
                </c:pt>
                <c:pt idx="169">
                  <c:v>44687</c:v>
                </c:pt>
                <c:pt idx="170">
                  <c:v>44690</c:v>
                </c:pt>
                <c:pt idx="171">
                  <c:v>44691</c:v>
                </c:pt>
                <c:pt idx="172">
                  <c:v>44692</c:v>
                </c:pt>
                <c:pt idx="173">
                  <c:v>44693</c:v>
                </c:pt>
                <c:pt idx="174">
                  <c:v>44694</c:v>
                </c:pt>
                <c:pt idx="175">
                  <c:v>44697</c:v>
                </c:pt>
                <c:pt idx="176">
                  <c:v>44698</c:v>
                </c:pt>
                <c:pt idx="177">
                  <c:v>44699</c:v>
                </c:pt>
                <c:pt idx="178">
                  <c:v>44700</c:v>
                </c:pt>
                <c:pt idx="179">
                  <c:v>44701</c:v>
                </c:pt>
                <c:pt idx="180">
                  <c:v>44704</c:v>
                </c:pt>
                <c:pt idx="181">
                  <c:v>44705</c:v>
                </c:pt>
                <c:pt idx="182">
                  <c:v>44706</c:v>
                </c:pt>
                <c:pt idx="183">
                  <c:v>44707</c:v>
                </c:pt>
                <c:pt idx="184">
                  <c:v>44708</c:v>
                </c:pt>
                <c:pt idx="185">
                  <c:v>44712</c:v>
                </c:pt>
                <c:pt idx="186">
                  <c:v>44713</c:v>
                </c:pt>
                <c:pt idx="187">
                  <c:v>44714</c:v>
                </c:pt>
                <c:pt idx="188">
                  <c:v>44715</c:v>
                </c:pt>
                <c:pt idx="189">
                  <c:v>44718</c:v>
                </c:pt>
                <c:pt idx="190">
                  <c:v>44719</c:v>
                </c:pt>
                <c:pt idx="191">
                  <c:v>44720</c:v>
                </c:pt>
                <c:pt idx="192">
                  <c:v>44721</c:v>
                </c:pt>
                <c:pt idx="193">
                  <c:v>44722</c:v>
                </c:pt>
                <c:pt idx="194">
                  <c:v>44725</c:v>
                </c:pt>
                <c:pt idx="195">
                  <c:v>44726</c:v>
                </c:pt>
                <c:pt idx="196">
                  <c:v>44727</c:v>
                </c:pt>
                <c:pt idx="197">
                  <c:v>44728</c:v>
                </c:pt>
                <c:pt idx="198">
                  <c:v>44729</c:v>
                </c:pt>
                <c:pt idx="199">
                  <c:v>44733</c:v>
                </c:pt>
                <c:pt idx="200">
                  <c:v>44734</c:v>
                </c:pt>
                <c:pt idx="201">
                  <c:v>44735</c:v>
                </c:pt>
                <c:pt idx="202">
                  <c:v>44736</c:v>
                </c:pt>
                <c:pt idx="203">
                  <c:v>44739</c:v>
                </c:pt>
                <c:pt idx="204">
                  <c:v>44740</c:v>
                </c:pt>
                <c:pt idx="205">
                  <c:v>44741</c:v>
                </c:pt>
                <c:pt idx="206">
                  <c:v>44742</c:v>
                </c:pt>
                <c:pt idx="207">
                  <c:v>44743</c:v>
                </c:pt>
                <c:pt idx="208">
                  <c:v>44747</c:v>
                </c:pt>
                <c:pt idx="209">
                  <c:v>44748</c:v>
                </c:pt>
                <c:pt idx="210">
                  <c:v>44749</c:v>
                </c:pt>
                <c:pt idx="211">
                  <c:v>44750</c:v>
                </c:pt>
                <c:pt idx="212">
                  <c:v>44753</c:v>
                </c:pt>
                <c:pt idx="213">
                  <c:v>44754</c:v>
                </c:pt>
                <c:pt idx="214">
                  <c:v>44755</c:v>
                </c:pt>
                <c:pt idx="215">
                  <c:v>44756</c:v>
                </c:pt>
                <c:pt idx="216">
                  <c:v>44757</c:v>
                </c:pt>
                <c:pt idx="217">
                  <c:v>44760</c:v>
                </c:pt>
                <c:pt idx="218">
                  <c:v>44761</c:v>
                </c:pt>
                <c:pt idx="219">
                  <c:v>44762</c:v>
                </c:pt>
                <c:pt idx="220">
                  <c:v>44763</c:v>
                </c:pt>
                <c:pt idx="221">
                  <c:v>44764</c:v>
                </c:pt>
                <c:pt idx="222">
                  <c:v>44767</c:v>
                </c:pt>
                <c:pt idx="223">
                  <c:v>44768</c:v>
                </c:pt>
                <c:pt idx="224">
                  <c:v>44769</c:v>
                </c:pt>
                <c:pt idx="225">
                  <c:v>44770</c:v>
                </c:pt>
                <c:pt idx="226">
                  <c:v>44771</c:v>
                </c:pt>
                <c:pt idx="227">
                  <c:v>44774</c:v>
                </c:pt>
                <c:pt idx="228">
                  <c:v>44775</c:v>
                </c:pt>
                <c:pt idx="229">
                  <c:v>44776</c:v>
                </c:pt>
                <c:pt idx="230">
                  <c:v>44777</c:v>
                </c:pt>
                <c:pt idx="231">
                  <c:v>44778</c:v>
                </c:pt>
                <c:pt idx="232">
                  <c:v>44781</c:v>
                </c:pt>
                <c:pt idx="233">
                  <c:v>44782</c:v>
                </c:pt>
                <c:pt idx="234">
                  <c:v>44783</c:v>
                </c:pt>
                <c:pt idx="235">
                  <c:v>44784</c:v>
                </c:pt>
                <c:pt idx="236">
                  <c:v>44785</c:v>
                </c:pt>
                <c:pt idx="237">
                  <c:v>44788</c:v>
                </c:pt>
                <c:pt idx="238">
                  <c:v>44789</c:v>
                </c:pt>
                <c:pt idx="239">
                  <c:v>44790</c:v>
                </c:pt>
                <c:pt idx="240">
                  <c:v>44791</c:v>
                </c:pt>
                <c:pt idx="241">
                  <c:v>44792</c:v>
                </c:pt>
                <c:pt idx="242">
                  <c:v>44795</c:v>
                </c:pt>
                <c:pt idx="243">
                  <c:v>44796</c:v>
                </c:pt>
                <c:pt idx="244">
                  <c:v>44797</c:v>
                </c:pt>
                <c:pt idx="245">
                  <c:v>44798</c:v>
                </c:pt>
                <c:pt idx="246">
                  <c:v>44799</c:v>
                </c:pt>
                <c:pt idx="247">
                  <c:v>44802</c:v>
                </c:pt>
                <c:pt idx="248">
                  <c:v>44803</c:v>
                </c:pt>
                <c:pt idx="249">
                  <c:v>44804</c:v>
                </c:pt>
                <c:pt idx="250">
                  <c:v>44805</c:v>
                </c:pt>
                <c:pt idx="251">
                  <c:v>44806</c:v>
                </c:pt>
              </c:numCache>
            </c:numRef>
          </c:cat>
          <c:val>
            <c:numRef>
              <c:f>'Ratio Analysis'!$XEU$2404:$XEU$2655</c:f>
              <c:numCache>
                <c:formatCode>#\ ##0.0;\(\ #\ ##0.0\ \);"-"</c:formatCode>
                <c:ptCount val="252"/>
                <c:pt idx="0">
                  <c:v>244.52333100000001</c:v>
                </c:pt>
                <c:pt idx="1">
                  <c:v>250.97332800000001</c:v>
                </c:pt>
                <c:pt idx="2">
                  <c:v>251.28999300000001</c:v>
                </c:pt>
                <c:pt idx="3">
                  <c:v>251.61999499999999</c:v>
                </c:pt>
                <c:pt idx="4">
                  <c:v>245.42334</c:v>
                </c:pt>
                <c:pt idx="5">
                  <c:v>247.66667200000001</c:v>
                </c:pt>
                <c:pt idx="6">
                  <c:v>248.16333</c:v>
                </c:pt>
                <c:pt idx="7">
                  <c:v>251.94332900000001</c:v>
                </c:pt>
                <c:pt idx="8">
                  <c:v>252.33000200000001</c:v>
                </c:pt>
                <c:pt idx="9">
                  <c:v>253.16333</c:v>
                </c:pt>
                <c:pt idx="10">
                  <c:v>243.38999899999999</c:v>
                </c:pt>
                <c:pt idx="11">
                  <c:v>246.46000699999999</c:v>
                </c:pt>
                <c:pt idx="12">
                  <c:v>250.64666700000001</c:v>
                </c:pt>
                <c:pt idx="13">
                  <c:v>251.21333300000001</c:v>
                </c:pt>
                <c:pt idx="14">
                  <c:v>258.13000499999998</c:v>
                </c:pt>
                <c:pt idx="15">
                  <c:v>263.78668199999998</c:v>
                </c:pt>
                <c:pt idx="16">
                  <c:v>259.18667599999998</c:v>
                </c:pt>
                <c:pt idx="17">
                  <c:v>260.43667599999998</c:v>
                </c:pt>
                <c:pt idx="18">
                  <c:v>258.49334700000003</c:v>
                </c:pt>
                <c:pt idx="19">
                  <c:v>258.406677</c:v>
                </c:pt>
                <c:pt idx="20">
                  <c:v>260.51001000000002</c:v>
                </c:pt>
                <c:pt idx="21">
                  <c:v>260.19665500000002</c:v>
                </c:pt>
                <c:pt idx="22">
                  <c:v>260.91665599999999</c:v>
                </c:pt>
                <c:pt idx="23">
                  <c:v>264.53668199999998</c:v>
                </c:pt>
                <c:pt idx="24">
                  <c:v>261.82998700000002</c:v>
                </c:pt>
                <c:pt idx="25">
                  <c:v>263.98001099999999</c:v>
                </c:pt>
                <c:pt idx="26">
                  <c:v>268.57333399999999</c:v>
                </c:pt>
                <c:pt idx="27">
                  <c:v>270.35998499999999</c:v>
                </c:pt>
                <c:pt idx="28">
                  <c:v>272.773346</c:v>
                </c:pt>
                <c:pt idx="29">
                  <c:v>281.01001000000002</c:v>
                </c:pt>
                <c:pt idx="30">
                  <c:v>290.03668199999998</c:v>
                </c:pt>
                <c:pt idx="31">
                  <c:v>288.08999599999999</c:v>
                </c:pt>
                <c:pt idx="32">
                  <c:v>288.60000600000001</c:v>
                </c:pt>
                <c:pt idx="33">
                  <c:v>298</c:v>
                </c:pt>
                <c:pt idx="34">
                  <c:v>303.226654</c:v>
                </c:pt>
                <c:pt idx="35">
                  <c:v>341.61999500000002</c:v>
                </c:pt>
                <c:pt idx="36">
                  <c:v>339.476654</c:v>
                </c:pt>
                <c:pt idx="37">
                  <c:v>345.95333900000003</c:v>
                </c:pt>
                <c:pt idx="38">
                  <c:v>359.01333599999998</c:v>
                </c:pt>
                <c:pt idx="39">
                  <c:v>371.33334400000001</c:v>
                </c:pt>
                <c:pt idx="40">
                  <c:v>402.86334199999999</c:v>
                </c:pt>
                <c:pt idx="41">
                  <c:v>390.66665599999999</c:v>
                </c:pt>
                <c:pt idx="42">
                  <c:v>404.61999500000002</c:v>
                </c:pt>
                <c:pt idx="43">
                  <c:v>409.97000100000002</c:v>
                </c:pt>
                <c:pt idx="44">
                  <c:v>407.36334199999999</c:v>
                </c:pt>
                <c:pt idx="45">
                  <c:v>387.64666699999998</c:v>
                </c:pt>
                <c:pt idx="46">
                  <c:v>341.16665599999999</c:v>
                </c:pt>
                <c:pt idx="47">
                  <c:v>355.98333700000001</c:v>
                </c:pt>
                <c:pt idx="48">
                  <c:v>354.50332600000002</c:v>
                </c:pt>
                <c:pt idx="49">
                  <c:v>344.47332799999998</c:v>
                </c:pt>
                <c:pt idx="50">
                  <c:v>337.79666099999997</c:v>
                </c:pt>
                <c:pt idx="51">
                  <c:v>351.57666</c:v>
                </c:pt>
                <c:pt idx="52">
                  <c:v>363.00332600000002</c:v>
                </c:pt>
                <c:pt idx="53">
                  <c:v>365.459991</c:v>
                </c:pt>
                <c:pt idx="54">
                  <c:v>379.01998900000001</c:v>
                </c:pt>
                <c:pt idx="55">
                  <c:v>385.62332199999997</c:v>
                </c:pt>
                <c:pt idx="56">
                  <c:v>369.67666600000001</c:v>
                </c:pt>
                <c:pt idx="57">
                  <c:v>372</c:v>
                </c:pt>
                <c:pt idx="58">
                  <c:v>360.64001500000001</c:v>
                </c:pt>
                <c:pt idx="59">
                  <c:v>378.99667399999998</c:v>
                </c:pt>
                <c:pt idx="60">
                  <c:v>381.58667000000003</c:v>
                </c:pt>
                <c:pt idx="61">
                  <c:v>365</c:v>
                </c:pt>
                <c:pt idx="62">
                  <c:v>361.53332499999999</c:v>
                </c:pt>
                <c:pt idx="63">
                  <c:v>338.32333399999999</c:v>
                </c:pt>
                <c:pt idx="64">
                  <c:v>336.33667000000003</c:v>
                </c:pt>
                <c:pt idx="65">
                  <c:v>350.58334400000001</c:v>
                </c:pt>
                <c:pt idx="66">
                  <c:v>356.32000699999998</c:v>
                </c:pt>
                <c:pt idx="67">
                  <c:v>334.60000600000001</c:v>
                </c:pt>
                <c:pt idx="68">
                  <c:v>339.01001000000002</c:v>
                </c:pt>
                <c:pt idx="69">
                  <c:v>322.13665800000001</c:v>
                </c:pt>
                <c:pt idx="70">
                  <c:v>319.50332600000002</c:v>
                </c:pt>
                <c:pt idx="71">
                  <c:v>325.32998700000002</c:v>
                </c:pt>
                <c:pt idx="72">
                  <c:v>308.97332799999998</c:v>
                </c:pt>
                <c:pt idx="73">
                  <c:v>310.85665899999998</c:v>
                </c:pt>
                <c:pt idx="74">
                  <c:v>299.98001099999999</c:v>
                </c:pt>
                <c:pt idx="75">
                  <c:v>312.843323</c:v>
                </c:pt>
                <c:pt idx="76">
                  <c:v>336.290009</c:v>
                </c:pt>
                <c:pt idx="77">
                  <c:v>355.66665599999999</c:v>
                </c:pt>
                <c:pt idx="78">
                  <c:v>364.64666699999998</c:v>
                </c:pt>
                <c:pt idx="79">
                  <c:v>362.82333399999999</c:v>
                </c:pt>
                <c:pt idx="80">
                  <c:v>362.06332400000002</c:v>
                </c:pt>
                <c:pt idx="81">
                  <c:v>356.77999899999998</c:v>
                </c:pt>
                <c:pt idx="82">
                  <c:v>352.26001000000002</c:v>
                </c:pt>
                <c:pt idx="83">
                  <c:v>399.92666600000001</c:v>
                </c:pt>
                <c:pt idx="84">
                  <c:v>383.19665500000002</c:v>
                </c:pt>
                <c:pt idx="85">
                  <c:v>362.70666499999999</c:v>
                </c:pt>
                <c:pt idx="86">
                  <c:v>354.89999399999999</c:v>
                </c:pt>
                <c:pt idx="87">
                  <c:v>342.32000699999998</c:v>
                </c:pt>
                <c:pt idx="88">
                  <c:v>352.70666499999999</c:v>
                </c:pt>
                <c:pt idx="89">
                  <c:v>354.79998799999998</c:v>
                </c:pt>
                <c:pt idx="90">
                  <c:v>368.73998999999998</c:v>
                </c:pt>
                <c:pt idx="91">
                  <c:v>343.85333300000002</c:v>
                </c:pt>
                <c:pt idx="92">
                  <c:v>349.86999500000002</c:v>
                </c:pt>
                <c:pt idx="93">
                  <c:v>343.50332600000002</c:v>
                </c:pt>
                <c:pt idx="94">
                  <c:v>331.883331</c:v>
                </c:pt>
                <c:pt idx="95">
                  <c:v>332.08999599999999</c:v>
                </c:pt>
                <c:pt idx="96">
                  <c:v>314.633331</c:v>
                </c:pt>
                <c:pt idx="97">
                  <c:v>310</c:v>
                </c:pt>
                <c:pt idx="98">
                  <c:v>306.133331</c:v>
                </c:pt>
                <c:pt idx="99">
                  <c:v>312.47000100000002</c:v>
                </c:pt>
                <c:pt idx="100">
                  <c:v>276.366669</c:v>
                </c:pt>
                <c:pt idx="101">
                  <c:v>282.116669</c:v>
                </c:pt>
                <c:pt idx="102">
                  <c:v>312.23998999999998</c:v>
                </c:pt>
                <c:pt idx="103">
                  <c:v>310.41665599999999</c:v>
                </c:pt>
                <c:pt idx="104">
                  <c:v>301.88665800000001</c:v>
                </c:pt>
                <c:pt idx="105">
                  <c:v>297.04666099999997</c:v>
                </c:pt>
                <c:pt idx="106">
                  <c:v>307.773346</c:v>
                </c:pt>
                <c:pt idx="107">
                  <c:v>302.44665500000002</c:v>
                </c:pt>
                <c:pt idx="108">
                  <c:v>307.33334400000001</c:v>
                </c:pt>
                <c:pt idx="109">
                  <c:v>310.66665599999999</c:v>
                </c:pt>
                <c:pt idx="110">
                  <c:v>301.51666299999999</c:v>
                </c:pt>
                <c:pt idx="111">
                  <c:v>286.66665599999999</c:v>
                </c:pt>
                <c:pt idx="112">
                  <c:v>291.92001299999998</c:v>
                </c:pt>
                <c:pt idx="113">
                  <c:v>307.476654</c:v>
                </c:pt>
                <c:pt idx="114">
                  <c:v>307.79666099999997</c:v>
                </c:pt>
                <c:pt idx="115">
                  <c:v>292.116669</c:v>
                </c:pt>
                <c:pt idx="116">
                  <c:v>285.66000400000001</c:v>
                </c:pt>
                <c:pt idx="117">
                  <c:v>273.843323</c:v>
                </c:pt>
                <c:pt idx="118">
                  <c:v>254.679993</c:v>
                </c:pt>
                <c:pt idx="119">
                  <c:v>266.92334</c:v>
                </c:pt>
                <c:pt idx="120">
                  <c:v>269.95666499999999</c:v>
                </c:pt>
                <c:pt idx="121">
                  <c:v>290.14334100000002</c:v>
                </c:pt>
                <c:pt idx="122">
                  <c:v>288.12332199999997</c:v>
                </c:pt>
                <c:pt idx="123">
                  <c:v>293.29666099999997</c:v>
                </c:pt>
                <c:pt idx="124">
                  <c:v>279.76333599999998</c:v>
                </c:pt>
                <c:pt idx="125">
                  <c:v>279.42999300000002</c:v>
                </c:pt>
                <c:pt idx="126">
                  <c:v>268.19332900000001</c:v>
                </c:pt>
                <c:pt idx="127">
                  <c:v>274.79998799999998</c:v>
                </c:pt>
                <c:pt idx="128">
                  <c:v>286.32333399999999</c:v>
                </c:pt>
                <c:pt idx="129">
                  <c:v>279.43331899999998</c:v>
                </c:pt>
                <c:pt idx="130">
                  <c:v>265.116669</c:v>
                </c:pt>
                <c:pt idx="131">
                  <c:v>255.45666499999999</c:v>
                </c:pt>
                <c:pt idx="132">
                  <c:v>267.29666099999997</c:v>
                </c:pt>
                <c:pt idx="133">
                  <c:v>280.07666</c:v>
                </c:pt>
                <c:pt idx="134">
                  <c:v>290.53332499999999</c:v>
                </c:pt>
                <c:pt idx="135">
                  <c:v>301.79666099999997</c:v>
                </c:pt>
                <c:pt idx="136">
                  <c:v>307.05334499999998</c:v>
                </c:pt>
                <c:pt idx="137">
                  <c:v>331.32666</c:v>
                </c:pt>
                <c:pt idx="138">
                  <c:v>333.03668199999998</c:v>
                </c:pt>
                <c:pt idx="139">
                  <c:v>337.97332799999998</c:v>
                </c:pt>
                <c:pt idx="140">
                  <c:v>336.88000499999998</c:v>
                </c:pt>
                <c:pt idx="141">
                  <c:v>363.94665500000002</c:v>
                </c:pt>
                <c:pt idx="142">
                  <c:v>366.523346</c:v>
                </c:pt>
                <c:pt idx="143">
                  <c:v>364.66332999999997</c:v>
                </c:pt>
                <c:pt idx="144">
                  <c:v>359.20001200000002</c:v>
                </c:pt>
                <c:pt idx="145">
                  <c:v>361.52999899999998</c:v>
                </c:pt>
                <c:pt idx="146">
                  <c:v>381.81668100000002</c:v>
                </c:pt>
                <c:pt idx="147">
                  <c:v>363.75332600000002</c:v>
                </c:pt>
                <c:pt idx="148">
                  <c:v>348.58667000000003</c:v>
                </c:pt>
                <c:pt idx="149">
                  <c:v>352.42001299999998</c:v>
                </c:pt>
                <c:pt idx="150">
                  <c:v>341.82998700000002</c:v>
                </c:pt>
                <c:pt idx="151">
                  <c:v>325.30999800000001</c:v>
                </c:pt>
                <c:pt idx="152">
                  <c:v>328.98333700000001</c:v>
                </c:pt>
                <c:pt idx="153">
                  <c:v>340.790009</c:v>
                </c:pt>
                <c:pt idx="154">
                  <c:v>328.33334400000001</c:v>
                </c:pt>
                <c:pt idx="155">
                  <c:v>334.76333599999998</c:v>
                </c:pt>
                <c:pt idx="156">
                  <c:v>342.71667500000001</c:v>
                </c:pt>
                <c:pt idx="157">
                  <c:v>325.73333700000001</c:v>
                </c:pt>
                <c:pt idx="158">
                  <c:v>336.26001000000002</c:v>
                </c:pt>
                <c:pt idx="159">
                  <c:v>335.01666299999999</c:v>
                </c:pt>
                <c:pt idx="160">
                  <c:v>332.67334</c:v>
                </c:pt>
                <c:pt idx="161">
                  <c:v>292.14001500000001</c:v>
                </c:pt>
                <c:pt idx="162">
                  <c:v>293.83667000000003</c:v>
                </c:pt>
                <c:pt idx="163">
                  <c:v>292.50332600000002</c:v>
                </c:pt>
                <c:pt idx="164">
                  <c:v>290.25332600000002</c:v>
                </c:pt>
                <c:pt idx="165">
                  <c:v>300.98001099999999</c:v>
                </c:pt>
                <c:pt idx="166">
                  <c:v>303.08334400000001</c:v>
                </c:pt>
                <c:pt idx="167">
                  <c:v>317.540009</c:v>
                </c:pt>
                <c:pt idx="168">
                  <c:v>291.093323</c:v>
                </c:pt>
                <c:pt idx="169">
                  <c:v>288.54998799999998</c:v>
                </c:pt>
                <c:pt idx="170">
                  <c:v>262.36999500000002</c:v>
                </c:pt>
                <c:pt idx="171">
                  <c:v>266.67999300000002</c:v>
                </c:pt>
                <c:pt idx="172">
                  <c:v>244.66667200000001</c:v>
                </c:pt>
                <c:pt idx="173">
                  <c:v>242.66667200000001</c:v>
                </c:pt>
                <c:pt idx="174">
                  <c:v>256.52999899999998</c:v>
                </c:pt>
                <c:pt idx="175">
                  <c:v>241.45666499999999</c:v>
                </c:pt>
                <c:pt idx="176">
                  <c:v>253.86999499999999</c:v>
                </c:pt>
                <c:pt idx="177">
                  <c:v>236.60333299999999</c:v>
                </c:pt>
                <c:pt idx="178">
                  <c:v>236.47332800000001</c:v>
                </c:pt>
                <c:pt idx="179">
                  <c:v>221.300003</c:v>
                </c:pt>
                <c:pt idx="180">
                  <c:v>224.96665999999999</c:v>
                </c:pt>
                <c:pt idx="181">
                  <c:v>209.386673</c:v>
                </c:pt>
                <c:pt idx="182">
                  <c:v>219.60000600000001</c:v>
                </c:pt>
                <c:pt idx="183">
                  <c:v>235.91000399999999</c:v>
                </c:pt>
                <c:pt idx="184">
                  <c:v>253.21000699999999</c:v>
                </c:pt>
                <c:pt idx="185">
                  <c:v>252.75332599999999</c:v>
                </c:pt>
                <c:pt idx="186">
                  <c:v>246.78999300000001</c:v>
                </c:pt>
                <c:pt idx="187">
                  <c:v>258.33334400000001</c:v>
                </c:pt>
                <c:pt idx="188">
                  <c:v>234.51666299999999</c:v>
                </c:pt>
                <c:pt idx="189">
                  <c:v>238.279999</c:v>
                </c:pt>
                <c:pt idx="190">
                  <c:v>238.886673</c:v>
                </c:pt>
                <c:pt idx="191">
                  <c:v>241.866669</c:v>
                </c:pt>
                <c:pt idx="192">
                  <c:v>239.70666499999999</c:v>
                </c:pt>
                <c:pt idx="193">
                  <c:v>232.229996</c:v>
                </c:pt>
                <c:pt idx="194">
                  <c:v>215.73666399999999</c:v>
                </c:pt>
                <c:pt idx="195">
                  <c:v>220.88999899999999</c:v>
                </c:pt>
                <c:pt idx="196">
                  <c:v>233</c:v>
                </c:pt>
                <c:pt idx="197">
                  <c:v>213.10000600000001</c:v>
                </c:pt>
                <c:pt idx="198">
                  <c:v>216.759995</c:v>
                </c:pt>
                <c:pt idx="199">
                  <c:v>237.03666699999999</c:v>
                </c:pt>
                <c:pt idx="200">
                  <c:v>236.08667</c:v>
                </c:pt>
                <c:pt idx="201">
                  <c:v>235.070007</c:v>
                </c:pt>
                <c:pt idx="202">
                  <c:v>245.70666499999999</c:v>
                </c:pt>
                <c:pt idx="203">
                  <c:v>244.91999799999999</c:v>
                </c:pt>
                <c:pt idx="204">
                  <c:v>232.66333</c:v>
                </c:pt>
                <c:pt idx="205">
                  <c:v>228.490005</c:v>
                </c:pt>
                <c:pt idx="206">
                  <c:v>224.47332800000001</c:v>
                </c:pt>
                <c:pt idx="207">
                  <c:v>227.26333600000001</c:v>
                </c:pt>
                <c:pt idx="208">
                  <c:v>233.066666</c:v>
                </c:pt>
                <c:pt idx="209">
                  <c:v>231.73333700000001</c:v>
                </c:pt>
                <c:pt idx="210">
                  <c:v>244.54333500000001</c:v>
                </c:pt>
                <c:pt idx="211">
                  <c:v>250.76333600000001</c:v>
                </c:pt>
                <c:pt idx="212">
                  <c:v>234.34333799999999</c:v>
                </c:pt>
                <c:pt idx="213">
                  <c:v>233.070007</c:v>
                </c:pt>
                <c:pt idx="214">
                  <c:v>237.03999300000001</c:v>
                </c:pt>
                <c:pt idx="215">
                  <c:v>238.31333900000001</c:v>
                </c:pt>
                <c:pt idx="216">
                  <c:v>240.066666</c:v>
                </c:pt>
                <c:pt idx="217">
                  <c:v>240.546661</c:v>
                </c:pt>
                <c:pt idx="218">
                  <c:v>245.529999</c:v>
                </c:pt>
                <c:pt idx="219">
                  <c:v>247.5</c:v>
                </c:pt>
                <c:pt idx="220">
                  <c:v>271.70666499999999</c:v>
                </c:pt>
                <c:pt idx="221">
                  <c:v>272.24334700000003</c:v>
                </c:pt>
                <c:pt idx="222">
                  <c:v>268.43331899999998</c:v>
                </c:pt>
                <c:pt idx="223">
                  <c:v>258.85998499999999</c:v>
                </c:pt>
                <c:pt idx="224">
                  <c:v>274.82000699999998</c:v>
                </c:pt>
                <c:pt idx="225">
                  <c:v>280.89999399999999</c:v>
                </c:pt>
                <c:pt idx="226">
                  <c:v>297.14999399999999</c:v>
                </c:pt>
                <c:pt idx="227">
                  <c:v>297.27667200000002</c:v>
                </c:pt>
                <c:pt idx="228">
                  <c:v>300.58667000000003</c:v>
                </c:pt>
                <c:pt idx="229">
                  <c:v>307.39666699999998</c:v>
                </c:pt>
                <c:pt idx="230">
                  <c:v>308.633331</c:v>
                </c:pt>
                <c:pt idx="231">
                  <c:v>288.17001299999998</c:v>
                </c:pt>
                <c:pt idx="232">
                  <c:v>290.42334</c:v>
                </c:pt>
                <c:pt idx="233">
                  <c:v>283.33334400000001</c:v>
                </c:pt>
                <c:pt idx="234">
                  <c:v>294.35665899999998</c:v>
                </c:pt>
                <c:pt idx="235">
                  <c:v>286.63000499999998</c:v>
                </c:pt>
                <c:pt idx="236">
                  <c:v>300.02999899999998</c:v>
                </c:pt>
                <c:pt idx="237">
                  <c:v>309.32000699999998</c:v>
                </c:pt>
                <c:pt idx="238">
                  <c:v>306.56332400000002</c:v>
                </c:pt>
                <c:pt idx="239">
                  <c:v>303.99667399999998</c:v>
                </c:pt>
                <c:pt idx="240">
                  <c:v>302.86999500000002</c:v>
                </c:pt>
                <c:pt idx="241">
                  <c:v>296.66665599999999</c:v>
                </c:pt>
                <c:pt idx="242">
                  <c:v>289.91332999999997</c:v>
                </c:pt>
                <c:pt idx="243">
                  <c:v>296.45333900000003</c:v>
                </c:pt>
                <c:pt idx="244">
                  <c:v>297.09667999999999</c:v>
                </c:pt>
                <c:pt idx="245">
                  <c:v>296.07000699999998</c:v>
                </c:pt>
                <c:pt idx="246">
                  <c:v>288.08999599999999</c:v>
                </c:pt>
                <c:pt idx="247">
                  <c:v>284.82000699999998</c:v>
                </c:pt>
                <c:pt idx="248">
                  <c:v>277.70001200000002</c:v>
                </c:pt>
                <c:pt idx="249">
                  <c:v>275.60998499999999</c:v>
                </c:pt>
                <c:pt idx="250">
                  <c:v>277.16000400000001</c:v>
                </c:pt>
                <c:pt idx="251">
                  <c:v>270.209991</c:v>
                </c:pt>
              </c:numCache>
            </c:numRef>
          </c:val>
          <c:smooth val="0"/>
          <c:extLst>
            <c:ext xmlns:c16="http://schemas.microsoft.com/office/drawing/2014/chart" uri="{C3380CC4-5D6E-409C-BE32-E72D297353CC}">
              <c16:uniqueId val="{00000000-7548-4650-943E-78C1ECA05CD0}"/>
            </c:ext>
          </c:extLst>
        </c:ser>
        <c:dLbls>
          <c:showLegendKey val="0"/>
          <c:showVal val="0"/>
          <c:showCatName val="0"/>
          <c:showSerName val="0"/>
          <c:showPercent val="0"/>
          <c:showBubbleSize val="0"/>
        </c:dLbls>
        <c:smooth val="0"/>
        <c:axId val="606072272"/>
        <c:axId val="606069976"/>
      </c:lineChart>
      <c:dateAx>
        <c:axId val="606072272"/>
        <c:scaling>
          <c:orientation val="minMax"/>
        </c:scaling>
        <c:delete val="0"/>
        <c:axPos val="b"/>
        <c:numFmt formatCode="mmm\-yy" sourceLinked="0"/>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000000"/>
                </a:solidFill>
                <a:latin typeface="Gill Sans Nova" panose="020B0602020104020203" pitchFamily="34" charset="0"/>
                <a:ea typeface="+mn-ea"/>
                <a:cs typeface="+mn-cs"/>
              </a:defRPr>
            </a:pPr>
            <a:endParaRPr lang="en-US"/>
          </a:p>
        </c:txPr>
        <c:crossAx val="606069976"/>
        <c:crosses val="autoZero"/>
        <c:auto val="1"/>
        <c:lblOffset val="100"/>
        <c:baseTimeUnit val="days"/>
        <c:majorUnit val="2"/>
        <c:majorTimeUnit val="months"/>
      </c:dateAx>
      <c:valAx>
        <c:axId val="606069976"/>
        <c:scaling>
          <c:orientation val="minMax"/>
        </c:scaling>
        <c:delete val="0"/>
        <c:axPos val="l"/>
        <c:numFmt formatCode="\$\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0000"/>
                </a:solidFill>
                <a:latin typeface="Gill Sans Nova" panose="020B0602020104020203" pitchFamily="34" charset="0"/>
                <a:ea typeface="+mn-ea"/>
                <a:cs typeface="+mn-cs"/>
              </a:defRPr>
            </a:pPr>
            <a:endParaRPr lang="en-US"/>
          </a:p>
        </c:txPr>
        <c:crossAx val="6060722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tx>
        <cx:txData>
          <cx:v>Cash Flows Statement for F2022E</cx:v>
        </cx:txData>
      </cx:tx>
      <cx:txPr>
        <a:bodyPr spcFirstLastPara="1" vertOverflow="ellipsis" horzOverflow="overflow" wrap="square" lIns="0" tIns="0" rIns="0" bIns="0" anchor="ctr" anchorCtr="1"/>
        <a:lstStyle/>
        <a:p>
          <a:pPr algn="ctr" rtl="0">
            <a:defRPr>
              <a:solidFill>
                <a:schemeClr val="tx1"/>
              </a:solidFill>
            </a:defRPr>
          </a:pPr>
          <a:r>
            <a:rPr lang="en-US" sz="1200" b="0" i="0" u="none" strike="noStrike" baseline="0">
              <a:solidFill>
                <a:schemeClr val="tx1"/>
              </a:solidFill>
              <a:latin typeface="Gill Sans Nova" panose="020B0602020104020203" pitchFamily="34" charset="0"/>
            </a:rPr>
            <a:t>Cash Flows Statement for F2022E</a:t>
          </a:r>
        </a:p>
      </cx:txPr>
    </cx:title>
    <cx:plotArea>
      <cx:plotAreaRegion>
        <cx:series layoutId="waterfall" uniqueId="{9E363D11-0ADA-4B11-8280-EECA7B2F8F6B}">
          <cx:dataPt idx="0">
            <cx:spPr>
              <a:solidFill>
                <a:srgbClr val="999999"/>
              </a:solidFill>
              <a:ln>
                <a:noFill/>
              </a:ln>
            </cx:spPr>
          </cx:dataPt>
          <cx:dataPt idx="1">
            <cx:spPr>
              <a:solidFill>
                <a:srgbClr val="E6E7E8"/>
              </a:solidFill>
              <a:ln>
                <a:noFill/>
              </a:ln>
            </cx:spPr>
          </cx:dataPt>
          <cx:dataPt idx="2">
            <cx:spPr>
              <a:solidFill>
                <a:srgbClr val="E6E7E8"/>
              </a:solidFill>
              <a:ln>
                <a:noFill/>
              </a:ln>
            </cx:spPr>
          </cx:dataPt>
          <cx:dataPt idx="3">
            <cx:spPr>
              <a:solidFill>
                <a:srgbClr val="E6E7E8"/>
              </a:solidFill>
              <a:ln>
                <a:noFill/>
              </a:ln>
            </cx:spPr>
          </cx:dataPt>
          <cx:dataPt idx="4">
            <cx:spPr>
              <a:solidFill>
                <a:srgbClr val="999999"/>
              </a:solidFill>
              <a:ln>
                <a:noFill/>
              </a:ln>
            </cx:spPr>
          </cx:dataPt>
          <cx:dataLabels pos="outEnd">
            <cx:numFmt formatCode="#,#00;( #,#00 )" sourceLinked="0"/>
            <cx:txPr>
              <a:bodyPr spcFirstLastPara="1" vertOverflow="ellipsis" horzOverflow="overflow" wrap="square" lIns="0" tIns="0" rIns="0" bIns="0" anchor="ctr" anchorCtr="1"/>
              <a:lstStyle/>
              <a:p>
                <a:pPr algn="ctr" rtl="0">
                  <a:defRPr sz="1000">
                    <a:solidFill>
                      <a:srgbClr val="000000"/>
                    </a:solidFill>
                    <a:latin typeface="Gill Sans Nova" panose="020B0602020104020203" pitchFamily="34" charset="0"/>
                    <a:ea typeface="Gill Sans Nova" panose="020B0602020104020203" pitchFamily="34" charset="0"/>
                    <a:cs typeface="Gill Sans Nova" panose="020B0602020104020203" pitchFamily="34" charset="0"/>
                  </a:defRPr>
                </a:pPr>
                <a:endParaRPr lang="en-US" sz="1000" b="0" i="0" u="none" strike="noStrike" baseline="0">
                  <a:solidFill>
                    <a:srgbClr val="000000"/>
                  </a:solidFill>
                  <a:latin typeface="Gill Sans Nova" panose="020B0602020104020203" pitchFamily="34" charset="0"/>
                </a:endParaRPr>
              </a:p>
            </cx:txPr>
            <cx:visibility seriesName="0" categoryName="0" value="1"/>
            <cx:separator>, </cx:separator>
          </cx:dataLabels>
          <cx:dataId val="0"/>
          <cx:layoutPr>
            <cx:subtotals>
              <cx:idx val="0"/>
              <cx:idx val="4"/>
            </cx:subtotals>
          </cx:layoutPr>
        </cx:series>
      </cx:plotAreaRegion>
      <cx:axis id="0">
        <cx:catScaling gapWidth="0.5"/>
        <cx:tickLabels/>
        <cx:txPr>
          <a:bodyPr spcFirstLastPara="1" vertOverflow="ellipsis" horzOverflow="overflow" wrap="square" lIns="0" tIns="0" rIns="0" bIns="0" anchor="ctr" anchorCtr="1"/>
          <a:lstStyle/>
          <a:p>
            <a:pPr algn="ctr" rtl="0">
              <a:defRPr sz="1000">
                <a:solidFill>
                  <a:srgbClr val="000000"/>
                </a:solidFill>
                <a:latin typeface="Gill Sans Nova" panose="020B0602020104020203" pitchFamily="34" charset="0"/>
                <a:ea typeface="Gill Sans Nova" panose="020B0602020104020203" pitchFamily="34" charset="0"/>
                <a:cs typeface="Gill Sans Nova" panose="020B0602020104020203" pitchFamily="34" charset="0"/>
              </a:defRPr>
            </a:pPr>
            <a:endParaRPr lang="en-US" sz="1000" b="0" i="0" u="none" strike="noStrike" baseline="0">
              <a:solidFill>
                <a:srgbClr val="000000"/>
              </a:solidFill>
              <a:latin typeface="Gill Sans Nova" panose="020B0602020104020203" pitchFamily="34" charset="0"/>
            </a:endParaRPr>
          </a:p>
        </cx:txPr>
      </cx:axis>
      <cx:axis id="1" hidden="1">
        <cx:valScaling/>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plotArea>
      <cx:plotAreaRegion>
        <cx:series layoutId="waterfall" uniqueId="{91BB2BFD-E8DF-4B1F-BFF1-000D51BA9FC0}">
          <cx:dataPt idx="0">
            <cx:spPr>
              <a:solidFill>
                <a:srgbClr val="E6E7E8"/>
              </a:solidFill>
            </cx:spPr>
          </cx:dataPt>
          <cx:dataPt idx="1">
            <cx:spPr>
              <a:solidFill>
                <a:srgbClr val="E6E7E8"/>
              </a:solidFill>
            </cx:spPr>
          </cx:dataPt>
          <cx:dataPt idx="2">
            <cx:spPr>
              <a:solidFill>
                <a:srgbClr val="999999"/>
              </a:solidFill>
            </cx:spPr>
          </cx:dataPt>
          <cx:dataLabels pos="outEnd">
            <cx:txPr>
              <a:bodyPr spcFirstLastPara="1" vertOverflow="ellipsis" horzOverflow="overflow" wrap="square" lIns="0" tIns="0" rIns="0" bIns="0" anchor="ctr" anchorCtr="1"/>
              <a:lstStyle/>
              <a:p>
                <a:pPr algn="ctr" rtl="0">
                  <a:defRPr>
                    <a:latin typeface="Gill Sans Nova" panose="020B0602020104020203" pitchFamily="34" charset="0"/>
                    <a:ea typeface="Gill Sans Nova" panose="020B0602020104020203" pitchFamily="34" charset="0"/>
                    <a:cs typeface="Gill Sans Nova" panose="020B0602020104020203" pitchFamily="34" charset="0"/>
                  </a:defRPr>
                </a:pPr>
                <a:endParaRPr lang="en-US" sz="900" b="0" i="0" u="none" strike="noStrike" baseline="0">
                  <a:solidFill>
                    <a:sysClr val="windowText" lastClr="000000">
                      <a:lumMod val="65000"/>
                      <a:lumOff val="35000"/>
                    </a:sysClr>
                  </a:solidFill>
                  <a:latin typeface="Gill Sans Nova" panose="020B0602020104020203" pitchFamily="34" charset="0"/>
                </a:endParaRPr>
              </a:p>
            </cx:txPr>
            <cx:visibility seriesName="0" categoryName="0" value="1"/>
          </cx:dataLabels>
          <cx:dataId val="0"/>
          <cx:layoutPr>
            <cx:subtotals>
              <cx:idx val="2"/>
            </cx:subtotals>
          </cx:layoutPr>
        </cx:series>
      </cx:plotAreaRegion>
      <cx:axis id="0">
        <cx:catScaling gapWidth="0.5"/>
        <cx:tickLabels/>
        <cx:txPr>
          <a:bodyPr spcFirstLastPara="1" vertOverflow="ellipsis" horzOverflow="overflow" wrap="square" lIns="0" tIns="0" rIns="0" bIns="0" anchor="ctr" anchorCtr="1"/>
          <a:lstStyle/>
          <a:p>
            <a:pPr algn="ctr" rtl="0">
              <a:defRPr>
                <a:latin typeface="Gill Sans Nova" panose="020B0602020104020203" pitchFamily="34" charset="0"/>
                <a:ea typeface="Gill Sans Nova" panose="020B0602020104020203" pitchFamily="34" charset="0"/>
                <a:cs typeface="Gill Sans Nova" panose="020B0602020104020203" pitchFamily="34" charset="0"/>
              </a:defRPr>
            </a:pPr>
            <a:endParaRPr lang="en-US" sz="900" b="0" i="0" u="none" strike="noStrike" baseline="0">
              <a:solidFill>
                <a:sysClr val="windowText" lastClr="000000">
                  <a:lumMod val="65000"/>
                  <a:lumOff val="35000"/>
                </a:sysClr>
              </a:solidFill>
              <a:latin typeface="Gill Sans Nova" panose="020B0602020104020203" pitchFamily="34" charset="0"/>
            </a:endParaRPr>
          </a:p>
        </cx:txPr>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Drop" dropLines="4" dropStyle="combo" dx="22" fmlaLink="C7" fmlaRange="$Q$7:$Q$9" sel="2" val="0"/>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chart" Target="../charts/chart1.xml"/><Relationship Id="rId7" Type="http://schemas.openxmlformats.org/officeDocument/2006/relationships/chart" Target="../charts/chart4.xml"/><Relationship Id="rId2" Type="http://schemas.openxmlformats.org/officeDocument/2006/relationships/image" Target="../media/image2.jpeg"/><Relationship Id="rId1" Type="http://schemas.openxmlformats.org/officeDocument/2006/relationships/hyperlink" Target="https://ir.tesla.com/#quarterly-disclosure" TargetMode="External"/><Relationship Id="rId6" Type="http://schemas.microsoft.com/office/2014/relationships/chartEx" Target="../charts/chartEx1.xml"/><Relationship Id="rId5" Type="http://schemas.openxmlformats.org/officeDocument/2006/relationships/chart" Target="../charts/chart3.xml"/><Relationship Id="rId4"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10</xdr:col>
      <xdr:colOff>857248</xdr:colOff>
      <xdr:row>7</xdr:row>
      <xdr:rowOff>171450</xdr:rowOff>
    </xdr:from>
    <xdr:to>
      <xdr:col>13</xdr:col>
      <xdr:colOff>113514</xdr:colOff>
      <xdr:row>17</xdr:row>
      <xdr:rowOff>66450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7363" t="-4410" r="17648" b="-3188"/>
        <a:stretch/>
      </xdr:blipFill>
      <xdr:spPr>
        <a:xfrm>
          <a:off x="8562973" y="1390650"/>
          <a:ext cx="1932791" cy="1800000"/>
        </a:xfrm>
        <a:prstGeom prst="rect">
          <a:avLst/>
        </a:prstGeom>
        <a:ln>
          <a:noFill/>
        </a:ln>
        <a:effectLst>
          <a:softEdge rad="12700"/>
        </a:effectLst>
      </xdr:spPr>
    </xdr:pic>
    <xdr:clientData/>
  </xdr:twoCellAnchor>
  <xdr:twoCellAnchor>
    <xdr:from>
      <xdr:col>1</xdr:col>
      <xdr:colOff>9525</xdr:colOff>
      <xdr:row>1</xdr:row>
      <xdr:rowOff>9525</xdr:rowOff>
    </xdr:from>
    <xdr:to>
      <xdr:col>14</xdr:col>
      <xdr:colOff>76199</xdr:colOff>
      <xdr:row>16</xdr:row>
      <xdr:rowOff>32025</xdr:rowOff>
    </xdr:to>
    <xdr:sp macro="" textlink="">
      <xdr:nvSpPr>
        <xdr:cNvPr id="5" name="Right Triangle 4">
          <a:extLst>
            <a:ext uri="{FF2B5EF4-FFF2-40B4-BE49-F238E27FC236}">
              <a16:creationId xmlns:a16="http://schemas.microsoft.com/office/drawing/2014/main" id="{00000000-0008-0000-0000-000005000000}"/>
            </a:ext>
          </a:extLst>
        </xdr:cNvPr>
        <xdr:cNvSpPr/>
      </xdr:nvSpPr>
      <xdr:spPr>
        <a:xfrm rot="10800000" flipH="1">
          <a:off x="85725" y="85725"/>
          <a:ext cx="11220449" cy="2880000"/>
        </a:xfrm>
        <a:prstGeom prst="rtTriangle">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xdr:colOff>
      <xdr:row>0</xdr:row>
      <xdr:rowOff>28575</xdr:rowOff>
    </xdr:from>
    <xdr:to>
      <xdr:col>2</xdr:col>
      <xdr:colOff>783525</xdr:colOff>
      <xdr:row>5</xdr:row>
      <xdr:rowOff>25498</xdr:rowOff>
    </xdr:to>
    <xdr:pic>
      <xdr:nvPicPr>
        <xdr:cNvPr id="2" name="Picture 1">
          <a:hlinkClick xmlns:r="http://schemas.openxmlformats.org/officeDocument/2006/relationships" r:id="rId1"/>
          <a:extLst>
            <a:ext uri="{FF2B5EF4-FFF2-40B4-BE49-F238E27FC236}">
              <a16:creationId xmlns:a16="http://schemas.microsoft.com/office/drawing/2014/main" id="{FE404273-2837-46F4-A3A1-0E5BAC05A7A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7363" t="-4410" r="17648" b="-3188"/>
        <a:stretch/>
      </xdr:blipFill>
      <xdr:spPr>
        <a:xfrm>
          <a:off x="161925" y="28575"/>
          <a:ext cx="774000" cy="720823"/>
        </a:xfrm>
        <a:prstGeom prst="rect">
          <a:avLst/>
        </a:prstGeom>
        <a:ln>
          <a:noFill/>
        </a:ln>
        <a:effectLst>
          <a:softEdge rad="12700"/>
        </a:effectLst>
      </xdr:spPr>
    </xdr:pic>
    <xdr:clientData/>
  </xdr:twoCellAnchor>
  <xdr:twoCellAnchor>
    <xdr:from>
      <xdr:col>1</xdr:col>
      <xdr:colOff>38099</xdr:colOff>
      <xdr:row>7</xdr:row>
      <xdr:rowOff>47625</xdr:rowOff>
    </xdr:from>
    <xdr:to>
      <xdr:col>6</xdr:col>
      <xdr:colOff>838200</xdr:colOff>
      <xdr:row>20</xdr:row>
      <xdr:rowOff>161925</xdr:rowOff>
    </xdr:to>
    <xdr:sp macro="" textlink="">
      <xdr:nvSpPr>
        <xdr:cNvPr id="5" name="TextBox 4">
          <a:extLst>
            <a:ext uri="{FF2B5EF4-FFF2-40B4-BE49-F238E27FC236}">
              <a16:creationId xmlns:a16="http://schemas.microsoft.com/office/drawing/2014/main" id="{A5FB6B4E-6785-4142-852E-061AF3AF3B8E}"/>
            </a:ext>
          </a:extLst>
        </xdr:cNvPr>
        <xdr:cNvSpPr txBox="1"/>
      </xdr:nvSpPr>
      <xdr:spPr>
        <a:xfrm>
          <a:off x="114299" y="1323975"/>
          <a:ext cx="4267201" cy="2590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50">
              <a:solidFill>
                <a:schemeClr val="tx1"/>
              </a:solidFill>
              <a:latin typeface="Gill Sans Nova" panose="020B0602020104020203" pitchFamily="34" charset="0"/>
            </a:rPr>
            <a:t>* </a:t>
          </a:r>
          <a:r>
            <a:rPr lang="en-US" sz="1000">
              <a:solidFill>
                <a:schemeClr val="tx1"/>
              </a:solidFill>
              <a:latin typeface="Gill Sans Nova" panose="020B0602020104020203" pitchFamily="34" charset="0"/>
            </a:rPr>
            <a:t>Tesla design, develop, manufacture, sell &amp; lease high-performance fully electric vechicles &amp; energy generation &amp; storage systems &amp; also offers services related to our products.</a:t>
          </a:r>
          <a:endParaRPr lang="en-US" sz="950">
            <a:solidFill>
              <a:schemeClr val="tx1"/>
            </a:solidFill>
            <a:latin typeface="Gill Sans Nova" panose="020B0602020104020203" pitchFamily="34" charset="0"/>
          </a:endParaRPr>
        </a:p>
        <a:p>
          <a:endParaRPr lang="en-US" sz="300">
            <a:solidFill>
              <a:schemeClr val="tx1"/>
            </a:solidFill>
            <a:latin typeface="Gill Sans Nova" panose="020B0602020104020203" pitchFamily="34" charset="0"/>
          </a:endParaRPr>
        </a:p>
        <a:p>
          <a:r>
            <a:rPr lang="en-US" sz="950">
              <a:solidFill>
                <a:schemeClr val="tx1"/>
              </a:solidFill>
              <a:latin typeface="Gill Sans Nova" panose="020B0602020104020203" pitchFamily="34" charset="0"/>
            </a:rPr>
            <a:t>* Sell products directly to customers through our websites, retail locations.</a:t>
          </a:r>
        </a:p>
        <a:p>
          <a:r>
            <a:rPr lang="en-US" sz="950">
              <a:solidFill>
                <a:schemeClr val="tx1"/>
              </a:solidFill>
              <a:latin typeface="Gill Sans Nova" panose="020B0602020104020203" pitchFamily="34" charset="0"/>
            </a:rPr>
            <a:t>* Tesla more emphasize performance, attractive styling and the safety of our users and workforce in the design and manufacture of our products and are continuing to develop full self-driving technology for improved safety.</a:t>
          </a:r>
        </a:p>
        <a:p>
          <a:r>
            <a:rPr lang="en-US" sz="950">
              <a:solidFill>
                <a:schemeClr val="tx1"/>
              </a:solidFill>
              <a:latin typeface="Gill Sans Nova" panose="020B0602020104020203" pitchFamily="34" charset="0"/>
            </a:rPr>
            <a:t>* Also, Tesla strive to lower the cost of ownership for our customers through continuous efforts to reduce manufacturing costs and by offering financial and other services tailored to our products.</a:t>
          </a:r>
        </a:p>
        <a:p>
          <a:r>
            <a:rPr lang="en-US" sz="950">
              <a:solidFill>
                <a:schemeClr val="tx1"/>
              </a:solidFill>
              <a:latin typeface="Gill Sans Nova" panose="020B0602020104020203" pitchFamily="34" charset="0"/>
            </a:rPr>
            <a:t>* Tesla mission to accelerate the world’s transition to sustainable energy, engineering expertise, vertically integrated business model and focus on user experience differentiate us from other companies. </a:t>
          </a:r>
        </a:p>
        <a:p>
          <a:r>
            <a:rPr lang="en-US" sz="950">
              <a:solidFill>
                <a:schemeClr val="tx1"/>
              </a:solidFill>
              <a:latin typeface="Gill Sans Nova" panose="020B0602020104020203" pitchFamily="34" charset="0"/>
            </a:rPr>
            <a:t> ---&gt;</a:t>
          </a:r>
          <a:r>
            <a:rPr lang="en-US" sz="1000">
              <a:solidFill>
                <a:schemeClr val="tx1"/>
              </a:solidFill>
              <a:latin typeface="Gill Sans Nova" panose="020B0602020104020203" pitchFamily="34" charset="0"/>
            </a:rPr>
            <a:t> Tesla, Inc. was incorporated in the state of Delaware on July 1, 2003.</a:t>
          </a:r>
        </a:p>
        <a:p>
          <a:r>
            <a:rPr lang="en-US" sz="1000">
              <a:solidFill>
                <a:schemeClr val="tx1"/>
              </a:solidFill>
              <a:latin typeface="Gill Sans Nova" panose="020B0602020104020203" pitchFamily="34" charset="0"/>
            </a:rPr>
            <a:t>* Its reporting segments are Automotive, Energy generation &amp; storage.</a:t>
          </a:r>
          <a:endParaRPr lang="en-US" sz="950">
            <a:solidFill>
              <a:schemeClr val="tx1"/>
            </a:solidFill>
            <a:latin typeface="Gill Sans Nova" panose="020B0602020104020203" pitchFamily="34" charset="0"/>
          </a:endParaRPr>
        </a:p>
      </xdr:txBody>
    </xdr:sp>
    <xdr:clientData/>
  </xdr:twoCellAnchor>
  <xdr:twoCellAnchor>
    <xdr:from>
      <xdr:col>0</xdr:col>
      <xdr:colOff>57148</xdr:colOff>
      <xdr:row>22</xdr:row>
      <xdr:rowOff>85725</xdr:rowOff>
    </xdr:from>
    <xdr:to>
      <xdr:col>6</xdr:col>
      <xdr:colOff>473848</xdr:colOff>
      <xdr:row>37</xdr:row>
      <xdr:rowOff>108225</xdr:rowOff>
    </xdr:to>
    <xdr:graphicFrame macro="">
      <xdr:nvGraphicFramePr>
        <xdr:cNvPr id="7" name="Chart 6">
          <a:extLst>
            <a:ext uri="{FF2B5EF4-FFF2-40B4-BE49-F238E27FC236}">
              <a16:creationId xmlns:a16="http://schemas.microsoft.com/office/drawing/2014/main" id="{00113074-7D85-4AE6-BAC4-46EB8F3EAB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381000</xdr:colOff>
      <xdr:row>22</xdr:row>
      <xdr:rowOff>95250</xdr:rowOff>
    </xdr:from>
    <xdr:to>
      <xdr:col>12</xdr:col>
      <xdr:colOff>9525</xdr:colOff>
      <xdr:row>37</xdr:row>
      <xdr:rowOff>117750</xdr:rowOff>
    </xdr:to>
    <xdr:graphicFrame macro="">
      <xdr:nvGraphicFramePr>
        <xdr:cNvPr id="9" name="Chart 8">
          <a:extLst>
            <a:ext uri="{FF2B5EF4-FFF2-40B4-BE49-F238E27FC236}">
              <a16:creationId xmlns:a16="http://schemas.microsoft.com/office/drawing/2014/main" id="{72C1B9FE-A26D-40F4-B673-ED1185BB6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6350</xdr:colOff>
      <xdr:row>37</xdr:row>
      <xdr:rowOff>177800</xdr:rowOff>
    </xdr:from>
    <xdr:to>
      <xdr:col>6</xdr:col>
      <xdr:colOff>495300</xdr:colOff>
      <xdr:row>49</xdr:row>
      <xdr:rowOff>51800</xdr:rowOff>
    </xdr:to>
    <xdr:graphicFrame macro="">
      <xdr:nvGraphicFramePr>
        <xdr:cNvPr id="11" name="Chart 10">
          <a:extLst>
            <a:ext uri="{FF2B5EF4-FFF2-40B4-BE49-F238E27FC236}">
              <a16:creationId xmlns:a16="http://schemas.microsoft.com/office/drawing/2014/main" id="{9565D7ED-C42E-452C-9EC1-7257104C64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209550</xdr:colOff>
      <xdr:row>38</xdr:row>
      <xdr:rowOff>0</xdr:rowOff>
    </xdr:from>
    <xdr:to>
      <xdr:col>13</xdr:col>
      <xdr:colOff>45225</xdr:colOff>
      <xdr:row>49</xdr:row>
      <xdr:rowOff>64500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4545B041-4B95-461C-84CB-162BE6833A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248150" y="7048500"/>
              <a:ext cx="4534675" cy="22235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19050</xdr:colOff>
      <xdr:row>22</xdr:row>
      <xdr:rowOff>76200</xdr:rowOff>
    </xdr:from>
    <xdr:to>
      <xdr:col>17</xdr:col>
      <xdr:colOff>0</xdr:colOff>
      <xdr:row>35</xdr:row>
      <xdr:rowOff>119700</xdr:rowOff>
    </xdr:to>
    <xdr:graphicFrame macro="">
      <xdr:nvGraphicFramePr>
        <xdr:cNvPr id="15" name="Chart 14">
          <a:extLst>
            <a:ext uri="{FF2B5EF4-FFF2-40B4-BE49-F238E27FC236}">
              <a16:creationId xmlns:a16="http://schemas.microsoft.com/office/drawing/2014/main" id="{21E1FBB8-FCC7-4636-8D44-B8A0BBAC4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9524</xdr:colOff>
      <xdr:row>7</xdr:row>
      <xdr:rowOff>47625</xdr:rowOff>
    </xdr:from>
    <xdr:to>
      <xdr:col>16</xdr:col>
      <xdr:colOff>941549</xdr:colOff>
      <xdr:row>20</xdr:row>
      <xdr:rowOff>91125</xdr:rowOff>
    </xdr:to>
    <xdr:graphicFrame macro="">
      <xdr:nvGraphicFramePr>
        <xdr:cNvPr id="16" name="Chart 15">
          <a:extLst>
            <a:ext uri="{FF2B5EF4-FFF2-40B4-BE49-F238E27FC236}">
              <a16:creationId xmlns:a16="http://schemas.microsoft.com/office/drawing/2014/main" id="{C074C50C-EE57-4687-A195-6C14427DAE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257175</xdr:colOff>
      <xdr:row>7</xdr:row>
      <xdr:rowOff>352425</xdr:rowOff>
    </xdr:from>
    <xdr:to>
      <xdr:col>11</xdr:col>
      <xdr:colOff>57150</xdr:colOff>
      <xdr:row>8</xdr:row>
      <xdr:rowOff>200025</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7877175" y="1628775"/>
          <a:ext cx="733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Design</a:t>
          </a:r>
        </a:p>
      </xdr:txBody>
    </xdr:sp>
    <xdr:clientData/>
  </xdr:twoCellAnchor>
  <xdr:twoCellAnchor>
    <xdr:from>
      <xdr:col>10</xdr:col>
      <xdr:colOff>600075</xdr:colOff>
      <xdr:row>6</xdr:row>
      <xdr:rowOff>114300</xdr:rowOff>
    </xdr:from>
    <xdr:to>
      <xdr:col>11</xdr:col>
      <xdr:colOff>657225</xdr:colOff>
      <xdr:row>7</xdr:row>
      <xdr:rowOff>209550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8220075" y="1200150"/>
          <a:ext cx="9906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Manufacture</a:t>
          </a:r>
        </a:p>
      </xdr:txBody>
    </xdr:sp>
    <xdr:clientData/>
  </xdr:twoCellAnchor>
  <xdr:twoCellAnchor>
    <xdr:from>
      <xdr:col>12</xdr:col>
      <xdr:colOff>19050</xdr:colOff>
      <xdr:row>6</xdr:row>
      <xdr:rowOff>76200</xdr:rowOff>
    </xdr:from>
    <xdr:to>
      <xdr:col>13</xdr:col>
      <xdr:colOff>409575</xdr:colOff>
      <xdr:row>7</xdr:row>
      <xdr:rowOff>171450</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9563100" y="1162050"/>
          <a:ext cx="11430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Sell or Lease</a:t>
          </a:r>
        </a:p>
      </xdr:txBody>
    </xdr:sp>
    <xdr:clientData/>
  </xdr:twoCellAnchor>
  <xdr:twoCellAnchor>
    <xdr:from>
      <xdr:col>11</xdr:col>
      <xdr:colOff>333375</xdr:colOff>
      <xdr:row>9</xdr:row>
      <xdr:rowOff>47625</xdr:rowOff>
    </xdr:from>
    <xdr:to>
      <xdr:col>13</xdr:col>
      <xdr:colOff>542925</xdr:colOff>
      <xdr:row>12</xdr:row>
      <xdr:rowOff>38100</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9124950" y="2333625"/>
          <a:ext cx="1714500"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Services ( Insurance / vechicles services )</a:t>
          </a:r>
        </a:p>
        <a:p>
          <a:pPr algn="ctr"/>
          <a:endParaRPr lang="en-US" sz="1100"/>
        </a:p>
      </xdr:txBody>
    </xdr:sp>
    <xdr:clientData/>
  </xdr:twoCellAnchor>
  <xdr:twoCellAnchor>
    <xdr:from>
      <xdr:col>12</xdr:col>
      <xdr:colOff>533399</xdr:colOff>
      <xdr:row>7</xdr:row>
      <xdr:rowOff>304800</xdr:rowOff>
    </xdr:from>
    <xdr:to>
      <xdr:col>14</xdr:col>
      <xdr:colOff>66674</xdr:colOff>
      <xdr:row>8</xdr:row>
      <xdr:rowOff>152400</xdr:rowOff>
    </xdr:to>
    <xdr:sp macro="" textlink="">
      <xdr:nvSpPr>
        <xdr:cNvPr id="6" name="TextBox 5">
          <a:extLst>
            <a:ext uri="{FF2B5EF4-FFF2-40B4-BE49-F238E27FC236}">
              <a16:creationId xmlns:a16="http://schemas.microsoft.com/office/drawing/2014/main" id="{00000000-0008-0000-0800-000006000000}"/>
            </a:ext>
          </a:extLst>
        </xdr:cNvPr>
        <xdr:cNvSpPr txBox="1"/>
      </xdr:nvSpPr>
      <xdr:spPr>
        <a:xfrm>
          <a:off x="10020299" y="1581150"/>
          <a:ext cx="14001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Retail</a:t>
          </a:r>
          <a:r>
            <a:rPr lang="en-US" sz="1100" baseline="0"/>
            <a:t> / Website</a:t>
          </a:r>
          <a:endParaRPr lang="en-US" sz="1100"/>
        </a:p>
      </xdr:txBody>
    </xdr:sp>
    <xdr:clientData/>
  </xdr:twoCellAnchor>
  <xdr:twoCellAnchor>
    <xdr:from>
      <xdr:col>10</xdr:col>
      <xdr:colOff>623888</xdr:colOff>
      <xdr:row>7</xdr:row>
      <xdr:rowOff>190501</xdr:rowOff>
    </xdr:from>
    <xdr:to>
      <xdr:col>10</xdr:col>
      <xdr:colOff>723900</xdr:colOff>
      <xdr:row>7</xdr:row>
      <xdr:rowOff>352425</xdr:rowOff>
    </xdr:to>
    <xdr:cxnSp macro="">
      <xdr:nvCxnSpPr>
        <xdr:cNvPr id="7" name="Straight Arrow Connector 6">
          <a:extLst>
            <a:ext uri="{FF2B5EF4-FFF2-40B4-BE49-F238E27FC236}">
              <a16:creationId xmlns:a16="http://schemas.microsoft.com/office/drawing/2014/main" id="{00000000-0008-0000-0800-000007000000}"/>
            </a:ext>
          </a:extLst>
        </xdr:cNvPr>
        <xdr:cNvCxnSpPr>
          <a:stCxn id="2" idx="0"/>
        </xdr:cNvCxnSpPr>
      </xdr:nvCxnSpPr>
      <xdr:spPr>
        <a:xfrm flipV="1">
          <a:off x="8243888" y="1466851"/>
          <a:ext cx="100012" cy="1619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609600</xdr:colOff>
      <xdr:row>7</xdr:row>
      <xdr:rowOff>28575</xdr:rowOff>
    </xdr:from>
    <xdr:to>
      <xdr:col>12</xdr:col>
      <xdr:colOff>19050</xdr:colOff>
      <xdr:row>7</xdr:row>
      <xdr:rowOff>38101</xdr:rowOff>
    </xdr:to>
    <xdr:cxnSp macro="">
      <xdr:nvCxnSpPr>
        <xdr:cNvPr id="9" name="Straight Arrow Connector 8">
          <a:extLst>
            <a:ext uri="{FF2B5EF4-FFF2-40B4-BE49-F238E27FC236}">
              <a16:creationId xmlns:a16="http://schemas.microsoft.com/office/drawing/2014/main" id="{00000000-0008-0000-0800-000009000000}"/>
            </a:ext>
          </a:extLst>
        </xdr:cNvPr>
        <xdr:cNvCxnSpPr>
          <a:endCxn id="4" idx="1"/>
        </xdr:cNvCxnSpPr>
      </xdr:nvCxnSpPr>
      <xdr:spPr>
        <a:xfrm flipV="1">
          <a:off x="9401175" y="1304925"/>
          <a:ext cx="161925" cy="95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7</xdr:row>
      <xdr:rowOff>171450</xdr:rowOff>
    </xdr:from>
    <xdr:to>
      <xdr:col>13</xdr:col>
      <xdr:colOff>190500</xdr:colOff>
      <xdr:row>7</xdr:row>
      <xdr:rowOff>352425</xdr:rowOff>
    </xdr:to>
    <xdr:cxnSp macro="">
      <xdr:nvCxnSpPr>
        <xdr:cNvPr id="11" name="Straight Arrow Connector 10">
          <a:extLst>
            <a:ext uri="{FF2B5EF4-FFF2-40B4-BE49-F238E27FC236}">
              <a16:creationId xmlns:a16="http://schemas.microsoft.com/office/drawing/2014/main" id="{00000000-0008-0000-0800-00000B000000}"/>
            </a:ext>
          </a:extLst>
        </xdr:cNvPr>
        <xdr:cNvCxnSpPr/>
      </xdr:nvCxnSpPr>
      <xdr:spPr>
        <a:xfrm>
          <a:off x="10420350" y="1447800"/>
          <a:ext cx="190500" cy="1809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714375</xdr:colOff>
      <xdr:row>8</xdr:row>
      <xdr:rowOff>171450</xdr:rowOff>
    </xdr:from>
    <xdr:to>
      <xdr:col>13</xdr:col>
      <xdr:colOff>19051</xdr:colOff>
      <xdr:row>9</xdr:row>
      <xdr:rowOff>66675</xdr:rowOff>
    </xdr:to>
    <xdr:cxnSp macro="">
      <xdr:nvCxnSpPr>
        <xdr:cNvPr id="16" name="Straight Arrow Connector 15">
          <a:extLst>
            <a:ext uri="{FF2B5EF4-FFF2-40B4-BE49-F238E27FC236}">
              <a16:creationId xmlns:a16="http://schemas.microsoft.com/office/drawing/2014/main" id="{00000000-0008-0000-0800-000010000000}"/>
            </a:ext>
          </a:extLst>
        </xdr:cNvPr>
        <xdr:cNvCxnSpPr/>
      </xdr:nvCxnSpPr>
      <xdr:spPr>
        <a:xfrm flipH="1">
          <a:off x="10258425" y="1885950"/>
          <a:ext cx="57151" cy="4667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147638</xdr:colOff>
      <xdr:row>9</xdr:row>
      <xdr:rowOff>19050</xdr:rowOff>
    </xdr:from>
    <xdr:to>
      <xdr:col>11</xdr:col>
      <xdr:colOff>495300</xdr:colOff>
      <xdr:row>10</xdr:row>
      <xdr:rowOff>28575</xdr:rowOff>
    </xdr:to>
    <xdr:cxnSp macro="">
      <xdr:nvCxnSpPr>
        <xdr:cNvPr id="20" name="Straight Arrow Connector 19">
          <a:extLst>
            <a:ext uri="{FF2B5EF4-FFF2-40B4-BE49-F238E27FC236}">
              <a16:creationId xmlns:a16="http://schemas.microsoft.com/office/drawing/2014/main" id="{00000000-0008-0000-0800-000014000000}"/>
            </a:ext>
          </a:extLst>
        </xdr:cNvPr>
        <xdr:cNvCxnSpPr>
          <a:endCxn id="23" idx="2"/>
        </xdr:cNvCxnSpPr>
      </xdr:nvCxnSpPr>
      <xdr:spPr>
        <a:xfrm flipH="1" flipV="1">
          <a:off x="8939213" y="2305050"/>
          <a:ext cx="347662"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714375</xdr:colOff>
      <xdr:row>8</xdr:row>
      <xdr:rowOff>304800</xdr:rowOff>
    </xdr:from>
    <xdr:to>
      <xdr:col>11</xdr:col>
      <xdr:colOff>514350</xdr:colOff>
      <xdr:row>9</xdr:row>
      <xdr:rowOff>19050</xdr:rowOff>
    </xdr:to>
    <xdr:sp macro="" textlink="">
      <xdr:nvSpPr>
        <xdr:cNvPr id="23" name="TextBox 22">
          <a:extLst>
            <a:ext uri="{FF2B5EF4-FFF2-40B4-BE49-F238E27FC236}">
              <a16:creationId xmlns:a16="http://schemas.microsoft.com/office/drawing/2014/main" id="{00000000-0008-0000-0800-000017000000}"/>
            </a:ext>
          </a:extLst>
        </xdr:cNvPr>
        <xdr:cNvSpPr txBox="1"/>
      </xdr:nvSpPr>
      <xdr:spPr>
        <a:xfrm>
          <a:off x="8572500" y="2019300"/>
          <a:ext cx="733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Resale</a:t>
          </a:r>
        </a:p>
      </xdr:txBody>
    </xdr:sp>
    <xdr:clientData/>
  </xdr:twoCellAnchor>
  <xdr:twoCellAnchor>
    <xdr:from>
      <xdr:col>10</xdr:col>
      <xdr:colOff>623888</xdr:colOff>
      <xdr:row>8</xdr:row>
      <xdr:rowOff>200025</xdr:rowOff>
    </xdr:from>
    <xdr:to>
      <xdr:col>10</xdr:col>
      <xdr:colOff>885825</xdr:colOff>
      <xdr:row>8</xdr:row>
      <xdr:rowOff>352425</xdr:rowOff>
    </xdr:to>
    <xdr:cxnSp macro="">
      <xdr:nvCxnSpPr>
        <xdr:cNvPr id="25" name="Straight Arrow Connector 24">
          <a:extLst>
            <a:ext uri="{FF2B5EF4-FFF2-40B4-BE49-F238E27FC236}">
              <a16:creationId xmlns:a16="http://schemas.microsoft.com/office/drawing/2014/main" id="{00000000-0008-0000-0800-000019000000}"/>
            </a:ext>
          </a:extLst>
        </xdr:cNvPr>
        <xdr:cNvCxnSpPr>
          <a:endCxn id="2" idx="2"/>
        </xdr:cNvCxnSpPr>
      </xdr:nvCxnSpPr>
      <xdr:spPr>
        <a:xfrm flipH="1" flipV="1">
          <a:off x="8243888" y="1914525"/>
          <a:ext cx="261937" cy="152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1397000</xdr:colOff>
          <xdr:row>5</xdr:row>
          <xdr:rowOff>63500</xdr:rowOff>
        </xdr:from>
        <xdr:to>
          <xdr:col>3</xdr:col>
          <xdr:colOff>0</xdr:colOff>
          <xdr:row>7</xdr:row>
          <xdr:rowOff>101600</xdr:rowOff>
        </xdr:to>
        <xdr:sp macro="" textlink="">
          <xdr:nvSpPr>
            <xdr:cNvPr id="10241" name="Drop Down 1" hidden="1">
              <a:extLst>
                <a:ext uri="{63B3BB69-23CF-44E3-9099-C40C66FF867C}">
                  <a14:compatExt spid="_x0000_s10241"/>
                </a:ext>
                <a:ext uri="{FF2B5EF4-FFF2-40B4-BE49-F238E27FC236}">
                  <a16:creationId xmlns:a16="http://schemas.microsoft.com/office/drawing/2014/main" id="{00000000-0008-0000-04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8</xdr:col>
      <xdr:colOff>571500</xdr:colOff>
      <xdr:row>114</xdr:row>
      <xdr:rowOff>176212</xdr:rowOff>
    </xdr:from>
    <xdr:to>
      <xdr:col>15</xdr:col>
      <xdr:colOff>676274</xdr:colOff>
      <xdr:row>125</xdr:row>
      <xdr:rowOff>126412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DA637A0-DD15-4A74-8F1E-2C051405F0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56400" y="21258212"/>
              <a:ext cx="5959474" cy="21727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business-standard.com/article/international/bumpy-ride-ahead-for-electric-vehicle-makers-after-us-passes-climate-bill-122081400928_1.html" TargetMode="External"/><Relationship Id="rId7" Type="http://schemas.openxmlformats.org/officeDocument/2006/relationships/comments" Target="../comments1.xml"/><Relationship Id="rId2" Type="http://schemas.openxmlformats.org/officeDocument/2006/relationships/hyperlink" Target="https://auto.hindustantimes.com/auto/electric-vehicles/heres-how-much-each-tesla-electric-car-costs-to-make-41643518850153.html" TargetMode="External"/><Relationship Id="rId1" Type="http://schemas.openxmlformats.org/officeDocument/2006/relationships/hyperlink" Target="https://electrek.co/2022/07/05/tesla-tsla-achieves-record-monthly-production-second-half-2022/" TargetMode="External"/><Relationship Id="rId6" Type="http://schemas.openxmlformats.org/officeDocument/2006/relationships/vmlDrawing" Target="../drawings/vmlDrawing1.vml"/><Relationship Id="rId5" Type="http://schemas.openxmlformats.org/officeDocument/2006/relationships/printerSettings" Target="../printerSettings/printerSettings4.bin"/><Relationship Id="rId4" Type="http://schemas.openxmlformats.org/officeDocument/2006/relationships/hyperlink" Target="https://www.cnbc.com/2022/08/24/tesla-stock-set-for-3-for-1-split-after-market-close.html"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finance.yahoo.com/quote/NIO/profile?p=NIO" TargetMode="External"/><Relationship Id="rId13" Type="http://schemas.openxmlformats.org/officeDocument/2006/relationships/hyperlink" Target="https://worldpopulationreview.com/country-rankings/effective-corporate-tax-rate-by-country" TargetMode="External"/><Relationship Id="rId18" Type="http://schemas.openxmlformats.org/officeDocument/2006/relationships/printerSettings" Target="../printerSettings/printerSettings8.bin"/><Relationship Id="rId3" Type="http://schemas.openxmlformats.org/officeDocument/2006/relationships/hyperlink" Target="https://finance.yahoo.com/quote/BYDDY/profile?p=BYDDY" TargetMode="External"/><Relationship Id="rId21" Type="http://schemas.openxmlformats.org/officeDocument/2006/relationships/comments" Target="../comments2.xml"/><Relationship Id="rId7" Type="http://schemas.openxmlformats.org/officeDocument/2006/relationships/hyperlink" Target="https://finance.yahoo.com/quote/VWAGY/profile?p=VWAGY" TargetMode="External"/><Relationship Id="rId12" Type="http://schemas.openxmlformats.org/officeDocument/2006/relationships/hyperlink" Target="https://finance.yahoo.com/quote/XPEV/profile?p=XPEV" TargetMode="External"/><Relationship Id="rId17" Type="http://schemas.openxmlformats.org/officeDocument/2006/relationships/hyperlink" Target="https://www.cbo.gov/publication/56982" TargetMode="External"/><Relationship Id="rId2" Type="http://schemas.openxmlformats.org/officeDocument/2006/relationships/hyperlink" Target="https://finance.yahoo.com/quote/TM/profile?p=TM" TargetMode="External"/><Relationship Id="rId16" Type="http://schemas.openxmlformats.org/officeDocument/2006/relationships/hyperlink" Target="https://www.statista.com/statistics/664840/average-market-risk-premium-usa/" TargetMode="External"/><Relationship Id="rId20" Type="http://schemas.openxmlformats.org/officeDocument/2006/relationships/vmlDrawing" Target="../drawings/vmlDrawing3.vml"/><Relationship Id="rId1" Type="http://schemas.openxmlformats.org/officeDocument/2006/relationships/hyperlink" Target="https://finance.yahoo.com/quote/TSLA/profile?p=TSLA" TargetMode="External"/><Relationship Id="rId6" Type="http://schemas.openxmlformats.org/officeDocument/2006/relationships/hyperlink" Target="https://finance.yahoo.com/quote/GM/profile?p=GM" TargetMode="External"/><Relationship Id="rId11" Type="http://schemas.openxmlformats.org/officeDocument/2006/relationships/hyperlink" Target="https://finance.yahoo.com/quote/LCID/profile?p=LCID" TargetMode="External"/><Relationship Id="rId5" Type="http://schemas.openxmlformats.org/officeDocument/2006/relationships/hyperlink" Target="https://finance.yahoo.com/quote/MBG.DE/profile?p=MBG.DE" TargetMode="External"/><Relationship Id="rId15" Type="http://schemas.openxmlformats.org/officeDocument/2006/relationships/hyperlink" Target="https://www.bloomberg.com/markets/rates-bonds/government-bonds/us" TargetMode="External"/><Relationship Id="rId10" Type="http://schemas.openxmlformats.org/officeDocument/2006/relationships/hyperlink" Target="https://finance.yahoo.com/quote/RIVN/profile?p=RIVN" TargetMode="External"/><Relationship Id="rId19" Type="http://schemas.openxmlformats.org/officeDocument/2006/relationships/drawing" Target="../drawings/drawing5.xml"/><Relationship Id="rId4" Type="http://schemas.openxmlformats.org/officeDocument/2006/relationships/hyperlink" Target="https://finance.yahoo.com/quote/F/profile?p=F" TargetMode="External"/><Relationship Id="rId9" Type="http://schemas.openxmlformats.org/officeDocument/2006/relationships/hyperlink" Target="https://finance.yahoo.com/quote/LI/profile?p=LI" TargetMode="External"/><Relationship Id="rId14" Type="http://schemas.openxmlformats.org/officeDocument/2006/relationships/hyperlink" Target="https://finance.yahoo.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BF8A5-A31D-4171-A775-9E2F4F1EB8F5}">
  <dimension ref="A1:O46"/>
  <sheetViews>
    <sheetView showGridLines="0" zoomScaleNormal="100" workbookViewId="0"/>
  </sheetViews>
  <sheetFormatPr baseColWidth="10" defaultColWidth="8.83203125" defaultRowHeight="15" x14ac:dyDescent="0.2"/>
  <cols>
    <col min="1" max="1" width="1.1640625" style="1" customWidth="1"/>
    <col min="2" max="4" width="13.6640625" style="1" customWidth="1"/>
    <col min="5" max="10" width="12.6640625" style="1" customWidth="1"/>
    <col min="11" max="12" width="13.6640625" style="1" customWidth="1"/>
    <col min="13" max="14" width="12.6640625" style="1" customWidth="1"/>
    <col min="15" max="15" width="1.1640625" style="1" customWidth="1"/>
  </cols>
  <sheetData>
    <row r="1" ht="6" customHeight="1" x14ac:dyDescent="0.2"/>
    <row r="2" ht="15" customHeight="1" x14ac:dyDescent="0.2"/>
    <row r="3" ht="15" customHeight="1" x14ac:dyDescent="0.2"/>
    <row r="4" ht="15" customHeight="1" x14ac:dyDescent="0.2"/>
    <row r="5" ht="15" customHeight="1" x14ac:dyDescent="0.2"/>
    <row r="6" ht="15" customHeight="1" x14ac:dyDescent="0.2"/>
    <row r="7" ht="15" customHeight="1" x14ac:dyDescent="0.2"/>
    <row r="8" ht="15" customHeight="1" x14ac:dyDescent="0.2"/>
    <row r="9" ht="15" customHeight="1" x14ac:dyDescent="0.2"/>
    <row r="10" ht="15" customHeight="1" x14ac:dyDescent="0.2"/>
    <row r="11" ht="15" customHeight="1" x14ac:dyDescent="0.2"/>
    <row r="12" ht="15" customHeight="1" x14ac:dyDescent="0.2"/>
    <row r="13" ht="15" customHeight="1" x14ac:dyDescent="0.2"/>
    <row r="14" ht="15" customHeight="1" x14ac:dyDescent="0.2"/>
    <row r="15" ht="15" customHeight="1" x14ac:dyDescent="0.2"/>
    <row r="16" ht="15" customHeight="1" x14ac:dyDescent="0.2"/>
    <row r="17" spans="3:6" ht="15" customHeight="1" x14ac:dyDescent="0.2"/>
    <row r="18" spans="3:6" ht="15" customHeight="1" x14ac:dyDescent="0.2">
      <c r="C18" s="299" t="s">
        <v>0</v>
      </c>
      <c r="D18" s="299"/>
      <c r="E18" s="299"/>
      <c r="F18" s="299"/>
    </row>
    <row r="19" spans="3:6" ht="15" customHeight="1" x14ac:dyDescent="0.2">
      <c r="C19" s="299"/>
      <c r="D19" s="299"/>
      <c r="E19" s="299"/>
      <c r="F19" s="299"/>
    </row>
    <row r="20" spans="3:6" ht="18" customHeight="1" x14ac:dyDescent="0.2">
      <c r="C20" s="300">
        <f ca="1">TODAY()</f>
        <v>45683</v>
      </c>
      <c r="D20" s="300"/>
      <c r="E20" s="300"/>
      <c r="F20" s="300"/>
    </row>
    <row r="21" spans="3:6" ht="18" customHeight="1" x14ac:dyDescent="0.2">
      <c r="C21" s="1" t="s">
        <v>1</v>
      </c>
    </row>
    <row r="22" spans="3:6" ht="18" customHeight="1" x14ac:dyDescent="0.2">
      <c r="C22" s="30" t="str">
        <f>Scenarios!N5</f>
        <v>Based on: Base Case Senario</v>
      </c>
    </row>
    <row r="23" spans="3:6" ht="18" customHeight="1" x14ac:dyDescent="0.2"/>
    <row r="24" spans="3:6" ht="18" customHeight="1" x14ac:dyDescent="0.2">
      <c r="E24" s="19" t="s">
        <v>2</v>
      </c>
    </row>
    <row r="25" spans="3:6" ht="18" customHeight="1" x14ac:dyDescent="0.2">
      <c r="E25" s="288">
        <v>1</v>
      </c>
      <c r="F25" s="289" t="str">
        <f ca="1">RIGHT(CELL("filename",Dashboard!$A$1),LEN(CELL("filename",Dashboard!$A$1))-FIND("]",CELL("filename",Dashboard!$A$1)))</f>
        <v>Dashboard</v>
      </c>
    </row>
    <row r="26" spans="3:6" ht="18" customHeight="1" x14ac:dyDescent="0.2">
      <c r="E26" s="288">
        <f>E25+1</f>
        <v>2</v>
      </c>
      <c r="F26" s="289" t="str">
        <f ca="1">RIGHT(CELL("filename",Assumptions!A1),LEN(CELL("filename",Assumptions!A1))-FIND("]",CELL("filename",Assumptions!A1)))</f>
        <v>Assumptions</v>
      </c>
    </row>
    <row r="27" spans="3:6" ht="18" customHeight="1" x14ac:dyDescent="0.2">
      <c r="E27" s="288">
        <f t="shared" ref="E27:E31" si="0">E26+1</f>
        <v>3</v>
      </c>
      <c r="F27" s="290" t="str">
        <f ca="1">RIGHT(CELL("filename",'Financial Statements'!A1),LEN(CELL("filename",'Financial Statements'!A1))-FIND("]",CELL("filename",'Financial Statements'!A1)))</f>
        <v>Financial Statements</v>
      </c>
    </row>
    <row r="28" spans="3:6" ht="18" customHeight="1" x14ac:dyDescent="0.2">
      <c r="E28" s="288">
        <f t="shared" si="0"/>
        <v>4</v>
      </c>
      <c r="F28" s="290" t="str">
        <f ca="1">RIGHT(CELL("filename",'Notes to Accounts'!A1),LEN(CELL("filename",'Notes to Accounts'!A1))-FIND("]",CELL("filename",'Notes to Accounts'!A1)))</f>
        <v>Notes to Accounts</v>
      </c>
    </row>
    <row r="29" spans="3:6" ht="18" customHeight="1" x14ac:dyDescent="0.2">
      <c r="E29" s="288">
        <f t="shared" si="0"/>
        <v>5</v>
      </c>
      <c r="F29" s="290" t="str">
        <f ca="1">RIGHT(CELL("filename",'DCF Valuation'!A1),LEN(CELL("filename",'DCF Valuation'!A1))-FIND("]",CELL("filename",'DCF Valuation'!A1)))</f>
        <v>DCF Valuation</v>
      </c>
    </row>
    <row r="30" spans="3:6" ht="18" customHeight="1" x14ac:dyDescent="0.2">
      <c r="E30" s="288">
        <f t="shared" si="0"/>
        <v>6</v>
      </c>
      <c r="F30" s="290" t="str">
        <f ca="1">RIGHT(CELL("filename",'Comp''s Analysis'!A1),LEN(CELL("filename",'Comp''s Analysis'!A1))-FIND("]",CELL("filename",'Comp''s Analysis'!A1)))</f>
        <v>Comp's Analysis</v>
      </c>
    </row>
    <row r="31" spans="3:6" ht="18" customHeight="1" x14ac:dyDescent="0.2">
      <c r="E31" s="288">
        <f t="shared" si="0"/>
        <v>7</v>
      </c>
      <c r="F31" s="290" t="str">
        <f ca="1">RIGHT(CELL("filename",'About Tesla'!A1),LEN(CELL("filename",'About Tesla'!A1))-FIND("]",CELL("filename",'About Tesla'!A1)))</f>
        <v>About Tesla</v>
      </c>
    </row>
    <row r="32" spans="3:6" ht="18" customHeight="1" x14ac:dyDescent="0.2">
      <c r="E32" s="288"/>
    </row>
    <row r="33" spans="3:14" ht="18" customHeight="1" x14ac:dyDescent="0.2">
      <c r="E33" s="288"/>
    </row>
    <row r="34" spans="3:14" ht="18" customHeight="1" x14ac:dyDescent="0.2">
      <c r="E34" s="288"/>
    </row>
    <row r="35" spans="3:14" ht="18" customHeight="1" x14ac:dyDescent="0.2"/>
    <row r="36" spans="3:14" ht="18" customHeight="1" x14ac:dyDescent="0.2">
      <c r="C36" s="20" t="s">
        <v>4</v>
      </c>
    </row>
    <row r="37" spans="3:14" ht="18" customHeight="1" x14ac:dyDescent="0.2">
      <c r="C37" s="21" t="s">
        <v>3</v>
      </c>
      <c r="D37" s="22"/>
      <c r="E37" s="22"/>
      <c r="F37" s="22"/>
      <c r="G37" s="22"/>
      <c r="H37" s="22"/>
      <c r="I37" s="22"/>
      <c r="J37" s="22"/>
      <c r="K37" s="22"/>
      <c r="L37" s="22"/>
      <c r="M37" s="22"/>
      <c r="N37" s="22"/>
    </row>
    <row r="38" spans="3:14" ht="18" customHeight="1" x14ac:dyDescent="0.2"/>
    <row r="39" spans="3:14" ht="18" customHeight="1" x14ac:dyDescent="0.2"/>
    <row r="40" spans="3:14" ht="18" customHeight="1" x14ac:dyDescent="0.2"/>
    <row r="41" spans="3:14" ht="18" customHeight="1" x14ac:dyDescent="0.2"/>
    <row r="42" spans="3:14" ht="18" customHeight="1" x14ac:dyDescent="0.2"/>
    <row r="43" spans="3:14" ht="18" customHeight="1" x14ac:dyDescent="0.2"/>
    <row r="44" spans="3:14" ht="18" customHeight="1" x14ac:dyDescent="0.2"/>
    <row r="45" spans="3:14" ht="18" customHeight="1" x14ac:dyDescent="0.2"/>
    <row r="46" spans="3:14" ht="18" customHeight="1" x14ac:dyDescent="0.2"/>
  </sheetData>
  <mergeCells count="2">
    <mergeCell ref="C18:F19"/>
    <mergeCell ref="C20:F20"/>
  </mergeCells>
  <hyperlinks>
    <hyperlink ref="F25" location="Dashboard!A1" display="Dashboard!A1" xr:uid="{06E2F3EE-85CC-4792-8404-4582A7F09CCC}"/>
    <hyperlink ref="F26" location="Assumptions!A1" display="Assumptions!A1" xr:uid="{2B100183-FD2E-42C8-A514-8605AE628A1E}"/>
    <hyperlink ref="F27" location="'Financial Statements'!A1" display="'Financial Statements'!A1" xr:uid="{870DE1E4-02EF-468D-9CC6-BB15752969DB}"/>
    <hyperlink ref="F28" location="'Notes to Accounts'!A1" display="'Notes to Accounts'!A1" xr:uid="{3A2E9358-4914-46C7-93FE-3CE3AB6005AE}"/>
    <hyperlink ref="F29" location="'DCF Valuation'!A1" display="'DCF Valuation'!A1" xr:uid="{5EF3F5BA-71A3-414A-B8C3-944CAB733148}"/>
    <hyperlink ref="F30" location="'Comp''s Analysis'!A1" display="'Comp''s Analysis'!A1" xr:uid="{3206FEC9-DE6F-432D-B540-A55B2948B4E4}"/>
    <hyperlink ref="F31" location="'About Tesla'!A1" display="'About Tesla'!A1" xr:uid="{40FA917C-E7C8-469C-BA6B-345C15EC1BB3}"/>
  </hyperlinks>
  <printOptions horizontalCentered="1"/>
  <pageMargins left="0.11811023622047245" right="0.11811023622047245" top="0.11811023622047245" bottom="0.19685039370078741" header="0.11811023622047245" footer="0.11811023622047245"/>
  <pageSetup scale="80" orientation="landscape" r:id="rId1"/>
  <headerFooter>
    <oddFooter>&amp;Lir.tesla.com&amp;CPage &amp;P of &amp;N&amp;R&amp;D  &amp;T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3D537-9FAF-4B53-97E1-43959BEE7671}">
  <dimension ref="C1:AE145"/>
  <sheetViews>
    <sheetView showGridLines="0" zoomScaleNormal="100" workbookViewId="0">
      <selection activeCell="S5" sqref="S5"/>
    </sheetView>
  </sheetViews>
  <sheetFormatPr baseColWidth="10" defaultColWidth="9.1640625" defaultRowHeight="14" x14ac:dyDescent="0.2"/>
  <cols>
    <col min="1" max="2" width="1.1640625" style="1" customWidth="1"/>
    <col min="3" max="7" width="12.6640625" style="1" customWidth="1"/>
    <col min="8" max="8" width="1.1640625" style="1" customWidth="1"/>
    <col min="9" max="9" width="12.6640625" style="1" customWidth="1"/>
    <col min="10" max="10" width="8.6640625" style="1" customWidth="1"/>
    <col min="11" max="12" width="12.6640625" style="1" customWidth="1"/>
    <col min="13" max="13" width="1.1640625" style="1" customWidth="1"/>
    <col min="14" max="16" width="13.6640625" style="1" customWidth="1"/>
    <col min="17" max="17" width="14.33203125" style="1" customWidth="1"/>
    <col min="18" max="18" width="1.1640625" style="1" customWidth="1"/>
    <col min="19" max="21" width="9.1640625" style="1"/>
    <col min="22" max="31" width="12.6640625" style="1" customWidth="1"/>
    <col min="32" max="16384" width="9.1640625" style="1"/>
  </cols>
  <sheetData>
    <row r="1" spans="3:31" ht="6" customHeight="1" x14ac:dyDescent="0.2"/>
    <row r="2" spans="3:31" ht="6" customHeight="1" x14ac:dyDescent="0.2"/>
    <row r="3" spans="3:31" ht="15" customHeight="1" x14ac:dyDescent="0.2">
      <c r="E3" s="53" t="str">
        <f>'Cover Page'!$C$18</f>
        <v>Tesla, Inc.</v>
      </c>
      <c r="G3" s="12"/>
      <c r="H3" s="12"/>
      <c r="I3" s="12" t="s">
        <v>760</v>
      </c>
      <c r="J3" s="276">
        <f>X38</f>
        <v>273.10824849289946</v>
      </c>
      <c r="K3" s="12"/>
      <c r="L3" s="12"/>
      <c r="M3" s="12"/>
      <c r="N3" s="12"/>
      <c r="O3" s="12"/>
      <c r="P3" s="12"/>
      <c r="Q3" s="12"/>
      <c r="R3" s="12"/>
      <c r="S3" s="12"/>
    </row>
    <row r="4" spans="3:31" ht="15" customHeight="1" x14ac:dyDescent="0.2">
      <c r="E4" s="53" t="s">
        <v>759</v>
      </c>
      <c r="F4" s="274">
        <v>44807</v>
      </c>
      <c r="G4" s="12"/>
      <c r="H4" s="12"/>
      <c r="I4" s="53" t="s">
        <v>761</v>
      </c>
      <c r="J4" s="287" t="str">
        <f>IF(AND(J3&gt;L9,J3&lt;300),"Hold",IF(J3&lt;L9,"Sell","Buy"))</f>
        <v>Hold</v>
      </c>
      <c r="K4" s="12"/>
      <c r="L4" s="12"/>
      <c r="M4" s="12"/>
      <c r="N4" s="12"/>
      <c r="O4" s="12"/>
      <c r="P4" s="12"/>
      <c r="Q4" s="12"/>
      <c r="R4" s="12"/>
      <c r="S4" s="12"/>
    </row>
    <row r="5" spans="3:31" ht="15" customHeight="1" x14ac:dyDescent="0.2">
      <c r="E5" s="12"/>
      <c r="F5" s="12"/>
      <c r="G5" s="12"/>
      <c r="H5" s="12"/>
      <c r="I5" s="12"/>
      <c r="J5" s="12"/>
      <c r="K5" s="12"/>
      <c r="L5" s="12"/>
      <c r="M5" s="12"/>
      <c r="N5" s="12"/>
      <c r="O5" s="12"/>
      <c r="P5" s="12"/>
      <c r="Q5" s="12"/>
      <c r="R5" s="12"/>
      <c r="S5" s="12"/>
    </row>
    <row r="6" spans="3:31" ht="8" customHeight="1" x14ac:dyDescent="0.2">
      <c r="E6" s="12"/>
      <c r="F6" s="12"/>
      <c r="G6" s="12"/>
      <c r="H6" s="12"/>
      <c r="I6" s="12"/>
      <c r="J6" s="12"/>
      <c r="K6" s="12"/>
      <c r="L6" s="12"/>
      <c r="M6" s="12"/>
      <c r="N6" s="12"/>
      <c r="O6" s="12"/>
      <c r="P6" s="12"/>
      <c r="Q6" s="12"/>
      <c r="R6" s="12"/>
      <c r="S6" s="12"/>
    </row>
    <row r="7" spans="3:31" ht="20" customHeight="1" x14ac:dyDescent="0.2">
      <c r="C7" s="282" t="s">
        <v>762</v>
      </c>
      <c r="D7" s="283"/>
      <c r="E7" s="283"/>
      <c r="F7" s="283"/>
      <c r="G7" s="282"/>
      <c r="H7" s="12"/>
      <c r="I7" s="282" t="s">
        <v>770</v>
      </c>
      <c r="J7" s="283"/>
      <c r="K7" s="283"/>
      <c r="L7" s="283"/>
      <c r="M7" s="12"/>
      <c r="N7" s="282" t="s">
        <v>765</v>
      </c>
      <c r="O7" s="283"/>
      <c r="P7" s="283"/>
      <c r="Q7" s="283"/>
      <c r="R7" s="12"/>
      <c r="S7" s="12"/>
    </row>
    <row r="8" spans="3:31" ht="15" customHeight="1" x14ac:dyDescent="0.2">
      <c r="E8" s="12"/>
      <c r="F8" s="12"/>
      <c r="G8" s="12"/>
      <c r="H8" s="12"/>
      <c r="I8" s="12"/>
      <c r="J8" s="12"/>
      <c r="K8" s="12"/>
      <c r="L8" s="12"/>
      <c r="M8" s="12"/>
      <c r="N8" s="12"/>
      <c r="O8" s="12"/>
      <c r="P8" s="12"/>
      <c r="Q8" s="12"/>
      <c r="R8" s="12"/>
      <c r="S8" s="12"/>
    </row>
    <row r="9" spans="3:31" ht="15" customHeight="1" x14ac:dyDescent="0.2">
      <c r="E9" s="12"/>
      <c r="F9" s="12"/>
      <c r="G9" s="12"/>
      <c r="H9" s="12"/>
      <c r="I9" s="75" t="s">
        <v>769</v>
      </c>
      <c r="J9" s="12"/>
      <c r="K9" s="12"/>
      <c r="L9" s="278">
        <f>'Comp''s Analysis'!$G$10</f>
        <v>270.20999999999998</v>
      </c>
      <c r="M9" s="12"/>
      <c r="N9" s="12"/>
      <c r="O9" s="12"/>
      <c r="P9" s="12"/>
      <c r="Q9" s="12"/>
      <c r="R9" s="12"/>
      <c r="S9" s="12"/>
    </row>
    <row r="10" spans="3:31" ht="15" customHeight="1" x14ac:dyDescent="0.2">
      <c r="E10" s="12"/>
      <c r="F10" s="12"/>
      <c r="G10" s="12"/>
      <c r="H10" s="12"/>
      <c r="I10" s="75" t="s">
        <v>764</v>
      </c>
      <c r="J10" s="12"/>
      <c r="K10" s="12"/>
      <c r="L10" s="278">
        <f>'Comp''s Analysis'!$H$10</f>
        <v>845757.29999999993</v>
      </c>
      <c r="M10" s="12"/>
      <c r="N10" s="12"/>
      <c r="O10" s="12"/>
      <c r="P10" s="12"/>
      <c r="Q10" s="12"/>
      <c r="R10" s="12"/>
      <c r="S10" s="12"/>
    </row>
    <row r="11" spans="3:31" ht="15" customHeight="1" x14ac:dyDescent="0.2">
      <c r="E11" s="12"/>
      <c r="F11" s="12"/>
      <c r="G11" s="12"/>
      <c r="H11" s="12"/>
      <c r="I11" s="75" t="s">
        <v>294</v>
      </c>
      <c r="J11" s="12"/>
      <c r="K11" s="12"/>
      <c r="L11" s="278">
        <f>'Comp''s Analysis'!$J$10</f>
        <v>6660</v>
      </c>
      <c r="M11" s="12"/>
      <c r="N11" s="12"/>
      <c r="O11" s="12"/>
      <c r="P11" s="12"/>
      <c r="Q11" s="12"/>
      <c r="R11" s="12"/>
      <c r="S11" s="12"/>
    </row>
    <row r="12" spans="3:31" ht="15" customHeight="1" x14ac:dyDescent="0.2">
      <c r="E12" s="12"/>
      <c r="F12" s="12"/>
      <c r="G12" s="12"/>
      <c r="H12" s="12"/>
      <c r="I12" s="75" t="s">
        <v>688</v>
      </c>
      <c r="J12" s="12"/>
      <c r="K12" s="12"/>
      <c r="L12" s="278">
        <f>'Comp''s Analysis'!$I$10</f>
        <v>18920</v>
      </c>
      <c r="M12" s="12"/>
      <c r="N12" s="12"/>
      <c r="O12" s="12"/>
      <c r="P12" s="12"/>
      <c r="Q12" s="12"/>
      <c r="R12" s="12"/>
      <c r="S12" s="12"/>
    </row>
    <row r="13" spans="3:31" ht="15" customHeight="1" x14ac:dyDescent="0.2">
      <c r="E13" s="12"/>
      <c r="F13" s="12"/>
      <c r="G13" s="12"/>
      <c r="H13" s="12"/>
      <c r="I13" s="75" t="s">
        <v>697</v>
      </c>
      <c r="J13" s="12"/>
      <c r="L13" s="277">
        <f>L10+L11-L12</f>
        <v>833497.29999999993</v>
      </c>
      <c r="M13" s="12"/>
      <c r="N13" s="12"/>
      <c r="O13" s="12"/>
      <c r="P13" s="12"/>
      <c r="Q13" s="12"/>
      <c r="R13" s="12"/>
      <c r="S13" s="12"/>
    </row>
    <row r="14" spans="3:31" ht="15" customHeight="1" x14ac:dyDescent="0.2">
      <c r="E14" s="12"/>
      <c r="F14" s="12"/>
      <c r="G14" s="12"/>
      <c r="H14" s="12"/>
      <c r="I14" s="12"/>
      <c r="J14" s="12"/>
      <c r="M14" s="12"/>
      <c r="N14" s="12"/>
      <c r="O14" s="12"/>
      <c r="P14" s="12"/>
      <c r="Q14" s="12"/>
      <c r="R14" s="12"/>
      <c r="S14" s="12"/>
    </row>
    <row r="15" spans="3:31" ht="15" customHeight="1" x14ac:dyDescent="0.2">
      <c r="E15" s="12"/>
      <c r="F15" s="12"/>
      <c r="G15" s="12"/>
      <c r="H15" s="12"/>
      <c r="I15" s="12"/>
      <c r="J15" s="12"/>
      <c r="K15" s="275">
        <f>Assumptions!H8</f>
        <v>2022</v>
      </c>
      <c r="L15" s="275">
        <f>Assumptions!H8+1</f>
        <v>2023</v>
      </c>
      <c r="M15" s="12"/>
      <c r="N15" s="12"/>
      <c r="O15" s="12"/>
      <c r="P15" s="12"/>
      <c r="Q15" s="12"/>
      <c r="R15" s="12"/>
      <c r="S15" s="12"/>
      <c r="V15" s="281">
        <f>'Financial Statements'!E8</f>
        <v>2017</v>
      </c>
      <c r="W15" s="281">
        <f>'Financial Statements'!F8</f>
        <v>2018</v>
      </c>
      <c r="X15" s="281">
        <f>'Financial Statements'!G8</f>
        <v>2019</v>
      </c>
      <c r="Y15" s="281">
        <f>'Financial Statements'!H8</f>
        <v>2020</v>
      </c>
      <c r="Z15" s="281">
        <f>'Financial Statements'!I8</f>
        <v>2021</v>
      </c>
      <c r="AA15" s="279">
        <f>'Financial Statements'!J8</f>
        <v>2022</v>
      </c>
      <c r="AB15" s="279">
        <f>'Financial Statements'!K8</f>
        <v>2023</v>
      </c>
      <c r="AC15" s="279">
        <f>'Financial Statements'!L8</f>
        <v>2024</v>
      </c>
      <c r="AD15" s="279">
        <f>'Financial Statements'!M8</f>
        <v>2025</v>
      </c>
      <c r="AE15" s="279">
        <f>'Financial Statements'!N8</f>
        <v>2026</v>
      </c>
    </row>
    <row r="16" spans="3:31" ht="15" customHeight="1" x14ac:dyDescent="0.2">
      <c r="E16" s="12"/>
      <c r="F16" s="12"/>
      <c r="G16" s="12"/>
      <c r="H16" s="12"/>
      <c r="I16" s="12" t="s">
        <v>699</v>
      </c>
      <c r="J16" s="12"/>
      <c r="K16" s="264">
        <f>$L$13/AA16</f>
        <v>37.028245957199921</v>
      </c>
      <c r="L16" s="264">
        <f>$L$13/AB16</f>
        <v>36.550411104218377</v>
      </c>
      <c r="M16" s="12"/>
      <c r="N16" s="12"/>
      <c r="O16" s="12"/>
      <c r="P16" s="12"/>
      <c r="Q16" s="12"/>
      <c r="R16" s="12"/>
      <c r="S16" s="12"/>
      <c r="T16" s="1" t="s">
        <v>10</v>
      </c>
      <c r="V16" s="280">
        <f>'Financial Statements'!E12</f>
        <v>2223</v>
      </c>
      <c r="W16" s="280">
        <f>'Financial Statements'!F12</f>
        <v>4042</v>
      </c>
      <c r="X16" s="280">
        <f>'Financial Statements'!G12</f>
        <v>4069</v>
      </c>
      <c r="Y16" s="280">
        <f>'Financial Statements'!H12</f>
        <v>6630</v>
      </c>
      <c r="Z16" s="280">
        <f>'Financial Statements'!I12</f>
        <v>13606</v>
      </c>
      <c r="AA16" s="280">
        <f>'Financial Statements'!J12</f>
        <v>22509.769999999997</v>
      </c>
      <c r="AB16" s="280">
        <f>'Financial Statements'!K12</f>
        <v>22804.047200000001</v>
      </c>
      <c r="AC16" s="280">
        <f>'Financial Statements'!L12</f>
        <v>35588.566011999996</v>
      </c>
      <c r="AD16" s="280">
        <f>'Financial Statements'!M12</f>
        <v>48463.599409520015</v>
      </c>
      <c r="AE16" s="280">
        <f>'Financial Statements'!N12</f>
        <v>65511.739769179214</v>
      </c>
    </row>
    <row r="17" spans="3:31" ht="15" customHeight="1" x14ac:dyDescent="0.2">
      <c r="E17" s="12"/>
      <c r="F17" s="12"/>
      <c r="G17" s="12"/>
      <c r="H17" s="12"/>
      <c r="I17" s="12" t="s">
        <v>700</v>
      </c>
      <c r="J17" s="12"/>
      <c r="K17" s="264">
        <f>$L$13/AA17</f>
        <v>51.159149541616991</v>
      </c>
      <c r="L17" s="264">
        <f>$L$13/AB17</f>
        <v>46.775550154874317</v>
      </c>
      <c r="M17" s="12"/>
      <c r="N17" s="12"/>
      <c r="O17" s="12"/>
      <c r="P17" s="12"/>
      <c r="Q17" s="12"/>
      <c r="R17" s="12"/>
      <c r="S17" s="12"/>
      <c r="T17" s="1" t="s">
        <v>590</v>
      </c>
      <c r="V17" s="280">
        <f>'DCF Valuation'!F14</f>
        <v>4</v>
      </c>
      <c r="W17" s="280">
        <f>'DCF Valuation'!G14</f>
        <v>1513</v>
      </c>
      <c r="X17" s="280">
        <f>'DCF Valuation'!H14</f>
        <v>2085</v>
      </c>
      <c r="Y17" s="280">
        <f>'DCF Valuation'!I14</f>
        <v>4316</v>
      </c>
      <c r="Z17" s="280">
        <f>'DCF Valuation'!J14</f>
        <v>9434</v>
      </c>
      <c r="AA17" s="280">
        <f>'DCF Valuation'!L14</f>
        <v>16292.243078082558</v>
      </c>
      <c r="AB17" s="280">
        <f>'DCF Valuation'!M14</f>
        <v>17819.080635936552</v>
      </c>
      <c r="AC17" s="280">
        <f>'DCF Valuation'!N14</f>
        <v>29754.05892129038</v>
      </c>
      <c r="AD17" s="280">
        <f>'DCF Valuation'!O14</f>
        <v>40683.592155198901</v>
      </c>
      <c r="AE17" s="280">
        <f>'DCF Valuation'!P14</f>
        <v>57681.856990457964</v>
      </c>
    </row>
    <row r="18" spans="3:31" ht="15" customHeight="1" x14ac:dyDescent="0.2">
      <c r="E18" s="12"/>
      <c r="F18" s="12"/>
      <c r="G18" s="12"/>
      <c r="H18" s="12"/>
      <c r="I18" s="12" t="s">
        <v>768</v>
      </c>
      <c r="J18" s="12"/>
      <c r="K18" s="264">
        <f>$L$10/AA18</f>
        <v>77.54147193615367</v>
      </c>
      <c r="L18" s="264">
        <f>$L$10/AB18</f>
        <v>74.249640052329937</v>
      </c>
      <c r="M18" s="12"/>
      <c r="N18" s="12"/>
      <c r="O18" s="12"/>
      <c r="P18" s="12"/>
      <c r="Q18" s="12"/>
      <c r="R18" s="12"/>
      <c r="S18" s="12"/>
      <c r="T18" s="1" t="s">
        <v>364</v>
      </c>
      <c r="V18" s="280">
        <f>'Financial Statements'!E37</f>
        <v>-1962</v>
      </c>
      <c r="W18" s="280">
        <f>'Financial Statements'!F37</f>
        <v>-976</v>
      </c>
      <c r="X18" s="280">
        <f>'Financial Statements'!G37</f>
        <v>-870</v>
      </c>
      <c r="Y18" s="280">
        <f>'Financial Statements'!H37</f>
        <v>690</v>
      </c>
      <c r="Z18" s="280">
        <f>'Financial Statements'!I37</f>
        <v>5524</v>
      </c>
      <c r="AA18" s="280">
        <f>'Financial Statements'!J37</f>
        <v>10907.160760326837</v>
      </c>
      <c r="AB18" s="280">
        <f>'Financial Statements'!K37</f>
        <v>11390.725926804816</v>
      </c>
      <c r="AC18" s="280">
        <f>'Financial Statements'!L37</f>
        <v>20620.316881343784</v>
      </c>
      <c r="AD18" s="280">
        <f>'Financial Statements'!M37</f>
        <v>30080.416750967321</v>
      </c>
      <c r="AE18" s="280">
        <f>'Financial Statements'!N37</f>
        <v>43237.156914431733</v>
      </c>
    </row>
    <row r="19" spans="3:31" ht="15" customHeight="1" x14ac:dyDescent="0.2">
      <c r="E19" s="12"/>
      <c r="F19" s="12"/>
      <c r="G19" s="12"/>
      <c r="H19" s="12"/>
      <c r="I19" s="12"/>
      <c r="J19" s="12"/>
      <c r="K19" s="12"/>
      <c r="L19" s="12"/>
      <c r="M19" s="12"/>
      <c r="N19" s="12"/>
      <c r="O19" s="12"/>
      <c r="P19" s="12"/>
      <c r="Q19" s="12"/>
      <c r="R19" s="12"/>
      <c r="S19" s="12"/>
    </row>
    <row r="20" spans="3:31" ht="15" customHeight="1" x14ac:dyDescent="0.2">
      <c r="E20" s="12"/>
      <c r="F20" s="12"/>
      <c r="G20" s="12"/>
      <c r="H20" s="12"/>
      <c r="I20" s="12"/>
      <c r="J20" s="12"/>
      <c r="K20" s="12"/>
      <c r="L20" s="12"/>
      <c r="M20" s="12"/>
      <c r="N20" s="12"/>
      <c r="O20" s="12"/>
      <c r="P20" s="12"/>
      <c r="Q20" s="12"/>
      <c r="R20" s="12"/>
      <c r="S20" s="12"/>
      <c r="T20" s="19" t="s">
        <v>771</v>
      </c>
      <c r="V20" s="281">
        <f>'Financial Statements'!E8</f>
        <v>2017</v>
      </c>
      <c r="W20" s="281">
        <f>'Financial Statements'!F8</f>
        <v>2018</v>
      </c>
      <c r="X20" s="281">
        <f>'Financial Statements'!G8</f>
        <v>2019</v>
      </c>
      <c r="Y20" s="281">
        <f>'Financial Statements'!H8</f>
        <v>2020</v>
      </c>
      <c r="Z20" s="281">
        <f>'Financial Statements'!I8</f>
        <v>2021</v>
      </c>
      <c r="AA20" s="279">
        <f t="shared" ref="AA20:AE20" si="0">AA15</f>
        <v>2022</v>
      </c>
      <c r="AB20" s="279">
        <f t="shared" si="0"/>
        <v>2023</v>
      </c>
      <c r="AC20" s="279">
        <f t="shared" si="0"/>
        <v>2024</v>
      </c>
      <c r="AD20" s="279">
        <f t="shared" si="0"/>
        <v>2025</v>
      </c>
      <c r="AE20" s="279">
        <f t="shared" si="0"/>
        <v>2026</v>
      </c>
    </row>
    <row r="21" spans="3:31" ht="15" customHeight="1" x14ac:dyDescent="0.2">
      <c r="E21" s="12"/>
      <c r="F21" s="12"/>
      <c r="G21" s="12"/>
      <c r="H21" s="12"/>
      <c r="I21" s="12"/>
      <c r="J21" s="12"/>
      <c r="K21" s="12"/>
      <c r="L21" s="12"/>
      <c r="M21" s="12"/>
      <c r="N21" s="12"/>
      <c r="O21" s="12"/>
      <c r="P21" s="12"/>
      <c r="Q21" s="12"/>
      <c r="R21" s="12"/>
      <c r="S21" s="12"/>
    </row>
    <row r="22" spans="3:31" ht="20" customHeight="1" x14ac:dyDescent="0.2">
      <c r="C22" s="282" t="s">
        <v>766</v>
      </c>
      <c r="D22" s="283"/>
      <c r="E22" s="283"/>
      <c r="F22" s="283"/>
      <c r="G22" s="282"/>
      <c r="H22" s="283"/>
      <c r="I22" s="283"/>
      <c r="J22" s="283"/>
      <c r="K22" s="282"/>
      <c r="L22" s="283"/>
      <c r="M22" s="12"/>
      <c r="N22" s="282" t="s">
        <v>767</v>
      </c>
      <c r="O22" s="283"/>
      <c r="P22" s="283"/>
      <c r="Q22" s="283"/>
      <c r="R22" s="12"/>
      <c r="S22" s="12"/>
      <c r="T22" s="1" t="str">
        <f>'Notes to Accounts'!C22</f>
        <v>Automotive sales</v>
      </c>
      <c r="V22" s="280">
        <f>'Notes to Accounts'!E22</f>
        <v>8535</v>
      </c>
      <c r="W22" s="280">
        <f>'Notes to Accounts'!F22</f>
        <v>17632</v>
      </c>
      <c r="X22" s="280">
        <f>'Notes to Accounts'!G22</f>
        <v>19952</v>
      </c>
      <c r="Y22" s="280">
        <f>'Notes to Accounts'!H22</f>
        <v>26184</v>
      </c>
      <c r="Z22" s="280">
        <f>'Notes to Accounts'!I22</f>
        <v>45590</v>
      </c>
      <c r="AA22" s="280">
        <f>'Notes to Accounts'!J22</f>
        <v>73391.75</v>
      </c>
      <c r="AB22" s="280">
        <f>'Notes to Accounts'!K22</f>
        <v>73391.75</v>
      </c>
      <c r="AC22" s="280">
        <f>'Notes to Accounts'!L22</f>
        <v>91966.5</v>
      </c>
      <c r="AD22" s="280">
        <f>'Notes to Accounts'!M22</f>
        <v>111456</v>
      </c>
      <c r="AE22" s="280">
        <f>'Notes to Accounts'!N22</f>
        <v>130800</v>
      </c>
    </row>
    <row r="23" spans="3:31" ht="15" customHeight="1" x14ac:dyDescent="0.2">
      <c r="E23" s="12"/>
      <c r="F23" s="12"/>
      <c r="G23" s="12"/>
      <c r="H23" s="12"/>
      <c r="I23" s="12"/>
      <c r="J23" s="12"/>
      <c r="K23" s="12"/>
      <c r="L23" s="12"/>
      <c r="M23" s="12"/>
      <c r="N23" s="12"/>
      <c r="O23" s="12"/>
      <c r="P23" s="12"/>
      <c r="Q23" s="12"/>
      <c r="R23" s="12"/>
      <c r="S23" s="12"/>
      <c r="T23" s="1" t="str">
        <f>'Notes to Accounts'!C23</f>
        <v>Automotive leasing</v>
      </c>
      <c r="V23" s="280">
        <f>'Notes to Accounts'!E23</f>
        <v>1107</v>
      </c>
      <c r="W23" s="280">
        <f>'Notes to Accounts'!F23</f>
        <v>883</v>
      </c>
      <c r="X23" s="280">
        <f>'Notes to Accounts'!G23</f>
        <v>869</v>
      </c>
      <c r="Y23" s="280">
        <f>'Notes to Accounts'!H23</f>
        <v>1052</v>
      </c>
      <c r="Z23" s="280">
        <f>'Notes to Accounts'!I23</f>
        <v>1642</v>
      </c>
      <c r="AA23" s="280">
        <f>'Notes to Accounts'!J23</f>
        <v>1421.0000000000002</v>
      </c>
      <c r="AB23" s="280">
        <f>'Notes to Accounts'!K23</f>
        <v>1421.0000000000002</v>
      </c>
      <c r="AC23" s="280">
        <f>'Notes to Accounts'!L23</f>
        <v>1795.5000000000002</v>
      </c>
      <c r="AD23" s="280">
        <f>'Notes to Accounts'!M23</f>
        <v>1870.5</v>
      </c>
      <c r="AE23" s="280">
        <f>'Notes to Accounts'!N23</f>
        <v>2212.5</v>
      </c>
    </row>
    <row r="24" spans="3:31" ht="15" customHeight="1" x14ac:dyDescent="0.2">
      <c r="E24" s="12"/>
      <c r="F24" s="12"/>
      <c r="G24" s="12"/>
      <c r="H24" s="12"/>
      <c r="I24" s="12"/>
      <c r="J24" s="12"/>
      <c r="K24" s="12"/>
      <c r="L24" s="12"/>
      <c r="M24" s="12"/>
      <c r="N24" s="12"/>
      <c r="O24" s="12"/>
      <c r="P24" s="12"/>
      <c r="Q24" s="12"/>
      <c r="R24" s="12"/>
      <c r="S24" s="12"/>
      <c r="T24" s="1" t="str">
        <f>'Notes to Accounts'!C25</f>
        <v>Energy generation and storage</v>
      </c>
      <c r="V24" s="280">
        <f>'Notes to Accounts'!E25</f>
        <v>1116</v>
      </c>
      <c r="W24" s="280">
        <f>'Notes to Accounts'!F25</f>
        <v>1555</v>
      </c>
      <c r="X24" s="280">
        <f>'Notes to Accounts'!G25</f>
        <v>1531</v>
      </c>
      <c r="Y24" s="280">
        <f>'Notes to Accounts'!H25</f>
        <v>1994</v>
      </c>
      <c r="Z24" s="280">
        <f>'Notes to Accounts'!I25</f>
        <v>2789</v>
      </c>
      <c r="AA24" s="280">
        <f>'Notes to Accounts'!J25</f>
        <v>3625.7000000000003</v>
      </c>
      <c r="AB24" s="280">
        <f>'Notes to Accounts'!K25</f>
        <v>4713.4100000000008</v>
      </c>
      <c r="AC24" s="280">
        <f>'Notes to Accounts'!L25</f>
        <v>6268.8353000000016</v>
      </c>
      <c r="AD24" s="280">
        <f>'Notes to Accounts'!M25</f>
        <v>8525.6160080000009</v>
      </c>
      <c r="AE24" s="280">
        <f>'Notes to Accounts'!N25</f>
        <v>11850.606251120002</v>
      </c>
    </row>
    <row r="25" spans="3:31" ht="15" customHeight="1" x14ac:dyDescent="0.2">
      <c r="E25" s="12"/>
      <c r="F25" s="12"/>
      <c r="G25" s="12"/>
      <c r="H25" s="12"/>
      <c r="I25" s="12"/>
      <c r="J25" s="12"/>
      <c r="K25" s="12"/>
      <c r="L25" s="12"/>
      <c r="M25" s="12"/>
      <c r="N25" s="12"/>
      <c r="O25" s="12"/>
      <c r="P25" s="12"/>
      <c r="Q25" s="12"/>
      <c r="R25" s="12"/>
      <c r="S25" s="12"/>
      <c r="T25" s="1" t="str">
        <f>'Notes to Accounts'!C26</f>
        <v>Services and other</v>
      </c>
      <c r="V25" s="280">
        <f>'Notes to Accounts'!E26</f>
        <v>1001</v>
      </c>
      <c r="W25" s="280">
        <f>'Notes to Accounts'!F26</f>
        <v>1391</v>
      </c>
      <c r="X25" s="280">
        <f>'Notes to Accounts'!G26</f>
        <v>2226</v>
      </c>
      <c r="Y25" s="280">
        <f>'Notes to Accounts'!H26</f>
        <v>2306</v>
      </c>
      <c r="Z25" s="280">
        <f>'Notes to Accounts'!I26</f>
        <v>3802</v>
      </c>
      <c r="AA25" s="280">
        <f>'Notes to Accounts'!J26</f>
        <v>5512.9</v>
      </c>
      <c r="AB25" s="280">
        <f>'Notes to Accounts'!K26</f>
        <v>7993.704999999999</v>
      </c>
      <c r="AC25" s="280">
        <f>'Notes to Accounts'!L26</f>
        <v>11830.683399999998</v>
      </c>
      <c r="AD25" s="280">
        <f>'Notes to Accounts'!M26</f>
        <v>17864.331933999998</v>
      </c>
      <c r="AE25" s="280">
        <f>'Notes to Accounts'!N26</f>
        <v>27511.071178359998</v>
      </c>
    </row>
    <row r="26" spans="3:31" ht="15" customHeight="1" x14ac:dyDescent="0.2">
      <c r="E26" s="12"/>
      <c r="F26" s="12"/>
      <c r="G26" s="12"/>
      <c r="H26" s="12"/>
      <c r="I26" s="12"/>
      <c r="J26" s="12"/>
      <c r="K26" s="12"/>
      <c r="L26" s="12"/>
      <c r="M26" s="12"/>
      <c r="N26" s="12"/>
      <c r="O26" s="12"/>
      <c r="P26" s="12"/>
      <c r="Q26" s="12"/>
      <c r="R26" s="12"/>
      <c r="S26" s="12"/>
    </row>
    <row r="27" spans="3:31" ht="15" customHeight="1" x14ac:dyDescent="0.2">
      <c r="E27" s="12"/>
      <c r="F27" s="12"/>
      <c r="G27" s="12"/>
      <c r="H27" s="12"/>
      <c r="I27" s="12"/>
      <c r="J27" s="12"/>
      <c r="K27" s="12"/>
      <c r="L27" s="12"/>
      <c r="M27" s="12"/>
      <c r="N27" s="12"/>
      <c r="O27" s="12"/>
      <c r="P27" s="12"/>
      <c r="Q27" s="12"/>
      <c r="R27" s="12"/>
      <c r="S27" s="12"/>
      <c r="T27" s="19" t="s">
        <v>772</v>
      </c>
      <c r="V27" s="281">
        <f t="shared" ref="V27:AE27" si="1">V20</f>
        <v>2017</v>
      </c>
      <c r="W27" s="281">
        <f t="shared" si="1"/>
        <v>2018</v>
      </c>
      <c r="X27" s="281">
        <f t="shared" si="1"/>
        <v>2019</v>
      </c>
      <c r="Y27" s="281">
        <f t="shared" si="1"/>
        <v>2020</v>
      </c>
      <c r="Z27" s="281">
        <f t="shared" si="1"/>
        <v>2021</v>
      </c>
      <c r="AA27" s="281">
        <f t="shared" si="1"/>
        <v>2022</v>
      </c>
      <c r="AB27" s="281">
        <f t="shared" si="1"/>
        <v>2023</v>
      </c>
      <c r="AC27" s="281">
        <f t="shared" si="1"/>
        <v>2024</v>
      </c>
      <c r="AD27" s="281">
        <f t="shared" si="1"/>
        <v>2025</v>
      </c>
      <c r="AE27" s="281">
        <f t="shared" si="1"/>
        <v>2026</v>
      </c>
    </row>
    <row r="28" spans="3:31" ht="15" customHeight="1" x14ac:dyDescent="0.2">
      <c r="E28" s="12"/>
      <c r="F28" s="12"/>
      <c r="G28" s="12"/>
      <c r="H28" s="12"/>
      <c r="I28" s="12"/>
      <c r="J28" s="12"/>
      <c r="K28" s="12"/>
      <c r="L28" s="12"/>
      <c r="M28" s="12"/>
      <c r="N28" s="12"/>
      <c r="O28" s="12"/>
      <c r="P28" s="12"/>
      <c r="Q28" s="12"/>
      <c r="R28" s="12"/>
      <c r="S28" s="12"/>
    </row>
    <row r="29" spans="3:31" ht="15" customHeight="1" x14ac:dyDescent="0.2">
      <c r="E29" s="12"/>
      <c r="F29" s="12"/>
      <c r="G29" s="12"/>
      <c r="H29" s="12"/>
      <c r="I29" s="12"/>
      <c r="J29" s="12"/>
      <c r="K29" s="12"/>
      <c r="L29" s="12"/>
      <c r="M29" s="12"/>
      <c r="N29" s="12"/>
      <c r="O29" s="12"/>
      <c r="P29" s="12"/>
      <c r="Q29" s="12"/>
      <c r="R29" s="12"/>
      <c r="S29" s="12"/>
      <c r="T29" s="1" t="s">
        <v>774</v>
      </c>
      <c r="V29" s="280">
        <f>'Financial Statements'!E153</f>
        <v>3767</v>
      </c>
      <c r="W29" s="280">
        <f>'Financial Statements'!F153</f>
        <v>3964.9590000000026</v>
      </c>
      <c r="X29" s="280">
        <f>'Financial Statements'!G153</f>
        <v>4277</v>
      </c>
      <c r="Y29" s="280">
        <f>'Financial Statements'!H153</f>
        <v>6783</v>
      </c>
      <c r="Z29" s="280">
        <f>'Financial Statements'!I153</f>
        <v>19901</v>
      </c>
      <c r="AA29" s="280">
        <f>'Financial Statements'!J153</f>
        <v>18144</v>
      </c>
      <c r="AB29" s="280">
        <f>'Financial Statements'!K153</f>
        <v>30854.652340662753</v>
      </c>
      <c r="AC29" s="280">
        <f>'Financial Statements'!L153</f>
        <v>39177.641437068691</v>
      </c>
      <c r="AD29" s="280">
        <f>'Financial Statements'!M153</f>
        <v>62878.233414649949</v>
      </c>
      <c r="AE29" s="280">
        <f>'Financial Statements'!N153</f>
        <v>90584.412694157756</v>
      </c>
    </row>
    <row r="30" spans="3:31" ht="15" customHeight="1" x14ac:dyDescent="0.2">
      <c r="E30" s="12"/>
      <c r="F30" s="12"/>
      <c r="G30" s="12"/>
      <c r="H30" s="12"/>
      <c r="I30" s="12"/>
      <c r="J30" s="12"/>
      <c r="K30" s="12"/>
      <c r="L30" s="12"/>
      <c r="M30" s="12"/>
      <c r="N30" s="12"/>
      <c r="O30" s="12"/>
      <c r="P30" s="12"/>
      <c r="Q30" s="12"/>
      <c r="R30" s="12"/>
      <c r="S30" s="12"/>
      <c r="T30" s="1" t="s">
        <v>773</v>
      </c>
      <c r="V30" s="280">
        <f>'Financial Statements'!E132</f>
        <v>-61.040999999997439</v>
      </c>
      <c r="W30" s="280">
        <f>'Financial Statements'!F132</f>
        <v>2098.0409999999974</v>
      </c>
      <c r="X30" s="280">
        <f>'Financial Statements'!G132</f>
        <v>2405</v>
      </c>
      <c r="Y30" s="280">
        <f>'Financial Statements'!H132</f>
        <v>5943</v>
      </c>
      <c r="Z30" s="280">
        <f>'Financial Statements'!I132</f>
        <v>11497</v>
      </c>
      <c r="AA30" s="280">
        <f>'Financial Statements'!J132</f>
        <v>22323.963855532678</v>
      </c>
      <c r="AB30" s="280">
        <f>'Financial Statements'!K132</f>
        <v>17311.825488745948</v>
      </c>
      <c r="AC30" s="280">
        <f>'Financial Statements'!L132</f>
        <v>35698.231531828715</v>
      </c>
      <c r="AD30" s="280">
        <f>'Financial Statements'!M132</f>
        <v>42055.525360053274</v>
      </c>
      <c r="AE30" s="280">
        <f>'Financial Statements'!N132</f>
        <v>57234.958939608434</v>
      </c>
    </row>
    <row r="31" spans="3:31" ht="15" customHeight="1" x14ac:dyDescent="0.2">
      <c r="E31" s="12"/>
      <c r="F31" s="12"/>
      <c r="G31" s="12"/>
      <c r="H31" s="12"/>
      <c r="I31" s="12"/>
      <c r="J31" s="12"/>
      <c r="K31" s="12"/>
      <c r="L31" s="12"/>
      <c r="M31" s="12"/>
      <c r="N31" s="12"/>
      <c r="O31" s="12"/>
      <c r="P31" s="12"/>
      <c r="Q31" s="12"/>
      <c r="R31" s="12"/>
      <c r="S31" s="12"/>
      <c r="T31" s="1" t="s">
        <v>775</v>
      </c>
      <c r="V31" s="280">
        <f>'Financial Statements'!E139</f>
        <v>-4196</v>
      </c>
      <c r="W31" s="280">
        <f>'Financial Statements'!F139</f>
        <v>-2337</v>
      </c>
      <c r="X31" s="280">
        <f>'Financial Statements'!G139</f>
        <v>-1436</v>
      </c>
      <c r="Y31" s="280">
        <f>'Financial Statements'!H139</f>
        <v>-3132</v>
      </c>
      <c r="Z31" s="280">
        <f>'Financial Statements'!I139</f>
        <v>-7868</v>
      </c>
      <c r="AA31" s="280">
        <f>'Financial Statements'!J139</f>
        <v>-7033.3115148699253</v>
      </c>
      <c r="AB31" s="280">
        <f>'Financial Statements'!K139</f>
        <v>-8192.5190846477035</v>
      </c>
      <c r="AC31" s="280">
        <f>'Financial Statements'!L139</f>
        <v>-11247.322246555148</v>
      </c>
      <c r="AD31" s="280">
        <f>'Financial Statements'!M139</f>
        <v>-13645.028772853162</v>
      </c>
      <c r="AE31" s="280">
        <f>'Financial Statements'!N139</f>
        <v>-16020.457887764805</v>
      </c>
    </row>
    <row r="32" spans="3:31" ht="15" customHeight="1" x14ac:dyDescent="0.2">
      <c r="E32" s="12"/>
      <c r="F32" s="12"/>
      <c r="G32" s="12"/>
      <c r="H32" s="12"/>
      <c r="I32" s="12"/>
      <c r="J32" s="12"/>
      <c r="K32" s="12"/>
      <c r="L32" s="12"/>
      <c r="M32" s="12"/>
      <c r="N32" s="12"/>
      <c r="O32" s="12"/>
      <c r="P32" s="12"/>
      <c r="Q32" s="12"/>
      <c r="R32" s="12"/>
      <c r="S32" s="12"/>
      <c r="T32" s="1" t="s">
        <v>776</v>
      </c>
      <c r="V32" s="280">
        <f>'Financial Statements'!E149</f>
        <v>4415</v>
      </c>
      <c r="W32" s="280">
        <f>'Financial Statements'!F149</f>
        <v>574</v>
      </c>
      <c r="X32" s="280">
        <f>'Financial Statements'!G149</f>
        <v>1529</v>
      </c>
      <c r="Y32" s="280">
        <f>'Financial Statements'!H149</f>
        <v>9973</v>
      </c>
      <c r="Z32" s="280">
        <f>'Financial Statements'!I149</f>
        <v>-5203</v>
      </c>
      <c r="AA32" s="280">
        <f>'Financial Statements'!J149</f>
        <v>-2580</v>
      </c>
      <c r="AB32" s="280">
        <f>'Financial Statements'!K149</f>
        <v>-796.31730769230774</v>
      </c>
      <c r="AC32" s="280">
        <f>'Financial Statements'!L149</f>
        <v>-750.31730769230774</v>
      </c>
      <c r="AD32" s="280">
        <f>'Financial Statements'!M149</f>
        <v>-704.31730769230774</v>
      </c>
      <c r="AE32" s="280">
        <f>'Financial Statements'!N149</f>
        <v>-657.31730769230774</v>
      </c>
    </row>
    <row r="33" spans="5:31" ht="15" customHeight="1" x14ac:dyDescent="0.2">
      <c r="E33" s="12"/>
      <c r="F33" s="12"/>
      <c r="G33" s="12"/>
      <c r="H33" s="12"/>
      <c r="I33" s="12"/>
      <c r="J33" s="12"/>
      <c r="K33" s="12"/>
      <c r="L33" s="12"/>
      <c r="M33" s="12"/>
      <c r="N33" s="12"/>
      <c r="O33" s="12"/>
      <c r="P33" s="12"/>
      <c r="Q33" s="12"/>
      <c r="R33" s="12"/>
      <c r="S33" s="12"/>
      <c r="T33" s="1" t="s">
        <v>777</v>
      </c>
      <c r="V33" s="280">
        <f>'Financial Statements'!E154</f>
        <v>3964.9590000000026</v>
      </c>
      <c r="W33" s="280">
        <f>'Financial Statements'!F154</f>
        <v>4277</v>
      </c>
      <c r="X33" s="280">
        <f>'Financial Statements'!G154</f>
        <v>6783</v>
      </c>
      <c r="Y33" s="280">
        <f>'Financial Statements'!H154</f>
        <v>19901</v>
      </c>
      <c r="Z33" s="280">
        <f>'Financial Statements'!I154</f>
        <v>18144</v>
      </c>
      <c r="AA33" s="280">
        <f>'Financial Statements'!J154</f>
        <v>30854.652340662753</v>
      </c>
      <c r="AB33" s="280">
        <f>'Financial Statements'!K154</f>
        <v>39177.641437068691</v>
      </c>
      <c r="AC33" s="280">
        <f>'Financial Statements'!L154</f>
        <v>62878.233414649949</v>
      </c>
      <c r="AD33" s="280">
        <f>'Financial Statements'!M154</f>
        <v>90584.412694157756</v>
      </c>
      <c r="AE33" s="280">
        <f>'Financial Statements'!N154</f>
        <v>131141.59643830909</v>
      </c>
    </row>
    <row r="34" spans="5:31" ht="15" customHeight="1" x14ac:dyDescent="0.2">
      <c r="E34" s="12"/>
      <c r="F34" s="12"/>
      <c r="G34" s="12"/>
      <c r="H34" s="12"/>
      <c r="I34" s="12"/>
      <c r="J34" s="12"/>
      <c r="K34" s="12"/>
      <c r="L34" s="12"/>
      <c r="M34" s="12"/>
      <c r="N34" s="12"/>
      <c r="O34" s="12"/>
      <c r="P34" s="12"/>
      <c r="Q34" s="12"/>
      <c r="R34" s="12"/>
      <c r="S34" s="12"/>
    </row>
    <row r="35" spans="5:31" ht="15" customHeight="1" x14ac:dyDescent="0.2">
      <c r="E35" s="12"/>
      <c r="F35" s="12"/>
      <c r="G35" s="12"/>
      <c r="H35" s="12"/>
      <c r="I35" s="12"/>
      <c r="J35" s="12"/>
      <c r="K35" s="12"/>
      <c r="L35" s="12"/>
      <c r="M35" s="12"/>
      <c r="N35" s="12"/>
      <c r="O35" s="12"/>
      <c r="P35" s="12"/>
      <c r="Q35" s="12"/>
      <c r="R35" s="12"/>
      <c r="S35" s="12"/>
    </row>
    <row r="36" spans="5:31" ht="15" customHeight="1" x14ac:dyDescent="0.2">
      <c r="E36" s="12"/>
      <c r="F36" s="12"/>
      <c r="G36" s="12"/>
      <c r="H36" s="12"/>
      <c r="I36" s="12"/>
      <c r="J36" s="12"/>
      <c r="K36" s="12"/>
      <c r="L36" s="12"/>
      <c r="M36" s="12"/>
      <c r="N36" s="12"/>
      <c r="O36" s="12"/>
      <c r="P36" s="12"/>
      <c r="Q36" s="12"/>
      <c r="R36" s="12"/>
      <c r="S36" s="12"/>
      <c r="T36" s="19" t="s">
        <v>780</v>
      </c>
    </row>
    <row r="37" spans="5:31" ht="15" customHeight="1" x14ac:dyDescent="0.2">
      <c r="E37" s="12"/>
      <c r="F37" s="12"/>
      <c r="G37" s="12"/>
      <c r="H37" s="12"/>
      <c r="I37" s="12"/>
      <c r="J37" s="12"/>
      <c r="K37" s="12"/>
      <c r="L37" s="12"/>
      <c r="M37" s="12"/>
      <c r="N37" s="12"/>
      <c r="O37" s="12"/>
      <c r="P37" s="12"/>
      <c r="Q37" s="12"/>
      <c r="R37" s="12"/>
      <c r="S37" s="12"/>
      <c r="W37" s="238" t="s">
        <v>721</v>
      </c>
      <c r="X37" s="238" t="s">
        <v>652</v>
      </c>
      <c r="Y37" s="238" t="s">
        <v>722</v>
      </c>
    </row>
    <row r="38" spans="5:31" ht="15" customHeight="1" x14ac:dyDescent="0.2">
      <c r="E38" s="12"/>
      <c r="F38" s="12"/>
      <c r="G38" s="12"/>
      <c r="H38" s="12"/>
      <c r="I38" s="12"/>
      <c r="J38" s="12"/>
      <c r="K38" s="12"/>
      <c r="L38" s="12"/>
      <c r="M38" s="12"/>
      <c r="N38" s="12"/>
      <c r="O38" s="12"/>
      <c r="P38" s="12"/>
      <c r="Q38" s="12"/>
      <c r="R38" s="12"/>
      <c r="S38" s="12"/>
      <c r="T38" s="13" t="s">
        <v>779</v>
      </c>
      <c r="W38" s="284">
        <f>'DCF Valuation'!M115</f>
        <v>217.32654268874091</v>
      </c>
      <c r="X38" s="284">
        <f>'DCF Valuation'!$G$119</f>
        <v>273.10824849289946</v>
      </c>
      <c r="Y38" s="284">
        <f>'DCF Valuation'!$L$115</f>
        <v>328.88995429705818</v>
      </c>
    </row>
    <row r="39" spans="5:31" ht="20" customHeight="1" x14ac:dyDescent="0.2">
      <c r="E39" s="12"/>
      <c r="F39" s="12"/>
      <c r="G39" s="12"/>
      <c r="H39" s="12"/>
      <c r="I39" s="12"/>
      <c r="J39" s="12"/>
      <c r="K39" s="12"/>
      <c r="L39" s="12"/>
      <c r="M39" s="12"/>
      <c r="N39" s="282" t="s">
        <v>778</v>
      </c>
      <c r="O39" s="283"/>
      <c r="P39" s="283"/>
      <c r="Q39" s="283"/>
      <c r="R39" s="12"/>
      <c r="S39" s="12"/>
      <c r="T39" s="13" t="s">
        <v>782</v>
      </c>
      <c r="W39" s="284">
        <f>'Comp''s Analysis'!$S$32</f>
        <v>124.30977106347737</v>
      </c>
      <c r="X39" s="284">
        <f t="shared" ref="X39:X41" si="2">Y39-W39</f>
        <v>230.79928016532418</v>
      </c>
      <c r="Y39" s="284">
        <f>'Comp''s Analysis'!$Q$32</f>
        <v>355.10905122880155</v>
      </c>
    </row>
    <row r="40" spans="5:31" ht="15" customHeight="1" x14ac:dyDescent="0.2">
      <c r="E40" s="12"/>
      <c r="F40" s="12"/>
      <c r="G40" s="12"/>
      <c r="H40" s="12"/>
      <c r="I40" s="12"/>
      <c r="J40" s="12"/>
      <c r="K40" s="12"/>
      <c r="L40" s="12"/>
      <c r="M40" s="12"/>
      <c r="N40" s="12"/>
      <c r="O40" s="12"/>
      <c r="P40" s="12"/>
      <c r="Q40" s="12"/>
      <c r="R40" s="12"/>
      <c r="S40" s="12"/>
      <c r="T40" s="13" t="s">
        <v>783</v>
      </c>
      <c r="W40" s="284">
        <f>'Comp''s Analysis'!$T$57</f>
        <v>270.45699999999999</v>
      </c>
      <c r="X40" s="284">
        <f t="shared" si="2"/>
        <v>6.2770000000000437</v>
      </c>
      <c r="Y40" s="284">
        <f>'Comp''s Analysis'!$U$57</f>
        <v>276.73400000000004</v>
      </c>
    </row>
    <row r="41" spans="5:31" ht="15" customHeight="1" x14ac:dyDescent="0.2">
      <c r="E41" s="12"/>
      <c r="F41" s="12"/>
      <c r="G41" s="12"/>
      <c r="H41" s="12"/>
      <c r="I41" s="12"/>
      <c r="J41" s="12"/>
      <c r="K41" s="12"/>
      <c r="L41" s="12"/>
      <c r="M41" s="12"/>
      <c r="N41" s="12"/>
      <c r="O41" s="237" t="str">
        <f>W37</f>
        <v>Low</v>
      </c>
      <c r="P41" s="237" t="str">
        <f t="shared" ref="P41:Q41" si="3">X37</f>
        <v>Average</v>
      </c>
      <c r="Q41" s="237" t="str">
        <f t="shared" si="3"/>
        <v>High</v>
      </c>
      <c r="R41" s="12"/>
      <c r="S41" s="12"/>
      <c r="T41" s="13" t="s">
        <v>781</v>
      </c>
      <c r="W41" s="284">
        <f>'Comp''s Analysis'!$T$59</f>
        <v>206.86</v>
      </c>
      <c r="X41" s="284">
        <f t="shared" si="2"/>
        <v>207.64</v>
      </c>
      <c r="Y41" s="284">
        <f>'Comp''s Analysis'!$U$59</f>
        <v>414.5</v>
      </c>
    </row>
    <row r="42" spans="5:31" ht="15" customHeight="1" x14ac:dyDescent="0.2">
      <c r="E42" s="12"/>
      <c r="F42" s="12"/>
      <c r="G42" s="12"/>
      <c r="H42" s="12"/>
      <c r="I42" s="12"/>
      <c r="J42" s="12"/>
      <c r="K42" s="12"/>
      <c r="L42" s="12"/>
      <c r="M42" s="12"/>
      <c r="N42" s="12"/>
      <c r="R42" s="12"/>
      <c r="S42" s="12"/>
      <c r="T42" s="230" t="s">
        <v>652</v>
      </c>
      <c r="U42" s="231"/>
      <c r="V42" s="231"/>
      <c r="W42" s="285">
        <f t="shared" ref="W42:Y42" si="4">AVERAGE(W38:W41)</f>
        <v>204.73832843805457</v>
      </c>
      <c r="X42" s="285">
        <f t="shared" si="4"/>
        <v>179.45613216455592</v>
      </c>
      <c r="Y42" s="286">
        <f t="shared" si="4"/>
        <v>343.80825138146497</v>
      </c>
    </row>
    <row r="43" spans="5:31" ht="15" customHeight="1" x14ac:dyDescent="0.2">
      <c r="E43" s="12"/>
      <c r="F43" s="12"/>
      <c r="G43" s="12"/>
      <c r="H43" s="12"/>
      <c r="I43" s="12"/>
      <c r="J43" s="12"/>
      <c r="K43" s="12"/>
      <c r="L43" s="12"/>
      <c r="M43" s="12"/>
      <c r="N43" s="53" t="str">
        <f>T38</f>
        <v>DCF</v>
      </c>
      <c r="O43" s="271">
        <f t="shared" ref="O43:Q46" si="5">W38</f>
        <v>217.32654268874091</v>
      </c>
      <c r="P43" s="271">
        <f t="shared" si="5"/>
        <v>273.10824849289946</v>
      </c>
      <c r="Q43" s="271">
        <f t="shared" si="5"/>
        <v>328.88995429705818</v>
      </c>
      <c r="R43" s="12"/>
      <c r="S43" s="12"/>
    </row>
    <row r="44" spans="5:31" ht="15" customHeight="1" x14ac:dyDescent="0.2">
      <c r="E44" s="12"/>
      <c r="F44" s="12"/>
      <c r="G44" s="12"/>
      <c r="H44" s="12"/>
      <c r="I44" s="12"/>
      <c r="J44" s="12"/>
      <c r="K44" s="12"/>
      <c r="L44" s="12"/>
      <c r="M44" s="12"/>
      <c r="N44" s="53" t="str">
        <f t="shared" ref="N44:N47" si="6">T39</f>
        <v>Comp's</v>
      </c>
      <c r="O44" s="271">
        <f t="shared" si="5"/>
        <v>124.30977106347737</v>
      </c>
      <c r="P44" s="271">
        <f t="shared" si="5"/>
        <v>230.79928016532418</v>
      </c>
      <c r="Q44" s="271">
        <f t="shared" si="5"/>
        <v>355.10905122880155</v>
      </c>
      <c r="R44" s="12"/>
      <c r="S44" s="12"/>
    </row>
    <row r="45" spans="5:31" ht="15" customHeight="1" x14ac:dyDescent="0.2">
      <c r="E45" s="12"/>
      <c r="F45" s="12"/>
      <c r="G45" s="12"/>
      <c r="H45" s="12"/>
      <c r="I45" s="12"/>
      <c r="J45" s="12"/>
      <c r="K45" s="12"/>
      <c r="L45" s="12"/>
      <c r="M45" s="12"/>
      <c r="N45" s="53" t="str">
        <f t="shared" si="6"/>
        <v>Equity Analyst</v>
      </c>
      <c r="O45" s="271">
        <f t="shared" si="5"/>
        <v>270.45699999999999</v>
      </c>
      <c r="P45" s="271">
        <f t="shared" si="5"/>
        <v>6.2770000000000437</v>
      </c>
      <c r="Q45" s="271">
        <f t="shared" si="5"/>
        <v>276.73400000000004</v>
      </c>
      <c r="R45" s="12"/>
      <c r="S45" s="12"/>
    </row>
    <row r="46" spans="5:31" ht="15" customHeight="1" x14ac:dyDescent="0.2">
      <c r="E46" s="12"/>
      <c r="F46" s="12"/>
      <c r="G46" s="12"/>
      <c r="H46" s="12"/>
      <c r="I46" s="12"/>
      <c r="J46" s="12"/>
      <c r="K46" s="12"/>
      <c r="L46" s="12"/>
      <c r="M46" s="12"/>
      <c r="N46" s="53" t="str">
        <f t="shared" si="6"/>
        <v xml:space="preserve">52 Week </v>
      </c>
      <c r="O46" s="271">
        <f t="shared" si="5"/>
        <v>206.86</v>
      </c>
      <c r="P46" s="271">
        <f t="shared" si="5"/>
        <v>207.64</v>
      </c>
      <c r="Q46" s="271">
        <f t="shared" si="5"/>
        <v>414.5</v>
      </c>
      <c r="R46" s="12"/>
      <c r="S46" s="12"/>
    </row>
    <row r="47" spans="5:31" ht="15" customHeight="1" x14ac:dyDescent="0.2">
      <c r="E47" s="12"/>
      <c r="F47" s="12"/>
      <c r="G47" s="12"/>
      <c r="H47" s="12"/>
      <c r="I47" s="12"/>
      <c r="J47" s="12"/>
      <c r="K47" s="12"/>
      <c r="L47" s="12"/>
      <c r="M47" s="12"/>
      <c r="N47" s="53" t="str">
        <f t="shared" si="6"/>
        <v>Average</v>
      </c>
      <c r="O47" s="271">
        <f t="shared" ref="O47:Q47" si="7">AVERAGE(O43:O46)</f>
        <v>204.73832843805457</v>
      </c>
      <c r="P47" s="271">
        <f t="shared" si="7"/>
        <v>179.45613216455592</v>
      </c>
      <c r="Q47" s="271">
        <f t="shared" si="7"/>
        <v>343.80825138146497</v>
      </c>
      <c r="R47" s="12"/>
      <c r="S47" s="12"/>
    </row>
    <row r="48" spans="5:31" ht="15" customHeight="1" x14ac:dyDescent="0.2">
      <c r="E48" s="12"/>
      <c r="F48" s="12"/>
      <c r="G48" s="12"/>
      <c r="H48" s="12"/>
      <c r="I48" s="12"/>
      <c r="J48" s="12"/>
      <c r="K48" s="12"/>
      <c r="L48" s="12"/>
      <c r="M48" s="12"/>
      <c r="N48" s="12"/>
      <c r="O48" s="12"/>
      <c r="P48" s="12"/>
      <c r="Q48" s="12"/>
      <c r="R48" s="12"/>
      <c r="S48" s="12"/>
    </row>
    <row r="49" spans="5:19" ht="15" customHeight="1" x14ac:dyDescent="0.2">
      <c r="E49" s="12"/>
      <c r="F49" s="12"/>
      <c r="G49" s="12"/>
      <c r="H49" s="12"/>
      <c r="I49" s="12"/>
      <c r="J49" s="12"/>
      <c r="K49" s="12"/>
      <c r="L49" s="12"/>
      <c r="M49" s="12"/>
      <c r="N49" s="12"/>
      <c r="O49" s="12"/>
      <c r="P49" s="12"/>
      <c r="Q49" s="12"/>
      <c r="R49" s="12"/>
      <c r="S49" s="12"/>
    </row>
    <row r="50" spans="5:19" ht="15" customHeight="1" x14ac:dyDescent="0.2">
      <c r="E50" s="12"/>
      <c r="F50" s="12"/>
      <c r="G50" s="12"/>
      <c r="H50" s="12"/>
      <c r="I50" s="12"/>
      <c r="J50" s="12"/>
      <c r="K50" s="12"/>
      <c r="L50" s="12"/>
      <c r="M50" s="12"/>
      <c r="N50" s="12"/>
      <c r="O50" s="12"/>
      <c r="P50" s="12"/>
      <c r="Q50" s="12"/>
      <c r="R50" s="12"/>
      <c r="S50" s="12"/>
    </row>
    <row r="51" spans="5:19" ht="15" customHeight="1" x14ac:dyDescent="0.2">
      <c r="E51" s="12"/>
      <c r="F51" s="12"/>
      <c r="G51" s="12"/>
      <c r="H51" s="12"/>
      <c r="I51" s="12"/>
      <c r="J51" s="12"/>
      <c r="K51" s="12"/>
      <c r="L51" s="12"/>
      <c r="M51" s="12"/>
      <c r="N51" s="12"/>
      <c r="O51" s="12"/>
      <c r="P51" s="12"/>
      <c r="Q51" s="12"/>
      <c r="R51" s="12"/>
      <c r="S51" s="12"/>
    </row>
    <row r="52" spans="5:19" ht="15" customHeight="1" x14ac:dyDescent="0.2">
      <c r="E52" s="12"/>
      <c r="F52" s="12"/>
      <c r="G52" s="12"/>
      <c r="H52" s="12"/>
      <c r="I52" s="12"/>
      <c r="J52" s="12"/>
      <c r="K52" s="12"/>
      <c r="L52" s="12"/>
      <c r="M52" s="12"/>
      <c r="N52" s="12"/>
      <c r="O52" s="12"/>
      <c r="P52" s="12"/>
      <c r="Q52" s="12"/>
      <c r="R52" s="12"/>
      <c r="S52" s="12"/>
    </row>
    <row r="53" spans="5:19" ht="15" customHeight="1" x14ac:dyDescent="0.2">
      <c r="E53" s="12"/>
      <c r="F53" s="12"/>
      <c r="G53" s="12"/>
      <c r="H53" s="12"/>
      <c r="I53" s="12"/>
      <c r="J53" s="12"/>
      <c r="K53" s="12"/>
      <c r="L53" s="12"/>
      <c r="M53" s="12"/>
      <c r="N53" s="12"/>
      <c r="O53" s="12"/>
      <c r="P53" s="12"/>
      <c r="Q53" s="12"/>
      <c r="R53" s="12"/>
      <c r="S53" s="12"/>
    </row>
    <row r="54" spans="5:19" ht="15" customHeight="1" x14ac:dyDescent="0.2">
      <c r="E54" s="12"/>
      <c r="F54" s="12"/>
      <c r="G54" s="12"/>
      <c r="H54" s="12"/>
      <c r="I54" s="12"/>
      <c r="J54" s="12"/>
      <c r="K54" s="12"/>
      <c r="L54" s="12"/>
      <c r="M54" s="12"/>
      <c r="N54" s="12"/>
      <c r="O54" s="12"/>
      <c r="P54" s="12"/>
      <c r="Q54" s="12"/>
      <c r="R54" s="12"/>
      <c r="S54" s="12"/>
    </row>
    <row r="55" spans="5:19" ht="15" customHeight="1" x14ac:dyDescent="0.2">
      <c r="E55" s="12"/>
      <c r="F55" s="12"/>
      <c r="G55" s="12"/>
      <c r="H55" s="12"/>
      <c r="I55" s="12"/>
      <c r="J55" s="12"/>
      <c r="K55" s="12"/>
      <c r="L55" s="12"/>
      <c r="M55" s="12"/>
      <c r="N55" s="12"/>
      <c r="O55" s="12"/>
      <c r="P55" s="12"/>
      <c r="Q55" s="12"/>
      <c r="R55" s="12"/>
      <c r="S55" s="12"/>
    </row>
    <row r="56" spans="5:19" ht="15" customHeight="1" x14ac:dyDescent="0.2">
      <c r="E56" s="12"/>
      <c r="F56" s="12"/>
      <c r="G56" s="12"/>
      <c r="H56" s="12"/>
      <c r="I56" s="12"/>
      <c r="J56" s="12"/>
      <c r="K56" s="12"/>
      <c r="L56" s="12"/>
      <c r="M56" s="12"/>
      <c r="N56" s="12"/>
      <c r="O56" s="12"/>
      <c r="P56" s="12"/>
      <c r="Q56" s="12"/>
      <c r="R56" s="12"/>
      <c r="S56" s="12"/>
    </row>
    <row r="57" spans="5:19" ht="15" customHeight="1" x14ac:dyDescent="0.2">
      <c r="E57" s="12"/>
      <c r="F57" s="12"/>
      <c r="G57" s="12"/>
      <c r="H57" s="12"/>
      <c r="I57" s="12"/>
      <c r="J57" s="12"/>
      <c r="K57" s="12"/>
      <c r="L57" s="12"/>
      <c r="M57" s="12"/>
      <c r="N57" s="12"/>
      <c r="O57" s="12"/>
      <c r="P57" s="12"/>
      <c r="Q57" s="12"/>
      <c r="R57" s="12"/>
      <c r="S57" s="12"/>
    </row>
    <row r="58" spans="5:19" ht="15" customHeight="1" x14ac:dyDescent="0.2">
      <c r="E58" s="12"/>
      <c r="F58" s="12"/>
      <c r="G58" s="12"/>
      <c r="H58" s="12"/>
      <c r="I58" s="12"/>
      <c r="J58" s="12"/>
      <c r="K58" s="12"/>
      <c r="L58" s="12"/>
      <c r="M58" s="12"/>
      <c r="N58" s="12"/>
      <c r="O58" s="12"/>
      <c r="P58" s="12"/>
      <c r="Q58" s="12"/>
      <c r="R58" s="12"/>
      <c r="S58" s="12"/>
    </row>
    <row r="59" spans="5:19" ht="15" customHeight="1" x14ac:dyDescent="0.2">
      <c r="E59" s="12"/>
      <c r="F59" s="12"/>
      <c r="G59" s="12"/>
      <c r="H59" s="12"/>
      <c r="I59" s="12"/>
      <c r="J59" s="12"/>
      <c r="K59" s="12"/>
      <c r="L59" s="12"/>
      <c r="M59" s="12"/>
      <c r="N59" s="12"/>
      <c r="O59" s="12"/>
      <c r="P59" s="12"/>
      <c r="Q59" s="12"/>
      <c r="R59" s="12"/>
      <c r="S59" s="12"/>
    </row>
    <row r="60" spans="5:19" ht="15" customHeight="1" x14ac:dyDescent="0.2">
      <c r="E60" s="12"/>
      <c r="F60" s="12"/>
      <c r="G60" s="12"/>
      <c r="H60" s="12"/>
      <c r="I60" s="12"/>
      <c r="J60" s="12"/>
      <c r="K60" s="12"/>
      <c r="L60" s="12"/>
      <c r="M60" s="12"/>
      <c r="N60" s="12"/>
      <c r="O60" s="12"/>
      <c r="P60" s="12"/>
      <c r="Q60" s="12"/>
      <c r="R60" s="12"/>
      <c r="S60" s="12"/>
    </row>
    <row r="61" spans="5:19" ht="15" customHeight="1" x14ac:dyDescent="0.2">
      <c r="E61" s="12"/>
      <c r="F61" s="12"/>
      <c r="G61" s="12"/>
      <c r="H61" s="12"/>
      <c r="I61" s="12"/>
      <c r="J61" s="12"/>
      <c r="K61" s="12"/>
      <c r="L61" s="12"/>
      <c r="M61" s="12"/>
      <c r="N61" s="12"/>
      <c r="O61" s="12"/>
      <c r="P61" s="12"/>
      <c r="Q61" s="12"/>
      <c r="R61" s="12"/>
      <c r="S61" s="12"/>
    </row>
    <row r="62" spans="5:19" ht="15" customHeight="1" x14ac:dyDescent="0.2">
      <c r="E62" s="12"/>
      <c r="F62" s="12"/>
      <c r="G62" s="12"/>
      <c r="H62" s="12"/>
      <c r="I62" s="12"/>
      <c r="J62" s="12"/>
      <c r="K62" s="12"/>
      <c r="L62" s="12"/>
      <c r="M62" s="12"/>
      <c r="N62" s="12"/>
      <c r="O62" s="12"/>
      <c r="P62" s="12"/>
      <c r="Q62" s="12"/>
      <c r="R62" s="12"/>
      <c r="S62" s="12"/>
    </row>
    <row r="63" spans="5:19" ht="15" customHeight="1" x14ac:dyDescent="0.2">
      <c r="E63" s="12"/>
      <c r="F63" s="12"/>
      <c r="G63" s="12"/>
      <c r="H63" s="12"/>
      <c r="I63" s="12"/>
      <c r="J63" s="12"/>
      <c r="K63" s="12"/>
      <c r="L63" s="12"/>
      <c r="M63" s="12"/>
      <c r="N63" s="12"/>
      <c r="O63" s="12"/>
      <c r="P63" s="12"/>
      <c r="Q63" s="12"/>
      <c r="R63" s="12"/>
      <c r="S63" s="12"/>
    </row>
    <row r="64" spans="5:19" ht="15" customHeight="1" x14ac:dyDescent="0.2">
      <c r="E64" s="12"/>
      <c r="F64" s="12"/>
      <c r="G64" s="12"/>
      <c r="H64" s="12"/>
      <c r="I64" s="12"/>
      <c r="J64" s="12"/>
      <c r="K64" s="12"/>
      <c r="L64" s="12"/>
      <c r="M64" s="12"/>
      <c r="N64" s="12"/>
      <c r="O64" s="12"/>
      <c r="P64" s="12"/>
      <c r="Q64" s="12"/>
      <c r="R64" s="12"/>
      <c r="S64" s="12"/>
    </row>
    <row r="65" spans="5:19" ht="15" customHeight="1" x14ac:dyDescent="0.2">
      <c r="E65" s="12"/>
      <c r="F65" s="12"/>
      <c r="G65" s="12"/>
      <c r="H65" s="12"/>
      <c r="I65" s="12"/>
      <c r="J65" s="12"/>
      <c r="K65" s="12"/>
      <c r="L65" s="12"/>
      <c r="M65" s="12"/>
      <c r="N65" s="12"/>
      <c r="O65" s="12"/>
      <c r="P65" s="12"/>
      <c r="Q65" s="12"/>
      <c r="R65" s="12"/>
      <c r="S65" s="12"/>
    </row>
    <row r="66" spans="5:19" ht="15" customHeight="1" x14ac:dyDescent="0.2">
      <c r="E66" s="12"/>
      <c r="F66" s="12"/>
      <c r="G66" s="12"/>
      <c r="H66" s="12"/>
      <c r="I66" s="12"/>
      <c r="J66" s="12"/>
      <c r="K66" s="12"/>
      <c r="L66" s="12"/>
      <c r="M66" s="12"/>
      <c r="N66" s="12"/>
      <c r="O66" s="12"/>
      <c r="P66" s="12"/>
      <c r="Q66" s="12"/>
      <c r="R66" s="12"/>
      <c r="S66" s="12"/>
    </row>
    <row r="67" spans="5:19" ht="15" customHeight="1" x14ac:dyDescent="0.2">
      <c r="E67" s="12"/>
      <c r="F67" s="12"/>
      <c r="G67" s="12"/>
      <c r="H67" s="12"/>
      <c r="I67" s="12"/>
      <c r="J67" s="12"/>
      <c r="K67" s="12"/>
      <c r="L67" s="12"/>
      <c r="M67" s="12"/>
      <c r="N67" s="12"/>
      <c r="O67" s="12"/>
      <c r="P67" s="12"/>
      <c r="Q67" s="12"/>
      <c r="R67" s="12"/>
      <c r="S67" s="12"/>
    </row>
    <row r="68" spans="5:19" ht="15" customHeight="1" x14ac:dyDescent="0.2">
      <c r="E68" s="12"/>
      <c r="F68" s="12"/>
      <c r="G68" s="12"/>
      <c r="H68" s="12"/>
      <c r="I68" s="12"/>
      <c r="J68" s="12"/>
      <c r="K68" s="12"/>
      <c r="L68" s="12"/>
      <c r="M68" s="12"/>
      <c r="N68" s="12"/>
      <c r="O68" s="12"/>
      <c r="P68" s="12"/>
      <c r="Q68" s="12"/>
      <c r="R68" s="12"/>
      <c r="S68" s="12"/>
    </row>
    <row r="69" spans="5:19" ht="15" customHeight="1" x14ac:dyDescent="0.2">
      <c r="E69" s="12"/>
      <c r="F69" s="12"/>
      <c r="G69" s="12"/>
      <c r="H69" s="12"/>
      <c r="I69" s="12"/>
      <c r="J69" s="12"/>
      <c r="K69" s="12"/>
      <c r="L69" s="12"/>
      <c r="M69" s="12"/>
      <c r="N69" s="12"/>
      <c r="O69" s="12"/>
      <c r="P69" s="12"/>
      <c r="Q69" s="12"/>
      <c r="R69" s="12"/>
      <c r="S69" s="12"/>
    </row>
    <row r="70" spans="5:19" ht="15" customHeight="1" x14ac:dyDescent="0.2">
      <c r="E70" s="12"/>
      <c r="F70" s="12"/>
      <c r="G70" s="12"/>
      <c r="H70" s="12"/>
      <c r="I70" s="12"/>
      <c r="J70" s="12"/>
      <c r="K70" s="12"/>
      <c r="L70" s="12"/>
      <c r="M70" s="12"/>
      <c r="N70" s="12"/>
      <c r="O70" s="12"/>
      <c r="P70" s="12"/>
      <c r="Q70" s="12"/>
      <c r="R70" s="12"/>
      <c r="S70" s="12"/>
    </row>
    <row r="71" spans="5:19" ht="15" customHeight="1" x14ac:dyDescent="0.2">
      <c r="E71" s="12"/>
      <c r="F71" s="12"/>
      <c r="G71" s="12"/>
      <c r="H71" s="12"/>
      <c r="I71" s="12"/>
      <c r="J71" s="12"/>
      <c r="K71" s="12"/>
      <c r="L71" s="12"/>
      <c r="M71" s="12"/>
      <c r="N71" s="12"/>
      <c r="O71" s="12"/>
      <c r="P71" s="12"/>
      <c r="Q71" s="12"/>
      <c r="R71" s="12"/>
      <c r="S71" s="12"/>
    </row>
    <row r="72" spans="5:19" ht="15" customHeight="1" x14ac:dyDescent="0.2">
      <c r="E72" s="12"/>
      <c r="F72" s="12"/>
      <c r="G72" s="12"/>
      <c r="H72" s="12"/>
      <c r="I72" s="12"/>
      <c r="J72" s="12"/>
      <c r="K72" s="12"/>
      <c r="L72" s="12"/>
      <c r="M72" s="12"/>
      <c r="N72" s="12"/>
      <c r="O72" s="12"/>
      <c r="P72" s="12"/>
      <c r="Q72" s="12"/>
      <c r="R72" s="12"/>
      <c r="S72" s="12"/>
    </row>
    <row r="73" spans="5:19" ht="15" customHeight="1" x14ac:dyDescent="0.2">
      <c r="E73" s="12"/>
      <c r="F73" s="12"/>
      <c r="G73" s="12"/>
      <c r="H73" s="12"/>
      <c r="I73" s="12"/>
      <c r="J73" s="12"/>
      <c r="K73" s="12"/>
      <c r="L73" s="12"/>
      <c r="M73" s="12"/>
      <c r="N73" s="12"/>
      <c r="O73" s="12"/>
      <c r="P73" s="12"/>
      <c r="Q73" s="12"/>
      <c r="R73" s="12"/>
      <c r="S73" s="12"/>
    </row>
    <row r="74" spans="5:19" ht="15" customHeight="1" x14ac:dyDescent="0.2">
      <c r="E74" s="12"/>
      <c r="F74" s="12"/>
      <c r="G74" s="12"/>
      <c r="H74" s="12"/>
      <c r="I74" s="12"/>
      <c r="J74" s="12"/>
      <c r="K74" s="12"/>
      <c r="L74" s="12"/>
      <c r="M74" s="12"/>
      <c r="N74" s="12"/>
      <c r="O74" s="12"/>
      <c r="P74" s="12"/>
      <c r="Q74" s="12"/>
      <c r="R74" s="12"/>
      <c r="S74" s="12"/>
    </row>
    <row r="75" spans="5:19" ht="15" customHeight="1" x14ac:dyDescent="0.2">
      <c r="E75" s="12"/>
      <c r="F75" s="12"/>
      <c r="G75" s="12"/>
      <c r="H75" s="12"/>
      <c r="I75" s="12"/>
      <c r="J75" s="12"/>
      <c r="K75" s="12"/>
      <c r="L75" s="12"/>
      <c r="M75" s="12"/>
      <c r="N75" s="12"/>
      <c r="O75" s="12"/>
      <c r="P75" s="12"/>
      <c r="Q75" s="12"/>
      <c r="R75" s="12"/>
      <c r="S75" s="12"/>
    </row>
    <row r="76" spans="5:19" ht="15" customHeight="1" x14ac:dyDescent="0.2">
      <c r="E76" s="12"/>
      <c r="F76" s="12"/>
      <c r="G76" s="12"/>
      <c r="H76" s="12"/>
      <c r="I76" s="12"/>
      <c r="J76" s="12"/>
      <c r="K76" s="12"/>
      <c r="L76" s="12"/>
      <c r="M76" s="12"/>
      <c r="N76" s="12"/>
      <c r="O76" s="12"/>
      <c r="P76" s="12"/>
      <c r="Q76" s="12"/>
      <c r="R76" s="12"/>
      <c r="S76" s="12"/>
    </row>
    <row r="77" spans="5:19" ht="15" customHeight="1" x14ac:dyDescent="0.2">
      <c r="E77" s="12"/>
      <c r="F77" s="12"/>
      <c r="G77" s="12"/>
      <c r="H77" s="12"/>
      <c r="I77" s="12"/>
      <c r="J77" s="12"/>
      <c r="K77" s="12"/>
      <c r="L77" s="12"/>
      <c r="M77" s="12"/>
      <c r="N77" s="12"/>
      <c r="O77" s="12"/>
      <c r="P77" s="12"/>
      <c r="Q77" s="12"/>
      <c r="R77" s="12"/>
      <c r="S77" s="12"/>
    </row>
    <row r="78" spans="5:19" ht="15" customHeight="1" x14ac:dyDescent="0.2">
      <c r="E78" s="12"/>
      <c r="F78" s="12"/>
      <c r="G78" s="12"/>
      <c r="H78" s="12"/>
      <c r="I78" s="12"/>
      <c r="J78" s="12"/>
      <c r="K78" s="12"/>
      <c r="L78" s="12"/>
      <c r="M78" s="12"/>
      <c r="N78" s="12"/>
      <c r="O78" s="12"/>
      <c r="P78" s="12"/>
      <c r="Q78" s="12"/>
      <c r="R78" s="12"/>
      <c r="S78" s="12"/>
    </row>
    <row r="79" spans="5:19" ht="15" customHeight="1" x14ac:dyDescent="0.2">
      <c r="E79" s="12"/>
      <c r="F79" s="12"/>
      <c r="G79" s="12"/>
      <c r="H79" s="12"/>
      <c r="I79" s="12"/>
      <c r="J79" s="12"/>
      <c r="K79" s="12"/>
      <c r="L79" s="12"/>
      <c r="M79" s="12"/>
      <c r="N79" s="12"/>
      <c r="O79" s="12"/>
      <c r="P79" s="12"/>
      <c r="Q79" s="12"/>
      <c r="R79" s="12"/>
      <c r="S79" s="12"/>
    </row>
    <row r="80" spans="5:19" ht="15" customHeight="1" x14ac:dyDescent="0.2">
      <c r="E80" s="12"/>
      <c r="F80" s="12"/>
      <c r="G80" s="12"/>
      <c r="H80" s="12"/>
      <c r="I80" s="12"/>
      <c r="J80" s="12"/>
      <c r="K80" s="12"/>
      <c r="L80" s="12"/>
      <c r="M80" s="12"/>
      <c r="N80" s="12"/>
      <c r="O80" s="12"/>
      <c r="P80" s="12"/>
      <c r="Q80" s="12"/>
      <c r="R80" s="12"/>
      <c r="S80" s="12"/>
    </row>
    <row r="81" spans="5:19" ht="15" customHeight="1" x14ac:dyDescent="0.2">
      <c r="E81" s="12"/>
      <c r="F81" s="12"/>
      <c r="G81" s="12"/>
      <c r="H81" s="12"/>
      <c r="I81" s="12"/>
      <c r="J81" s="12"/>
      <c r="K81" s="12"/>
      <c r="L81" s="12"/>
      <c r="M81" s="12"/>
      <c r="N81" s="12"/>
      <c r="O81" s="12"/>
      <c r="P81" s="12"/>
      <c r="Q81" s="12"/>
      <c r="R81" s="12"/>
      <c r="S81" s="12"/>
    </row>
    <row r="82" spans="5:19" ht="15" customHeight="1" x14ac:dyDescent="0.2">
      <c r="E82" s="12"/>
      <c r="F82" s="12"/>
      <c r="G82" s="12"/>
      <c r="H82" s="12"/>
      <c r="I82" s="12"/>
      <c r="J82" s="12"/>
      <c r="K82" s="12"/>
      <c r="L82" s="12"/>
      <c r="M82" s="12"/>
      <c r="N82" s="12"/>
      <c r="O82" s="12"/>
      <c r="P82" s="12"/>
      <c r="Q82" s="12"/>
      <c r="R82" s="12"/>
      <c r="S82" s="12"/>
    </row>
    <row r="83" spans="5:19" ht="15" customHeight="1" x14ac:dyDescent="0.2">
      <c r="E83" s="12"/>
      <c r="F83" s="12"/>
      <c r="G83" s="12"/>
      <c r="H83" s="12"/>
      <c r="I83" s="12"/>
      <c r="J83" s="12"/>
      <c r="K83" s="12"/>
      <c r="L83" s="12"/>
      <c r="M83" s="12"/>
      <c r="N83" s="12"/>
      <c r="O83" s="12"/>
      <c r="P83" s="12"/>
      <c r="Q83" s="12"/>
      <c r="R83" s="12"/>
      <c r="S83" s="12"/>
    </row>
    <row r="84" spans="5:19" ht="15" customHeight="1" x14ac:dyDescent="0.2">
      <c r="E84" s="12"/>
      <c r="F84" s="12"/>
      <c r="G84" s="12"/>
      <c r="H84" s="12"/>
      <c r="I84" s="12"/>
      <c r="J84" s="12"/>
      <c r="K84" s="12"/>
      <c r="L84" s="12"/>
      <c r="M84" s="12"/>
      <c r="N84" s="12"/>
      <c r="O84" s="12"/>
      <c r="P84" s="12"/>
      <c r="Q84" s="12"/>
      <c r="R84" s="12"/>
      <c r="S84" s="12"/>
    </row>
    <row r="85" spans="5:19" ht="15" customHeight="1" x14ac:dyDescent="0.2">
      <c r="E85" s="12"/>
      <c r="F85" s="12"/>
      <c r="G85" s="12"/>
      <c r="H85" s="12"/>
      <c r="I85" s="12"/>
      <c r="J85" s="12"/>
      <c r="K85" s="12"/>
      <c r="L85" s="12"/>
      <c r="M85" s="12"/>
      <c r="N85" s="12"/>
      <c r="O85" s="12"/>
      <c r="P85" s="12"/>
      <c r="Q85" s="12"/>
      <c r="R85" s="12"/>
      <c r="S85" s="12"/>
    </row>
    <row r="86" spans="5:19" ht="15" customHeight="1" x14ac:dyDescent="0.2">
      <c r="E86" s="12"/>
      <c r="F86" s="12"/>
      <c r="G86" s="12"/>
      <c r="H86" s="12"/>
      <c r="I86" s="12"/>
      <c r="J86" s="12"/>
      <c r="K86" s="12"/>
      <c r="L86" s="12"/>
      <c r="M86" s="12"/>
      <c r="N86" s="12"/>
      <c r="O86" s="12"/>
      <c r="P86" s="12"/>
      <c r="Q86" s="12"/>
      <c r="R86" s="12"/>
      <c r="S86" s="12"/>
    </row>
    <row r="87" spans="5:19" ht="15" customHeight="1" x14ac:dyDescent="0.2">
      <c r="E87" s="12"/>
      <c r="F87" s="12"/>
      <c r="G87" s="12"/>
      <c r="H87" s="12"/>
      <c r="I87" s="12"/>
      <c r="J87" s="12"/>
      <c r="K87" s="12"/>
      <c r="L87" s="12"/>
      <c r="M87" s="12"/>
      <c r="N87" s="12"/>
      <c r="O87" s="12"/>
      <c r="P87" s="12"/>
      <c r="Q87" s="12"/>
      <c r="R87" s="12"/>
      <c r="S87" s="12"/>
    </row>
    <row r="88" spans="5:19" ht="15" customHeight="1" x14ac:dyDescent="0.2">
      <c r="E88" s="12"/>
      <c r="F88" s="12"/>
      <c r="G88" s="12"/>
      <c r="H88" s="12"/>
      <c r="I88" s="12"/>
      <c r="J88" s="12"/>
      <c r="K88" s="12"/>
      <c r="L88" s="12"/>
      <c r="M88" s="12"/>
      <c r="N88" s="12"/>
      <c r="O88" s="12"/>
      <c r="P88" s="12"/>
      <c r="Q88" s="12"/>
      <c r="R88" s="12"/>
      <c r="S88" s="12"/>
    </row>
    <row r="89" spans="5:19" ht="15" customHeight="1" x14ac:dyDescent="0.2">
      <c r="E89" s="12"/>
      <c r="F89" s="12"/>
      <c r="G89" s="12"/>
      <c r="H89" s="12"/>
      <c r="I89" s="12"/>
      <c r="J89" s="12"/>
      <c r="K89" s="12"/>
      <c r="L89" s="12"/>
      <c r="M89" s="12"/>
      <c r="N89" s="12"/>
      <c r="O89" s="12"/>
      <c r="P89" s="12"/>
      <c r="Q89" s="12"/>
      <c r="R89" s="12"/>
      <c r="S89" s="12"/>
    </row>
    <row r="90" spans="5:19" ht="15" customHeight="1" x14ac:dyDescent="0.2">
      <c r="E90" s="12"/>
      <c r="F90" s="12"/>
      <c r="G90" s="12"/>
      <c r="H90" s="12"/>
      <c r="I90" s="12"/>
      <c r="J90" s="12"/>
      <c r="K90" s="12"/>
      <c r="L90" s="12"/>
      <c r="M90" s="12"/>
      <c r="N90" s="12"/>
      <c r="O90" s="12"/>
      <c r="P90" s="12"/>
      <c r="Q90" s="12"/>
      <c r="R90" s="12"/>
      <c r="S90" s="12"/>
    </row>
    <row r="91" spans="5:19" ht="15" customHeight="1" x14ac:dyDescent="0.2">
      <c r="E91" s="12"/>
      <c r="F91" s="12"/>
      <c r="G91" s="12"/>
      <c r="H91" s="12"/>
      <c r="I91" s="12"/>
      <c r="J91" s="12"/>
      <c r="K91" s="12"/>
      <c r="L91" s="12"/>
      <c r="M91" s="12"/>
      <c r="N91" s="12"/>
      <c r="O91" s="12"/>
      <c r="P91" s="12"/>
      <c r="Q91" s="12"/>
      <c r="R91" s="12"/>
      <c r="S91" s="12"/>
    </row>
    <row r="92" spans="5:19" ht="15" customHeight="1" x14ac:dyDescent="0.2">
      <c r="E92" s="12"/>
      <c r="F92" s="12"/>
      <c r="G92" s="12"/>
      <c r="H92" s="12"/>
      <c r="I92" s="12"/>
      <c r="J92" s="12"/>
      <c r="K92" s="12"/>
      <c r="L92" s="12"/>
      <c r="M92" s="12"/>
      <c r="N92" s="12"/>
      <c r="O92" s="12"/>
      <c r="P92" s="12"/>
      <c r="Q92" s="12"/>
      <c r="R92" s="12"/>
      <c r="S92" s="12"/>
    </row>
    <row r="93" spans="5:19" ht="15" customHeight="1" x14ac:dyDescent="0.2">
      <c r="E93" s="12"/>
      <c r="F93" s="12"/>
      <c r="G93" s="12"/>
      <c r="H93" s="12"/>
      <c r="I93" s="12"/>
      <c r="J93" s="12"/>
      <c r="K93" s="12"/>
      <c r="L93" s="12"/>
      <c r="M93" s="12"/>
      <c r="N93" s="12"/>
      <c r="O93" s="12"/>
      <c r="P93" s="12"/>
      <c r="Q93" s="12"/>
      <c r="R93" s="12"/>
      <c r="S93" s="12"/>
    </row>
    <row r="94" spans="5:19" ht="15" customHeight="1" x14ac:dyDescent="0.2">
      <c r="E94" s="12"/>
      <c r="F94" s="12"/>
      <c r="G94" s="12"/>
      <c r="H94" s="12"/>
      <c r="I94" s="12"/>
      <c r="J94" s="12"/>
      <c r="K94" s="12"/>
      <c r="L94" s="12"/>
      <c r="M94" s="12"/>
      <c r="N94" s="12"/>
      <c r="O94" s="12"/>
      <c r="P94" s="12"/>
      <c r="Q94" s="12"/>
      <c r="R94" s="12"/>
      <c r="S94" s="12"/>
    </row>
    <row r="95" spans="5:19" ht="15" customHeight="1" x14ac:dyDescent="0.2">
      <c r="E95" s="12"/>
      <c r="F95" s="12"/>
      <c r="G95" s="12"/>
      <c r="H95" s="12"/>
      <c r="I95" s="12"/>
      <c r="J95" s="12"/>
      <c r="K95" s="12"/>
      <c r="L95" s="12"/>
      <c r="M95" s="12"/>
      <c r="N95" s="12"/>
      <c r="O95" s="12"/>
      <c r="P95" s="12"/>
      <c r="Q95" s="12"/>
      <c r="R95" s="12"/>
      <c r="S95" s="12"/>
    </row>
    <row r="96" spans="5:19" ht="15" customHeight="1" x14ac:dyDescent="0.2">
      <c r="E96" s="12"/>
      <c r="F96" s="12"/>
      <c r="G96" s="12"/>
      <c r="H96" s="12"/>
      <c r="I96" s="12"/>
      <c r="J96" s="12"/>
      <c r="K96" s="12"/>
      <c r="L96" s="12"/>
      <c r="M96" s="12"/>
      <c r="N96" s="12"/>
      <c r="O96" s="12"/>
      <c r="P96" s="12"/>
      <c r="Q96" s="12"/>
      <c r="R96" s="12"/>
      <c r="S96" s="12"/>
    </row>
    <row r="97" spans="5:19" ht="15" customHeight="1" x14ac:dyDescent="0.2">
      <c r="E97" s="12"/>
      <c r="F97" s="12"/>
      <c r="G97" s="12"/>
      <c r="H97" s="12"/>
      <c r="I97" s="12"/>
      <c r="J97" s="12"/>
      <c r="K97" s="12"/>
      <c r="L97" s="12"/>
      <c r="M97" s="12"/>
      <c r="N97" s="12"/>
      <c r="O97" s="12"/>
      <c r="P97" s="12"/>
      <c r="Q97" s="12"/>
      <c r="R97" s="12"/>
      <c r="S97" s="12"/>
    </row>
    <row r="98" spans="5:19" ht="15" customHeight="1" x14ac:dyDescent="0.2">
      <c r="E98" s="12"/>
      <c r="F98" s="12"/>
      <c r="G98" s="12"/>
      <c r="H98" s="12"/>
      <c r="I98" s="12"/>
      <c r="J98" s="12"/>
      <c r="K98" s="12"/>
      <c r="L98" s="12"/>
      <c r="M98" s="12"/>
      <c r="N98" s="12"/>
      <c r="O98" s="12"/>
      <c r="P98" s="12"/>
      <c r="Q98" s="12"/>
      <c r="R98" s="12"/>
      <c r="S98" s="12"/>
    </row>
    <row r="99" spans="5:19" ht="15" customHeight="1" x14ac:dyDescent="0.2">
      <c r="E99" s="12"/>
      <c r="F99" s="12"/>
      <c r="G99" s="12"/>
      <c r="H99" s="12"/>
      <c r="I99" s="12"/>
      <c r="J99" s="12"/>
      <c r="K99" s="12"/>
      <c r="L99" s="12"/>
      <c r="M99" s="12"/>
      <c r="N99" s="12"/>
      <c r="O99" s="12"/>
      <c r="P99" s="12"/>
      <c r="Q99" s="12"/>
      <c r="R99" s="12"/>
      <c r="S99" s="12"/>
    </row>
    <row r="100" spans="5:19" ht="15" customHeight="1" x14ac:dyDescent="0.2">
      <c r="E100" s="12"/>
      <c r="F100" s="12"/>
      <c r="G100" s="12"/>
      <c r="H100" s="12"/>
      <c r="I100" s="12"/>
      <c r="J100" s="12"/>
      <c r="K100" s="12"/>
      <c r="L100" s="12"/>
      <c r="M100" s="12"/>
      <c r="N100" s="12"/>
      <c r="O100" s="12"/>
      <c r="P100" s="12"/>
      <c r="Q100" s="12"/>
      <c r="R100" s="12"/>
      <c r="S100" s="12"/>
    </row>
    <row r="101" spans="5:19" ht="15" customHeight="1" x14ac:dyDescent="0.2">
      <c r="E101" s="12"/>
      <c r="F101" s="12"/>
      <c r="G101" s="12"/>
      <c r="H101" s="12"/>
      <c r="I101" s="12"/>
      <c r="J101" s="12"/>
      <c r="K101" s="12"/>
      <c r="L101" s="12"/>
      <c r="M101" s="12"/>
      <c r="N101" s="12"/>
      <c r="O101" s="12"/>
      <c r="P101" s="12"/>
      <c r="Q101" s="12"/>
      <c r="R101" s="12"/>
      <c r="S101" s="12"/>
    </row>
    <row r="102" spans="5:19" ht="15" customHeight="1" x14ac:dyDescent="0.2">
      <c r="E102" s="12"/>
      <c r="F102" s="12"/>
      <c r="G102" s="12"/>
      <c r="H102" s="12"/>
      <c r="I102" s="12"/>
      <c r="J102" s="12"/>
      <c r="K102" s="12"/>
      <c r="L102" s="12"/>
      <c r="M102" s="12"/>
      <c r="N102" s="12"/>
      <c r="O102" s="12"/>
      <c r="P102" s="12"/>
      <c r="Q102" s="12"/>
      <c r="R102" s="12"/>
      <c r="S102" s="12"/>
    </row>
    <row r="103" spans="5:19" ht="15" customHeight="1" x14ac:dyDescent="0.2">
      <c r="E103" s="12"/>
      <c r="F103" s="12"/>
      <c r="G103" s="12"/>
      <c r="H103" s="12"/>
      <c r="I103" s="12"/>
      <c r="J103" s="12"/>
      <c r="K103" s="12"/>
      <c r="L103" s="12"/>
      <c r="M103" s="12"/>
      <c r="N103" s="12"/>
      <c r="O103" s="12"/>
      <c r="P103" s="12"/>
      <c r="Q103" s="12"/>
      <c r="R103" s="12"/>
      <c r="S103" s="12"/>
    </row>
    <row r="104" spans="5:19" ht="15" customHeight="1" x14ac:dyDescent="0.2">
      <c r="E104" s="12"/>
      <c r="F104" s="12"/>
      <c r="G104" s="12"/>
      <c r="H104" s="12"/>
      <c r="I104" s="12"/>
      <c r="J104" s="12"/>
      <c r="K104" s="12"/>
      <c r="L104" s="12"/>
      <c r="M104" s="12"/>
      <c r="N104" s="12"/>
      <c r="O104" s="12"/>
      <c r="P104" s="12"/>
      <c r="Q104" s="12"/>
      <c r="R104" s="12"/>
      <c r="S104" s="12"/>
    </row>
    <row r="105" spans="5:19" ht="15" customHeight="1" x14ac:dyDescent="0.2">
      <c r="E105" s="12"/>
      <c r="F105" s="12"/>
      <c r="G105" s="12"/>
      <c r="H105" s="12"/>
      <c r="I105" s="12"/>
      <c r="J105" s="12"/>
      <c r="K105" s="12"/>
      <c r="L105" s="12"/>
      <c r="M105" s="12"/>
      <c r="N105" s="12"/>
      <c r="O105" s="12"/>
      <c r="P105" s="12"/>
      <c r="Q105" s="12"/>
      <c r="R105" s="12"/>
      <c r="S105" s="12"/>
    </row>
    <row r="106" spans="5:19" ht="15" customHeight="1" x14ac:dyDescent="0.2">
      <c r="E106" s="12"/>
      <c r="F106" s="12"/>
      <c r="G106" s="12"/>
      <c r="H106" s="12"/>
      <c r="I106" s="12"/>
      <c r="J106" s="12"/>
      <c r="K106" s="12"/>
      <c r="L106" s="12"/>
      <c r="M106" s="12"/>
      <c r="N106" s="12"/>
      <c r="O106" s="12"/>
      <c r="P106" s="12"/>
      <c r="Q106" s="12"/>
      <c r="R106" s="12"/>
      <c r="S106" s="12"/>
    </row>
    <row r="107" spans="5:19" ht="15" customHeight="1" x14ac:dyDescent="0.2">
      <c r="E107" s="12"/>
      <c r="F107" s="12"/>
      <c r="G107" s="12"/>
      <c r="H107" s="12"/>
      <c r="I107" s="12"/>
      <c r="J107" s="12"/>
      <c r="K107" s="12"/>
      <c r="L107" s="12"/>
      <c r="M107" s="12"/>
      <c r="N107" s="12"/>
      <c r="O107" s="12"/>
      <c r="P107" s="12"/>
      <c r="Q107" s="12"/>
      <c r="R107" s="12"/>
      <c r="S107" s="12"/>
    </row>
    <row r="108" spans="5:19" ht="15" customHeight="1" x14ac:dyDescent="0.2">
      <c r="E108" s="12"/>
      <c r="F108" s="12"/>
      <c r="G108" s="12"/>
      <c r="H108" s="12"/>
      <c r="I108" s="12"/>
      <c r="J108" s="12"/>
      <c r="K108" s="12"/>
      <c r="L108" s="12"/>
      <c r="M108" s="12"/>
      <c r="N108" s="12"/>
      <c r="O108" s="12"/>
      <c r="P108" s="12"/>
      <c r="Q108" s="12"/>
      <c r="R108" s="12"/>
      <c r="S108" s="12"/>
    </row>
    <row r="109" spans="5:19" ht="15" customHeight="1" x14ac:dyDescent="0.2">
      <c r="E109" s="12"/>
      <c r="F109" s="12"/>
      <c r="G109" s="12"/>
      <c r="H109" s="12"/>
      <c r="I109" s="12"/>
      <c r="J109" s="12"/>
      <c r="K109" s="12"/>
      <c r="L109" s="12"/>
      <c r="M109" s="12"/>
      <c r="N109" s="12"/>
      <c r="O109" s="12"/>
      <c r="P109" s="12"/>
      <c r="Q109" s="12"/>
      <c r="R109" s="12"/>
      <c r="S109" s="12"/>
    </row>
    <row r="110" spans="5:19" ht="15" customHeight="1" x14ac:dyDescent="0.2">
      <c r="E110" s="12"/>
      <c r="F110" s="12"/>
      <c r="G110" s="12"/>
      <c r="H110" s="12"/>
      <c r="I110" s="12"/>
      <c r="J110" s="12"/>
      <c r="K110" s="12"/>
      <c r="L110" s="12"/>
      <c r="M110" s="12"/>
      <c r="N110" s="12"/>
      <c r="O110" s="12"/>
      <c r="P110" s="12"/>
      <c r="Q110" s="12"/>
      <c r="R110" s="12"/>
      <c r="S110" s="12"/>
    </row>
    <row r="111" spans="5:19" ht="15" customHeight="1" x14ac:dyDescent="0.2">
      <c r="E111" s="12"/>
      <c r="F111" s="12"/>
      <c r="G111" s="12"/>
      <c r="H111" s="12"/>
      <c r="I111" s="12"/>
      <c r="J111" s="12"/>
      <c r="K111" s="12"/>
      <c r="L111" s="12"/>
      <c r="M111" s="12"/>
      <c r="N111" s="12"/>
      <c r="O111" s="12"/>
      <c r="P111" s="12"/>
      <c r="Q111" s="12"/>
      <c r="R111" s="12"/>
      <c r="S111" s="12"/>
    </row>
    <row r="112" spans="5:19" ht="15" customHeight="1" x14ac:dyDescent="0.2">
      <c r="E112" s="12"/>
      <c r="F112" s="12"/>
      <c r="G112" s="12"/>
      <c r="H112" s="12"/>
      <c r="I112" s="12"/>
      <c r="J112" s="12"/>
      <c r="K112" s="12"/>
      <c r="L112" s="12"/>
      <c r="M112" s="12"/>
      <c r="N112" s="12"/>
      <c r="O112" s="12"/>
      <c r="P112" s="12"/>
      <c r="Q112" s="12"/>
      <c r="R112" s="12"/>
      <c r="S112" s="12"/>
    </row>
    <row r="113" spans="5:19" ht="15" customHeight="1" x14ac:dyDescent="0.2">
      <c r="E113" s="12"/>
      <c r="F113" s="12"/>
      <c r="G113" s="12"/>
      <c r="H113" s="12"/>
      <c r="I113" s="12"/>
      <c r="J113" s="12"/>
      <c r="K113" s="12"/>
      <c r="L113" s="12"/>
      <c r="M113" s="12"/>
      <c r="N113" s="12"/>
      <c r="O113" s="12"/>
      <c r="P113" s="12"/>
      <c r="Q113" s="12"/>
      <c r="R113" s="12"/>
      <c r="S113" s="12"/>
    </row>
    <row r="114" spans="5:19" ht="15" customHeight="1" x14ac:dyDescent="0.2">
      <c r="E114" s="12"/>
      <c r="F114" s="12"/>
      <c r="G114" s="12"/>
      <c r="H114" s="12"/>
      <c r="I114" s="12"/>
      <c r="J114" s="12"/>
      <c r="K114" s="12"/>
      <c r="L114" s="12"/>
      <c r="M114" s="12"/>
      <c r="N114" s="12"/>
      <c r="O114" s="12"/>
      <c r="P114" s="12"/>
      <c r="Q114" s="12"/>
      <c r="R114" s="12"/>
      <c r="S114" s="12"/>
    </row>
    <row r="115" spans="5:19" ht="15" customHeight="1" x14ac:dyDescent="0.2">
      <c r="E115" s="12"/>
      <c r="F115" s="12"/>
      <c r="G115" s="12"/>
      <c r="H115" s="12"/>
      <c r="I115" s="12"/>
      <c r="J115" s="12"/>
      <c r="K115" s="12"/>
      <c r="L115" s="12"/>
      <c r="M115" s="12"/>
      <c r="N115" s="12"/>
      <c r="O115" s="12"/>
      <c r="P115" s="12"/>
      <c r="Q115" s="12"/>
      <c r="R115" s="12"/>
      <c r="S115" s="12"/>
    </row>
    <row r="116" spans="5:19" ht="15" customHeight="1" x14ac:dyDescent="0.2">
      <c r="E116" s="12"/>
      <c r="F116" s="12"/>
      <c r="G116" s="12"/>
      <c r="H116" s="12"/>
      <c r="I116" s="12"/>
      <c r="J116" s="12"/>
      <c r="K116" s="12"/>
      <c r="L116" s="12"/>
      <c r="M116" s="12"/>
      <c r="N116" s="12"/>
      <c r="O116" s="12"/>
      <c r="P116" s="12"/>
      <c r="Q116" s="12"/>
      <c r="R116" s="12"/>
      <c r="S116" s="12"/>
    </row>
    <row r="117" spans="5:19" ht="15" customHeight="1" x14ac:dyDescent="0.2">
      <c r="E117" s="12"/>
      <c r="F117" s="12"/>
      <c r="G117" s="12"/>
      <c r="H117" s="12"/>
      <c r="I117" s="12"/>
      <c r="J117" s="12"/>
      <c r="K117" s="12"/>
      <c r="L117" s="12"/>
      <c r="M117" s="12"/>
      <c r="N117" s="12"/>
      <c r="O117" s="12"/>
      <c r="P117" s="12"/>
      <c r="Q117" s="12"/>
      <c r="R117" s="12"/>
      <c r="S117" s="12"/>
    </row>
    <row r="118" spans="5:19" ht="15" customHeight="1" x14ac:dyDescent="0.2">
      <c r="E118" s="12"/>
      <c r="F118" s="12"/>
      <c r="G118" s="12"/>
      <c r="H118" s="12"/>
      <c r="I118" s="12"/>
      <c r="J118" s="12"/>
      <c r="K118" s="12"/>
      <c r="L118" s="12"/>
      <c r="M118" s="12"/>
      <c r="N118" s="12"/>
      <c r="O118" s="12"/>
      <c r="P118" s="12"/>
      <c r="Q118" s="12"/>
      <c r="R118" s="12"/>
      <c r="S118" s="12"/>
    </row>
    <row r="119" spans="5:19" ht="15" customHeight="1" x14ac:dyDescent="0.2">
      <c r="E119" s="12"/>
      <c r="F119" s="12"/>
      <c r="G119" s="12"/>
      <c r="H119" s="12"/>
      <c r="I119" s="12"/>
      <c r="J119" s="12"/>
      <c r="K119" s="12"/>
      <c r="L119" s="12"/>
      <c r="M119" s="12"/>
      <c r="N119" s="12"/>
      <c r="O119" s="12"/>
      <c r="P119" s="12"/>
      <c r="Q119" s="12"/>
      <c r="R119" s="12"/>
      <c r="S119" s="12"/>
    </row>
    <row r="120" spans="5:19" ht="15" customHeight="1" x14ac:dyDescent="0.2">
      <c r="E120" s="12"/>
      <c r="F120" s="12"/>
      <c r="G120" s="12"/>
      <c r="H120" s="12"/>
      <c r="I120" s="12"/>
      <c r="J120" s="12"/>
      <c r="K120" s="12"/>
      <c r="L120" s="12"/>
      <c r="M120" s="12"/>
      <c r="N120" s="12"/>
      <c r="O120" s="12"/>
      <c r="P120" s="12"/>
      <c r="Q120" s="12"/>
      <c r="R120" s="12"/>
      <c r="S120" s="12"/>
    </row>
    <row r="121" spans="5:19" ht="15" customHeight="1" x14ac:dyDescent="0.2">
      <c r="E121" s="12"/>
      <c r="F121" s="12"/>
      <c r="G121" s="12"/>
      <c r="H121" s="12"/>
      <c r="I121" s="12"/>
      <c r="J121" s="12"/>
      <c r="K121" s="12"/>
      <c r="L121" s="12"/>
      <c r="M121" s="12"/>
      <c r="N121" s="12"/>
      <c r="O121" s="12"/>
      <c r="P121" s="12"/>
      <c r="Q121" s="12"/>
      <c r="R121" s="12"/>
      <c r="S121" s="12"/>
    </row>
    <row r="122" spans="5:19" ht="15" customHeight="1" x14ac:dyDescent="0.2">
      <c r="E122" s="12"/>
      <c r="F122" s="12"/>
      <c r="G122" s="12"/>
      <c r="H122" s="12"/>
      <c r="I122" s="12"/>
      <c r="J122" s="12"/>
      <c r="K122" s="12"/>
      <c r="L122" s="12"/>
      <c r="M122" s="12"/>
      <c r="N122" s="12"/>
      <c r="O122" s="12"/>
      <c r="P122" s="12"/>
      <c r="Q122" s="12"/>
      <c r="R122" s="12"/>
      <c r="S122" s="12"/>
    </row>
    <row r="123" spans="5:19" ht="15" customHeight="1" x14ac:dyDescent="0.2">
      <c r="E123" s="12"/>
      <c r="F123" s="12"/>
      <c r="G123" s="12"/>
      <c r="H123" s="12"/>
      <c r="I123" s="12"/>
      <c r="J123" s="12"/>
      <c r="K123" s="12"/>
      <c r="L123" s="12"/>
      <c r="M123" s="12"/>
      <c r="N123" s="12"/>
      <c r="O123" s="12"/>
      <c r="P123" s="12"/>
      <c r="Q123" s="12"/>
      <c r="R123" s="12"/>
      <c r="S123" s="12"/>
    </row>
    <row r="124" spans="5:19" ht="15" customHeight="1" x14ac:dyDescent="0.2">
      <c r="E124" s="12"/>
      <c r="F124" s="12"/>
      <c r="G124" s="12"/>
      <c r="H124" s="12"/>
      <c r="I124" s="12"/>
      <c r="J124" s="12"/>
      <c r="K124" s="12"/>
      <c r="L124" s="12"/>
      <c r="M124" s="12"/>
      <c r="N124" s="12"/>
      <c r="O124" s="12"/>
      <c r="P124" s="12"/>
      <c r="Q124" s="12"/>
      <c r="R124" s="12"/>
      <c r="S124" s="12"/>
    </row>
    <row r="125" spans="5:19" ht="15" customHeight="1" x14ac:dyDescent="0.2">
      <c r="E125" s="12"/>
      <c r="F125" s="12"/>
      <c r="G125" s="12"/>
      <c r="H125" s="12"/>
      <c r="I125" s="12"/>
      <c r="J125" s="12"/>
      <c r="K125" s="12"/>
      <c r="L125" s="12"/>
      <c r="M125" s="12"/>
      <c r="N125" s="12"/>
      <c r="O125" s="12"/>
      <c r="P125" s="12"/>
      <c r="Q125" s="12"/>
      <c r="R125" s="12"/>
      <c r="S125" s="12"/>
    </row>
    <row r="126" spans="5:19" ht="15" customHeight="1" x14ac:dyDescent="0.2">
      <c r="E126" s="12"/>
      <c r="F126" s="12"/>
      <c r="G126" s="12"/>
      <c r="H126" s="12"/>
      <c r="I126" s="12"/>
      <c r="J126" s="12"/>
      <c r="K126" s="12"/>
      <c r="L126" s="12"/>
      <c r="M126" s="12"/>
      <c r="N126" s="12"/>
      <c r="O126" s="12"/>
      <c r="P126" s="12"/>
      <c r="Q126" s="12"/>
      <c r="R126" s="12"/>
      <c r="S126" s="12"/>
    </row>
    <row r="127" spans="5:19" ht="15" customHeight="1" x14ac:dyDescent="0.2">
      <c r="E127" s="12"/>
      <c r="F127" s="12"/>
      <c r="G127" s="12"/>
      <c r="H127" s="12"/>
      <c r="I127" s="12"/>
      <c r="J127" s="12"/>
      <c r="K127" s="12"/>
      <c r="L127" s="12"/>
      <c r="M127" s="12"/>
      <c r="N127" s="12"/>
      <c r="O127" s="12"/>
      <c r="P127" s="12"/>
      <c r="Q127" s="12"/>
      <c r="R127" s="12"/>
      <c r="S127" s="12"/>
    </row>
    <row r="128" spans="5:19" ht="15" customHeight="1" x14ac:dyDescent="0.2">
      <c r="E128" s="12"/>
      <c r="F128" s="12"/>
      <c r="G128" s="12"/>
      <c r="H128" s="12"/>
      <c r="I128" s="12"/>
      <c r="J128" s="12"/>
      <c r="K128" s="12"/>
      <c r="L128" s="12"/>
      <c r="M128" s="12"/>
      <c r="N128" s="12"/>
      <c r="O128" s="12"/>
      <c r="P128" s="12"/>
      <c r="Q128" s="12"/>
      <c r="R128" s="12"/>
      <c r="S128" s="12"/>
    </row>
    <row r="129" spans="5:19" ht="15" customHeight="1" x14ac:dyDescent="0.2">
      <c r="E129" s="12"/>
      <c r="F129" s="12"/>
      <c r="G129" s="12"/>
      <c r="H129" s="12"/>
      <c r="I129" s="12"/>
      <c r="J129" s="12"/>
      <c r="K129" s="12"/>
      <c r="L129" s="12"/>
      <c r="M129" s="12"/>
      <c r="N129" s="12"/>
      <c r="O129" s="12"/>
      <c r="P129" s="12"/>
      <c r="Q129" s="12"/>
      <c r="R129" s="12"/>
      <c r="S129" s="12"/>
    </row>
    <row r="130" spans="5:19" ht="15" customHeight="1" x14ac:dyDescent="0.2">
      <c r="E130" s="12"/>
      <c r="F130" s="12"/>
      <c r="G130" s="12"/>
      <c r="H130" s="12"/>
      <c r="I130" s="12"/>
      <c r="J130" s="12"/>
      <c r="K130" s="12"/>
      <c r="L130" s="12"/>
      <c r="M130" s="12"/>
      <c r="N130" s="12"/>
      <c r="O130" s="12"/>
      <c r="P130" s="12"/>
      <c r="Q130" s="12"/>
      <c r="R130" s="12"/>
      <c r="S130" s="12"/>
    </row>
    <row r="131" spans="5:19" ht="15" customHeight="1" x14ac:dyDescent="0.2">
      <c r="E131" s="12"/>
      <c r="F131" s="12"/>
      <c r="G131" s="12"/>
      <c r="H131" s="12"/>
      <c r="I131" s="12"/>
      <c r="J131" s="12"/>
      <c r="K131" s="12"/>
      <c r="L131" s="12"/>
      <c r="M131" s="12"/>
      <c r="N131" s="12"/>
      <c r="O131" s="12"/>
      <c r="P131" s="12"/>
      <c r="Q131" s="12"/>
      <c r="R131" s="12"/>
      <c r="S131" s="12"/>
    </row>
    <row r="132" spans="5:19" ht="15" customHeight="1" x14ac:dyDescent="0.2">
      <c r="E132" s="12"/>
      <c r="F132" s="12"/>
      <c r="G132" s="12"/>
      <c r="H132" s="12"/>
      <c r="I132" s="12"/>
      <c r="J132" s="12"/>
      <c r="K132" s="12"/>
      <c r="L132" s="12"/>
      <c r="M132" s="12"/>
      <c r="N132" s="12"/>
      <c r="O132" s="12"/>
      <c r="P132" s="12"/>
      <c r="Q132" s="12"/>
      <c r="R132" s="12"/>
      <c r="S132" s="12"/>
    </row>
    <row r="133" spans="5:19" ht="15" customHeight="1" x14ac:dyDescent="0.2">
      <c r="E133" s="12"/>
      <c r="F133" s="12"/>
      <c r="G133" s="12"/>
      <c r="H133" s="12"/>
      <c r="I133" s="12"/>
      <c r="J133" s="12"/>
      <c r="K133" s="12"/>
      <c r="L133" s="12"/>
      <c r="M133" s="12"/>
      <c r="N133" s="12"/>
      <c r="O133" s="12"/>
      <c r="P133" s="12"/>
      <c r="Q133" s="12"/>
      <c r="R133" s="12"/>
      <c r="S133" s="12"/>
    </row>
    <row r="134" spans="5:19" ht="15" customHeight="1" x14ac:dyDescent="0.2">
      <c r="E134" s="12"/>
      <c r="F134" s="12"/>
      <c r="G134" s="12"/>
      <c r="H134" s="12"/>
      <c r="I134" s="12"/>
      <c r="J134" s="12"/>
      <c r="K134" s="12"/>
      <c r="L134" s="12"/>
      <c r="M134" s="12"/>
      <c r="N134" s="12"/>
      <c r="O134" s="12"/>
      <c r="P134" s="12"/>
      <c r="Q134" s="12"/>
      <c r="R134" s="12"/>
      <c r="S134" s="12"/>
    </row>
    <row r="135" spans="5:19" ht="15" customHeight="1" x14ac:dyDescent="0.2">
      <c r="E135" s="12"/>
      <c r="F135" s="12"/>
      <c r="G135" s="12"/>
      <c r="H135" s="12"/>
      <c r="I135" s="12"/>
      <c r="J135" s="12"/>
      <c r="K135" s="12"/>
      <c r="L135" s="12"/>
      <c r="M135" s="12"/>
      <c r="N135" s="12"/>
      <c r="O135" s="12"/>
      <c r="P135" s="12"/>
      <c r="Q135" s="12"/>
      <c r="R135" s="12"/>
      <c r="S135" s="12"/>
    </row>
    <row r="136" spans="5:19" ht="15" customHeight="1" x14ac:dyDescent="0.2">
      <c r="E136" s="12"/>
      <c r="F136" s="12"/>
      <c r="G136" s="12"/>
      <c r="H136" s="12"/>
      <c r="I136" s="12"/>
      <c r="J136" s="12"/>
      <c r="K136" s="12"/>
      <c r="L136" s="12"/>
      <c r="M136" s="12"/>
      <c r="N136" s="12"/>
      <c r="O136" s="12"/>
      <c r="P136" s="12"/>
      <c r="Q136" s="12"/>
      <c r="R136" s="12"/>
      <c r="S136" s="12"/>
    </row>
    <row r="137" spans="5:19" ht="15" customHeight="1" x14ac:dyDescent="0.2">
      <c r="E137" s="12"/>
      <c r="F137" s="12"/>
      <c r="G137" s="12"/>
      <c r="H137" s="12"/>
      <c r="I137" s="12"/>
      <c r="J137" s="12"/>
      <c r="K137" s="12"/>
      <c r="L137" s="12"/>
      <c r="M137" s="12"/>
      <c r="N137" s="12"/>
      <c r="O137" s="12"/>
      <c r="P137" s="12"/>
      <c r="Q137" s="12"/>
      <c r="R137" s="12"/>
      <c r="S137" s="12"/>
    </row>
    <row r="138" spans="5:19" ht="15" customHeight="1" x14ac:dyDescent="0.2">
      <c r="E138" s="12"/>
      <c r="F138" s="12"/>
      <c r="G138" s="12"/>
      <c r="H138" s="12"/>
      <c r="I138" s="12"/>
      <c r="J138" s="12"/>
      <c r="K138" s="12"/>
      <c r="L138" s="12"/>
      <c r="M138" s="12"/>
      <c r="N138" s="12"/>
      <c r="O138" s="12"/>
      <c r="P138" s="12"/>
      <c r="Q138" s="12"/>
      <c r="R138" s="12"/>
      <c r="S138" s="12"/>
    </row>
    <row r="139" spans="5:19" ht="15" customHeight="1" x14ac:dyDescent="0.2">
      <c r="E139" s="12"/>
      <c r="F139" s="12"/>
      <c r="G139" s="12"/>
      <c r="H139" s="12"/>
      <c r="I139" s="12"/>
      <c r="J139" s="12"/>
      <c r="K139" s="12"/>
      <c r="L139" s="12"/>
      <c r="M139" s="12"/>
      <c r="N139" s="12"/>
      <c r="O139" s="12"/>
      <c r="P139" s="12"/>
      <c r="Q139" s="12"/>
      <c r="R139" s="12"/>
      <c r="S139" s="12"/>
    </row>
    <row r="140" spans="5:19" ht="15" customHeight="1" x14ac:dyDescent="0.2">
      <c r="E140" s="12"/>
      <c r="F140" s="12"/>
      <c r="G140" s="12"/>
      <c r="H140" s="12"/>
      <c r="I140" s="12"/>
      <c r="J140" s="12"/>
      <c r="K140" s="12"/>
      <c r="L140" s="12"/>
      <c r="M140" s="12"/>
      <c r="N140" s="12"/>
      <c r="O140" s="12"/>
      <c r="P140" s="12"/>
      <c r="Q140" s="12"/>
      <c r="R140" s="12"/>
      <c r="S140" s="12"/>
    </row>
    <row r="141" spans="5:19" ht="15" customHeight="1" x14ac:dyDescent="0.2">
      <c r="E141" s="12"/>
      <c r="F141" s="12"/>
      <c r="G141" s="12"/>
      <c r="H141" s="12"/>
      <c r="I141" s="12"/>
      <c r="J141" s="12"/>
      <c r="K141" s="12"/>
      <c r="L141" s="12"/>
      <c r="M141" s="12"/>
      <c r="N141" s="12"/>
      <c r="O141" s="12"/>
      <c r="P141" s="12"/>
      <c r="Q141" s="12"/>
      <c r="R141" s="12"/>
      <c r="S141" s="12"/>
    </row>
    <row r="142" spans="5:19" ht="15" customHeight="1" x14ac:dyDescent="0.2">
      <c r="E142" s="12"/>
      <c r="F142" s="12"/>
      <c r="G142" s="12"/>
      <c r="H142" s="12"/>
      <c r="I142" s="12"/>
      <c r="J142" s="12"/>
      <c r="K142" s="12"/>
      <c r="L142" s="12"/>
      <c r="M142" s="12"/>
      <c r="N142" s="12"/>
      <c r="O142" s="12"/>
      <c r="P142" s="12"/>
      <c r="Q142" s="12"/>
      <c r="R142" s="12"/>
      <c r="S142" s="12"/>
    </row>
    <row r="143" spans="5:19" ht="15" customHeight="1" x14ac:dyDescent="0.2">
      <c r="E143" s="12"/>
      <c r="F143" s="12"/>
      <c r="G143" s="12"/>
      <c r="H143" s="12"/>
      <c r="I143" s="12"/>
      <c r="J143" s="12"/>
      <c r="K143" s="12"/>
      <c r="L143" s="12"/>
      <c r="M143" s="12"/>
      <c r="N143" s="12"/>
      <c r="O143" s="12"/>
      <c r="P143" s="12"/>
      <c r="Q143" s="12"/>
      <c r="R143" s="12"/>
      <c r="S143" s="12"/>
    </row>
    <row r="144" spans="5:19" ht="15" customHeight="1" x14ac:dyDescent="0.2">
      <c r="E144" s="12"/>
      <c r="F144" s="12"/>
      <c r="G144" s="12"/>
      <c r="H144" s="12"/>
      <c r="I144" s="12"/>
      <c r="J144" s="12"/>
      <c r="K144" s="12"/>
      <c r="L144" s="12"/>
      <c r="M144" s="12"/>
      <c r="N144" s="12"/>
      <c r="O144" s="12"/>
      <c r="P144" s="12"/>
      <c r="Q144" s="12"/>
      <c r="R144" s="12"/>
      <c r="S144" s="12"/>
    </row>
    <row r="145" ht="15" customHeight="1" x14ac:dyDescent="0.2"/>
  </sheetData>
  <printOptions horizontalCentered="1"/>
  <pageMargins left="0.11811023622047245" right="0.11811023622047245" top="0.11811023622047245" bottom="0.19685039370078741" header="0.11811023622047245" footer="0.11811023622047245"/>
  <pageSetup scale="80" orientation="landscape" r:id="rId1"/>
  <headerFooter>
    <oddFooter>&amp;Lir.tesla.com&amp;CPage &amp;P of &amp;N&amp;R&amp;D  &amp;T</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36BB6-2952-4DA1-8FBA-CBA7A4D9E526}">
  <dimension ref="B1:R177"/>
  <sheetViews>
    <sheetView showGridLines="0" tabSelected="1" zoomScaleNormal="100" workbookViewId="0">
      <selection activeCell="C29" sqref="C29"/>
    </sheetView>
  </sheetViews>
  <sheetFormatPr baseColWidth="10" defaultColWidth="9.1640625" defaultRowHeight="14" x14ac:dyDescent="0.2"/>
  <cols>
    <col min="1" max="1" width="1.1640625" style="1" customWidth="1"/>
    <col min="2" max="2" width="4.6640625" style="1" customWidth="1"/>
    <col min="3" max="11" width="14" style="1" customWidth="1"/>
    <col min="12" max="13" width="11.33203125" style="1" customWidth="1"/>
    <col min="14" max="14" width="14" style="1" customWidth="1"/>
    <col min="15" max="15" width="1.1640625" style="1" customWidth="1"/>
    <col min="16" max="16" width="9.1640625" style="1"/>
    <col min="17" max="18" width="12.6640625" style="1" customWidth="1"/>
    <col min="19" max="16384" width="9.1640625" style="1"/>
  </cols>
  <sheetData>
    <row r="1" spans="2:18" ht="6" customHeight="1" x14ac:dyDescent="0.2"/>
    <row r="2" spans="2:18" ht="20" customHeight="1" x14ac:dyDescent="0.25">
      <c r="B2" s="2" t="str">
        <f>'Cover Page'!$C$18</f>
        <v>Tesla, Inc.</v>
      </c>
      <c r="C2" s="3"/>
      <c r="D2" s="3"/>
      <c r="E2" s="3"/>
      <c r="F2" s="3"/>
      <c r="G2" s="3"/>
      <c r="H2" s="3"/>
      <c r="I2" s="3"/>
      <c r="J2" s="3"/>
      <c r="K2" s="3"/>
      <c r="L2" s="3"/>
      <c r="M2" s="3"/>
      <c r="N2" s="3"/>
    </row>
    <row r="3" spans="2:18" ht="15" customHeight="1" x14ac:dyDescent="0.2">
      <c r="B3" s="4" t="str">
        <f ca="1">RIGHT(CELL("filename",A1),LEN(CELL("filename",A1))-FIND("]",CELL("filename",A1)))</f>
        <v>About Tesla</v>
      </c>
      <c r="C3" s="4"/>
      <c r="D3" s="4"/>
      <c r="E3" s="4"/>
      <c r="F3" s="4"/>
      <c r="G3" s="4"/>
      <c r="H3" s="4"/>
      <c r="I3" s="4"/>
      <c r="J3" s="4"/>
      <c r="K3" s="4"/>
      <c r="L3" s="4"/>
      <c r="M3" s="4"/>
      <c r="N3" s="4"/>
    </row>
    <row r="4" spans="2:18" ht="15" customHeight="1" thickBot="1" x14ac:dyDescent="0.25">
      <c r="B4" s="5"/>
      <c r="C4" s="5"/>
      <c r="D4" s="5"/>
      <c r="E4" s="5"/>
      <c r="F4" s="5"/>
      <c r="G4" s="5"/>
      <c r="H4" s="5"/>
      <c r="I4" s="5"/>
      <c r="J4" s="5"/>
      <c r="K4" s="5"/>
      <c r="L4" s="5"/>
      <c r="M4" s="5"/>
      <c r="N4" s="5"/>
    </row>
    <row r="5" spans="2:18" ht="15" customHeight="1" x14ac:dyDescent="0.2"/>
    <row r="6" spans="2:18" ht="15" customHeight="1" x14ac:dyDescent="0.2">
      <c r="B6" s="1" t="s">
        <v>108</v>
      </c>
      <c r="K6" s="305" t="s">
        <v>239</v>
      </c>
      <c r="L6" s="305"/>
      <c r="M6" s="305"/>
      <c r="N6" s="305"/>
    </row>
    <row r="7" spans="2:18" ht="15" customHeight="1" x14ac:dyDescent="0.2"/>
    <row r="8" spans="2:18" ht="35" customHeight="1" x14ac:dyDescent="0.2">
      <c r="C8" s="303" t="s">
        <v>240</v>
      </c>
      <c r="D8" s="303"/>
      <c r="E8" s="303"/>
      <c r="F8" s="303"/>
      <c r="G8" s="303"/>
      <c r="H8" s="303"/>
      <c r="I8" s="303"/>
      <c r="J8" s="303"/>
      <c r="K8" s="12"/>
      <c r="L8" s="12"/>
      <c r="M8" s="12"/>
      <c r="N8" s="12"/>
      <c r="O8" s="12"/>
      <c r="P8" s="12"/>
      <c r="Q8" s="12"/>
      <c r="R8" s="12"/>
    </row>
    <row r="9" spans="2:18" ht="45" customHeight="1" x14ac:dyDescent="0.2">
      <c r="C9" s="303"/>
      <c r="D9" s="303"/>
      <c r="E9" s="303"/>
      <c r="F9" s="303"/>
      <c r="G9" s="303"/>
      <c r="H9" s="303"/>
      <c r="I9" s="303"/>
      <c r="J9" s="303"/>
      <c r="K9" s="12"/>
      <c r="L9" s="12"/>
      <c r="M9" s="12"/>
      <c r="N9" s="12"/>
      <c r="O9" s="12"/>
      <c r="P9" s="12"/>
      <c r="Q9" s="12"/>
      <c r="R9" s="12"/>
    </row>
    <row r="10" spans="2:18" ht="15" customHeight="1" x14ac:dyDescent="0.2">
      <c r="C10" s="303"/>
      <c r="D10" s="303"/>
      <c r="E10" s="303"/>
      <c r="F10" s="303"/>
      <c r="G10" s="303"/>
      <c r="H10" s="303"/>
      <c r="I10" s="303"/>
      <c r="J10" s="303"/>
      <c r="K10" s="12"/>
      <c r="L10" s="12"/>
      <c r="M10" s="12"/>
      <c r="N10" s="12"/>
      <c r="O10" s="12"/>
      <c r="P10" s="12"/>
      <c r="Q10" s="12"/>
      <c r="R10" s="12"/>
    </row>
    <row r="11" spans="2:18" ht="15" customHeight="1" x14ac:dyDescent="0.2">
      <c r="C11" s="303"/>
      <c r="D11" s="303"/>
      <c r="E11" s="303"/>
      <c r="F11" s="303"/>
      <c r="G11" s="303"/>
      <c r="H11" s="303"/>
      <c r="I11" s="303"/>
      <c r="J11" s="303"/>
      <c r="K11" s="12"/>
      <c r="L11" s="12"/>
      <c r="M11" s="12"/>
      <c r="N11" s="12"/>
      <c r="O11" s="12"/>
      <c r="P11" s="12"/>
      <c r="Q11" s="12"/>
      <c r="R11" s="12"/>
    </row>
    <row r="12" spans="2:18" ht="15" customHeight="1" x14ac:dyDescent="0.2">
      <c r="C12" s="303"/>
      <c r="D12" s="303"/>
      <c r="E12" s="303"/>
      <c r="F12" s="303"/>
      <c r="G12" s="303"/>
      <c r="H12" s="303"/>
      <c r="I12" s="303"/>
      <c r="J12" s="303"/>
      <c r="K12" s="12"/>
      <c r="L12" s="12"/>
      <c r="M12" s="12"/>
      <c r="N12" s="12"/>
      <c r="O12" s="12"/>
      <c r="P12" s="12"/>
      <c r="Q12" s="12"/>
      <c r="R12" s="12"/>
    </row>
    <row r="13" spans="2:18" ht="15" customHeight="1" x14ac:dyDescent="0.2">
      <c r="C13" s="303"/>
      <c r="D13" s="303"/>
      <c r="E13" s="303"/>
      <c r="F13" s="303"/>
      <c r="G13" s="303"/>
      <c r="H13" s="303"/>
      <c r="I13" s="303"/>
      <c r="J13" s="303"/>
      <c r="K13" s="12"/>
      <c r="L13" s="12"/>
      <c r="M13" s="12"/>
      <c r="N13" s="12"/>
      <c r="O13" s="12"/>
      <c r="P13" s="12"/>
      <c r="Q13" s="12"/>
      <c r="R13" s="12"/>
    </row>
    <row r="14" spans="2:18" ht="15" customHeight="1" x14ac:dyDescent="0.2">
      <c r="C14" s="303"/>
      <c r="D14" s="303"/>
      <c r="E14" s="303"/>
      <c r="F14" s="303"/>
      <c r="G14" s="303"/>
      <c r="H14" s="303"/>
      <c r="I14" s="303"/>
      <c r="J14" s="303"/>
      <c r="K14" s="12"/>
      <c r="L14" s="12"/>
      <c r="M14" s="12"/>
      <c r="N14" s="12"/>
      <c r="O14" s="12"/>
      <c r="P14" s="12"/>
      <c r="Q14" s="12"/>
      <c r="R14" s="12"/>
    </row>
    <row r="15" spans="2:18" ht="15" customHeight="1" x14ac:dyDescent="0.2">
      <c r="C15" s="74"/>
      <c r="D15" s="74"/>
      <c r="E15" s="74"/>
      <c r="F15" s="74"/>
      <c r="G15" s="74"/>
      <c r="H15" s="74"/>
      <c r="I15" s="74"/>
      <c r="J15" s="74"/>
      <c r="K15" s="12"/>
      <c r="L15" s="12"/>
      <c r="M15" s="12"/>
      <c r="N15" s="12"/>
      <c r="O15" s="12"/>
      <c r="P15" s="12"/>
      <c r="Q15" s="12"/>
      <c r="R15" s="12"/>
    </row>
    <row r="16" spans="2:18" ht="15" customHeight="1" x14ac:dyDescent="0.2">
      <c r="C16" s="1" t="s">
        <v>763</v>
      </c>
      <c r="E16" s="12"/>
      <c r="F16" s="12"/>
      <c r="G16" s="12"/>
      <c r="H16" s="12"/>
      <c r="I16" s="12"/>
      <c r="J16" s="12"/>
      <c r="K16" s="12"/>
      <c r="L16" s="12"/>
      <c r="M16" s="12"/>
      <c r="N16" s="12"/>
      <c r="O16" s="12"/>
      <c r="P16" s="12"/>
      <c r="Q16" s="12"/>
      <c r="R16" s="12"/>
    </row>
    <row r="17" spans="2:18" ht="15" customHeight="1" x14ac:dyDescent="0.2">
      <c r="C17" s="13" t="s">
        <v>109</v>
      </c>
      <c r="E17" s="75" t="s">
        <v>241</v>
      </c>
      <c r="F17" s="12"/>
      <c r="G17" s="12"/>
      <c r="H17" s="12"/>
      <c r="I17" s="12"/>
      <c r="J17" s="12"/>
      <c r="K17" s="12"/>
      <c r="L17" s="12"/>
      <c r="M17" s="12"/>
      <c r="N17" s="12"/>
      <c r="O17" s="12"/>
      <c r="P17" s="12"/>
      <c r="Q17" s="12"/>
      <c r="R17" s="12"/>
    </row>
    <row r="18" spans="2:18" ht="30" customHeight="1" x14ac:dyDescent="0.2">
      <c r="C18" s="78" t="s">
        <v>110</v>
      </c>
      <c r="D18" s="76"/>
      <c r="E18" s="301" t="s">
        <v>242</v>
      </c>
      <c r="F18" s="301"/>
      <c r="G18" s="301"/>
      <c r="H18" s="301"/>
      <c r="I18" s="301"/>
      <c r="J18" s="301"/>
      <c r="K18" s="301"/>
      <c r="L18" s="301"/>
      <c r="M18" s="301"/>
      <c r="N18" s="12"/>
      <c r="O18" s="12"/>
      <c r="P18" s="12"/>
      <c r="Q18" s="12"/>
      <c r="R18" s="12"/>
    </row>
    <row r="19" spans="2:18" ht="15" customHeight="1" x14ac:dyDescent="0.2">
      <c r="E19" s="12"/>
      <c r="F19" s="12"/>
      <c r="G19" s="12"/>
      <c r="H19" s="12"/>
      <c r="I19" s="12"/>
      <c r="J19" s="12"/>
      <c r="K19" s="12"/>
      <c r="L19" s="12"/>
      <c r="M19" s="12"/>
      <c r="N19" s="12"/>
      <c r="O19" s="12"/>
      <c r="P19" s="12"/>
      <c r="Q19" s="12"/>
      <c r="R19" s="12"/>
    </row>
    <row r="20" spans="2:18" ht="15" customHeight="1" x14ac:dyDescent="0.2">
      <c r="C20" s="59" t="s">
        <v>243</v>
      </c>
      <c r="E20" s="12"/>
      <c r="F20" s="12"/>
      <c r="G20" s="12"/>
      <c r="H20" s="12"/>
      <c r="I20" s="12"/>
      <c r="J20" s="12"/>
      <c r="K20" s="12"/>
      <c r="L20" s="12"/>
      <c r="M20" s="12"/>
      <c r="N20" s="12"/>
      <c r="O20" s="12"/>
      <c r="P20" s="12"/>
      <c r="Q20" s="12"/>
      <c r="R20" s="12"/>
    </row>
    <row r="21" spans="2:18" ht="15" customHeight="1" x14ac:dyDescent="0.2">
      <c r="B21" s="73" t="s">
        <v>246</v>
      </c>
      <c r="E21" s="12"/>
      <c r="F21" s="12"/>
      <c r="G21" s="12"/>
      <c r="H21" s="12"/>
      <c r="I21" s="12"/>
      <c r="J21" s="12"/>
      <c r="K21" s="12"/>
      <c r="L21" s="12"/>
      <c r="M21" s="12"/>
      <c r="N21" s="12"/>
      <c r="O21" s="12"/>
      <c r="P21" s="12"/>
      <c r="Q21" s="12"/>
      <c r="R21" s="12"/>
    </row>
    <row r="22" spans="2:18" ht="20" customHeight="1" x14ac:dyDescent="0.2">
      <c r="B22" s="1">
        <f>1</f>
        <v>1</v>
      </c>
      <c r="C22" s="1" t="s">
        <v>104</v>
      </c>
      <c r="F22" s="75" t="s">
        <v>258</v>
      </c>
      <c r="G22" s="12"/>
      <c r="H22" s="12"/>
      <c r="I22" s="12"/>
      <c r="J22" s="12"/>
      <c r="K22" s="12"/>
      <c r="L22" s="12"/>
      <c r="M22" s="12"/>
      <c r="N22" s="12"/>
      <c r="O22" s="12"/>
      <c r="P22" s="12"/>
      <c r="Q22" s="12"/>
      <c r="R22" s="12"/>
    </row>
    <row r="23" spans="2:18" ht="20" customHeight="1" x14ac:dyDescent="0.2">
      <c r="B23" s="1">
        <f>B22+1</f>
        <v>2</v>
      </c>
      <c r="C23" s="1" t="s">
        <v>106</v>
      </c>
      <c r="F23" s="75" t="s">
        <v>259</v>
      </c>
      <c r="G23" s="12"/>
      <c r="H23" s="12"/>
      <c r="I23" s="12"/>
      <c r="J23" s="12"/>
      <c r="K23" s="12"/>
      <c r="L23" s="12"/>
      <c r="M23" s="12"/>
      <c r="N23" s="12"/>
      <c r="O23" s="12"/>
      <c r="P23" s="12"/>
      <c r="Q23" s="12"/>
      <c r="R23" s="12"/>
    </row>
    <row r="24" spans="2:18" ht="20" customHeight="1" x14ac:dyDescent="0.2">
      <c r="B24" s="1">
        <f t="shared" ref="B24:B25" si="0">B23+1</f>
        <v>3</v>
      </c>
      <c r="C24" s="1" t="s">
        <v>244</v>
      </c>
      <c r="F24" s="75" t="s">
        <v>260</v>
      </c>
      <c r="G24" s="12"/>
      <c r="H24" s="12"/>
      <c r="I24" s="12"/>
      <c r="J24" s="12"/>
      <c r="K24" s="12"/>
      <c r="L24" s="12"/>
      <c r="M24" s="12"/>
      <c r="N24" s="12"/>
      <c r="O24" s="12"/>
      <c r="P24" s="12"/>
      <c r="Q24" s="12"/>
      <c r="R24" s="12"/>
    </row>
    <row r="25" spans="2:18" ht="20" customHeight="1" x14ac:dyDescent="0.2">
      <c r="B25" s="1">
        <f t="shared" si="0"/>
        <v>4</v>
      </c>
      <c r="C25" s="1" t="s">
        <v>245</v>
      </c>
      <c r="F25" s="75" t="s">
        <v>261</v>
      </c>
      <c r="G25" s="12"/>
      <c r="H25" s="12"/>
      <c r="I25" s="12"/>
      <c r="J25" s="12"/>
      <c r="K25" s="12"/>
      <c r="L25" s="12"/>
      <c r="M25" s="12"/>
      <c r="N25" s="12"/>
      <c r="O25" s="12"/>
      <c r="P25" s="12"/>
      <c r="Q25" s="12"/>
      <c r="R25" s="12"/>
    </row>
    <row r="26" spans="2:18" ht="15" customHeight="1" x14ac:dyDescent="0.2">
      <c r="E26" s="12"/>
      <c r="F26" s="12"/>
      <c r="G26" s="12"/>
      <c r="H26" s="12"/>
      <c r="I26" s="12"/>
      <c r="J26" s="12"/>
      <c r="K26" s="12"/>
      <c r="L26" s="12"/>
      <c r="M26" s="12"/>
      <c r="N26" s="12"/>
      <c r="O26" s="12"/>
      <c r="P26" s="12"/>
      <c r="Q26" s="12"/>
      <c r="R26" s="12"/>
    </row>
    <row r="27" spans="2:18" ht="15" customHeight="1" x14ac:dyDescent="0.2">
      <c r="B27" s="73" t="s">
        <v>247</v>
      </c>
      <c r="E27" s="12"/>
      <c r="F27" s="12"/>
      <c r="G27" s="12"/>
      <c r="H27" s="12"/>
      <c r="I27" s="12"/>
      <c r="J27" s="12"/>
      <c r="K27" s="12"/>
      <c r="L27" s="12"/>
      <c r="M27" s="12"/>
      <c r="N27" s="12"/>
      <c r="O27" s="12"/>
      <c r="P27" s="12"/>
      <c r="Q27" s="12"/>
      <c r="R27" s="12"/>
    </row>
    <row r="28" spans="2:18" ht="20" customHeight="1" x14ac:dyDescent="0.2">
      <c r="B28" s="47">
        <f>1</f>
        <v>1</v>
      </c>
      <c r="C28" s="19" t="s">
        <v>248</v>
      </c>
      <c r="E28" s="75" t="s">
        <v>249</v>
      </c>
      <c r="F28" s="12"/>
      <c r="G28" s="12"/>
      <c r="H28" s="12"/>
      <c r="I28" s="12"/>
      <c r="J28" s="12"/>
      <c r="K28" s="12"/>
      <c r="L28" s="12"/>
      <c r="M28" s="12"/>
      <c r="N28" s="12"/>
      <c r="O28" s="12"/>
      <c r="P28" s="12"/>
      <c r="Q28" s="12"/>
      <c r="R28" s="12"/>
    </row>
    <row r="29" spans="2:18" ht="20" customHeight="1" x14ac:dyDescent="0.2">
      <c r="B29" s="47" t="s">
        <v>250</v>
      </c>
      <c r="C29" s="1" t="s">
        <v>252</v>
      </c>
      <c r="E29" s="12"/>
      <c r="F29" s="12"/>
      <c r="G29" s="12"/>
      <c r="H29" s="12"/>
      <c r="I29" s="12"/>
      <c r="J29" s="12"/>
      <c r="K29" s="12"/>
      <c r="L29" s="12"/>
      <c r="M29" s="12"/>
      <c r="N29" s="12"/>
      <c r="O29" s="12"/>
      <c r="P29" s="12"/>
      <c r="Q29" s="12"/>
      <c r="R29" s="12"/>
    </row>
    <row r="30" spans="2:18" ht="35" customHeight="1" x14ac:dyDescent="0.2">
      <c r="B30" s="77" t="s">
        <v>251</v>
      </c>
      <c r="C30" s="302" t="s">
        <v>253</v>
      </c>
      <c r="D30" s="302"/>
      <c r="E30" s="302"/>
      <c r="F30" s="302"/>
      <c r="G30" s="302"/>
      <c r="H30" s="302"/>
      <c r="I30" s="302"/>
      <c r="J30" s="302"/>
      <c r="K30" s="302"/>
      <c r="L30" s="302"/>
      <c r="M30" s="302"/>
      <c r="N30" s="302"/>
      <c r="O30" s="12"/>
      <c r="P30" s="12"/>
      <c r="Q30" s="12"/>
      <c r="R30" s="12"/>
    </row>
    <row r="31" spans="2:18" ht="35" customHeight="1" x14ac:dyDescent="0.2">
      <c r="B31" s="303" t="s">
        <v>254</v>
      </c>
      <c r="C31" s="303"/>
      <c r="D31" s="303"/>
      <c r="E31" s="303"/>
      <c r="F31" s="303"/>
      <c r="G31" s="303"/>
      <c r="H31" s="303"/>
      <c r="I31" s="303"/>
      <c r="J31" s="303"/>
      <c r="K31" s="303"/>
      <c r="L31" s="303"/>
      <c r="M31" s="303"/>
      <c r="N31" s="303"/>
      <c r="O31" s="12"/>
      <c r="P31" s="12"/>
      <c r="Q31" s="12"/>
      <c r="R31" s="12"/>
    </row>
    <row r="32" spans="2:18" ht="20" customHeight="1" x14ac:dyDescent="0.2">
      <c r="B32" s="47">
        <v>2</v>
      </c>
      <c r="C32" s="19" t="s">
        <v>255</v>
      </c>
      <c r="E32" s="75" t="s">
        <v>256</v>
      </c>
      <c r="F32" s="12"/>
      <c r="G32" s="12"/>
      <c r="H32" s="12"/>
      <c r="I32" s="12"/>
      <c r="J32" s="12"/>
      <c r="K32" s="12"/>
      <c r="L32" s="12"/>
      <c r="M32" s="12"/>
      <c r="N32" s="12"/>
      <c r="O32" s="12"/>
      <c r="P32" s="12"/>
      <c r="Q32" s="12"/>
      <c r="R32" s="12"/>
    </row>
    <row r="33" spans="2:18" ht="35" customHeight="1" x14ac:dyDescent="0.2">
      <c r="B33" s="304" t="s">
        <v>257</v>
      </c>
      <c r="C33" s="304"/>
      <c r="D33" s="304"/>
      <c r="E33" s="304"/>
      <c r="F33" s="304"/>
      <c r="G33" s="304"/>
      <c r="H33" s="304"/>
      <c r="I33" s="304"/>
      <c r="J33" s="304"/>
      <c r="K33" s="304"/>
      <c r="L33" s="304"/>
      <c r="M33" s="304"/>
      <c r="N33" s="304"/>
      <c r="O33" s="12"/>
      <c r="P33" s="12"/>
      <c r="Q33" s="12"/>
      <c r="R33" s="12"/>
    </row>
    <row r="34" spans="2:18" ht="20" customHeight="1" x14ac:dyDescent="0.2">
      <c r="B34" s="47"/>
      <c r="E34" s="12"/>
      <c r="F34" s="12"/>
      <c r="G34" s="12"/>
      <c r="H34" s="12"/>
      <c r="I34" s="12"/>
      <c r="J34" s="12"/>
      <c r="K34" s="12"/>
      <c r="L34" s="12"/>
      <c r="M34" s="12"/>
      <c r="N34" s="12"/>
      <c r="O34" s="12"/>
      <c r="P34" s="12"/>
      <c r="Q34" s="12"/>
      <c r="R34" s="12"/>
    </row>
    <row r="35" spans="2:18" ht="6" customHeight="1" x14ac:dyDescent="0.2"/>
    <row r="36" spans="2:18" ht="20" customHeight="1" x14ac:dyDescent="0.25">
      <c r="B36" s="2" t="str">
        <f>'Cover Page'!$C$18</f>
        <v>Tesla, Inc.</v>
      </c>
      <c r="C36" s="3"/>
      <c r="D36" s="3"/>
      <c r="E36" s="3"/>
      <c r="F36" s="3"/>
      <c r="G36" s="3"/>
      <c r="H36" s="3"/>
      <c r="I36" s="3"/>
      <c r="J36" s="3"/>
      <c r="K36" s="3"/>
      <c r="L36" s="3"/>
      <c r="M36" s="3"/>
      <c r="N36" s="3"/>
    </row>
    <row r="37" spans="2:18" ht="15" customHeight="1" x14ac:dyDescent="0.2">
      <c r="B37" s="4" t="str">
        <f ca="1">RIGHT(CELL("filename",A35),LEN(CELL("filename",A35))-FIND("]",CELL("filename",A35)))</f>
        <v>About Tesla</v>
      </c>
      <c r="C37" s="4"/>
      <c r="D37" s="4"/>
      <c r="E37" s="4"/>
      <c r="F37" s="4"/>
      <c r="G37" s="4"/>
      <c r="H37" s="4"/>
      <c r="I37" s="4"/>
      <c r="J37" s="4"/>
      <c r="K37" s="4"/>
      <c r="L37" s="4"/>
      <c r="M37" s="4"/>
      <c r="N37" s="4"/>
    </row>
    <row r="38" spans="2:18" ht="15" customHeight="1" thickBot="1" x14ac:dyDescent="0.25">
      <c r="B38" s="5"/>
      <c r="C38" s="5"/>
      <c r="D38" s="5"/>
      <c r="E38" s="5"/>
      <c r="F38" s="5"/>
      <c r="G38" s="5"/>
      <c r="H38" s="5"/>
      <c r="I38" s="5"/>
      <c r="J38" s="5"/>
      <c r="K38" s="5"/>
      <c r="L38" s="5"/>
      <c r="M38" s="5"/>
      <c r="N38" s="5"/>
    </row>
    <row r="39" spans="2:18" ht="15" customHeight="1" x14ac:dyDescent="0.2"/>
    <row r="40" spans="2:18" ht="15" customHeight="1" x14ac:dyDescent="0.2">
      <c r="E40" s="12"/>
      <c r="F40" s="12"/>
      <c r="G40" s="12"/>
      <c r="H40" s="12"/>
      <c r="I40" s="12"/>
      <c r="J40" s="12"/>
      <c r="K40" s="12"/>
      <c r="L40" s="12"/>
      <c r="M40" s="12"/>
      <c r="N40" s="12"/>
      <c r="O40" s="12"/>
      <c r="P40" s="12"/>
      <c r="Q40" s="12"/>
      <c r="R40" s="12"/>
    </row>
    <row r="41" spans="2:18" ht="15" customHeight="1" x14ac:dyDescent="0.2">
      <c r="C41" s="19" t="s">
        <v>113</v>
      </c>
      <c r="E41" s="12"/>
      <c r="F41" s="12"/>
      <c r="G41" s="12"/>
      <c r="H41" s="12"/>
      <c r="I41" s="12"/>
      <c r="J41" s="12"/>
      <c r="K41" s="12"/>
      <c r="L41" s="12"/>
      <c r="M41" s="12"/>
      <c r="N41" s="12"/>
      <c r="O41" s="12"/>
      <c r="P41" s="12"/>
      <c r="Q41" s="12"/>
      <c r="R41" s="12"/>
    </row>
    <row r="42" spans="2:18" ht="15" customHeight="1" x14ac:dyDescent="0.2">
      <c r="E42" s="12"/>
      <c r="G42" s="12"/>
      <c r="H42" s="50">
        <v>2022</v>
      </c>
      <c r="I42" s="12">
        <f>H42+4</f>
        <v>2026</v>
      </c>
      <c r="J42" s="12"/>
      <c r="K42" s="12"/>
      <c r="L42" s="12"/>
      <c r="M42" s="12"/>
      <c r="N42" s="12"/>
      <c r="O42" s="12"/>
      <c r="P42" s="12"/>
      <c r="Q42" s="12"/>
      <c r="R42" s="12"/>
    </row>
    <row r="43" spans="2:18" ht="15" customHeight="1" x14ac:dyDescent="0.2">
      <c r="C43" s="1">
        <v>1</v>
      </c>
      <c r="D43" s="52" t="s">
        <v>114</v>
      </c>
      <c r="E43" s="12"/>
      <c r="G43" s="12"/>
      <c r="H43" s="12">
        <f>1.45*10^6</f>
        <v>1450000</v>
      </c>
      <c r="I43" s="12">
        <f>2.5*10^6</f>
        <v>2500000</v>
      </c>
      <c r="J43" s="12"/>
      <c r="K43" s="12"/>
      <c r="L43" s="12"/>
      <c r="M43" s="12"/>
      <c r="N43" s="12"/>
      <c r="O43" s="12"/>
      <c r="P43" s="12"/>
      <c r="Q43" s="12"/>
      <c r="R43" s="12"/>
    </row>
    <row r="44" spans="2:18" ht="15" customHeight="1" x14ac:dyDescent="0.2">
      <c r="C44" s="1">
        <f t="shared" ref="C44:C51" si="1">C43+1</f>
        <v>2</v>
      </c>
      <c r="D44" s="1" t="s">
        <v>115</v>
      </c>
      <c r="E44" s="12"/>
      <c r="F44" s="12"/>
      <c r="G44" s="12"/>
      <c r="H44" s="12" t="s">
        <v>116</v>
      </c>
      <c r="I44" s="12"/>
      <c r="J44" s="12"/>
      <c r="K44" s="12"/>
      <c r="L44" s="12"/>
      <c r="M44" s="12"/>
      <c r="N44" s="12"/>
      <c r="O44" s="12"/>
      <c r="P44" s="12"/>
      <c r="Q44" s="12"/>
      <c r="R44" s="12"/>
    </row>
    <row r="45" spans="2:18" ht="15" customHeight="1" x14ac:dyDescent="0.2">
      <c r="C45" s="1">
        <f t="shared" si="1"/>
        <v>3</v>
      </c>
      <c r="D45" s="1" t="s">
        <v>117</v>
      </c>
      <c r="E45" s="12"/>
      <c r="F45" s="12"/>
      <c r="G45" s="12"/>
      <c r="H45" s="12" t="s">
        <v>118</v>
      </c>
      <c r="I45" s="12"/>
      <c r="J45" s="12"/>
      <c r="K45" s="12"/>
      <c r="L45" s="12"/>
      <c r="M45" s="12"/>
      <c r="N45" s="12"/>
      <c r="O45" s="12"/>
      <c r="P45" s="12"/>
      <c r="Q45" s="12"/>
      <c r="R45" s="12"/>
    </row>
    <row r="46" spans="2:18" ht="15" customHeight="1" x14ac:dyDescent="0.2">
      <c r="C46" s="1">
        <f t="shared" si="1"/>
        <v>4</v>
      </c>
      <c r="D46" s="1" t="s">
        <v>119</v>
      </c>
      <c r="E46" s="12"/>
      <c r="F46" s="12"/>
      <c r="G46" s="12"/>
      <c r="H46" s="12" t="s">
        <v>120</v>
      </c>
      <c r="I46" s="12"/>
      <c r="J46" s="12"/>
      <c r="K46" s="12"/>
      <c r="L46" s="12"/>
      <c r="M46" s="12"/>
      <c r="N46" s="12"/>
      <c r="O46" s="12"/>
      <c r="P46" s="12"/>
      <c r="Q46" s="12"/>
      <c r="R46" s="12"/>
    </row>
    <row r="47" spans="2:18" ht="15" customHeight="1" x14ac:dyDescent="0.2">
      <c r="C47" s="1">
        <f t="shared" si="1"/>
        <v>5</v>
      </c>
      <c r="D47" s="1" t="s">
        <v>121</v>
      </c>
      <c r="E47" s="12"/>
      <c r="F47" s="12"/>
      <c r="G47" s="12"/>
      <c r="H47" s="12" t="s">
        <v>122</v>
      </c>
      <c r="I47" s="12"/>
      <c r="J47" s="12"/>
      <c r="K47" s="12"/>
      <c r="L47" s="12"/>
      <c r="M47" s="12"/>
      <c r="N47" s="12"/>
      <c r="O47" s="12"/>
      <c r="P47" s="12"/>
      <c r="Q47" s="12"/>
      <c r="R47" s="12"/>
    </row>
    <row r="48" spans="2:18" ht="15" customHeight="1" x14ac:dyDescent="0.2">
      <c r="C48" s="1">
        <f t="shared" si="1"/>
        <v>6</v>
      </c>
      <c r="D48" s="1" t="s">
        <v>106</v>
      </c>
      <c r="E48" s="12"/>
      <c r="F48" s="12"/>
      <c r="G48" s="12"/>
      <c r="H48" s="12" t="s">
        <v>123</v>
      </c>
      <c r="I48" s="12"/>
      <c r="J48" s="12"/>
      <c r="K48" s="12"/>
      <c r="L48" s="12"/>
      <c r="M48" s="12"/>
      <c r="N48" s="12"/>
      <c r="O48" s="12"/>
      <c r="P48" s="12"/>
      <c r="Q48" s="12"/>
      <c r="R48" s="12"/>
    </row>
    <row r="49" spans="3:18" ht="15" customHeight="1" x14ac:dyDescent="0.2">
      <c r="C49" s="1">
        <f t="shared" si="1"/>
        <v>7</v>
      </c>
      <c r="D49" s="1" t="s">
        <v>106</v>
      </c>
      <c r="E49" s="12"/>
      <c r="F49" s="12"/>
      <c r="G49" s="12"/>
      <c r="H49" s="12" t="s">
        <v>124</v>
      </c>
      <c r="I49" s="12"/>
      <c r="J49" s="12"/>
      <c r="K49" s="12"/>
      <c r="L49" s="12"/>
      <c r="M49" s="12"/>
      <c r="N49" s="12"/>
      <c r="O49" s="12"/>
      <c r="P49" s="12"/>
      <c r="Q49" s="12"/>
      <c r="R49" s="12"/>
    </row>
    <row r="50" spans="3:18" ht="15" customHeight="1" x14ac:dyDescent="0.2">
      <c r="C50" s="1">
        <f t="shared" si="1"/>
        <v>8</v>
      </c>
      <c r="D50" s="1" t="s">
        <v>125</v>
      </c>
      <c r="E50" s="12"/>
      <c r="F50" s="12"/>
      <c r="G50" s="12"/>
      <c r="H50" s="12" t="s">
        <v>126</v>
      </c>
      <c r="I50" s="12"/>
      <c r="J50" s="12"/>
      <c r="K50" s="12"/>
      <c r="L50" s="12"/>
      <c r="M50" s="12"/>
      <c r="N50" s="12"/>
      <c r="O50" s="12"/>
      <c r="P50" s="12"/>
      <c r="Q50" s="12"/>
      <c r="R50" s="12"/>
    </row>
    <row r="51" spans="3:18" ht="15" customHeight="1" x14ac:dyDescent="0.2">
      <c r="C51" s="1">
        <f t="shared" si="1"/>
        <v>9</v>
      </c>
      <c r="D51" s="1" t="s">
        <v>127</v>
      </c>
      <c r="E51" s="12"/>
      <c r="F51" s="12"/>
      <c r="G51" s="12"/>
      <c r="H51" s="12" t="s">
        <v>128</v>
      </c>
      <c r="I51" s="12"/>
      <c r="J51" s="12" t="s">
        <v>129</v>
      </c>
      <c r="K51" s="12"/>
      <c r="L51" s="12"/>
      <c r="M51" s="12"/>
      <c r="N51" s="12"/>
      <c r="O51" s="12"/>
      <c r="P51" s="12"/>
      <c r="Q51" s="12"/>
      <c r="R51" s="12"/>
    </row>
    <row r="52" spans="3:18" ht="15" customHeight="1" x14ac:dyDescent="0.2">
      <c r="E52" s="12"/>
      <c r="F52" s="12"/>
      <c r="G52" s="53" t="s">
        <v>131</v>
      </c>
      <c r="H52" s="54">
        <v>25.39</v>
      </c>
      <c r="I52" s="12"/>
      <c r="J52" s="12"/>
      <c r="K52" s="57" t="s">
        <v>135</v>
      </c>
      <c r="L52" s="12"/>
      <c r="M52" s="12"/>
      <c r="N52" s="12"/>
      <c r="O52" s="12"/>
      <c r="P52" s="12"/>
      <c r="Q52" s="12"/>
      <c r="R52" s="12"/>
    </row>
    <row r="53" spans="3:18" ht="15" customHeight="1" x14ac:dyDescent="0.2">
      <c r="C53" s="1">
        <f>C51+1</f>
        <v>10</v>
      </c>
      <c r="D53" s="1" t="s">
        <v>130</v>
      </c>
      <c r="E53" s="12"/>
      <c r="F53" s="12"/>
      <c r="G53" s="12"/>
      <c r="H53" s="12"/>
      <c r="I53" s="56" t="s">
        <v>134</v>
      </c>
      <c r="J53" s="12"/>
      <c r="K53" s="57" t="s">
        <v>136</v>
      </c>
      <c r="L53" s="12"/>
      <c r="M53" s="12"/>
      <c r="N53" s="58" t="s">
        <v>138</v>
      </c>
      <c r="O53" s="12"/>
      <c r="P53" s="12"/>
      <c r="Q53" s="12"/>
      <c r="R53" s="12"/>
    </row>
    <row r="54" spans="3:18" ht="15" customHeight="1" x14ac:dyDescent="0.2">
      <c r="E54" s="12"/>
      <c r="F54" s="12"/>
      <c r="G54" s="53" t="s">
        <v>132</v>
      </c>
      <c r="H54" s="54">
        <v>25.27</v>
      </c>
      <c r="I54" s="12"/>
      <c r="J54" s="12"/>
      <c r="K54" s="57" t="s">
        <v>137</v>
      </c>
      <c r="L54" s="12"/>
      <c r="M54" s="12"/>
      <c r="N54" s="12"/>
      <c r="O54" s="12"/>
      <c r="P54" s="12"/>
      <c r="Q54" s="12"/>
      <c r="R54" s="12"/>
    </row>
    <row r="55" spans="3:18" ht="15" customHeight="1" x14ac:dyDescent="0.2">
      <c r="D55" s="55" t="s">
        <v>133</v>
      </c>
      <c r="E55" s="12"/>
      <c r="F55" s="12"/>
      <c r="G55" s="12"/>
      <c r="H55" s="12"/>
      <c r="I55" s="12"/>
      <c r="J55" s="12"/>
      <c r="K55" s="12"/>
      <c r="L55" s="12"/>
      <c r="M55" s="12"/>
      <c r="N55" s="12"/>
      <c r="O55" s="12"/>
      <c r="P55" s="12"/>
      <c r="Q55" s="12"/>
      <c r="R55" s="12"/>
    </row>
    <row r="56" spans="3:18" ht="15" customHeight="1" x14ac:dyDescent="0.2">
      <c r="E56" s="12"/>
      <c r="F56" s="12"/>
      <c r="G56" s="12"/>
      <c r="H56" s="12"/>
      <c r="I56" s="12"/>
      <c r="J56" s="12"/>
      <c r="K56" s="12"/>
      <c r="L56" s="12"/>
      <c r="M56" s="12"/>
      <c r="N56" s="12"/>
      <c r="O56" s="12"/>
      <c r="P56" s="12"/>
      <c r="Q56" s="12"/>
      <c r="R56" s="12"/>
    </row>
    <row r="57" spans="3:18" ht="15" customHeight="1" x14ac:dyDescent="0.2">
      <c r="C57" s="1">
        <f>C53+1</f>
        <v>11</v>
      </c>
      <c r="D57" s="1" t="s">
        <v>139</v>
      </c>
      <c r="E57" s="12"/>
      <c r="F57" s="12"/>
      <c r="G57" s="12"/>
      <c r="H57" s="12"/>
      <c r="I57" s="12"/>
      <c r="J57" s="12"/>
      <c r="K57" s="12"/>
      <c r="L57" s="12"/>
      <c r="M57" s="12"/>
      <c r="N57" s="12"/>
      <c r="O57" s="12"/>
      <c r="P57" s="12"/>
      <c r="Q57" s="12"/>
      <c r="R57" s="12"/>
    </row>
    <row r="58" spans="3:18" ht="15" customHeight="1" x14ac:dyDescent="0.2">
      <c r="C58" s="1">
        <f>C57+1</f>
        <v>12</v>
      </c>
      <c r="D58" s="1" t="s">
        <v>140</v>
      </c>
      <c r="E58" s="12"/>
      <c r="F58" s="12"/>
      <c r="G58" s="12"/>
      <c r="H58" s="12"/>
      <c r="I58" s="12"/>
      <c r="J58" s="12"/>
      <c r="K58" s="12"/>
      <c r="L58" s="12"/>
      <c r="M58" s="12"/>
      <c r="N58" s="12"/>
      <c r="O58" s="12"/>
      <c r="P58" s="12"/>
      <c r="Q58" s="12"/>
      <c r="R58" s="12"/>
    </row>
    <row r="59" spans="3:18" ht="15" customHeight="1" x14ac:dyDescent="0.2">
      <c r="C59" s="1">
        <f>C58+1</f>
        <v>13</v>
      </c>
      <c r="D59" s="1" t="s">
        <v>141</v>
      </c>
      <c r="E59" s="12"/>
      <c r="F59" s="12"/>
      <c r="G59" s="12"/>
      <c r="H59" s="12" t="s">
        <v>142</v>
      </c>
      <c r="I59" s="12"/>
      <c r="J59" s="12"/>
      <c r="K59" s="12"/>
      <c r="L59" s="12"/>
      <c r="M59" s="12"/>
      <c r="N59" s="12"/>
      <c r="O59" s="12"/>
      <c r="P59" s="12"/>
      <c r="Q59" s="12"/>
      <c r="R59" s="12"/>
    </row>
    <row r="60" spans="3:18" ht="15" customHeight="1" x14ac:dyDescent="0.2">
      <c r="C60" s="1">
        <f>C59+1</f>
        <v>14</v>
      </c>
      <c r="D60" s="1" t="s">
        <v>143</v>
      </c>
      <c r="E60" s="12"/>
      <c r="F60" s="12"/>
      <c r="G60" s="12"/>
      <c r="H60" s="12" t="s">
        <v>144</v>
      </c>
      <c r="I60" s="12"/>
      <c r="J60" s="12"/>
      <c r="K60" s="12"/>
      <c r="L60" s="12"/>
      <c r="M60" s="12"/>
      <c r="N60" s="12"/>
      <c r="O60" s="12"/>
      <c r="P60" s="12"/>
      <c r="Q60" s="12"/>
      <c r="R60" s="12"/>
    </row>
    <row r="61" spans="3:18" ht="15" customHeight="1" x14ac:dyDescent="0.2">
      <c r="C61" s="1">
        <f>C60+1</f>
        <v>15</v>
      </c>
      <c r="D61" s="1" t="s">
        <v>145</v>
      </c>
      <c r="E61" s="12"/>
      <c r="F61" s="12"/>
      <c r="G61" s="12"/>
      <c r="H61" s="12" t="s">
        <v>146</v>
      </c>
      <c r="I61" s="12"/>
      <c r="J61" s="12"/>
      <c r="K61" s="12"/>
      <c r="L61" s="12"/>
      <c r="M61" s="12"/>
      <c r="N61" s="12"/>
      <c r="O61" s="12"/>
      <c r="P61" s="12"/>
      <c r="Q61" s="12"/>
      <c r="R61" s="12"/>
    </row>
    <row r="62" spans="3:18" ht="15" customHeight="1" x14ac:dyDescent="0.2">
      <c r="C62" s="1">
        <f>C61+1</f>
        <v>16</v>
      </c>
      <c r="D62" s="1" t="s">
        <v>147</v>
      </c>
      <c r="E62" s="12"/>
      <c r="F62" s="12"/>
      <c r="G62" s="12"/>
      <c r="H62" s="12" t="s">
        <v>148</v>
      </c>
      <c r="I62" s="12"/>
      <c r="J62" s="12"/>
      <c r="K62" s="12"/>
      <c r="L62" s="12"/>
      <c r="M62" s="12"/>
      <c r="N62" s="12"/>
      <c r="O62" s="12"/>
      <c r="P62" s="12"/>
      <c r="Q62" s="12"/>
      <c r="R62" s="12"/>
    </row>
    <row r="63" spans="3:18" ht="15" customHeight="1" x14ac:dyDescent="0.2">
      <c r="E63" s="12"/>
      <c r="F63" s="12"/>
      <c r="G63" s="12"/>
      <c r="H63" s="12"/>
      <c r="I63" s="12"/>
      <c r="J63" s="12"/>
      <c r="K63" s="12"/>
      <c r="L63" s="12"/>
      <c r="M63" s="12"/>
      <c r="N63" s="12"/>
      <c r="O63" s="12"/>
      <c r="P63" s="12"/>
      <c r="Q63" s="12"/>
      <c r="R63" s="12"/>
    </row>
    <row r="64" spans="3:18" ht="15" customHeight="1" x14ac:dyDescent="0.2">
      <c r="D64" s="55" t="s">
        <v>149</v>
      </c>
      <c r="E64" s="12"/>
      <c r="F64" s="12"/>
      <c r="G64" s="12"/>
      <c r="H64" s="12"/>
      <c r="I64" s="12"/>
      <c r="J64" s="12"/>
      <c r="K64" s="12"/>
      <c r="L64" s="12"/>
      <c r="M64" s="12"/>
      <c r="N64" s="12"/>
      <c r="O64" s="12"/>
      <c r="P64" s="12"/>
      <c r="Q64" s="12"/>
      <c r="R64" s="12"/>
    </row>
    <row r="65" spans="3:18" ht="15" customHeight="1" x14ac:dyDescent="0.2">
      <c r="C65" s="1">
        <f>C62+1</f>
        <v>17</v>
      </c>
      <c r="D65" s="1" t="s">
        <v>150</v>
      </c>
      <c r="E65" s="12"/>
      <c r="F65" s="12"/>
      <c r="G65" s="12"/>
      <c r="H65" s="12"/>
      <c r="I65" s="12"/>
      <c r="J65" s="12"/>
      <c r="K65" s="12"/>
      <c r="L65" s="12"/>
      <c r="M65" s="12"/>
      <c r="N65" s="12"/>
      <c r="O65" s="12"/>
      <c r="P65" s="12"/>
      <c r="Q65" s="12"/>
      <c r="R65" s="12"/>
    </row>
    <row r="66" spans="3:18" ht="15" customHeight="1" x14ac:dyDescent="0.2">
      <c r="E66" s="12"/>
      <c r="F66" s="12"/>
      <c r="G66" s="12"/>
      <c r="H66" s="12"/>
      <c r="I66" s="12"/>
      <c r="J66" s="12"/>
      <c r="K66" s="12"/>
      <c r="L66" s="12"/>
      <c r="M66" s="12"/>
      <c r="N66" s="12"/>
      <c r="O66" s="12"/>
      <c r="P66" s="12"/>
      <c r="Q66" s="12"/>
      <c r="R66" s="12"/>
    </row>
    <row r="67" spans="3:18" ht="15" customHeight="1" x14ac:dyDescent="0.2">
      <c r="C67" s="30" t="s">
        <v>151</v>
      </c>
      <c r="E67" s="12"/>
      <c r="F67" s="12"/>
      <c r="G67" s="12"/>
      <c r="H67" s="12"/>
      <c r="I67" s="12"/>
      <c r="J67" s="12"/>
      <c r="K67" s="12"/>
      <c r="L67" s="12"/>
      <c r="M67" s="12"/>
      <c r="N67" s="12"/>
      <c r="O67" s="12"/>
      <c r="P67" s="12"/>
      <c r="Q67" s="12"/>
      <c r="R67" s="12"/>
    </row>
    <row r="68" spans="3:18" ht="15" customHeight="1" x14ac:dyDescent="0.2">
      <c r="E68" s="12"/>
      <c r="F68" s="12"/>
      <c r="G68" s="12"/>
      <c r="H68" s="12"/>
      <c r="I68" s="12"/>
      <c r="J68" s="12"/>
      <c r="K68" s="12"/>
      <c r="L68" s="12"/>
      <c r="M68" s="12"/>
      <c r="N68" s="12"/>
      <c r="O68" s="12"/>
      <c r="P68" s="12"/>
      <c r="Q68" s="12"/>
      <c r="R68" s="12"/>
    </row>
    <row r="69" spans="3:18" ht="15" customHeight="1" x14ac:dyDescent="0.2">
      <c r="C69" s="1">
        <v>1</v>
      </c>
      <c r="D69" s="1" t="s">
        <v>231</v>
      </c>
      <c r="E69" s="12"/>
      <c r="F69" s="12"/>
      <c r="G69" s="12"/>
      <c r="H69" s="12"/>
      <c r="I69" s="12"/>
      <c r="J69" s="12"/>
      <c r="K69" s="12"/>
      <c r="L69" s="12"/>
      <c r="M69" s="12"/>
      <c r="N69" s="12"/>
      <c r="O69" s="12"/>
      <c r="P69" s="12"/>
      <c r="Q69" s="12"/>
      <c r="R69" s="12"/>
    </row>
    <row r="70" spans="3:18" ht="15" customHeight="1" x14ac:dyDescent="0.2">
      <c r="C70" s="1">
        <v>2</v>
      </c>
      <c r="D70" s="1" t="s">
        <v>232</v>
      </c>
      <c r="E70" s="12"/>
      <c r="F70" s="12"/>
      <c r="G70" s="12"/>
      <c r="H70" s="12"/>
      <c r="I70" s="12"/>
      <c r="J70" s="12"/>
      <c r="K70" s="12"/>
      <c r="L70" s="12"/>
      <c r="M70" s="12"/>
      <c r="N70" s="12"/>
      <c r="O70" s="12"/>
      <c r="P70" s="12"/>
      <c r="Q70" s="12"/>
      <c r="R70" s="12"/>
    </row>
    <row r="71" spans="3:18" ht="15" customHeight="1" x14ac:dyDescent="0.2">
      <c r="C71" s="1">
        <v>3</v>
      </c>
      <c r="D71" s="1" t="s">
        <v>233</v>
      </c>
      <c r="E71" s="12"/>
      <c r="F71" s="12"/>
      <c r="G71" s="12"/>
      <c r="H71" s="12"/>
      <c r="I71" s="12"/>
      <c r="J71" s="12"/>
      <c r="K71" s="12"/>
      <c r="L71" s="12"/>
      <c r="M71" s="12"/>
      <c r="N71" s="12"/>
      <c r="O71" s="12"/>
      <c r="P71" s="12"/>
      <c r="Q71" s="12"/>
      <c r="R71" s="12"/>
    </row>
    <row r="72" spans="3:18" ht="15" customHeight="1" x14ac:dyDescent="0.2">
      <c r="C72" s="1">
        <v>4</v>
      </c>
      <c r="D72" s="1" t="s">
        <v>234</v>
      </c>
      <c r="E72" s="12"/>
      <c r="F72" s="12"/>
      <c r="G72" s="12"/>
      <c r="H72" s="12"/>
      <c r="I72" s="12"/>
      <c r="J72" s="12"/>
      <c r="K72" s="12"/>
      <c r="L72" s="12"/>
      <c r="M72" s="12"/>
      <c r="N72" s="12"/>
      <c r="O72" s="12"/>
      <c r="P72" s="12"/>
      <c r="Q72" s="12"/>
      <c r="R72" s="12"/>
    </row>
    <row r="73" spans="3:18" ht="15" customHeight="1" x14ac:dyDescent="0.2">
      <c r="C73" s="1">
        <v>5</v>
      </c>
      <c r="D73" s="1" t="s">
        <v>236</v>
      </c>
      <c r="E73" s="12"/>
      <c r="F73" s="12"/>
      <c r="G73" s="12"/>
      <c r="H73" s="12"/>
      <c r="I73" s="12"/>
      <c r="J73" s="12"/>
      <c r="K73" s="12"/>
      <c r="L73" s="12"/>
      <c r="M73" s="12"/>
      <c r="N73" s="12"/>
      <c r="O73" s="12"/>
      <c r="P73" s="12"/>
      <c r="Q73" s="12"/>
      <c r="R73" s="12"/>
    </row>
    <row r="74" spans="3:18" ht="15" customHeight="1" x14ac:dyDescent="0.2">
      <c r="C74" s="1">
        <v>5</v>
      </c>
      <c r="D74" s="1" t="s">
        <v>785</v>
      </c>
      <c r="E74" s="12"/>
      <c r="F74" s="12"/>
      <c r="G74" s="12"/>
      <c r="H74" s="12"/>
      <c r="I74" s="12"/>
      <c r="J74" s="12"/>
      <c r="K74" s="12"/>
      <c r="L74" s="12"/>
      <c r="M74" s="12"/>
      <c r="N74" s="12"/>
      <c r="O74" s="12"/>
      <c r="P74" s="12"/>
      <c r="Q74" s="12"/>
      <c r="R74" s="12"/>
    </row>
    <row r="75" spans="3:18" ht="15" customHeight="1" x14ac:dyDescent="0.2">
      <c r="E75" s="12"/>
      <c r="F75" s="12"/>
      <c r="G75" s="12"/>
      <c r="H75" s="12"/>
      <c r="I75" s="12"/>
      <c r="J75" s="12"/>
      <c r="K75" s="12"/>
      <c r="L75" s="12"/>
      <c r="M75" s="12"/>
      <c r="N75" s="12"/>
      <c r="O75" s="12"/>
      <c r="P75" s="12"/>
      <c r="Q75" s="12"/>
      <c r="R75" s="12"/>
    </row>
    <row r="76" spans="3:18" ht="15" customHeight="1" x14ac:dyDescent="0.2">
      <c r="E76" s="12"/>
      <c r="F76" s="12"/>
      <c r="G76" s="12"/>
      <c r="H76" s="12"/>
      <c r="I76" s="12"/>
      <c r="J76" s="12"/>
      <c r="K76" s="12"/>
      <c r="L76" s="12"/>
      <c r="M76" s="12"/>
      <c r="N76" s="12"/>
      <c r="O76" s="12"/>
      <c r="P76" s="12"/>
      <c r="Q76" s="12"/>
      <c r="R76" s="12"/>
    </row>
    <row r="77" spans="3:18" ht="15" customHeight="1" x14ac:dyDescent="0.2">
      <c r="E77" s="12"/>
      <c r="F77" s="12"/>
      <c r="G77" s="12"/>
      <c r="H77" s="12"/>
      <c r="I77" s="12"/>
      <c r="J77" s="12"/>
      <c r="K77" s="12"/>
      <c r="L77" s="12"/>
      <c r="M77" s="12"/>
      <c r="N77" s="12"/>
      <c r="O77" s="12"/>
      <c r="P77" s="12"/>
      <c r="Q77" s="12"/>
      <c r="R77" s="12"/>
    </row>
    <row r="78" spans="3:18" ht="15" customHeight="1" x14ac:dyDescent="0.2">
      <c r="E78" s="12"/>
      <c r="F78" s="12"/>
      <c r="G78" s="12"/>
      <c r="H78" s="12"/>
      <c r="I78" s="12"/>
      <c r="J78" s="12"/>
      <c r="K78" s="12"/>
      <c r="L78" s="12"/>
      <c r="M78" s="12"/>
      <c r="N78" s="12"/>
      <c r="O78" s="12"/>
      <c r="P78" s="12"/>
      <c r="Q78" s="12"/>
      <c r="R78" s="12"/>
    </row>
    <row r="79" spans="3:18" ht="15" customHeight="1" x14ac:dyDescent="0.2">
      <c r="E79" s="12"/>
      <c r="F79" s="12"/>
      <c r="G79" s="12"/>
      <c r="H79" s="12"/>
      <c r="I79" s="12"/>
      <c r="J79" s="12"/>
      <c r="K79" s="12"/>
      <c r="L79" s="12"/>
      <c r="M79" s="12"/>
      <c r="N79" s="12"/>
      <c r="O79" s="12"/>
      <c r="P79" s="12"/>
      <c r="Q79" s="12"/>
      <c r="R79" s="12"/>
    </row>
    <row r="80" spans="3:18" ht="15" customHeight="1" x14ac:dyDescent="0.2">
      <c r="E80" s="12"/>
      <c r="F80" s="12"/>
      <c r="G80" s="12"/>
      <c r="H80" s="12"/>
      <c r="I80" s="12"/>
      <c r="J80" s="12"/>
      <c r="K80" s="12"/>
      <c r="L80" s="12"/>
      <c r="M80" s="12"/>
      <c r="N80" s="12"/>
      <c r="O80" s="12"/>
      <c r="P80" s="12"/>
      <c r="Q80" s="12"/>
      <c r="R80" s="12"/>
    </row>
    <row r="81" spans="5:18" ht="15" customHeight="1" x14ac:dyDescent="0.2">
      <c r="E81" s="12"/>
      <c r="F81" s="12"/>
      <c r="G81" s="12"/>
      <c r="H81" s="12"/>
      <c r="I81" s="12"/>
      <c r="J81" s="12"/>
      <c r="K81" s="12"/>
      <c r="L81" s="12"/>
      <c r="M81" s="12"/>
      <c r="N81" s="12"/>
      <c r="O81" s="12"/>
      <c r="P81" s="12"/>
      <c r="Q81" s="12"/>
      <c r="R81" s="12"/>
    </row>
    <row r="82" spans="5:18" ht="15" customHeight="1" x14ac:dyDescent="0.2">
      <c r="E82" s="12"/>
      <c r="F82" s="12"/>
      <c r="G82" s="12"/>
      <c r="H82" s="12"/>
      <c r="I82" s="12"/>
      <c r="J82" s="12"/>
      <c r="K82" s="12"/>
      <c r="L82" s="12"/>
      <c r="M82" s="12"/>
      <c r="N82" s="12"/>
      <c r="O82" s="12"/>
      <c r="P82" s="12"/>
      <c r="Q82" s="12"/>
      <c r="R82" s="12"/>
    </row>
    <row r="83" spans="5:18" ht="15" customHeight="1" x14ac:dyDescent="0.2">
      <c r="E83" s="12"/>
      <c r="F83" s="12"/>
      <c r="G83" s="12"/>
      <c r="H83" s="12"/>
      <c r="I83" s="12"/>
      <c r="J83" s="12"/>
      <c r="K83" s="12"/>
      <c r="L83" s="12"/>
      <c r="M83" s="12"/>
      <c r="N83" s="12"/>
      <c r="O83" s="12"/>
      <c r="P83" s="12"/>
      <c r="Q83" s="12"/>
      <c r="R83" s="12"/>
    </row>
    <row r="84" spans="5:18" ht="15" customHeight="1" x14ac:dyDescent="0.2">
      <c r="E84" s="12"/>
      <c r="F84" s="12"/>
      <c r="G84" s="12"/>
      <c r="H84" s="12"/>
      <c r="I84" s="12"/>
      <c r="J84" s="12"/>
      <c r="K84" s="12"/>
      <c r="L84" s="12"/>
      <c r="M84" s="12"/>
      <c r="N84" s="12"/>
      <c r="O84" s="12"/>
      <c r="P84" s="12"/>
      <c r="Q84" s="12"/>
      <c r="R84" s="12"/>
    </row>
    <row r="85" spans="5:18" ht="15" customHeight="1" x14ac:dyDescent="0.2">
      <c r="E85" s="12"/>
      <c r="F85" s="12"/>
      <c r="G85" s="12"/>
      <c r="H85" s="12"/>
      <c r="I85" s="12"/>
      <c r="J85" s="12"/>
      <c r="K85" s="12"/>
      <c r="L85" s="12"/>
      <c r="M85" s="12"/>
      <c r="N85" s="12"/>
      <c r="O85" s="12"/>
      <c r="P85" s="12"/>
      <c r="Q85" s="12"/>
      <c r="R85" s="12"/>
    </row>
    <row r="86" spans="5:18" ht="15" customHeight="1" x14ac:dyDescent="0.2">
      <c r="E86" s="12"/>
      <c r="F86" s="12"/>
      <c r="G86" s="12"/>
      <c r="H86" s="12"/>
      <c r="I86" s="12"/>
      <c r="J86" s="12"/>
      <c r="K86" s="12"/>
      <c r="L86" s="12"/>
      <c r="M86" s="12"/>
      <c r="N86" s="12"/>
      <c r="O86" s="12"/>
      <c r="P86" s="12"/>
      <c r="Q86" s="12"/>
      <c r="R86" s="12"/>
    </row>
    <row r="87" spans="5:18" ht="15" customHeight="1" x14ac:dyDescent="0.2">
      <c r="E87" s="12"/>
      <c r="F87" s="12"/>
      <c r="G87" s="12"/>
      <c r="H87" s="12"/>
      <c r="I87" s="12"/>
      <c r="J87" s="12"/>
      <c r="K87" s="12"/>
      <c r="L87" s="12"/>
      <c r="M87" s="12"/>
      <c r="N87" s="12"/>
      <c r="O87" s="12"/>
      <c r="P87" s="12"/>
      <c r="Q87" s="12"/>
      <c r="R87" s="12"/>
    </row>
    <row r="88" spans="5:18" ht="15" customHeight="1" x14ac:dyDescent="0.2">
      <c r="E88" s="12"/>
      <c r="F88" s="12"/>
      <c r="G88" s="12"/>
      <c r="H88" s="12"/>
      <c r="I88" s="12"/>
      <c r="J88" s="12"/>
      <c r="K88" s="12"/>
      <c r="L88" s="12"/>
      <c r="M88" s="12"/>
      <c r="N88" s="12"/>
      <c r="O88" s="12"/>
      <c r="P88" s="12"/>
      <c r="Q88" s="12"/>
      <c r="R88" s="12"/>
    </row>
    <row r="89" spans="5:18" ht="15" customHeight="1" x14ac:dyDescent="0.2">
      <c r="E89" s="12"/>
      <c r="F89" s="12"/>
      <c r="G89" s="12"/>
      <c r="H89" s="12"/>
      <c r="I89" s="12"/>
      <c r="J89" s="12"/>
      <c r="K89" s="12"/>
      <c r="L89" s="12"/>
      <c r="M89" s="12"/>
      <c r="N89" s="12"/>
      <c r="O89" s="12"/>
      <c r="P89" s="12"/>
      <c r="Q89" s="12"/>
      <c r="R89" s="12"/>
    </row>
    <row r="90" spans="5:18" ht="15" customHeight="1" x14ac:dyDescent="0.2">
      <c r="E90" s="12"/>
      <c r="F90" s="12"/>
      <c r="G90" s="12"/>
      <c r="H90" s="12"/>
      <c r="I90" s="12"/>
      <c r="J90" s="12"/>
      <c r="K90" s="12"/>
      <c r="L90" s="12"/>
      <c r="M90" s="12"/>
      <c r="N90" s="12"/>
      <c r="O90" s="12"/>
      <c r="P90" s="12"/>
      <c r="Q90" s="12"/>
      <c r="R90" s="12"/>
    </row>
    <row r="91" spans="5:18" ht="15" customHeight="1" x14ac:dyDescent="0.2">
      <c r="E91" s="12"/>
      <c r="F91" s="12"/>
      <c r="G91" s="12"/>
      <c r="H91" s="12"/>
      <c r="I91" s="12"/>
      <c r="J91" s="12"/>
      <c r="K91" s="12"/>
      <c r="L91" s="12"/>
      <c r="M91" s="12"/>
      <c r="N91" s="12"/>
      <c r="O91" s="12"/>
      <c r="P91" s="12"/>
      <c r="Q91" s="12"/>
      <c r="R91" s="12"/>
    </row>
    <row r="92" spans="5:18" ht="15" customHeight="1" x14ac:dyDescent="0.2">
      <c r="E92" s="12"/>
      <c r="F92" s="12"/>
      <c r="G92" s="12"/>
      <c r="H92" s="12"/>
      <c r="I92" s="12"/>
      <c r="J92" s="12"/>
      <c r="K92" s="12"/>
      <c r="L92" s="12"/>
      <c r="M92" s="12"/>
      <c r="N92" s="12"/>
      <c r="O92" s="12"/>
      <c r="P92" s="12"/>
      <c r="Q92" s="12"/>
      <c r="R92" s="12"/>
    </row>
    <row r="93" spans="5:18" ht="15" customHeight="1" x14ac:dyDescent="0.2">
      <c r="E93" s="12"/>
      <c r="F93" s="12"/>
      <c r="G93" s="12"/>
      <c r="H93" s="12"/>
      <c r="I93" s="12"/>
      <c r="J93" s="12"/>
      <c r="K93" s="12"/>
      <c r="L93" s="12"/>
      <c r="M93" s="12"/>
      <c r="N93" s="12"/>
      <c r="O93" s="12"/>
      <c r="P93" s="12"/>
      <c r="Q93" s="12"/>
      <c r="R93" s="12"/>
    </row>
    <row r="94" spans="5:18" ht="15" customHeight="1" x14ac:dyDescent="0.2">
      <c r="E94" s="12"/>
      <c r="F94" s="12"/>
      <c r="G94" s="12"/>
      <c r="H94" s="12"/>
      <c r="I94" s="12"/>
      <c r="J94" s="12"/>
      <c r="K94" s="12"/>
      <c r="L94" s="12"/>
      <c r="M94" s="12"/>
      <c r="N94" s="12"/>
      <c r="O94" s="12"/>
      <c r="P94" s="12"/>
      <c r="Q94" s="12"/>
      <c r="R94" s="12"/>
    </row>
    <row r="95" spans="5:18" ht="15" customHeight="1" x14ac:dyDescent="0.2">
      <c r="E95" s="12"/>
      <c r="F95" s="12"/>
      <c r="G95" s="12"/>
      <c r="H95" s="12"/>
      <c r="I95" s="12"/>
      <c r="J95" s="12"/>
      <c r="K95" s="12"/>
      <c r="L95" s="12"/>
      <c r="M95" s="12"/>
      <c r="N95" s="12"/>
      <c r="O95" s="12"/>
      <c r="P95" s="12"/>
      <c r="Q95" s="12"/>
      <c r="R95" s="12"/>
    </row>
    <row r="96" spans="5:18" ht="15" customHeight="1" x14ac:dyDescent="0.2">
      <c r="E96" s="12"/>
      <c r="F96" s="12"/>
      <c r="G96" s="12"/>
      <c r="H96" s="12"/>
      <c r="I96" s="12"/>
      <c r="J96" s="12"/>
      <c r="K96" s="12"/>
      <c r="L96" s="12"/>
      <c r="M96" s="12"/>
      <c r="N96" s="12"/>
      <c r="O96" s="12"/>
      <c r="P96" s="12"/>
      <c r="Q96" s="12"/>
      <c r="R96" s="12"/>
    </row>
    <row r="97" spans="5:18" ht="15" customHeight="1" x14ac:dyDescent="0.2">
      <c r="E97" s="12"/>
      <c r="F97" s="12"/>
      <c r="G97" s="12"/>
      <c r="H97" s="12"/>
      <c r="I97" s="12"/>
      <c r="J97" s="12"/>
      <c r="K97" s="12"/>
      <c r="L97" s="12"/>
      <c r="M97" s="12"/>
      <c r="N97" s="12"/>
      <c r="O97" s="12"/>
      <c r="P97" s="12"/>
      <c r="Q97" s="12"/>
      <c r="R97" s="12"/>
    </row>
    <row r="98" spans="5:18" ht="15" customHeight="1" x14ac:dyDescent="0.2">
      <c r="E98" s="12"/>
      <c r="F98" s="12"/>
      <c r="G98" s="12"/>
      <c r="H98" s="12"/>
      <c r="I98" s="12"/>
      <c r="J98" s="12"/>
      <c r="K98" s="12"/>
      <c r="L98" s="12"/>
      <c r="M98" s="12"/>
      <c r="N98" s="12"/>
      <c r="O98" s="12"/>
      <c r="P98" s="12"/>
      <c r="Q98" s="12"/>
      <c r="R98" s="12"/>
    </row>
    <row r="99" spans="5:18" ht="15" customHeight="1" x14ac:dyDescent="0.2">
      <c r="E99" s="12"/>
      <c r="F99" s="12"/>
      <c r="G99" s="12"/>
      <c r="H99" s="12"/>
      <c r="I99" s="12"/>
      <c r="J99" s="12"/>
      <c r="K99" s="12"/>
      <c r="L99" s="12"/>
      <c r="M99" s="12"/>
      <c r="N99" s="12"/>
      <c r="O99" s="12"/>
      <c r="P99" s="12"/>
      <c r="Q99" s="12"/>
      <c r="R99" s="12"/>
    </row>
    <row r="100" spans="5:18" ht="15" customHeight="1" x14ac:dyDescent="0.2">
      <c r="E100" s="12"/>
      <c r="F100" s="12"/>
      <c r="G100" s="12"/>
      <c r="H100" s="12"/>
      <c r="I100" s="12"/>
      <c r="J100" s="12"/>
      <c r="K100" s="12"/>
      <c r="L100" s="12"/>
      <c r="M100" s="12"/>
      <c r="N100" s="12"/>
      <c r="O100" s="12"/>
      <c r="P100" s="12"/>
      <c r="Q100" s="12"/>
      <c r="R100" s="12"/>
    </row>
    <row r="101" spans="5:18" ht="15" customHeight="1" x14ac:dyDescent="0.2">
      <c r="E101" s="12"/>
      <c r="F101" s="12"/>
      <c r="G101" s="12"/>
      <c r="H101" s="12"/>
      <c r="I101" s="12"/>
      <c r="J101" s="12"/>
      <c r="K101" s="12"/>
      <c r="L101" s="12"/>
      <c r="M101" s="12"/>
      <c r="N101" s="12"/>
      <c r="O101" s="12"/>
      <c r="P101" s="12"/>
      <c r="Q101" s="12"/>
      <c r="R101" s="12"/>
    </row>
    <row r="102" spans="5:18" ht="15" customHeight="1" x14ac:dyDescent="0.2">
      <c r="E102" s="12"/>
      <c r="F102" s="12"/>
      <c r="G102" s="12"/>
      <c r="H102" s="12"/>
      <c r="I102" s="12"/>
      <c r="J102" s="12"/>
      <c r="K102" s="12"/>
      <c r="L102" s="12"/>
      <c r="M102" s="12"/>
      <c r="N102" s="12"/>
      <c r="O102" s="12"/>
      <c r="P102" s="12"/>
      <c r="Q102" s="12"/>
      <c r="R102" s="12"/>
    </row>
    <row r="103" spans="5:18" ht="15" customHeight="1" x14ac:dyDescent="0.2">
      <c r="E103" s="12"/>
      <c r="F103" s="12"/>
      <c r="G103" s="12"/>
      <c r="H103" s="12"/>
      <c r="I103" s="12"/>
      <c r="J103" s="12"/>
      <c r="K103" s="12"/>
      <c r="L103" s="12"/>
      <c r="M103" s="12"/>
      <c r="N103" s="12"/>
      <c r="O103" s="12"/>
      <c r="P103" s="12"/>
      <c r="Q103" s="12"/>
      <c r="R103" s="12"/>
    </row>
    <row r="104" spans="5:18" ht="15" customHeight="1" x14ac:dyDescent="0.2">
      <c r="E104" s="12"/>
      <c r="F104" s="12"/>
      <c r="G104" s="12"/>
      <c r="H104" s="12"/>
      <c r="I104" s="12"/>
      <c r="J104" s="12"/>
      <c r="K104" s="12"/>
      <c r="L104" s="12"/>
      <c r="M104" s="12"/>
      <c r="N104" s="12"/>
      <c r="O104" s="12"/>
      <c r="P104" s="12"/>
      <c r="Q104" s="12"/>
      <c r="R104" s="12"/>
    </row>
    <row r="105" spans="5:18" ht="15" customHeight="1" x14ac:dyDescent="0.2">
      <c r="E105" s="12"/>
      <c r="F105" s="12"/>
      <c r="G105" s="12"/>
      <c r="H105" s="12"/>
      <c r="I105" s="12"/>
      <c r="J105" s="12"/>
      <c r="K105" s="12"/>
      <c r="L105" s="12"/>
      <c r="M105" s="12"/>
      <c r="N105" s="12"/>
      <c r="O105" s="12"/>
      <c r="P105" s="12"/>
      <c r="Q105" s="12"/>
      <c r="R105" s="12"/>
    </row>
    <row r="106" spans="5:18" ht="15" customHeight="1" x14ac:dyDescent="0.2">
      <c r="E106" s="12"/>
      <c r="F106" s="12"/>
      <c r="G106" s="12"/>
      <c r="H106" s="12"/>
      <c r="I106" s="12"/>
      <c r="J106" s="12"/>
      <c r="K106" s="12"/>
      <c r="L106" s="12"/>
      <c r="M106" s="12"/>
      <c r="N106" s="12"/>
      <c r="O106" s="12"/>
      <c r="P106" s="12"/>
      <c r="Q106" s="12"/>
      <c r="R106" s="12"/>
    </row>
    <row r="107" spans="5:18" ht="15" customHeight="1" x14ac:dyDescent="0.2">
      <c r="E107" s="12"/>
      <c r="F107" s="12"/>
      <c r="G107" s="12"/>
      <c r="H107" s="12"/>
      <c r="I107" s="12"/>
      <c r="J107" s="12"/>
      <c r="K107" s="12"/>
      <c r="L107" s="12"/>
      <c r="M107" s="12"/>
      <c r="N107" s="12"/>
      <c r="O107" s="12"/>
      <c r="P107" s="12"/>
      <c r="Q107" s="12"/>
      <c r="R107" s="12"/>
    </row>
    <row r="108" spans="5:18" ht="15" customHeight="1" x14ac:dyDescent="0.2">
      <c r="E108" s="12"/>
      <c r="F108" s="12"/>
      <c r="G108" s="12"/>
      <c r="H108" s="12"/>
      <c r="I108" s="12"/>
      <c r="J108" s="12"/>
      <c r="K108" s="12"/>
      <c r="L108" s="12"/>
      <c r="M108" s="12"/>
      <c r="N108" s="12"/>
      <c r="O108" s="12"/>
      <c r="P108" s="12"/>
      <c r="Q108" s="12"/>
      <c r="R108" s="12"/>
    </row>
    <row r="109" spans="5:18" ht="15" customHeight="1" x14ac:dyDescent="0.2">
      <c r="E109" s="12"/>
      <c r="F109" s="12"/>
      <c r="G109" s="12"/>
      <c r="H109" s="12"/>
      <c r="I109" s="12"/>
      <c r="J109" s="12"/>
      <c r="K109" s="12"/>
      <c r="L109" s="12"/>
      <c r="M109" s="12"/>
      <c r="N109" s="12"/>
      <c r="O109" s="12"/>
      <c r="P109" s="12"/>
      <c r="Q109" s="12"/>
      <c r="R109" s="12"/>
    </row>
    <row r="110" spans="5:18" ht="15" customHeight="1" x14ac:dyDescent="0.2">
      <c r="E110" s="12"/>
      <c r="F110" s="12"/>
      <c r="G110" s="12"/>
      <c r="H110" s="12"/>
      <c r="I110" s="12"/>
      <c r="J110" s="12"/>
      <c r="K110" s="12"/>
      <c r="L110" s="12"/>
      <c r="M110" s="12"/>
      <c r="N110" s="12"/>
      <c r="O110" s="12"/>
      <c r="P110" s="12"/>
      <c r="Q110" s="12"/>
      <c r="R110" s="12"/>
    </row>
    <row r="111" spans="5:18" ht="15" customHeight="1" x14ac:dyDescent="0.2">
      <c r="E111" s="12"/>
      <c r="F111" s="12"/>
      <c r="G111" s="12"/>
      <c r="H111" s="12"/>
      <c r="I111" s="12"/>
      <c r="J111" s="12"/>
      <c r="K111" s="12"/>
      <c r="L111" s="12"/>
      <c r="M111" s="12"/>
      <c r="N111" s="12"/>
      <c r="O111" s="12"/>
      <c r="P111" s="12"/>
      <c r="Q111" s="12"/>
      <c r="R111" s="12"/>
    </row>
    <row r="112" spans="5:18" ht="15" customHeight="1" x14ac:dyDescent="0.2">
      <c r="E112" s="12"/>
      <c r="F112" s="12"/>
      <c r="G112" s="12"/>
      <c r="H112" s="12"/>
      <c r="I112" s="12"/>
      <c r="J112" s="12"/>
      <c r="K112" s="12"/>
      <c r="L112" s="12"/>
      <c r="M112" s="12"/>
      <c r="N112" s="12"/>
      <c r="O112" s="12"/>
      <c r="P112" s="12"/>
      <c r="Q112" s="12"/>
      <c r="R112" s="12"/>
    </row>
    <row r="113" spans="5:18" ht="15" customHeight="1" x14ac:dyDescent="0.2">
      <c r="E113" s="12"/>
      <c r="F113" s="12"/>
      <c r="G113" s="12"/>
      <c r="H113" s="12"/>
      <c r="I113" s="12"/>
      <c r="J113" s="12"/>
      <c r="K113" s="12"/>
      <c r="L113" s="12"/>
      <c r="M113" s="12"/>
      <c r="N113" s="12"/>
      <c r="O113" s="12"/>
      <c r="P113" s="12"/>
      <c r="Q113" s="12"/>
      <c r="R113" s="12"/>
    </row>
    <row r="114" spans="5:18" ht="15" customHeight="1" x14ac:dyDescent="0.2">
      <c r="E114" s="12"/>
      <c r="F114" s="12"/>
      <c r="G114" s="12"/>
      <c r="H114" s="12"/>
      <c r="I114" s="12"/>
      <c r="J114" s="12"/>
      <c r="K114" s="12"/>
      <c r="L114" s="12"/>
      <c r="M114" s="12"/>
      <c r="N114" s="12"/>
      <c r="O114" s="12"/>
      <c r="P114" s="12"/>
      <c r="Q114" s="12"/>
      <c r="R114" s="12"/>
    </row>
    <row r="115" spans="5:18" ht="15" customHeight="1" x14ac:dyDescent="0.2">
      <c r="E115" s="12"/>
      <c r="F115" s="12"/>
      <c r="G115" s="12"/>
      <c r="H115" s="12"/>
      <c r="I115" s="12"/>
      <c r="J115" s="12"/>
      <c r="K115" s="12"/>
      <c r="L115" s="12"/>
      <c r="M115" s="12"/>
      <c r="N115" s="12"/>
      <c r="O115" s="12"/>
      <c r="P115" s="12"/>
      <c r="Q115" s="12"/>
      <c r="R115" s="12"/>
    </row>
    <row r="116" spans="5:18" ht="15" customHeight="1" x14ac:dyDescent="0.2">
      <c r="E116" s="12"/>
      <c r="F116" s="12"/>
      <c r="G116" s="12"/>
      <c r="H116" s="12"/>
      <c r="I116" s="12"/>
      <c r="J116" s="12"/>
      <c r="K116" s="12"/>
      <c r="L116" s="12"/>
      <c r="M116" s="12"/>
      <c r="N116" s="12"/>
      <c r="O116" s="12"/>
      <c r="P116" s="12"/>
      <c r="Q116" s="12"/>
      <c r="R116" s="12"/>
    </row>
    <row r="117" spans="5:18" ht="15" customHeight="1" x14ac:dyDescent="0.2">
      <c r="E117" s="12"/>
      <c r="F117" s="12"/>
      <c r="G117" s="12"/>
      <c r="H117" s="12"/>
      <c r="I117" s="12"/>
      <c r="J117" s="12"/>
      <c r="K117" s="12"/>
      <c r="L117" s="12"/>
      <c r="M117" s="12"/>
      <c r="N117" s="12"/>
      <c r="O117" s="12"/>
      <c r="P117" s="12"/>
      <c r="Q117" s="12"/>
      <c r="R117" s="12"/>
    </row>
    <row r="118" spans="5:18" ht="15" customHeight="1" x14ac:dyDescent="0.2">
      <c r="E118" s="12"/>
      <c r="F118" s="12"/>
      <c r="G118" s="12"/>
      <c r="H118" s="12"/>
      <c r="I118" s="12"/>
      <c r="J118" s="12"/>
      <c r="K118" s="12"/>
      <c r="L118" s="12"/>
      <c r="M118" s="12"/>
      <c r="N118" s="12"/>
      <c r="O118" s="12"/>
      <c r="P118" s="12"/>
      <c r="Q118" s="12"/>
      <c r="R118" s="12"/>
    </row>
    <row r="119" spans="5:18" ht="15" customHeight="1" x14ac:dyDescent="0.2">
      <c r="E119" s="12"/>
      <c r="F119" s="12"/>
      <c r="G119" s="12"/>
      <c r="H119" s="12"/>
      <c r="I119" s="12"/>
      <c r="J119" s="12"/>
      <c r="K119" s="12"/>
      <c r="L119" s="12"/>
      <c r="M119" s="12"/>
      <c r="N119" s="12"/>
      <c r="O119" s="12"/>
      <c r="P119" s="12"/>
      <c r="Q119" s="12"/>
      <c r="R119" s="12"/>
    </row>
    <row r="120" spans="5:18" ht="15" customHeight="1" x14ac:dyDescent="0.2">
      <c r="E120" s="12"/>
      <c r="F120" s="12"/>
      <c r="G120" s="12"/>
      <c r="H120" s="12"/>
      <c r="I120" s="12"/>
      <c r="J120" s="12"/>
      <c r="K120" s="12"/>
      <c r="L120" s="12"/>
      <c r="M120" s="12"/>
      <c r="N120" s="12"/>
      <c r="O120" s="12"/>
      <c r="P120" s="12"/>
      <c r="Q120" s="12"/>
      <c r="R120" s="12"/>
    </row>
    <row r="121" spans="5:18" ht="15" customHeight="1" x14ac:dyDescent="0.2">
      <c r="E121" s="12"/>
      <c r="F121" s="12"/>
      <c r="G121" s="12"/>
      <c r="H121" s="12"/>
      <c r="I121" s="12"/>
      <c r="J121" s="12"/>
      <c r="K121" s="12"/>
      <c r="L121" s="12"/>
      <c r="M121" s="12"/>
      <c r="N121" s="12"/>
      <c r="O121" s="12"/>
      <c r="P121" s="12"/>
      <c r="Q121" s="12"/>
      <c r="R121" s="12"/>
    </row>
    <row r="122" spans="5:18" ht="15" customHeight="1" x14ac:dyDescent="0.2">
      <c r="E122" s="12"/>
      <c r="F122" s="12"/>
      <c r="G122" s="12"/>
      <c r="H122" s="12"/>
      <c r="I122" s="12"/>
      <c r="J122" s="12"/>
      <c r="K122" s="12"/>
      <c r="L122" s="12"/>
      <c r="M122" s="12"/>
      <c r="N122" s="12"/>
      <c r="O122" s="12"/>
      <c r="P122" s="12"/>
      <c r="Q122" s="12"/>
      <c r="R122" s="12"/>
    </row>
    <row r="123" spans="5:18" ht="15" customHeight="1" x14ac:dyDescent="0.2">
      <c r="E123" s="12"/>
      <c r="F123" s="12"/>
      <c r="G123" s="12"/>
      <c r="H123" s="12"/>
      <c r="I123" s="12"/>
      <c r="J123" s="12"/>
      <c r="K123" s="12"/>
      <c r="L123" s="12"/>
      <c r="M123" s="12"/>
      <c r="N123" s="12"/>
      <c r="O123" s="12"/>
      <c r="P123" s="12"/>
      <c r="Q123" s="12"/>
      <c r="R123" s="12"/>
    </row>
    <row r="124" spans="5:18" ht="15" customHeight="1" x14ac:dyDescent="0.2">
      <c r="E124" s="12"/>
      <c r="F124" s="12"/>
      <c r="G124" s="12"/>
      <c r="H124" s="12"/>
      <c r="I124" s="12"/>
      <c r="J124" s="12"/>
      <c r="K124" s="12"/>
      <c r="L124" s="12"/>
      <c r="M124" s="12"/>
      <c r="N124" s="12"/>
      <c r="O124" s="12"/>
      <c r="P124" s="12"/>
      <c r="Q124" s="12"/>
      <c r="R124" s="12"/>
    </row>
    <row r="125" spans="5:18" ht="15" customHeight="1" x14ac:dyDescent="0.2">
      <c r="E125" s="12"/>
      <c r="F125" s="12"/>
      <c r="G125" s="12"/>
      <c r="H125" s="12"/>
      <c r="I125" s="12"/>
      <c r="J125" s="12"/>
      <c r="K125" s="12"/>
      <c r="L125" s="12"/>
      <c r="M125" s="12"/>
      <c r="N125" s="12"/>
      <c r="O125" s="12"/>
      <c r="P125" s="12"/>
      <c r="Q125" s="12"/>
      <c r="R125" s="12"/>
    </row>
    <row r="126" spans="5:18" ht="15" customHeight="1" x14ac:dyDescent="0.2">
      <c r="E126" s="12"/>
      <c r="F126" s="12"/>
      <c r="G126" s="12"/>
      <c r="H126" s="12"/>
      <c r="I126" s="12"/>
      <c r="J126" s="12"/>
      <c r="K126" s="12"/>
      <c r="L126" s="12"/>
      <c r="M126" s="12"/>
      <c r="N126" s="12"/>
      <c r="O126" s="12"/>
      <c r="P126" s="12"/>
      <c r="Q126" s="12"/>
      <c r="R126" s="12"/>
    </row>
    <row r="127" spans="5:18" ht="15" customHeight="1" x14ac:dyDescent="0.2">
      <c r="E127" s="12"/>
      <c r="F127" s="12"/>
      <c r="G127" s="12"/>
      <c r="H127" s="12"/>
      <c r="I127" s="12"/>
      <c r="J127" s="12"/>
      <c r="K127" s="12"/>
      <c r="L127" s="12"/>
      <c r="M127" s="12"/>
      <c r="N127" s="12"/>
      <c r="O127" s="12"/>
      <c r="P127" s="12"/>
      <c r="Q127" s="12"/>
      <c r="R127" s="12"/>
    </row>
    <row r="128" spans="5:18" ht="15" customHeight="1" x14ac:dyDescent="0.2">
      <c r="E128" s="12"/>
      <c r="F128" s="12"/>
      <c r="G128" s="12"/>
      <c r="H128" s="12"/>
      <c r="I128" s="12"/>
      <c r="J128" s="12"/>
      <c r="K128" s="12"/>
      <c r="L128" s="12"/>
      <c r="M128" s="12"/>
      <c r="N128" s="12"/>
      <c r="O128" s="12"/>
      <c r="P128" s="12"/>
      <c r="Q128" s="12"/>
      <c r="R128" s="12"/>
    </row>
    <row r="129" spans="5:18" ht="15" customHeight="1" x14ac:dyDescent="0.2">
      <c r="E129" s="12"/>
      <c r="F129" s="12"/>
      <c r="G129" s="12"/>
      <c r="H129" s="12"/>
      <c r="I129" s="12"/>
      <c r="J129" s="12"/>
      <c r="K129" s="12"/>
      <c r="L129" s="12"/>
      <c r="M129" s="12"/>
      <c r="N129" s="12"/>
      <c r="O129" s="12"/>
      <c r="P129" s="12"/>
      <c r="Q129" s="12"/>
      <c r="R129" s="12"/>
    </row>
    <row r="130" spans="5:18" ht="15" customHeight="1" x14ac:dyDescent="0.2">
      <c r="E130" s="12"/>
      <c r="F130" s="12"/>
      <c r="G130" s="12"/>
      <c r="H130" s="12"/>
      <c r="I130" s="12"/>
      <c r="J130" s="12"/>
      <c r="K130" s="12"/>
      <c r="L130" s="12"/>
      <c r="M130" s="12"/>
      <c r="N130" s="12"/>
      <c r="O130" s="12"/>
      <c r="P130" s="12"/>
      <c r="Q130" s="12"/>
      <c r="R130" s="12"/>
    </row>
    <row r="131" spans="5:18" ht="15" customHeight="1" x14ac:dyDescent="0.2">
      <c r="E131" s="12"/>
      <c r="F131" s="12"/>
      <c r="G131" s="12"/>
      <c r="H131" s="12"/>
      <c r="I131" s="12"/>
      <c r="J131" s="12"/>
      <c r="K131" s="12"/>
      <c r="L131" s="12"/>
      <c r="M131" s="12"/>
      <c r="N131" s="12"/>
      <c r="O131" s="12"/>
      <c r="P131" s="12"/>
      <c r="Q131" s="12"/>
      <c r="R131" s="12"/>
    </row>
    <row r="132" spans="5:18" ht="15" customHeight="1" x14ac:dyDescent="0.2">
      <c r="E132" s="12"/>
      <c r="F132" s="12"/>
      <c r="G132" s="12"/>
      <c r="H132" s="12"/>
      <c r="I132" s="12"/>
      <c r="J132" s="12"/>
      <c r="K132" s="12"/>
      <c r="L132" s="12"/>
      <c r="M132" s="12"/>
      <c r="N132" s="12"/>
      <c r="O132" s="12"/>
      <c r="P132" s="12"/>
      <c r="Q132" s="12"/>
      <c r="R132" s="12"/>
    </row>
    <row r="133" spans="5:18" ht="15" customHeight="1" x14ac:dyDescent="0.2">
      <c r="E133" s="12"/>
      <c r="F133" s="12"/>
      <c r="G133" s="12"/>
      <c r="H133" s="12"/>
      <c r="I133" s="12"/>
      <c r="J133" s="12"/>
      <c r="K133" s="12"/>
      <c r="L133" s="12"/>
      <c r="M133" s="12"/>
      <c r="N133" s="12"/>
      <c r="O133" s="12"/>
      <c r="P133" s="12"/>
      <c r="Q133" s="12"/>
      <c r="R133" s="12"/>
    </row>
    <row r="134" spans="5:18" ht="15" customHeight="1" x14ac:dyDescent="0.2">
      <c r="E134" s="12"/>
      <c r="F134" s="12"/>
      <c r="G134" s="12"/>
      <c r="H134" s="12"/>
      <c r="I134" s="12"/>
      <c r="J134" s="12"/>
      <c r="K134" s="12"/>
      <c r="L134" s="12"/>
      <c r="M134" s="12"/>
      <c r="N134" s="12"/>
      <c r="O134" s="12"/>
      <c r="P134" s="12"/>
      <c r="Q134" s="12"/>
      <c r="R134" s="12"/>
    </row>
    <row r="135" spans="5:18" ht="15" customHeight="1" x14ac:dyDescent="0.2">
      <c r="E135" s="12"/>
      <c r="F135" s="12"/>
      <c r="G135" s="12"/>
      <c r="H135" s="12"/>
      <c r="I135" s="12"/>
      <c r="J135" s="12"/>
      <c r="K135" s="12"/>
      <c r="L135" s="12"/>
      <c r="M135" s="12"/>
      <c r="N135" s="12"/>
      <c r="O135" s="12"/>
      <c r="P135" s="12"/>
      <c r="Q135" s="12"/>
      <c r="R135" s="12"/>
    </row>
    <row r="136" spans="5:18" ht="15" customHeight="1" x14ac:dyDescent="0.2">
      <c r="E136" s="12"/>
      <c r="F136" s="12"/>
      <c r="G136" s="12"/>
      <c r="H136" s="12"/>
      <c r="I136" s="12"/>
      <c r="J136" s="12"/>
      <c r="K136" s="12"/>
      <c r="L136" s="12"/>
      <c r="M136" s="12"/>
      <c r="N136" s="12"/>
      <c r="O136" s="12"/>
      <c r="P136" s="12"/>
      <c r="Q136" s="12"/>
      <c r="R136" s="12"/>
    </row>
    <row r="137" spans="5:18" ht="15" customHeight="1" x14ac:dyDescent="0.2">
      <c r="E137" s="12"/>
      <c r="F137" s="12"/>
      <c r="G137" s="12"/>
      <c r="H137" s="12"/>
      <c r="I137" s="12"/>
      <c r="J137" s="12"/>
      <c r="K137" s="12"/>
      <c r="L137" s="12"/>
      <c r="M137" s="12"/>
      <c r="N137" s="12"/>
      <c r="O137" s="12"/>
      <c r="P137" s="12"/>
      <c r="Q137" s="12"/>
      <c r="R137" s="12"/>
    </row>
    <row r="138" spans="5:18" ht="15" customHeight="1" x14ac:dyDescent="0.2">
      <c r="E138" s="12"/>
      <c r="F138" s="12"/>
      <c r="G138" s="12"/>
      <c r="H138" s="12"/>
      <c r="I138" s="12"/>
      <c r="J138" s="12"/>
      <c r="K138" s="12"/>
      <c r="L138" s="12"/>
      <c r="M138" s="12"/>
      <c r="N138" s="12"/>
      <c r="O138" s="12"/>
      <c r="P138" s="12"/>
      <c r="Q138" s="12"/>
      <c r="R138" s="12"/>
    </row>
    <row r="139" spans="5:18" ht="15" customHeight="1" x14ac:dyDescent="0.2">
      <c r="E139" s="12"/>
      <c r="F139" s="12"/>
      <c r="G139" s="12"/>
      <c r="H139" s="12"/>
      <c r="I139" s="12"/>
      <c r="J139" s="12"/>
      <c r="K139" s="12"/>
      <c r="L139" s="12"/>
      <c r="M139" s="12"/>
      <c r="N139" s="12"/>
      <c r="O139" s="12"/>
      <c r="P139" s="12"/>
      <c r="Q139" s="12"/>
      <c r="R139" s="12"/>
    </row>
    <row r="140" spans="5:18" ht="15" customHeight="1" x14ac:dyDescent="0.2">
      <c r="E140" s="12"/>
      <c r="F140" s="12"/>
      <c r="G140" s="12"/>
      <c r="H140" s="12"/>
      <c r="I140" s="12"/>
      <c r="J140" s="12"/>
      <c r="K140" s="12"/>
      <c r="L140" s="12"/>
      <c r="M140" s="12"/>
      <c r="N140" s="12"/>
      <c r="O140" s="12"/>
      <c r="P140" s="12"/>
      <c r="Q140" s="12"/>
      <c r="R140" s="12"/>
    </row>
    <row r="141" spans="5:18" ht="15" customHeight="1" x14ac:dyDescent="0.2">
      <c r="E141" s="12"/>
      <c r="F141" s="12"/>
      <c r="G141" s="12"/>
      <c r="H141" s="12"/>
      <c r="I141" s="12"/>
      <c r="J141" s="12"/>
      <c r="K141" s="12"/>
      <c r="L141" s="12"/>
      <c r="M141" s="12"/>
      <c r="N141" s="12"/>
      <c r="O141" s="12"/>
      <c r="P141" s="12"/>
      <c r="Q141" s="12"/>
      <c r="R141" s="12"/>
    </row>
    <row r="142" spans="5:18" ht="15" customHeight="1" x14ac:dyDescent="0.2">
      <c r="E142" s="12"/>
      <c r="F142" s="12"/>
      <c r="G142" s="12"/>
      <c r="H142" s="12"/>
      <c r="I142" s="12"/>
      <c r="J142" s="12"/>
      <c r="K142" s="12"/>
      <c r="L142" s="12"/>
      <c r="M142" s="12"/>
      <c r="N142" s="12"/>
      <c r="O142" s="12"/>
      <c r="P142" s="12"/>
      <c r="Q142" s="12"/>
      <c r="R142" s="12"/>
    </row>
    <row r="143" spans="5:18" ht="15" customHeight="1" x14ac:dyDescent="0.2">
      <c r="E143" s="12"/>
      <c r="F143" s="12"/>
      <c r="G143" s="12"/>
      <c r="H143" s="12"/>
      <c r="I143" s="12"/>
      <c r="J143" s="12"/>
      <c r="K143" s="12"/>
      <c r="L143" s="12"/>
      <c r="M143" s="12"/>
      <c r="N143" s="12"/>
      <c r="O143" s="12"/>
      <c r="P143" s="12"/>
      <c r="Q143" s="12"/>
      <c r="R143" s="12"/>
    </row>
    <row r="144" spans="5:18" ht="15" customHeight="1" x14ac:dyDescent="0.2">
      <c r="E144" s="12"/>
      <c r="F144" s="12"/>
      <c r="G144" s="12"/>
      <c r="H144" s="12"/>
      <c r="I144" s="12"/>
      <c r="J144" s="12"/>
      <c r="K144" s="12"/>
      <c r="L144" s="12"/>
      <c r="M144" s="12"/>
      <c r="N144" s="12"/>
      <c r="O144" s="12"/>
      <c r="P144" s="12"/>
      <c r="Q144" s="12"/>
      <c r="R144" s="12"/>
    </row>
    <row r="145" spans="5:18" ht="15" customHeight="1" x14ac:dyDescent="0.2">
      <c r="E145" s="12"/>
      <c r="F145" s="12"/>
      <c r="G145" s="12"/>
      <c r="H145" s="12"/>
      <c r="I145" s="12"/>
      <c r="J145" s="12"/>
      <c r="K145" s="12"/>
      <c r="L145" s="12"/>
      <c r="M145" s="12"/>
      <c r="N145" s="12"/>
      <c r="O145" s="12"/>
      <c r="P145" s="12"/>
      <c r="Q145" s="12"/>
      <c r="R145" s="12"/>
    </row>
    <row r="146" spans="5:18" ht="15" customHeight="1" x14ac:dyDescent="0.2">
      <c r="E146" s="12"/>
      <c r="F146" s="12"/>
      <c r="G146" s="12"/>
      <c r="H146" s="12"/>
      <c r="I146" s="12"/>
      <c r="J146" s="12"/>
      <c r="K146" s="12"/>
      <c r="L146" s="12"/>
      <c r="M146" s="12"/>
      <c r="N146" s="12"/>
      <c r="O146" s="12"/>
      <c r="P146" s="12"/>
      <c r="Q146" s="12"/>
      <c r="R146" s="12"/>
    </row>
    <row r="147" spans="5:18" ht="15" customHeight="1" x14ac:dyDescent="0.2">
      <c r="E147" s="12"/>
      <c r="F147" s="12"/>
      <c r="G147" s="12"/>
      <c r="H147" s="12"/>
      <c r="I147" s="12"/>
      <c r="J147" s="12"/>
      <c r="K147" s="12"/>
      <c r="L147" s="12"/>
      <c r="M147" s="12"/>
      <c r="N147" s="12"/>
      <c r="O147" s="12"/>
      <c r="P147" s="12"/>
      <c r="Q147" s="12"/>
      <c r="R147" s="12"/>
    </row>
    <row r="148" spans="5:18" ht="15" customHeight="1" x14ac:dyDescent="0.2">
      <c r="E148" s="12"/>
      <c r="F148" s="12"/>
      <c r="G148" s="12"/>
      <c r="H148" s="12"/>
      <c r="I148" s="12"/>
      <c r="J148" s="12"/>
      <c r="K148" s="12"/>
      <c r="L148" s="12"/>
      <c r="M148" s="12"/>
      <c r="N148" s="12"/>
      <c r="O148" s="12"/>
      <c r="P148" s="12"/>
      <c r="Q148" s="12"/>
      <c r="R148" s="12"/>
    </row>
    <row r="149" spans="5:18" ht="15" customHeight="1" x14ac:dyDescent="0.2">
      <c r="E149" s="12"/>
      <c r="F149" s="12"/>
      <c r="G149" s="12"/>
      <c r="H149" s="12"/>
      <c r="I149" s="12"/>
      <c r="J149" s="12"/>
      <c r="K149" s="12"/>
      <c r="L149" s="12"/>
      <c r="M149" s="12"/>
      <c r="N149" s="12"/>
      <c r="O149" s="12"/>
      <c r="P149" s="12"/>
      <c r="Q149" s="12"/>
      <c r="R149" s="12"/>
    </row>
    <row r="150" spans="5:18" ht="15" customHeight="1" x14ac:dyDescent="0.2">
      <c r="E150" s="12"/>
      <c r="F150" s="12"/>
      <c r="G150" s="12"/>
      <c r="H150" s="12"/>
      <c r="I150" s="12"/>
      <c r="J150" s="12"/>
      <c r="K150" s="12"/>
      <c r="L150" s="12"/>
      <c r="M150" s="12"/>
      <c r="N150" s="12"/>
      <c r="O150" s="12"/>
      <c r="P150" s="12"/>
      <c r="Q150" s="12"/>
      <c r="R150" s="12"/>
    </row>
    <row r="151" spans="5:18" ht="15" customHeight="1" x14ac:dyDescent="0.2">
      <c r="E151" s="12"/>
      <c r="F151" s="12"/>
      <c r="G151" s="12"/>
      <c r="H151" s="12"/>
      <c r="I151" s="12"/>
      <c r="J151" s="12"/>
      <c r="K151" s="12"/>
      <c r="L151" s="12"/>
      <c r="M151" s="12"/>
      <c r="N151" s="12"/>
      <c r="O151" s="12"/>
      <c r="P151" s="12"/>
      <c r="Q151" s="12"/>
      <c r="R151" s="12"/>
    </row>
    <row r="152" spans="5:18" ht="15" customHeight="1" x14ac:dyDescent="0.2">
      <c r="E152" s="12"/>
      <c r="F152" s="12"/>
      <c r="G152" s="12"/>
      <c r="H152" s="12"/>
      <c r="I152" s="12"/>
      <c r="J152" s="12"/>
      <c r="K152" s="12"/>
      <c r="L152" s="12"/>
      <c r="M152" s="12"/>
      <c r="N152" s="12"/>
      <c r="O152" s="12"/>
      <c r="P152" s="12"/>
      <c r="Q152" s="12"/>
      <c r="R152" s="12"/>
    </row>
    <row r="153" spans="5:18" ht="15" customHeight="1" x14ac:dyDescent="0.2">
      <c r="E153" s="12"/>
      <c r="F153" s="12"/>
      <c r="G153" s="12"/>
      <c r="H153" s="12"/>
      <c r="I153" s="12"/>
      <c r="J153" s="12"/>
      <c r="K153" s="12"/>
      <c r="L153" s="12"/>
      <c r="M153" s="12"/>
      <c r="N153" s="12"/>
      <c r="O153" s="12"/>
      <c r="P153" s="12"/>
      <c r="Q153" s="12"/>
      <c r="R153" s="12"/>
    </row>
    <row r="154" spans="5:18" ht="15" customHeight="1" x14ac:dyDescent="0.2">
      <c r="E154" s="12"/>
      <c r="F154" s="12"/>
      <c r="G154" s="12"/>
      <c r="H154" s="12"/>
      <c r="I154" s="12"/>
      <c r="J154" s="12"/>
      <c r="K154" s="12"/>
      <c r="L154" s="12"/>
      <c r="M154" s="12"/>
      <c r="N154" s="12"/>
      <c r="O154" s="12"/>
      <c r="P154" s="12"/>
      <c r="Q154" s="12"/>
      <c r="R154" s="12"/>
    </row>
    <row r="155" spans="5:18" ht="15" customHeight="1" x14ac:dyDescent="0.2">
      <c r="E155" s="12"/>
      <c r="F155" s="12"/>
      <c r="G155" s="12"/>
      <c r="H155" s="12"/>
      <c r="I155" s="12"/>
      <c r="J155" s="12"/>
      <c r="K155" s="12"/>
      <c r="L155" s="12"/>
      <c r="M155" s="12"/>
      <c r="N155" s="12"/>
      <c r="O155" s="12"/>
      <c r="P155" s="12"/>
      <c r="Q155" s="12"/>
      <c r="R155" s="12"/>
    </row>
    <row r="156" spans="5:18" ht="15" customHeight="1" x14ac:dyDescent="0.2">
      <c r="E156" s="12"/>
      <c r="F156" s="12"/>
      <c r="G156" s="12"/>
      <c r="H156" s="12"/>
      <c r="I156" s="12"/>
      <c r="J156" s="12"/>
      <c r="K156" s="12"/>
      <c r="L156" s="12"/>
      <c r="M156" s="12"/>
      <c r="N156" s="12"/>
      <c r="O156" s="12"/>
      <c r="P156" s="12"/>
      <c r="Q156" s="12"/>
      <c r="R156" s="12"/>
    </row>
    <row r="157" spans="5:18" ht="15" customHeight="1" x14ac:dyDescent="0.2">
      <c r="E157" s="12"/>
      <c r="F157" s="12"/>
      <c r="G157" s="12"/>
      <c r="H157" s="12"/>
      <c r="I157" s="12"/>
      <c r="J157" s="12"/>
      <c r="K157" s="12"/>
      <c r="L157" s="12"/>
      <c r="M157" s="12"/>
      <c r="N157" s="12"/>
      <c r="O157" s="12"/>
      <c r="P157" s="12"/>
      <c r="Q157" s="12"/>
      <c r="R157" s="12"/>
    </row>
    <row r="158" spans="5:18" ht="15" customHeight="1" x14ac:dyDescent="0.2">
      <c r="E158" s="12"/>
      <c r="F158" s="12"/>
      <c r="G158" s="12"/>
      <c r="H158" s="12"/>
      <c r="I158" s="12"/>
      <c r="J158" s="12"/>
      <c r="K158" s="12"/>
      <c r="L158" s="12"/>
      <c r="M158" s="12"/>
      <c r="N158" s="12"/>
      <c r="O158" s="12"/>
      <c r="P158" s="12"/>
      <c r="Q158" s="12"/>
      <c r="R158" s="12"/>
    </row>
    <row r="159" spans="5:18" ht="15" customHeight="1" x14ac:dyDescent="0.2">
      <c r="E159" s="12"/>
      <c r="F159" s="12"/>
      <c r="G159" s="12"/>
      <c r="H159" s="12"/>
      <c r="I159" s="12"/>
      <c r="J159" s="12"/>
      <c r="K159" s="12"/>
      <c r="L159" s="12"/>
      <c r="M159" s="12"/>
      <c r="N159" s="12"/>
      <c r="O159" s="12"/>
      <c r="P159" s="12"/>
      <c r="Q159" s="12"/>
      <c r="R159" s="12"/>
    </row>
    <row r="160" spans="5:18" ht="15" customHeight="1" x14ac:dyDescent="0.2">
      <c r="E160" s="12"/>
      <c r="F160" s="12"/>
      <c r="G160" s="12"/>
      <c r="H160" s="12"/>
      <c r="I160" s="12"/>
      <c r="J160" s="12"/>
      <c r="K160" s="12"/>
      <c r="L160" s="12"/>
      <c r="M160" s="12"/>
      <c r="N160" s="12"/>
      <c r="O160" s="12"/>
      <c r="P160" s="12"/>
      <c r="Q160" s="12"/>
      <c r="R160" s="12"/>
    </row>
    <row r="161" spans="5:18" ht="15" customHeight="1" x14ac:dyDescent="0.2">
      <c r="E161" s="12"/>
      <c r="F161" s="12"/>
      <c r="G161" s="12"/>
      <c r="H161" s="12"/>
      <c r="I161" s="12"/>
      <c r="J161" s="12"/>
      <c r="K161" s="12"/>
      <c r="L161" s="12"/>
      <c r="M161" s="12"/>
      <c r="N161" s="12"/>
      <c r="O161" s="12"/>
      <c r="P161" s="12"/>
      <c r="Q161" s="12"/>
      <c r="R161" s="12"/>
    </row>
    <row r="162" spans="5:18" ht="15" customHeight="1" x14ac:dyDescent="0.2">
      <c r="E162" s="12"/>
      <c r="F162" s="12"/>
      <c r="G162" s="12"/>
      <c r="H162" s="12"/>
      <c r="I162" s="12"/>
      <c r="J162" s="12"/>
      <c r="K162" s="12"/>
      <c r="L162" s="12"/>
      <c r="M162" s="12"/>
      <c r="N162" s="12"/>
      <c r="O162" s="12"/>
      <c r="P162" s="12"/>
      <c r="Q162" s="12"/>
      <c r="R162" s="12"/>
    </row>
    <row r="163" spans="5:18" ht="15" customHeight="1" x14ac:dyDescent="0.2">
      <c r="E163" s="12"/>
      <c r="F163" s="12"/>
      <c r="G163" s="12"/>
      <c r="H163" s="12"/>
      <c r="I163" s="12"/>
      <c r="J163" s="12"/>
      <c r="K163" s="12"/>
      <c r="L163" s="12"/>
      <c r="M163" s="12"/>
      <c r="N163" s="12"/>
      <c r="O163" s="12"/>
      <c r="P163" s="12"/>
      <c r="Q163" s="12"/>
      <c r="R163" s="12"/>
    </row>
    <row r="164" spans="5:18" ht="15" customHeight="1" x14ac:dyDescent="0.2">
      <c r="E164" s="12"/>
      <c r="F164" s="12"/>
      <c r="G164" s="12"/>
      <c r="H164" s="12"/>
      <c r="I164" s="12"/>
      <c r="J164" s="12"/>
      <c r="K164" s="12"/>
      <c r="L164" s="12"/>
      <c r="M164" s="12"/>
      <c r="N164" s="12"/>
      <c r="O164" s="12"/>
      <c r="P164" s="12"/>
      <c r="Q164" s="12"/>
      <c r="R164" s="12"/>
    </row>
    <row r="165" spans="5:18" ht="15" customHeight="1" x14ac:dyDescent="0.2">
      <c r="E165" s="12"/>
      <c r="F165" s="12"/>
      <c r="G165" s="12"/>
      <c r="H165" s="12"/>
      <c r="I165" s="12"/>
      <c r="J165" s="12"/>
      <c r="K165" s="12"/>
      <c r="L165" s="12"/>
      <c r="M165" s="12"/>
      <c r="N165" s="12"/>
      <c r="O165" s="12"/>
      <c r="P165" s="12"/>
      <c r="Q165" s="12"/>
      <c r="R165" s="12"/>
    </row>
    <row r="166" spans="5:18" ht="15" customHeight="1" x14ac:dyDescent="0.2">
      <c r="E166" s="12"/>
      <c r="F166" s="12"/>
      <c r="G166" s="12"/>
      <c r="H166" s="12"/>
      <c r="I166" s="12"/>
      <c r="J166" s="12"/>
      <c r="K166" s="12"/>
      <c r="L166" s="12"/>
      <c r="M166" s="12"/>
      <c r="N166" s="12"/>
      <c r="O166" s="12"/>
      <c r="P166" s="12"/>
      <c r="Q166" s="12"/>
      <c r="R166" s="12"/>
    </row>
    <row r="167" spans="5:18" ht="15" customHeight="1" x14ac:dyDescent="0.2">
      <c r="E167" s="12"/>
      <c r="F167" s="12"/>
      <c r="G167" s="12"/>
      <c r="H167" s="12"/>
      <c r="I167" s="12"/>
      <c r="J167" s="12"/>
      <c r="K167" s="12"/>
      <c r="L167" s="12"/>
      <c r="M167" s="12"/>
      <c r="N167" s="12"/>
      <c r="O167" s="12"/>
      <c r="P167" s="12"/>
      <c r="Q167" s="12"/>
      <c r="R167" s="12"/>
    </row>
    <row r="168" spans="5:18" ht="15" customHeight="1" x14ac:dyDescent="0.2">
      <c r="E168" s="12"/>
      <c r="F168" s="12"/>
      <c r="G168" s="12"/>
      <c r="H168" s="12"/>
      <c r="I168" s="12"/>
      <c r="J168" s="12"/>
      <c r="K168" s="12"/>
      <c r="L168" s="12"/>
      <c r="M168" s="12"/>
      <c r="N168" s="12"/>
      <c r="O168" s="12"/>
      <c r="P168" s="12"/>
      <c r="Q168" s="12"/>
      <c r="R168" s="12"/>
    </row>
    <row r="169" spans="5:18" ht="15" customHeight="1" x14ac:dyDescent="0.2">
      <c r="E169" s="12"/>
      <c r="F169" s="12"/>
      <c r="G169" s="12"/>
      <c r="H169" s="12"/>
      <c r="I169" s="12"/>
      <c r="J169" s="12"/>
      <c r="K169" s="12"/>
      <c r="L169" s="12"/>
      <c r="M169" s="12"/>
      <c r="N169" s="12"/>
      <c r="O169" s="12"/>
      <c r="P169" s="12"/>
      <c r="Q169" s="12"/>
      <c r="R169" s="12"/>
    </row>
    <row r="170" spans="5:18" ht="15" customHeight="1" x14ac:dyDescent="0.2">
      <c r="E170" s="12"/>
      <c r="F170" s="12"/>
      <c r="G170" s="12"/>
      <c r="H170" s="12"/>
      <c r="I170" s="12"/>
      <c r="J170" s="12"/>
      <c r="K170" s="12"/>
      <c r="L170" s="12"/>
      <c r="M170" s="12"/>
      <c r="N170" s="12"/>
      <c r="O170" s="12"/>
      <c r="P170" s="12"/>
      <c r="Q170" s="12"/>
      <c r="R170" s="12"/>
    </row>
    <row r="171" spans="5:18" ht="15" customHeight="1" x14ac:dyDescent="0.2">
      <c r="E171" s="12"/>
      <c r="F171" s="12"/>
      <c r="G171" s="12"/>
      <c r="H171" s="12"/>
      <c r="I171" s="12"/>
      <c r="J171" s="12"/>
      <c r="K171" s="12"/>
      <c r="L171" s="12"/>
      <c r="M171" s="12"/>
      <c r="N171" s="12"/>
      <c r="O171" s="12"/>
      <c r="P171" s="12"/>
      <c r="Q171" s="12"/>
      <c r="R171" s="12"/>
    </row>
    <row r="172" spans="5:18" ht="15" customHeight="1" x14ac:dyDescent="0.2">
      <c r="E172" s="12"/>
      <c r="F172" s="12"/>
      <c r="G172" s="12"/>
      <c r="H172" s="12"/>
      <c r="I172" s="12"/>
      <c r="J172" s="12"/>
      <c r="K172" s="12"/>
      <c r="L172" s="12"/>
      <c r="M172" s="12"/>
      <c r="N172" s="12"/>
      <c r="O172" s="12"/>
      <c r="P172" s="12"/>
      <c r="Q172" s="12"/>
      <c r="R172" s="12"/>
    </row>
    <row r="173" spans="5:18" ht="15" customHeight="1" x14ac:dyDescent="0.2">
      <c r="E173" s="12"/>
      <c r="F173" s="12"/>
      <c r="G173" s="12"/>
      <c r="H173" s="12"/>
      <c r="I173" s="12"/>
      <c r="J173" s="12"/>
      <c r="K173" s="12"/>
      <c r="L173" s="12"/>
      <c r="M173" s="12"/>
      <c r="N173" s="12"/>
      <c r="O173" s="12"/>
      <c r="P173" s="12"/>
      <c r="Q173" s="12"/>
      <c r="R173" s="12"/>
    </row>
    <row r="174" spans="5:18" ht="15" customHeight="1" x14ac:dyDescent="0.2">
      <c r="E174" s="12"/>
      <c r="F174" s="12"/>
      <c r="G174" s="12"/>
      <c r="H174" s="12"/>
      <c r="I174" s="12"/>
      <c r="J174" s="12"/>
      <c r="K174" s="12"/>
      <c r="L174" s="12"/>
      <c r="M174" s="12"/>
      <c r="N174" s="12"/>
      <c r="O174" s="12"/>
      <c r="P174" s="12"/>
      <c r="Q174" s="12"/>
      <c r="R174" s="12"/>
    </row>
    <row r="175" spans="5:18" ht="15" customHeight="1" x14ac:dyDescent="0.2">
      <c r="E175" s="12"/>
      <c r="F175" s="12"/>
      <c r="G175" s="12"/>
      <c r="H175" s="12"/>
      <c r="I175" s="12"/>
      <c r="J175" s="12"/>
      <c r="K175" s="12"/>
      <c r="L175" s="12"/>
      <c r="M175" s="12"/>
      <c r="N175" s="12"/>
      <c r="O175" s="12"/>
      <c r="P175" s="12"/>
      <c r="Q175" s="12"/>
      <c r="R175" s="12"/>
    </row>
    <row r="176" spans="5:18" ht="15" customHeight="1" x14ac:dyDescent="0.2">
      <c r="E176" s="12"/>
      <c r="F176" s="12"/>
      <c r="G176" s="12"/>
      <c r="H176" s="12"/>
      <c r="I176" s="12"/>
      <c r="J176" s="12"/>
      <c r="K176" s="12"/>
      <c r="L176" s="12"/>
      <c r="M176" s="12"/>
      <c r="N176" s="12"/>
      <c r="O176" s="12"/>
      <c r="P176" s="12"/>
      <c r="Q176" s="12"/>
      <c r="R176" s="12"/>
    </row>
    <row r="177" ht="15" customHeight="1" x14ac:dyDescent="0.2"/>
  </sheetData>
  <mergeCells count="6">
    <mergeCell ref="E18:M18"/>
    <mergeCell ref="C30:N30"/>
    <mergeCell ref="B31:N31"/>
    <mergeCell ref="B33:N33"/>
    <mergeCell ref="K6:N6"/>
    <mergeCell ref="C8:J14"/>
  </mergeCells>
  <printOptions horizontalCentered="1"/>
  <pageMargins left="0.11811023622047245" right="0.11811023622047245" top="0.11811023622047245" bottom="0.19685039370078741" header="0.11811023622047245" footer="0.11811023622047245"/>
  <pageSetup scale="80" orientation="landscape" r:id="rId1"/>
  <headerFooter>
    <oddFooter>&amp;Lir.tesla.com&amp;CPage &amp;P of &amp;N&amp;R&amp;D  &amp;T</oddFooter>
  </headerFooter>
  <rowBreaks count="2" manualBreakCount="2">
    <brk id="34" max="14" man="1"/>
    <brk id="77" max="14" man="1"/>
  </rowBreak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8E914-AC9F-4D04-A9BB-219A696BCAE8}">
  <dimension ref="B1:P194"/>
  <sheetViews>
    <sheetView showGridLines="0" topLeftCell="A49" zoomScaleNormal="100" workbookViewId="0">
      <selection activeCell="C8" sqref="C8:J14"/>
    </sheetView>
  </sheetViews>
  <sheetFormatPr baseColWidth="10" defaultColWidth="9.1640625" defaultRowHeight="14" x14ac:dyDescent="0.2"/>
  <cols>
    <col min="1" max="2" width="1.1640625" style="1" customWidth="1"/>
    <col min="3" max="3" width="28.6640625" style="1" customWidth="1"/>
    <col min="4" max="8" width="10.6640625" style="1" customWidth="1"/>
    <col min="9" max="9" width="1.1640625" style="1" customWidth="1"/>
    <col min="10" max="10" width="28.6640625" style="1" customWidth="1"/>
    <col min="11" max="15" width="10.6640625" style="1" customWidth="1"/>
    <col min="16" max="16" width="1.1640625" style="1" customWidth="1"/>
    <col min="17" max="16384" width="9.1640625" style="1"/>
  </cols>
  <sheetData>
    <row r="1" spans="2:16" ht="6" customHeight="1" x14ac:dyDescent="0.2"/>
    <row r="2" spans="2:16" ht="20" customHeight="1" x14ac:dyDescent="0.25">
      <c r="B2" s="2" t="str">
        <f>'Cover Page'!$C$18</f>
        <v>Tesla, Inc.</v>
      </c>
      <c r="C2" s="3"/>
      <c r="D2" s="3"/>
      <c r="E2" s="3"/>
      <c r="F2" s="3"/>
      <c r="G2" s="3"/>
      <c r="H2" s="3"/>
      <c r="I2" s="3"/>
      <c r="J2" s="3"/>
      <c r="K2" s="3"/>
      <c r="L2" s="3"/>
      <c r="M2" s="3"/>
      <c r="N2" s="3"/>
      <c r="O2" s="3"/>
    </row>
    <row r="3" spans="2:16" ht="15" customHeight="1" x14ac:dyDescent="0.2">
      <c r="B3" s="4" t="str">
        <f ca="1">RIGHT(CELL("filename",A1),LEN(CELL("filename",A1))-FIND("]",CELL("filename",A1)))</f>
        <v>Assumptions</v>
      </c>
      <c r="C3" s="4"/>
      <c r="D3" s="4"/>
      <c r="E3" s="4"/>
      <c r="F3" s="4"/>
      <c r="G3" s="4"/>
      <c r="H3" s="4"/>
      <c r="I3" s="4"/>
      <c r="J3" s="4"/>
      <c r="K3" s="4"/>
      <c r="L3" s="4"/>
      <c r="M3" s="4"/>
      <c r="N3" s="4"/>
      <c r="O3" s="4"/>
    </row>
    <row r="4" spans="2:16" ht="6" customHeight="1" thickBot="1" x14ac:dyDescent="0.25">
      <c r="B4" s="5"/>
      <c r="C4" s="5"/>
      <c r="D4" s="5"/>
      <c r="E4" s="5"/>
      <c r="F4" s="5"/>
      <c r="G4" s="5"/>
      <c r="H4" s="5"/>
      <c r="I4" s="5"/>
      <c r="J4" s="5"/>
      <c r="K4" s="5"/>
      <c r="L4" s="5"/>
      <c r="M4" s="5"/>
      <c r="N4" s="5"/>
      <c r="O4" s="5"/>
    </row>
    <row r="5" spans="2:16" ht="15" customHeight="1" x14ac:dyDescent="0.2">
      <c r="B5" s="117" t="str">
        <f>Scenarios!$B$5</f>
        <v>$ MM's ( unless otherwise specified )</v>
      </c>
      <c r="C5" s="117"/>
      <c r="D5" s="117"/>
      <c r="E5" s="117"/>
      <c r="F5" s="117"/>
      <c r="G5" s="117"/>
      <c r="H5" s="117"/>
      <c r="I5" s="117"/>
      <c r="J5" s="117"/>
      <c r="K5" s="117"/>
      <c r="L5" s="117"/>
      <c r="M5" s="117"/>
      <c r="N5" s="117"/>
      <c r="O5" s="121" t="str">
        <f>Scenarios!$N$5</f>
        <v>Based on: Base Case Senario</v>
      </c>
    </row>
    <row r="6" spans="2:16" ht="6" customHeight="1" x14ac:dyDescent="0.2"/>
    <row r="7" spans="2:16" ht="15" customHeight="1" x14ac:dyDescent="0.2">
      <c r="C7" s="92" t="s">
        <v>386</v>
      </c>
      <c r="D7" s="91"/>
      <c r="E7" s="91"/>
      <c r="F7" s="91"/>
      <c r="G7" s="91"/>
      <c r="H7" s="91"/>
      <c r="J7" s="92" t="s">
        <v>447</v>
      </c>
      <c r="K7" s="91"/>
      <c r="L7" s="91"/>
      <c r="M7" s="91"/>
      <c r="N7" s="91"/>
      <c r="O7" s="91"/>
    </row>
    <row r="8" spans="2:16" ht="15" customHeight="1" x14ac:dyDescent="0.2">
      <c r="C8" s="1" t="s">
        <v>387</v>
      </c>
      <c r="E8" s="93" t="s">
        <v>388</v>
      </c>
      <c r="F8" s="12"/>
      <c r="G8" s="12"/>
      <c r="H8" s="292">
        <v>2022</v>
      </c>
      <c r="I8" s="12"/>
      <c r="J8" s="19" t="s">
        <v>449</v>
      </c>
      <c r="K8" s="12"/>
      <c r="L8" s="12"/>
      <c r="M8" s="147" t="s">
        <v>407</v>
      </c>
      <c r="N8" s="19"/>
      <c r="O8" s="147" t="s">
        <v>417</v>
      </c>
      <c r="P8" s="12"/>
    </row>
    <row r="9" spans="2:16" ht="15" customHeight="1" x14ac:dyDescent="0.2">
      <c r="C9" s="1" t="s">
        <v>389</v>
      </c>
      <c r="E9" s="93" t="s">
        <v>390</v>
      </c>
      <c r="F9" s="12"/>
      <c r="G9" s="12"/>
      <c r="H9" s="296" t="s">
        <v>784</v>
      </c>
      <c r="I9" s="12"/>
      <c r="J9" s="13" t="s">
        <v>50</v>
      </c>
      <c r="K9" s="12"/>
      <c r="L9" s="12"/>
      <c r="M9" s="229">
        <v>13.5</v>
      </c>
      <c r="N9" s="12"/>
      <c r="O9" s="229">
        <v>13</v>
      </c>
      <c r="P9" s="12"/>
    </row>
    <row r="10" spans="2:16" ht="15" customHeight="1" x14ac:dyDescent="0.2">
      <c r="C10" s="1" t="s">
        <v>391</v>
      </c>
      <c r="E10" s="93" t="s">
        <v>392</v>
      </c>
      <c r="F10" s="12"/>
      <c r="G10" s="12"/>
      <c r="H10" s="293">
        <v>44742</v>
      </c>
      <c r="I10" s="12"/>
      <c r="J10" s="13" t="s">
        <v>51</v>
      </c>
      <c r="K10" s="12"/>
      <c r="L10" s="12"/>
      <c r="M10" s="229">
        <v>53</v>
      </c>
      <c r="N10" s="12"/>
      <c r="O10" s="229">
        <v>50</v>
      </c>
      <c r="P10" s="12"/>
    </row>
    <row r="11" spans="2:16" ht="15" customHeight="1" x14ac:dyDescent="0.2">
      <c r="C11" s="95" t="s">
        <v>416</v>
      </c>
      <c r="D11" s="95"/>
      <c r="E11" s="95"/>
      <c r="F11" s="95"/>
      <c r="G11" s="95"/>
      <c r="H11" s="95"/>
      <c r="I11" s="12"/>
      <c r="J11" s="13" t="s">
        <v>52</v>
      </c>
      <c r="K11" s="12"/>
      <c r="L11" s="12"/>
      <c r="M11" s="229">
        <v>93</v>
      </c>
      <c r="N11" s="12"/>
      <c r="O11" s="229">
        <v>90</v>
      </c>
      <c r="P11" s="12"/>
    </row>
    <row r="12" spans="2:16" ht="6" customHeight="1" x14ac:dyDescent="0.2">
      <c r="C12" s="94"/>
      <c r="D12" s="94"/>
      <c r="E12" s="94"/>
      <c r="F12" s="94"/>
      <c r="G12" s="94"/>
      <c r="H12" s="94"/>
      <c r="I12" s="12"/>
      <c r="J12" s="12"/>
      <c r="K12" s="12"/>
      <c r="L12" s="12"/>
      <c r="M12" s="12"/>
      <c r="N12" s="12"/>
      <c r="O12" s="12"/>
      <c r="P12" s="12"/>
    </row>
    <row r="13" spans="2:16" ht="15" customHeight="1" x14ac:dyDescent="0.2">
      <c r="C13" s="92" t="s">
        <v>393</v>
      </c>
      <c r="D13" s="91"/>
      <c r="E13" s="91"/>
      <c r="F13" s="91"/>
      <c r="G13" s="91"/>
      <c r="H13" s="91"/>
      <c r="I13" s="12"/>
      <c r="J13" s="19" t="str">
        <f>'Notes to Accounts'!C105</f>
        <v>Current Liabilities:</v>
      </c>
      <c r="K13" s="12"/>
      <c r="L13" s="12"/>
      <c r="M13" s="12"/>
      <c r="N13" s="12"/>
      <c r="O13" s="12"/>
      <c r="P13" s="12"/>
    </row>
    <row r="14" spans="2:16" ht="15" customHeight="1" x14ac:dyDescent="0.2">
      <c r="E14" s="101" t="s">
        <v>414</v>
      </c>
      <c r="F14" s="101" t="s">
        <v>415</v>
      </c>
      <c r="G14" s="101" t="s">
        <v>412</v>
      </c>
      <c r="H14" s="101" t="s">
        <v>413</v>
      </c>
      <c r="I14" s="12"/>
      <c r="J14" s="13" t="str">
        <f>'Notes to Accounts'!C106</f>
        <v>Accounts payable</v>
      </c>
      <c r="K14" s="12"/>
      <c r="L14" s="12"/>
      <c r="M14" s="229">
        <v>92.5</v>
      </c>
      <c r="N14" s="12"/>
      <c r="O14" s="229">
        <v>93.5</v>
      </c>
      <c r="P14" s="12"/>
    </row>
    <row r="15" spans="2:16" ht="15" customHeight="1" x14ac:dyDescent="0.2">
      <c r="C15" s="1" t="s">
        <v>394</v>
      </c>
      <c r="E15" s="294">
        <v>1.5</v>
      </c>
      <c r="F15" s="294">
        <v>-1.5</v>
      </c>
      <c r="G15" s="294">
        <v>1.5</v>
      </c>
      <c r="H15" s="294">
        <v>1.5</v>
      </c>
      <c r="I15" s="12"/>
      <c r="J15" s="13" t="str">
        <f>'Notes to Accounts'!C107</f>
        <v>Accrued liabilities and other</v>
      </c>
      <c r="K15" s="12"/>
      <c r="L15" s="12"/>
      <c r="M15" s="229">
        <v>49.5</v>
      </c>
      <c r="N15" s="12"/>
      <c r="O15" s="229">
        <v>51</v>
      </c>
      <c r="P15" s="12"/>
    </row>
    <row r="16" spans="2:16" ht="15" customHeight="1" x14ac:dyDescent="0.2">
      <c r="C16" s="1" t="s">
        <v>395</v>
      </c>
      <c r="E16" s="103" t="s">
        <v>405</v>
      </c>
      <c r="F16" s="103" t="s">
        <v>405</v>
      </c>
      <c r="G16" s="103" t="s">
        <v>405</v>
      </c>
      <c r="H16" s="103" t="s">
        <v>405</v>
      </c>
      <c r="I16" s="12"/>
      <c r="J16" s="13" t="str">
        <f>'Notes to Accounts'!C109</f>
        <v>Deferred revenue</v>
      </c>
      <c r="K16" s="12"/>
      <c r="L16" s="12"/>
      <c r="M16" s="211">
        <v>0.03</v>
      </c>
      <c r="N16" s="12"/>
      <c r="O16" s="211">
        <v>4.4999999999999998E-2</v>
      </c>
      <c r="P16" s="12"/>
    </row>
    <row r="17" spans="3:16" ht="15" customHeight="1" x14ac:dyDescent="0.2">
      <c r="C17" s="1" t="s">
        <v>396</v>
      </c>
      <c r="E17" s="294">
        <v>-1.5</v>
      </c>
      <c r="F17" s="294">
        <v>1.5</v>
      </c>
      <c r="G17" s="294">
        <v>-1.5</v>
      </c>
      <c r="H17" s="294">
        <v>-1.5</v>
      </c>
      <c r="I17" s="12"/>
      <c r="J17" s="13" t="str">
        <f>'Notes to Accounts'!C110</f>
        <v>Customer deposits</v>
      </c>
      <c r="K17" s="12"/>
      <c r="L17" s="12"/>
      <c r="M17" s="211">
        <v>2.5000000000000001E-2</v>
      </c>
      <c r="N17" s="12"/>
      <c r="O17" s="211">
        <v>3.5000000000000003E-2</v>
      </c>
      <c r="P17" s="12"/>
    </row>
    <row r="18" spans="3:16" ht="6" customHeight="1" x14ac:dyDescent="0.2">
      <c r="D18" s="12"/>
      <c r="E18" s="12"/>
      <c r="F18" s="12"/>
      <c r="G18" s="12"/>
      <c r="H18" s="12"/>
      <c r="I18" s="12"/>
      <c r="J18" s="12"/>
      <c r="K18" s="12"/>
      <c r="L18" s="12"/>
      <c r="M18" s="12"/>
      <c r="N18" s="12"/>
      <c r="O18" s="12"/>
      <c r="P18" s="12"/>
    </row>
    <row r="19" spans="3:16" ht="15" customHeight="1" x14ac:dyDescent="0.2">
      <c r="C19" s="92" t="s">
        <v>397</v>
      </c>
      <c r="D19" s="102"/>
      <c r="E19" s="102"/>
      <c r="F19" s="102"/>
      <c r="G19" s="102"/>
      <c r="H19" s="102"/>
      <c r="I19" s="12"/>
      <c r="J19" s="13" t="s">
        <v>554</v>
      </c>
      <c r="M19" s="211">
        <v>0.04</v>
      </c>
      <c r="N19" s="12"/>
      <c r="O19" s="211">
        <v>0.05</v>
      </c>
      <c r="P19" s="12"/>
    </row>
    <row r="20" spans="3:16" ht="15" customHeight="1" x14ac:dyDescent="0.2">
      <c r="C20" s="19" t="str">
        <f>'Notes to Accounts'!C22</f>
        <v>Automotive sales</v>
      </c>
      <c r="D20" s="12"/>
      <c r="E20" s="147" t="s">
        <v>407</v>
      </c>
      <c r="F20" s="183">
        <f>H8+2</f>
        <v>2024</v>
      </c>
      <c r="G20" s="183">
        <f>F20+1</f>
        <v>2025</v>
      </c>
      <c r="H20" s="183">
        <f>G20+1</f>
        <v>2026</v>
      </c>
      <c r="I20" s="12"/>
      <c r="P20" s="12"/>
    </row>
    <row r="21" spans="3:16" ht="15" customHeight="1" x14ac:dyDescent="0.2">
      <c r="C21" s="13" t="s">
        <v>406</v>
      </c>
      <c r="D21" s="93" t="s">
        <v>408</v>
      </c>
      <c r="E21" s="229">
        <v>53</v>
      </c>
      <c r="F21" s="12">
        <f>E21+0.5</f>
        <v>53.5</v>
      </c>
      <c r="G21" s="12">
        <f t="shared" ref="G21:H21" si="0">F21+0.5</f>
        <v>54</v>
      </c>
      <c r="H21" s="12">
        <f t="shared" si="0"/>
        <v>54.5</v>
      </c>
      <c r="I21" s="12"/>
      <c r="J21" s="92" t="s">
        <v>467</v>
      </c>
      <c r="K21" s="91"/>
      <c r="L21" s="91"/>
      <c r="M21" s="91"/>
      <c r="N21" s="91"/>
      <c r="O21" s="91"/>
      <c r="P21" s="12"/>
    </row>
    <row r="22" spans="3:16" ht="15" customHeight="1" x14ac:dyDescent="0.2">
      <c r="C22" s="13" t="s">
        <v>411</v>
      </c>
      <c r="D22" s="93" t="s">
        <v>300</v>
      </c>
      <c r="E22" s="295">
        <v>0.95499999999999996</v>
      </c>
      <c r="F22" s="295">
        <v>0.95499999999999996</v>
      </c>
      <c r="G22" s="295">
        <v>0.96</v>
      </c>
      <c r="H22" s="295">
        <v>0.96</v>
      </c>
      <c r="I22" s="12"/>
      <c r="J22" s="12"/>
      <c r="K22" s="12"/>
      <c r="L22" s="12"/>
      <c r="M22" s="147" t="s">
        <v>407</v>
      </c>
      <c r="N22" s="19"/>
      <c r="O22" s="147" t="s">
        <v>417</v>
      </c>
      <c r="P22" s="12"/>
    </row>
    <row r="23" spans="3:16" ht="15" customHeight="1" x14ac:dyDescent="0.2">
      <c r="C23" s="19" t="str">
        <f>'Notes to Accounts'!$C$23</f>
        <v>Automotive leasing</v>
      </c>
      <c r="I23" s="12"/>
      <c r="J23" s="12" t="s">
        <v>454</v>
      </c>
      <c r="K23" s="12"/>
      <c r="L23" s="12"/>
      <c r="M23" s="146">
        <f>AVERAGE('Ratio Analysis'!F239:I239)</f>
        <v>2.9580798074608484E-2</v>
      </c>
      <c r="N23" s="12"/>
      <c r="O23" s="146">
        <f>M23+0.5%</f>
        <v>3.4580798074608482E-2</v>
      </c>
      <c r="P23" s="12"/>
    </row>
    <row r="24" spans="3:16" ht="15" customHeight="1" x14ac:dyDescent="0.2">
      <c r="C24" s="13" t="s">
        <v>406</v>
      </c>
      <c r="D24" s="93" t="s">
        <v>409</v>
      </c>
      <c r="E24" s="229">
        <v>28</v>
      </c>
      <c r="F24" s="12">
        <f t="shared" ref="F24:H24" si="1">E24+0.5</f>
        <v>28.5</v>
      </c>
      <c r="G24" s="12">
        <f t="shared" si="1"/>
        <v>29</v>
      </c>
      <c r="H24" s="12">
        <f t="shared" si="1"/>
        <v>29.5</v>
      </c>
      <c r="I24" s="12"/>
      <c r="J24" s="12" t="s">
        <v>468</v>
      </c>
      <c r="M24" s="211">
        <v>1.4999999999999999E-2</v>
      </c>
      <c r="O24" s="211">
        <v>0.02</v>
      </c>
      <c r="P24" s="12"/>
    </row>
    <row r="25" spans="3:16" ht="15" customHeight="1" x14ac:dyDescent="0.2">
      <c r="C25" s="13" t="s">
        <v>411</v>
      </c>
      <c r="D25" s="93" t="s">
        <v>300</v>
      </c>
      <c r="E25" s="295">
        <v>3.5000000000000003E-2</v>
      </c>
      <c r="F25" s="295">
        <v>3.5000000000000003E-2</v>
      </c>
      <c r="G25" s="295">
        <v>0.03</v>
      </c>
      <c r="H25" s="295">
        <v>0.03</v>
      </c>
      <c r="I25" s="12"/>
      <c r="J25" s="1" t="s">
        <v>476</v>
      </c>
      <c r="M25" s="211">
        <v>0.08</v>
      </c>
      <c r="O25" s="211">
        <v>8.5000000000000006E-2</v>
      </c>
      <c r="P25" s="12"/>
    </row>
    <row r="26" spans="3:16" ht="15" customHeight="1" x14ac:dyDescent="0.2">
      <c r="C26" s="52" t="s">
        <v>101</v>
      </c>
      <c r="D26" s="93" t="s">
        <v>410</v>
      </c>
      <c r="E26" s="229">
        <v>14.5</v>
      </c>
      <c r="F26" s="12">
        <f>E26+3.5</f>
        <v>18</v>
      </c>
      <c r="G26" s="12">
        <f>F26+3.5</f>
        <v>21.5</v>
      </c>
      <c r="H26" s="12">
        <f>G26+3.5</f>
        <v>25</v>
      </c>
      <c r="I26" s="12"/>
      <c r="J26" s="1" t="s">
        <v>477</v>
      </c>
      <c r="M26" s="211">
        <v>1.2999999999999999E-2</v>
      </c>
      <c r="O26" s="211">
        <v>1.4999999999999999E-2</v>
      </c>
      <c r="P26" s="12"/>
    </row>
    <row r="27" spans="3:16" ht="15" customHeight="1" x14ac:dyDescent="0.2">
      <c r="C27" s="19" t="str">
        <f>'Notes to Accounts'!C25</f>
        <v>Energy generation and storage</v>
      </c>
      <c r="D27" s="12"/>
      <c r="E27" s="295">
        <v>0.3</v>
      </c>
      <c r="F27" s="31">
        <f t="shared" ref="F27:H28" si="2">E27+3%</f>
        <v>0.32999999999999996</v>
      </c>
      <c r="G27" s="31">
        <f t="shared" si="2"/>
        <v>0.36</v>
      </c>
      <c r="H27" s="31">
        <f t="shared" si="2"/>
        <v>0.39</v>
      </c>
      <c r="I27" s="12"/>
      <c r="O27" s="174" t="s">
        <v>196</v>
      </c>
      <c r="P27" s="12"/>
    </row>
    <row r="28" spans="3:16" ht="15" customHeight="1" x14ac:dyDescent="0.2">
      <c r="C28" s="19" t="str">
        <f>'Notes to Accounts'!C26</f>
        <v>Services and other</v>
      </c>
      <c r="D28" s="12"/>
      <c r="E28" s="295">
        <v>0.45</v>
      </c>
      <c r="F28" s="31">
        <f t="shared" si="2"/>
        <v>0.48</v>
      </c>
      <c r="G28" s="31">
        <f t="shared" si="2"/>
        <v>0.51</v>
      </c>
      <c r="H28" s="31">
        <f t="shared" si="2"/>
        <v>0.54</v>
      </c>
      <c r="I28" s="12"/>
      <c r="J28" s="13" t="s">
        <v>491</v>
      </c>
      <c r="O28" s="146">
        <f>'Ratio Analysis'!$AA$214</f>
        <v>0.05</v>
      </c>
      <c r="P28" s="12"/>
    </row>
    <row r="29" spans="3:16" ht="15" customHeight="1" x14ac:dyDescent="0.2">
      <c r="C29" s="291" t="s">
        <v>431</v>
      </c>
      <c r="D29" s="134"/>
      <c r="E29" s="134"/>
      <c r="F29" s="134"/>
      <c r="G29" s="134"/>
      <c r="H29" s="134"/>
      <c r="I29" s="12"/>
      <c r="J29" s="12" t="s">
        <v>460</v>
      </c>
      <c r="K29" s="12"/>
      <c r="L29" s="12"/>
      <c r="M29" s="12"/>
      <c r="N29" s="12"/>
      <c r="O29" s="147" t="s">
        <v>443</v>
      </c>
      <c r="P29" s="12"/>
    </row>
    <row r="30" spans="3:16" ht="15" customHeight="1" x14ac:dyDescent="0.2">
      <c r="D30" s="12"/>
      <c r="E30" s="12"/>
      <c r="F30" s="12"/>
      <c r="G30" s="12"/>
      <c r="H30" s="12"/>
      <c r="I30" s="12"/>
      <c r="J30" s="51" t="s">
        <v>458</v>
      </c>
      <c r="K30" s="12"/>
      <c r="L30" s="12"/>
      <c r="M30" s="12"/>
      <c r="N30" s="12"/>
      <c r="O30" s="229">
        <v>3</v>
      </c>
      <c r="P30" s="12"/>
    </row>
    <row r="31" spans="3:16" ht="15" customHeight="1" x14ac:dyDescent="0.2">
      <c r="C31" s="92" t="s">
        <v>424</v>
      </c>
      <c r="D31" s="102"/>
      <c r="E31" s="102"/>
      <c r="F31" s="102"/>
      <c r="G31" s="102"/>
      <c r="H31" s="102"/>
      <c r="I31" s="12"/>
      <c r="J31" s="51" t="s">
        <v>459</v>
      </c>
      <c r="K31" s="12"/>
      <c r="L31" s="12"/>
      <c r="M31" s="12"/>
      <c r="N31" s="12"/>
      <c r="O31" s="229">
        <v>4</v>
      </c>
      <c r="P31" s="12"/>
    </row>
    <row r="32" spans="3:16" ht="15" customHeight="1" x14ac:dyDescent="0.2">
      <c r="D32" s="12"/>
      <c r="E32" s="12"/>
      <c r="F32" s="147" t="s">
        <v>407</v>
      </c>
      <c r="G32" s="19"/>
      <c r="H32" s="147" t="s">
        <v>417</v>
      </c>
      <c r="I32" s="12"/>
      <c r="J32" s="12" t="s">
        <v>471</v>
      </c>
      <c r="K32" s="12"/>
      <c r="L32" s="12"/>
      <c r="M32" s="12"/>
      <c r="N32" s="12"/>
      <c r="O32" s="12"/>
      <c r="P32" s="12"/>
    </row>
    <row r="33" spans="3:16" ht="15" customHeight="1" x14ac:dyDescent="0.2">
      <c r="C33" s="1" t="s">
        <v>419</v>
      </c>
      <c r="D33" s="12"/>
      <c r="E33" s="12"/>
      <c r="F33" s="229">
        <v>36</v>
      </c>
      <c r="G33" s="12"/>
      <c r="H33" s="229">
        <v>34</v>
      </c>
      <c r="I33" s="12"/>
      <c r="J33" s="51" t="s">
        <v>458</v>
      </c>
      <c r="K33" s="12"/>
      <c r="L33" s="12"/>
      <c r="M33" s="12"/>
      <c r="N33" s="12"/>
      <c r="O33" s="229">
        <v>20</v>
      </c>
      <c r="P33" s="12"/>
    </row>
    <row r="34" spans="3:16" ht="15" customHeight="1" x14ac:dyDescent="0.2">
      <c r="C34" s="19" t="str">
        <f>'Notes to Accounts'!C45</f>
        <v>Energy generation and storage</v>
      </c>
      <c r="D34" s="12"/>
      <c r="E34" s="12"/>
      <c r="F34" s="295">
        <v>0.36</v>
      </c>
      <c r="H34" s="31">
        <f>F34-15%</f>
        <v>0.21</v>
      </c>
      <c r="I34" s="12"/>
      <c r="J34" s="51" t="s">
        <v>459</v>
      </c>
      <c r="K34" s="12"/>
      <c r="L34" s="12"/>
      <c r="M34" s="12"/>
      <c r="N34" s="12"/>
      <c r="O34" s="229">
        <v>35</v>
      </c>
      <c r="P34" s="12"/>
    </row>
    <row r="35" spans="3:16" ht="15" customHeight="1" x14ac:dyDescent="0.2">
      <c r="C35" s="19" t="str">
        <f>'Notes to Accounts'!C46</f>
        <v>Services and other</v>
      </c>
      <c r="D35" s="12"/>
      <c r="E35" s="12"/>
      <c r="F35" s="295">
        <v>0.35</v>
      </c>
      <c r="H35" s="31">
        <f>F35-15%</f>
        <v>0.19999999999999998</v>
      </c>
      <c r="I35" s="12"/>
      <c r="J35" s="12" t="s">
        <v>475</v>
      </c>
      <c r="K35" s="12"/>
      <c r="L35" s="12"/>
      <c r="M35" s="12"/>
      <c r="N35" s="12"/>
      <c r="O35" s="12"/>
      <c r="P35" s="12"/>
    </row>
    <row r="36" spans="3:16" ht="15" customHeight="1" x14ac:dyDescent="0.2">
      <c r="C36" s="291" t="s">
        <v>432</v>
      </c>
      <c r="D36" s="12"/>
      <c r="E36" s="12"/>
      <c r="F36" s="12"/>
      <c r="G36" s="12"/>
      <c r="H36" s="12"/>
      <c r="I36" s="12"/>
      <c r="J36" s="51" t="s">
        <v>458</v>
      </c>
      <c r="K36" s="12"/>
      <c r="L36" s="12"/>
      <c r="M36" s="12"/>
      <c r="N36" s="12"/>
      <c r="O36" s="229">
        <v>15</v>
      </c>
      <c r="P36" s="12"/>
    </row>
    <row r="37" spans="3:16" ht="15" customHeight="1" x14ac:dyDescent="0.2">
      <c r="D37" s="12"/>
      <c r="E37" s="12"/>
      <c r="F37" s="12"/>
      <c r="G37" s="12"/>
      <c r="H37" s="12"/>
      <c r="I37" s="12"/>
      <c r="J37" s="51" t="s">
        <v>459</v>
      </c>
      <c r="K37" s="12"/>
      <c r="L37" s="12"/>
      <c r="M37" s="12"/>
      <c r="N37" s="12"/>
      <c r="O37" s="229">
        <v>30</v>
      </c>
      <c r="P37" s="12"/>
    </row>
    <row r="38" spans="3:16" ht="15" customHeight="1" x14ac:dyDescent="0.2">
      <c r="C38" s="92" t="s">
        <v>439</v>
      </c>
      <c r="D38" s="102"/>
      <c r="E38" s="102"/>
      <c r="F38" s="102"/>
      <c r="G38" s="102"/>
      <c r="H38" s="102"/>
      <c r="I38" s="12"/>
      <c r="J38" s="12" t="s">
        <v>478</v>
      </c>
      <c r="K38" s="12"/>
      <c r="L38" s="12"/>
      <c r="M38" s="12"/>
      <c r="N38" s="12"/>
      <c r="O38" s="12"/>
      <c r="P38" s="12"/>
    </row>
    <row r="39" spans="3:16" ht="15" customHeight="1" x14ac:dyDescent="0.2">
      <c r="D39" s="183">
        <f>$H$8</f>
        <v>2022</v>
      </c>
      <c r="E39" s="183">
        <f>D39+1</f>
        <v>2023</v>
      </c>
      <c r="F39" s="183">
        <f t="shared" ref="F39:H39" si="3">E39+1</f>
        <v>2024</v>
      </c>
      <c r="G39" s="183">
        <f t="shared" si="3"/>
        <v>2025</v>
      </c>
      <c r="H39" s="183">
        <f t="shared" si="3"/>
        <v>2026</v>
      </c>
      <c r="I39" s="12"/>
      <c r="J39" s="51" t="s">
        <v>458</v>
      </c>
      <c r="K39" s="12"/>
      <c r="L39" s="12"/>
      <c r="M39" s="12"/>
      <c r="N39" s="12"/>
      <c r="O39" s="229">
        <v>6</v>
      </c>
      <c r="P39" s="12"/>
    </row>
    <row r="40" spans="3:16" ht="15" customHeight="1" x14ac:dyDescent="0.2">
      <c r="C40" s="1" t="s">
        <v>436</v>
      </c>
      <c r="D40" s="12"/>
      <c r="E40" s="12"/>
      <c r="F40" s="12"/>
      <c r="G40" s="12"/>
      <c r="H40" s="12"/>
      <c r="I40" s="12"/>
      <c r="J40" s="51" t="s">
        <v>459</v>
      </c>
      <c r="K40" s="12"/>
      <c r="L40" s="12"/>
      <c r="M40" s="12"/>
      <c r="N40" s="12"/>
      <c r="O40" s="229">
        <v>12</v>
      </c>
      <c r="P40" s="12"/>
    </row>
    <row r="41" spans="3:16" ht="15" customHeight="1" x14ac:dyDescent="0.2">
      <c r="C41" s="13" t="s">
        <v>437</v>
      </c>
      <c r="D41" s="229">
        <v>2.6</v>
      </c>
      <c r="E41" s="12">
        <f t="shared" ref="E41:H42" si="4">D41-0.12</f>
        <v>2.48</v>
      </c>
      <c r="F41" s="12">
        <f t="shared" si="4"/>
        <v>2.36</v>
      </c>
      <c r="G41" s="12">
        <f t="shared" si="4"/>
        <v>2.2399999999999998</v>
      </c>
      <c r="H41" s="12">
        <f t="shared" si="4"/>
        <v>2.1199999999999997</v>
      </c>
      <c r="I41" s="12"/>
      <c r="J41" s="1" t="s">
        <v>545</v>
      </c>
      <c r="O41" s="229">
        <v>8</v>
      </c>
      <c r="P41" s="12"/>
    </row>
    <row r="42" spans="3:16" ht="15" customHeight="1" x14ac:dyDescent="0.2">
      <c r="C42" s="13" t="s">
        <v>438</v>
      </c>
      <c r="D42" s="229">
        <v>4.3</v>
      </c>
      <c r="E42" s="12">
        <f t="shared" si="4"/>
        <v>4.18</v>
      </c>
      <c r="F42" s="12">
        <f t="shared" si="4"/>
        <v>4.0599999999999996</v>
      </c>
      <c r="G42" s="12">
        <f t="shared" si="4"/>
        <v>3.9399999999999995</v>
      </c>
      <c r="H42" s="12">
        <f t="shared" si="4"/>
        <v>3.8199999999999994</v>
      </c>
      <c r="I42" s="12"/>
      <c r="J42" s="12"/>
      <c r="K42" s="12"/>
      <c r="L42" s="12"/>
      <c r="M42" s="12"/>
      <c r="N42" s="12"/>
      <c r="O42" s="12"/>
      <c r="P42" s="12"/>
    </row>
    <row r="43" spans="3:16" ht="15" customHeight="1" x14ac:dyDescent="0.2">
      <c r="C43" s="52" t="s">
        <v>24</v>
      </c>
      <c r="D43" s="229">
        <v>142</v>
      </c>
      <c r="E43" s="229">
        <v>0</v>
      </c>
      <c r="F43" s="229">
        <v>0</v>
      </c>
      <c r="G43" s="229">
        <v>0</v>
      </c>
      <c r="H43" s="229">
        <v>0</v>
      </c>
      <c r="I43" s="12"/>
      <c r="J43" s="92" t="s">
        <v>505</v>
      </c>
      <c r="K43" s="91"/>
      <c r="L43" s="91"/>
      <c r="M43" s="91"/>
      <c r="N43" s="91"/>
      <c r="O43" s="91"/>
      <c r="P43" s="12"/>
    </row>
    <row r="44" spans="3:16" ht="15" customHeight="1" x14ac:dyDescent="0.2">
      <c r="C44" s="52" t="s">
        <v>28</v>
      </c>
      <c r="D44" s="229">
        <v>84</v>
      </c>
      <c r="E44" s="229">
        <v>0</v>
      </c>
      <c r="F44" s="229">
        <v>0</v>
      </c>
      <c r="G44" s="229">
        <v>0</v>
      </c>
      <c r="H44" s="229">
        <v>0</v>
      </c>
      <c r="I44" s="12"/>
      <c r="J44" s="173" t="s">
        <v>508</v>
      </c>
      <c r="K44" s="12"/>
      <c r="L44" s="12"/>
      <c r="M44" s="183">
        <f>$H$8</f>
        <v>2022</v>
      </c>
      <c r="N44" s="19"/>
      <c r="O44" s="184" t="s">
        <v>503</v>
      </c>
      <c r="P44" s="12"/>
    </row>
    <row r="45" spans="3:16" ht="15" customHeight="1" x14ac:dyDescent="0.2">
      <c r="C45" s="52" t="s">
        <v>444</v>
      </c>
      <c r="D45" s="229">
        <v>100</v>
      </c>
      <c r="E45" s="12">
        <f t="shared" ref="E45:H45" si="5">D45+5</f>
        <v>105</v>
      </c>
      <c r="F45" s="12">
        <f t="shared" si="5"/>
        <v>110</v>
      </c>
      <c r="G45" s="12">
        <f t="shared" si="5"/>
        <v>115</v>
      </c>
      <c r="H45" s="12">
        <f t="shared" si="5"/>
        <v>120</v>
      </c>
      <c r="I45" s="12"/>
      <c r="J45" s="51" t="s">
        <v>498</v>
      </c>
      <c r="K45" s="12"/>
      <c r="L45" s="12"/>
      <c r="M45" s="211">
        <v>0.92001763668430336</v>
      </c>
      <c r="O45" s="211">
        <v>0.25</v>
      </c>
      <c r="P45" s="12"/>
    </row>
    <row r="46" spans="3:16" ht="15" customHeight="1" x14ac:dyDescent="0.2">
      <c r="C46" s="141" t="s">
        <v>441</v>
      </c>
      <c r="D46" s="12"/>
      <c r="E46" s="12"/>
      <c r="F46" s="12"/>
      <c r="G46" s="12"/>
      <c r="H46" s="12"/>
      <c r="I46" s="12"/>
      <c r="J46" s="51" t="s">
        <v>502</v>
      </c>
      <c r="K46" s="12"/>
      <c r="L46" s="12"/>
      <c r="M46" s="229">
        <v>23</v>
      </c>
      <c r="O46" s="229">
        <v>25</v>
      </c>
      <c r="P46" s="12"/>
    </row>
    <row r="47" spans="3:16" ht="15" customHeight="1" x14ac:dyDescent="0.2">
      <c r="I47" s="12"/>
      <c r="J47" s="173" t="s">
        <v>509</v>
      </c>
      <c r="K47" s="12"/>
      <c r="L47" s="12"/>
      <c r="M47" s="12"/>
      <c r="N47" s="12"/>
      <c r="O47" s="12"/>
      <c r="P47" s="12"/>
    </row>
    <row r="48" spans="3:16" ht="15" customHeight="1" x14ac:dyDescent="0.2">
      <c r="C48" s="92" t="s">
        <v>440</v>
      </c>
      <c r="D48" s="102"/>
      <c r="E48" s="102"/>
      <c r="F48" s="102"/>
      <c r="G48" s="102"/>
      <c r="H48" s="102"/>
      <c r="I48" s="12"/>
      <c r="J48" s="51" t="s">
        <v>510</v>
      </c>
      <c r="K48" s="12"/>
      <c r="L48" s="12"/>
      <c r="M48" s="229">
        <v>4</v>
      </c>
      <c r="N48" s="12"/>
      <c r="O48" s="229">
        <v>0</v>
      </c>
      <c r="P48" s="12"/>
    </row>
    <row r="49" spans="2:16" ht="15" customHeight="1" x14ac:dyDescent="0.2">
      <c r="D49" s="12"/>
      <c r="E49" s="12"/>
      <c r="F49" s="12"/>
      <c r="G49" s="12"/>
      <c r="H49" s="147" t="s">
        <v>443</v>
      </c>
      <c r="I49" s="12"/>
      <c r="J49" s="12" t="s">
        <v>514</v>
      </c>
      <c r="K49" s="12"/>
      <c r="L49" s="12"/>
      <c r="M49" s="229">
        <v>814</v>
      </c>
      <c r="N49" s="12"/>
      <c r="O49" s="229">
        <v>0</v>
      </c>
      <c r="P49" s="12"/>
    </row>
    <row r="50" spans="2:16" ht="15" customHeight="1" x14ac:dyDescent="0.2">
      <c r="C50" s="1" t="s">
        <v>442</v>
      </c>
      <c r="D50" s="12"/>
      <c r="E50" s="12"/>
      <c r="F50" s="12"/>
      <c r="G50" s="12"/>
      <c r="H50" s="142">
        <v>0.15</v>
      </c>
      <c r="I50" s="12"/>
      <c r="J50" s="306" t="s">
        <v>515</v>
      </c>
      <c r="K50" s="306"/>
      <c r="L50" s="306"/>
      <c r="M50" s="306"/>
      <c r="N50" s="306"/>
      <c r="O50" s="306"/>
      <c r="P50" s="12"/>
    </row>
    <row r="51" spans="2:16" ht="15" customHeight="1" x14ac:dyDescent="0.2">
      <c r="D51" s="12"/>
      <c r="E51" s="12"/>
      <c r="F51" s="12"/>
      <c r="G51" s="12"/>
      <c r="H51" s="12"/>
      <c r="I51" s="12"/>
      <c r="J51" s="12"/>
      <c r="K51" s="12"/>
      <c r="L51" s="12"/>
      <c r="M51" s="12"/>
      <c r="N51" s="12"/>
      <c r="O51" s="12"/>
      <c r="P51" s="12"/>
    </row>
    <row r="52" spans="2:16" ht="15" customHeight="1" x14ac:dyDescent="0.2">
      <c r="D52" s="12"/>
      <c r="E52" s="12"/>
      <c r="F52" s="12"/>
      <c r="G52" s="12"/>
      <c r="H52" s="12"/>
      <c r="I52" s="12"/>
      <c r="J52" s="12"/>
      <c r="K52" s="12"/>
      <c r="L52" s="12"/>
      <c r="M52" s="12"/>
      <c r="N52" s="12"/>
      <c r="O52" s="12"/>
      <c r="P52" s="12"/>
    </row>
    <row r="53" spans="2:16" ht="6" customHeight="1" x14ac:dyDescent="0.2"/>
    <row r="54" spans="2:16" ht="20" customHeight="1" x14ac:dyDescent="0.25">
      <c r="B54" s="2" t="str">
        <f>'Cover Page'!$C$18</f>
        <v>Tesla, Inc.</v>
      </c>
      <c r="C54" s="3"/>
      <c r="D54" s="3"/>
      <c r="E54" s="3"/>
      <c r="F54" s="3"/>
      <c r="G54" s="3"/>
      <c r="H54" s="3"/>
      <c r="I54" s="3"/>
      <c r="J54" s="3"/>
      <c r="K54" s="3"/>
      <c r="L54" s="3"/>
      <c r="M54" s="3"/>
      <c r="N54" s="3"/>
      <c r="O54" s="3"/>
    </row>
    <row r="55" spans="2:16" ht="15" customHeight="1" x14ac:dyDescent="0.2">
      <c r="B55" s="4" t="str">
        <f ca="1">RIGHT(CELL("filename",A53),LEN(CELL("filename",A53))-FIND("]",CELL("filename",A53)))</f>
        <v>Assumptions</v>
      </c>
      <c r="C55" s="4"/>
      <c r="D55" s="4"/>
      <c r="E55" s="4"/>
      <c r="F55" s="4"/>
      <c r="G55" s="4"/>
      <c r="H55" s="4"/>
      <c r="I55" s="4"/>
      <c r="J55" s="4"/>
      <c r="K55" s="4"/>
      <c r="L55" s="4"/>
      <c r="M55" s="4"/>
      <c r="N55" s="4"/>
      <c r="O55" s="4"/>
    </row>
    <row r="56" spans="2:16" ht="6" customHeight="1" thickBot="1" x14ac:dyDescent="0.25">
      <c r="B56" s="5"/>
      <c r="C56" s="5"/>
      <c r="D56" s="5"/>
      <c r="E56" s="5"/>
      <c r="F56" s="5"/>
      <c r="G56" s="5"/>
      <c r="H56" s="5"/>
      <c r="I56" s="5"/>
      <c r="J56" s="5"/>
      <c r="K56" s="5"/>
      <c r="L56" s="5"/>
      <c r="M56" s="5"/>
      <c r="N56" s="5"/>
      <c r="O56" s="5"/>
    </row>
    <row r="57" spans="2:16" ht="15" customHeight="1" x14ac:dyDescent="0.2">
      <c r="B57" s="117" t="str">
        <f>Scenarios!$B$5</f>
        <v>$ MM's ( unless otherwise specified )</v>
      </c>
      <c r="C57" s="117"/>
      <c r="D57" s="117"/>
      <c r="E57" s="117"/>
      <c r="F57" s="117"/>
      <c r="G57" s="117"/>
      <c r="H57" s="117"/>
      <c r="I57" s="117"/>
      <c r="J57" s="117"/>
      <c r="K57" s="117"/>
      <c r="L57" s="117"/>
      <c r="M57" s="117"/>
      <c r="N57" s="117"/>
      <c r="O57" s="121" t="str">
        <f>Scenarios!$N$5</f>
        <v>Based on: Base Case Senario</v>
      </c>
    </row>
    <row r="58" spans="2:16" ht="6" customHeight="1" x14ac:dyDescent="0.2"/>
    <row r="59" spans="2:16" ht="15" customHeight="1" x14ac:dyDescent="0.2">
      <c r="C59" s="92" t="s">
        <v>518</v>
      </c>
      <c r="D59" s="91"/>
      <c r="E59" s="91"/>
      <c r="F59" s="91"/>
      <c r="G59" s="91"/>
      <c r="H59" s="91"/>
      <c r="J59" s="92" t="s">
        <v>522</v>
      </c>
      <c r="K59" s="91"/>
      <c r="L59" s="91"/>
      <c r="M59" s="91"/>
      <c r="N59" s="91"/>
      <c r="O59" s="91"/>
    </row>
    <row r="60" spans="2:16" ht="15" customHeight="1" x14ac:dyDescent="0.2">
      <c r="D60" s="12"/>
      <c r="E60" s="12"/>
      <c r="F60" s="183">
        <f>$H$8</f>
        <v>2022</v>
      </c>
      <c r="H60" s="184" t="s">
        <v>519</v>
      </c>
      <c r="I60" s="12"/>
      <c r="J60" s="173" t="s">
        <v>525</v>
      </c>
      <c r="K60" s="12"/>
      <c r="L60" s="12"/>
      <c r="M60" s="147" t="s">
        <v>523</v>
      </c>
      <c r="N60" s="12"/>
      <c r="O60" s="147" t="s">
        <v>524</v>
      </c>
      <c r="P60" s="12"/>
    </row>
    <row r="61" spans="2:16" ht="15" customHeight="1" x14ac:dyDescent="0.2">
      <c r="C61" s="1" t="s">
        <v>520</v>
      </c>
      <c r="D61" s="12"/>
      <c r="E61" s="12"/>
      <c r="F61" s="229">
        <v>814</v>
      </c>
      <c r="G61" s="12"/>
      <c r="H61" s="229">
        <v>0</v>
      </c>
      <c r="I61" s="12"/>
      <c r="J61" s="51" t="s">
        <v>526</v>
      </c>
      <c r="K61" s="12"/>
      <c r="L61" s="12"/>
      <c r="M61" s="229">
        <v>29</v>
      </c>
      <c r="N61" s="12"/>
      <c r="O61" s="12">
        <f>1346-52</f>
        <v>1294</v>
      </c>
      <c r="P61" s="12"/>
    </row>
    <row r="62" spans="2:16" ht="15" customHeight="1" x14ac:dyDescent="0.2">
      <c r="C62" s="1" t="s">
        <v>578</v>
      </c>
      <c r="D62" s="12"/>
      <c r="E62" s="12"/>
      <c r="F62" s="211">
        <v>0.06</v>
      </c>
      <c r="G62" s="12"/>
      <c r="H62" s="211">
        <v>0.08</v>
      </c>
      <c r="I62" s="12"/>
      <c r="J62" s="51" t="s">
        <v>529</v>
      </c>
      <c r="K62" s="12"/>
      <c r="L62" s="12"/>
      <c r="M62" s="229">
        <v>1</v>
      </c>
      <c r="N62" s="12"/>
      <c r="O62" s="229">
        <v>52</v>
      </c>
      <c r="P62" s="12"/>
    </row>
    <row r="63" spans="2:16" ht="15" customHeight="1" x14ac:dyDescent="0.2">
      <c r="D63" s="12"/>
      <c r="E63" s="12"/>
      <c r="F63" s="12"/>
      <c r="G63" s="12"/>
      <c r="H63" s="12"/>
      <c r="I63" s="12"/>
      <c r="J63" s="51" t="s">
        <v>527</v>
      </c>
      <c r="K63" s="12"/>
      <c r="L63" s="12"/>
      <c r="M63" s="12">
        <f>1058-1056</f>
        <v>2</v>
      </c>
      <c r="N63" s="12"/>
      <c r="O63" s="12">
        <f>2908-2043</f>
        <v>865</v>
      </c>
      <c r="P63" s="12"/>
    </row>
    <row r="64" spans="2:16" ht="15" customHeight="1" x14ac:dyDescent="0.2">
      <c r="C64" s="92" t="s">
        <v>552</v>
      </c>
      <c r="D64" s="91"/>
      <c r="E64" s="91"/>
      <c r="F64" s="91"/>
      <c r="G64" s="91"/>
      <c r="H64" s="91"/>
      <c r="I64" s="12"/>
      <c r="J64" s="51" t="s">
        <v>528</v>
      </c>
      <c r="K64" s="12"/>
      <c r="L64" s="12"/>
      <c r="M64" s="229">
        <v>1056</v>
      </c>
      <c r="N64" s="12"/>
      <c r="O64" s="229">
        <v>2043</v>
      </c>
      <c r="P64" s="12"/>
    </row>
    <row r="65" spans="3:16" ht="15" customHeight="1" x14ac:dyDescent="0.2">
      <c r="D65" s="12"/>
      <c r="E65" s="12"/>
      <c r="H65" s="184" t="s">
        <v>677</v>
      </c>
      <c r="I65" s="12"/>
      <c r="J65" s="51" t="s">
        <v>490</v>
      </c>
      <c r="K65" s="12"/>
      <c r="L65" s="12"/>
      <c r="M65" s="12">
        <f>501-475</f>
        <v>26</v>
      </c>
      <c r="N65" s="12"/>
      <c r="O65" s="12">
        <f>991-803</f>
        <v>188</v>
      </c>
      <c r="P65" s="12"/>
    </row>
    <row r="66" spans="3:16" ht="15" customHeight="1" x14ac:dyDescent="0.2">
      <c r="C66" s="1" t="s">
        <v>558</v>
      </c>
      <c r="D66" s="12"/>
      <c r="E66" s="12"/>
      <c r="G66" s="12"/>
      <c r="H66" s="229">
        <v>895</v>
      </c>
      <c r="I66" s="12"/>
      <c r="J66" s="51" t="s">
        <v>530</v>
      </c>
      <c r="K66" s="12"/>
      <c r="L66" s="12"/>
      <c r="M66" s="229">
        <v>475</v>
      </c>
      <c r="N66" s="12"/>
      <c r="O66" s="229">
        <v>803</v>
      </c>
      <c r="P66" s="12"/>
    </row>
    <row r="67" spans="3:16" ht="15" customHeight="1" x14ac:dyDescent="0.2">
      <c r="C67" s="1" t="s">
        <v>559</v>
      </c>
      <c r="D67" s="12"/>
      <c r="E67" s="12"/>
      <c r="G67" s="12"/>
      <c r="H67" s="12"/>
      <c r="I67" s="12"/>
      <c r="J67" s="12" t="s">
        <v>531</v>
      </c>
      <c r="K67" s="12"/>
      <c r="L67" s="12"/>
      <c r="M67" s="146">
        <f>AVERAGE('Ratio Analysis'!W305:AA305)</f>
        <v>5.0935238095238089E-2</v>
      </c>
      <c r="N67" s="12"/>
      <c r="O67" s="146">
        <f>AVERAGE('Ratio Analysis'!W316:AA316)</f>
        <v>5.5333181818181809E-2</v>
      </c>
      <c r="P67" s="12"/>
    </row>
    <row r="68" spans="3:16" ht="15" customHeight="1" x14ac:dyDescent="0.2">
      <c r="C68" s="51" t="s">
        <v>561</v>
      </c>
      <c r="D68" s="12"/>
      <c r="E68" s="12"/>
      <c r="G68" s="12"/>
      <c r="H68" s="229">
        <v>9</v>
      </c>
      <c r="I68" s="12"/>
      <c r="J68" s="12" t="s">
        <v>532</v>
      </c>
      <c r="K68" s="12"/>
      <c r="L68" s="12"/>
      <c r="M68" s="146">
        <f>'Ratio Analysis'!$AA$215</f>
        <v>5.7999999999999996E-2</v>
      </c>
      <c r="N68" s="12"/>
      <c r="O68" s="146">
        <f>'Ratio Analysis'!$AA$215</f>
        <v>5.7999999999999996E-2</v>
      </c>
      <c r="P68" s="12"/>
    </row>
    <row r="69" spans="3:16" ht="15" customHeight="1" x14ac:dyDescent="0.2">
      <c r="C69" s="51" t="s">
        <v>560</v>
      </c>
      <c r="D69" s="12"/>
      <c r="E69" s="12"/>
      <c r="H69" s="229">
        <v>283</v>
      </c>
      <c r="I69" s="12"/>
      <c r="J69" s="12" t="s">
        <v>533</v>
      </c>
      <c r="K69" s="12"/>
      <c r="L69" s="12"/>
      <c r="M69" s="229">
        <v>4</v>
      </c>
      <c r="N69" s="12"/>
      <c r="O69" s="229">
        <v>8</v>
      </c>
      <c r="P69" s="12"/>
    </row>
    <row r="70" spans="3:16" ht="15" customHeight="1" x14ac:dyDescent="0.2">
      <c r="C70" s="1" t="s">
        <v>575</v>
      </c>
      <c r="D70" s="12"/>
      <c r="E70" s="12"/>
      <c r="G70" s="12"/>
      <c r="H70" s="229">
        <v>245</v>
      </c>
      <c r="I70" s="12"/>
      <c r="J70" s="12" t="s">
        <v>537</v>
      </c>
      <c r="K70" s="12"/>
      <c r="L70" s="12"/>
      <c r="M70" s="12">
        <f>2048-2022</f>
        <v>26</v>
      </c>
      <c r="N70" s="12"/>
      <c r="O70" s="12">
        <f>M70</f>
        <v>26</v>
      </c>
      <c r="P70" s="12"/>
    </row>
    <row r="71" spans="3:16" ht="15" customHeight="1" x14ac:dyDescent="0.2">
      <c r="I71" s="12"/>
      <c r="J71" s="12"/>
      <c r="K71" s="12"/>
      <c r="L71" s="12"/>
      <c r="M71" s="12"/>
      <c r="N71" s="12"/>
      <c r="O71" s="12"/>
      <c r="P71" s="12"/>
    </row>
    <row r="72" spans="3:16" ht="15" customHeight="1" x14ac:dyDescent="0.2">
      <c r="C72" s="92" t="s">
        <v>580</v>
      </c>
      <c r="D72" s="91"/>
      <c r="E72" s="91"/>
      <c r="F72" s="91"/>
      <c r="G72" s="91"/>
      <c r="H72" s="91"/>
      <c r="I72" s="12"/>
      <c r="J72" s="92" t="s">
        <v>583</v>
      </c>
      <c r="K72" s="91"/>
      <c r="L72" s="91"/>
      <c r="M72" s="91"/>
      <c r="N72" s="91"/>
      <c r="O72" s="91"/>
      <c r="P72" s="12"/>
    </row>
    <row r="73" spans="3:16" ht="15" customHeight="1" x14ac:dyDescent="0.2">
      <c r="D73" s="12"/>
      <c r="E73" s="12"/>
      <c r="F73" s="183">
        <f>$H$8</f>
        <v>2022</v>
      </c>
      <c r="H73" s="184" t="s">
        <v>519</v>
      </c>
      <c r="I73" s="12"/>
      <c r="J73" s="12"/>
      <c r="K73" s="12"/>
      <c r="L73" s="12"/>
      <c r="M73" s="12"/>
      <c r="N73" s="12"/>
      <c r="O73" s="184" t="s">
        <v>584</v>
      </c>
      <c r="P73" s="12"/>
    </row>
    <row r="74" spans="3:16" ht="15" customHeight="1" x14ac:dyDescent="0.2">
      <c r="C74" s="1" t="s">
        <v>41</v>
      </c>
      <c r="D74" s="12"/>
      <c r="E74" s="12"/>
      <c r="F74" s="12">
        <f>1036</f>
        <v>1036</v>
      </c>
      <c r="G74" s="12"/>
      <c r="H74" s="58" t="s">
        <v>582</v>
      </c>
      <c r="I74" s="12"/>
      <c r="J74" s="12" t="s">
        <v>585</v>
      </c>
      <c r="K74" s="12"/>
      <c r="L74" s="12"/>
      <c r="M74" s="12"/>
      <c r="N74" s="12"/>
      <c r="O74" s="229">
        <v>0</v>
      </c>
      <c r="P74" s="12"/>
    </row>
    <row r="75" spans="3:16" ht="15" customHeight="1" x14ac:dyDescent="0.2">
      <c r="C75" s="1" t="s">
        <v>42</v>
      </c>
      <c r="D75" s="12"/>
      <c r="E75" s="12"/>
      <c r="F75" s="12">
        <f>1156</f>
        <v>1156</v>
      </c>
      <c r="G75" s="12"/>
      <c r="H75" s="58" t="s">
        <v>582</v>
      </c>
      <c r="I75" s="12"/>
      <c r="J75" s="12"/>
      <c r="K75" s="12"/>
      <c r="L75" s="12"/>
      <c r="M75" s="12"/>
      <c r="N75" s="12"/>
      <c r="O75" s="12"/>
      <c r="P75" s="12"/>
    </row>
    <row r="76" spans="3:16" ht="15" customHeight="1" x14ac:dyDescent="0.2">
      <c r="C76" s="297" t="s">
        <v>581</v>
      </c>
      <c r="D76" s="12"/>
      <c r="E76" s="12"/>
      <c r="F76" s="12"/>
      <c r="G76" s="12"/>
      <c r="H76" s="12"/>
      <c r="I76" s="12"/>
      <c r="J76" s="12"/>
      <c r="K76" s="12"/>
      <c r="L76" s="12"/>
      <c r="M76" s="12"/>
      <c r="N76" s="12"/>
      <c r="O76" s="12"/>
      <c r="P76" s="12"/>
    </row>
    <row r="77" spans="3:16" ht="15" customHeight="1" x14ac:dyDescent="0.2">
      <c r="D77" s="12"/>
      <c r="E77" s="12"/>
      <c r="F77" s="12"/>
      <c r="G77" s="12"/>
      <c r="H77" s="12"/>
      <c r="I77" s="12"/>
      <c r="J77" s="12"/>
      <c r="K77" s="12"/>
      <c r="L77" s="12"/>
      <c r="M77" s="12"/>
      <c r="N77" s="12"/>
      <c r="O77" s="12"/>
      <c r="P77" s="12"/>
    </row>
    <row r="78" spans="3:16" ht="15" customHeight="1" x14ac:dyDescent="0.2">
      <c r="D78" s="12"/>
      <c r="E78" s="12"/>
      <c r="F78" s="12"/>
      <c r="G78" s="12"/>
      <c r="H78" s="12"/>
      <c r="I78" s="12"/>
      <c r="J78" s="12"/>
      <c r="K78" s="12"/>
      <c r="L78" s="12"/>
      <c r="M78" s="12"/>
      <c r="N78" s="12"/>
      <c r="O78" s="12"/>
      <c r="P78" s="12"/>
    </row>
    <row r="79" spans="3:16" ht="15" customHeight="1" x14ac:dyDescent="0.2">
      <c r="D79" s="12"/>
      <c r="E79" s="12"/>
      <c r="F79" s="12"/>
      <c r="G79" s="12"/>
      <c r="H79" s="12"/>
      <c r="I79" s="12"/>
      <c r="J79" s="12"/>
      <c r="K79" s="12"/>
      <c r="L79" s="12"/>
      <c r="M79" s="12"/>
      <c r="N79" s="12"/>
      <c r="O79" s="12"/>
      <c r="P79" s="12"/>
    </row>
    <row r="80" spans="3:16" ht="15" customHeight="1" x14ac:dyDescent="0.2">
      <c r="D80" s="12"/>
      <c r="E80" s="12"/>
      <c r="F80" s="12"/>
      <c r="G80" s="12"/>
      <c r="H80" s="12"/>
      <c r="I80" s="12"/>
      <c r="J80" s="12"/>
      <c r="K80" s="12"/>
      <c r="L80" s="12"/>
      <c r="M80" s="12"/>
      <c r="N80" s="12"/>
      <c r="O80" s="12"/>
      <c r="P80" s="12"/>
    </row>
    <row r="81" spans="4:16" ht="15" customHeight="1" x14ac:dyDescent="0.2">
      <c r="D81" s="12"/>
      <c r="E81" s="12"/>
      <c r="F81" s="12"/>
      <c r="G81" s="12"/>
      <c r="H81" s="12"/>
      <c r="I81" s="12"/>
      <c r="J81" s="12"/>
      <c r="K81" s="12"/>
      <c r="L81" s="12"/>
      <c r="M81" s="12"/>
      <c r="N81" s="12"/>
      <c r="O81" s="12"/>
      <c r="P81" s="12"/>
    </row>
    <row r="82" spans="4:16" ht="15" customHeight="1" x14ac:dyDescent="0.2">
      <c r="D82" s="12"/>
      <c r="E82" s="12"/>
      <c r="F82" s="12"/>
      <c r="G82" s="12"/>
      <c r="H82" s="12"/>
      <c r="I82" s="12"/>
      <c r="J82" s="12"/>
      <c r="K82" s="12"/>
      <c r="L82" s="12"/>
      <c r="M82" s="12"/>
      <c r="N82" s="12"/>
      <c r="O82" s="12"/>
      <c r="P82" s="12"/>
    </row>
    <row r="83" spans="4:16" ht="15" customHeight="1" x14ac:dyDescent="0.2">
      <c r="D83" s="12"/>
      <c r="E83" s="12"/>
      <c r="F83" s="12"/>
      <c r="G83" s="12"/>
      <c r="H83" s="12"/>
      <c r="I83" s="12"/>
      <c r="J83" s="12"/>
      <c r="K83" s="12"/>
      <c r="L83" s="12"/>
      <c r="M83" s="12"/>
      <c r="N83" s="12"/>
      <c r="O83" s="12"/>
      <c r="P83" s="12"/>
    </row>
    <row r="84" spans="4:16" ht="15" customHeight="1" x14ac:dyDescent="0.2">
      <c r="D84" s="12"/>
      <c r="E84" s="12"/>
      <c r="F84" s="12"/>
      <c r="G84" s="12"/>
      <c r="H84" s="12"/>
      <c r="I84" s="12"/>
      <c r="J84" s="12"/>
      <c r="K84" s="12"/>
      <c r="L84" s="12"/>
      <c r="M84" s="12"/>
      <c r="N84" s="12"/>
      <c r="O84" s="12"/>
      <c r="P84" s="12"/>
    </row>
    <row r="85" spans="4:16" ht="15" customHeight="1" x14ac:dyDescent="0.2">
      <c r="D85" s="12"/>
      <c r="E85" s="12"/>
      <c r="F85" s="12"/>
      <c r="G85" s="12"/>
      <c r="H85" s="12"/>
      <c r="I85" s="12"/>
      <c r="J85" s="12"/>
      <c r="K85" s="12"/>
      <c r="L85" s="12"/>
      <c r="M85" s="12"/>
      <c r="N85" s="12"/>
      <c r="O85" s="12"/>
      <c r="P85" s="12"/>
    </row>
    <row r="86" spans="4:16" ht="15" customHeight="1" x14ac:dyDescent="0.2">
      <c r="D86" s="12"/>
      <c r="E86" s="12"/>
      <c r="F86" s="12"/>
      <c r="G86" s="12"/>
      <c r="H86" s="12"/>
      <c r="I86" s="12"/>
      <c r="J86" s="12"/>
      <c r="K86" s="12"/>
      <c r="L86" s="12"/>
      <c r="M86" s="12"/>
      <c r="N86" s="12"/>
      <c r="O86" s="12"/>
      <c r="P86" s="12"/>
    </row>
    <row r="87" spans="4:16" ht="15" customHeight="1" x14ac:dyDescent="0.2">
      <c r="D87" s="12"/>
      <c r="E87" s="12"/>
      <c r="F87" s="12"/>
      <c r="G87" s="12"/>
      <c r="H87" s="12"/>
      <c r="I87" s="12"/>
      <c r="J87" s="12"/>
      <c r="K87" s="12"/>
      <c r="L87" s="12"/>
      <c r="M87" s="12"/>
      <c r="N87" s="12"/>
      <c r="O87" s="12"/>
      <c r="P87" s="12"/>
    </row>
    <row r="88" spans="4:16" ht="15" customHeight="1" x14ac:dyDescent="0.2">
      <c r="D88" s="12"/>
      <c r="E88" s="12"/>
      <c r="F88" s="12"/>
      <c r="G88" s="12"/>
      <c r="H88" s="12"/>
      <c r="I88" s="12"/>
      <c r="J88" s="12"/>
      <c r="K88" s="12"/>
      <c r="L88" s="12"/>
      <c r="M88" s="12"/>
      <c r="N88" s="12"/>
      <c r="O88" s="12"/>
      <c r="P88" s="12"/>
    </row>
    <row r="89" spans="4:16" ht="15" customHeight="1" x14ac:dyDescent="0.2">
      <c r="D89" s="12"/>
      <c r="E89" s="12"/>
      <c r="F89" s="12"/>
      <c r="G89" s="12"/>
      <c r="H89" s="12"/>
      <c r="I89" s="12"/>
      <c r="J89" s="12"/>
      <c r="K89" s="12"/>
      <c r="L89" s="12"/>
      <c r="M89" s="12"/>
      <c r="N89" s="12"/>
      <c r="O89" s="12"/>
      <c r="P89" s="12"/>
    </row>
    <row r="90" spans="4:16" ht="15" customHeight="1" x14ac:dyDescent="0.2">
      <c r="D90" s="12"/>
      <c r="E90" s="12"/>
      <c r="F90" s="12"/>
      <c r="G90" s="12"/>
      <c r="H90" s="12"/>
      <c r="I90" s="12"/>
      <c r="J90" s="12"/>
      <c r="K90" s="12"/>
      <c r="L90" s="12"/>
      <c r="M90" s="12"/>
      <c r="N90" s="12"/>
      <c r="O90" s="12"/>
      <c r="P90" s="12"/>
    </row>
    <row r="91" spans="4:16" ht="15" customHeight="1" x14ac:dyDescent="0.2">
      <c r="D91" s="12"/>
      <c r="E91" s="12"/>
      <c r="F91" s="12"/>
      <c r="G91" s="12"/>
      <c r="H91" s="12"/>
      <c r="I91" s="12"/>
      <c r="J91" s="12"/>
      <c r="K91" s="12"/>
      <c r="L91" s="12"/>
      <c r="M91" s="12"/>
      <c r="N91" s="12"/>
      <c r="O91" s="12"/>
      <c r="P91" s="12"/>
    </row>
    <row r="92" spans="4:16" ht="15" customHeight="1" x14ac:dyDescent="0.2">
      <c r="D92" s="12"/>
      <c r="E92" s="12"/>
      <c r="F92" s="12"/>
      <c r="G92" s="12"/>
      <c r="H92" s="12"/>
      <c r="I92" s="12"/>
      <c r="J92" s="12"/>
      <c r="K92" s="12"/>
      <c r="L92" s="12"/>
      <c r="M92" s="12"/>
      <c r="N92" s="12"/>
      <c r="O92" s="12"/>
      <c r="P92" s="12"/>
    </row>
    <row r="93" spans="4:16" ht="15" customHeight="1" x14ac:dyDescent="0.2">
      <c r="D93" s="12"/>
      <c r="E93" s="12"/>
      <c r="F93" s="12"/>
      <c r="G93" s="12"/>
      <c r="H93" s="12"/>
      <c r="I93" s="12"/>
      <c r="J93" s="12"/>
      <c r="K93" s="12"/>
      <c r="L93" s="12"/>
      <c r="M93" s="12"/>
      <c r="N93" s="12"/>
      <c r="O93" s="12"/>
      <c r="P93" s="12"/>
    </row>
    <row r="94" spans="4:16" ht="15" customHeight="1" x14ac:dyDescent="0.2">
      <c r="D94" s="12"/>
      <c r="E94" s="12"/>
      <c r="F94" s="12"/>
      <c r="G94" s="12"/>
      <c r="H94" s="12"/>
      <c r="I94" s="12"/>
      <c r="J94" s="12"/>
      <c r="K94" s="12"/>
      <c r="L94" s="12"/>
      <c r="M94" s="12"/>
      <c r="N94" s="12"/>
      <c r="O94" s="12"/>
      <c r="P94" s="12"/>
    </row>
    <row r="95" spans="4:16" ht="15" customHeight="1" x14ac:dyDescent="0.2">
      <c r="D95" s="12"/>
      <c r="E95" s="12"/>
      <c r="F95" s="12"/>
      <c r="G95" s="12"/>
      <c r="H95" s="12"/>
      <c r="I95" s="12"/>
      <c r="J95" s="12"/>
      <c r="K95" s="12"/>
      <c r="L95" s="12"/>
      <c r="M95" s="12"/>
      <c r="N95" s="12"/>
      <c r="O95" s="12"/>
      <c r="P95" s="12"/>
    </row>
    <row r="96" spans="4:16" ht="15" customHeight="1" x14ac:dyDescent="0.2">
      <c r="D96" s="12"/>
      <c r="E96" s="12"/>
      <c r="F96" s="12"/>
      <c r="G96" s="12"/>
      <c r="H96" s="12"/>
      <c r="I96" s="12"/>
      <c r="J96" s="12"/>
      <c r="K96" s="12"/>
      <c r="L96" s="12"/>
      <c r="M96" s="12"/>
      <c r="N96" s="12"/>
      <c r="O96" s="12"/>
      <c r="P96" s="12"/>
    </row>
    <row r="97" spans="4:16" ht="15" customHeight="1" x14ac:dyDescent="0.2">
      <c r="D97" s="12"/>
      <c r="E97" s="12"/>
      <c r="F97" s="12"/>
      <c r="G97" s="12"/>
      <c r="H97" s="12"/>
      <c r="I97" s="12"/>
      <c r="J97" s="12"/>
      <c r="K97" s="12"/>
      <c r="L97" s="12"/>
      <c r="M97" s="12"/>
      <c r="N97" s="12"/>
      <c r="O97" s="12"/>
      <c r="P97" s="12"/>
    </row>
    <row r="98" spans="4:16" ht="15" customHeight="1" x14ac:dyDescent="0.2">
      <c r="D98" s="12"/>
      <c r="E98" s="12"/>
      <c r="F98" s="12"/>
      <c r="G98" s="12"/>
      <c r="H98" s="12"/>
      <c r="I98" s="12"/>
      <c r="J98" s="12"/>
      <c r="K98" s="12"/>
      <c r="L98" s="12"/>
      <c r="M98" s="12"/>
      <c r="N98" s="12"/>
      <c r="O98" s="12"/>
      <c r="P98" s="12"/>
    </row>
    <row r="99" spans="4:16" ht="15" customHeight="1" x14ac:dyDescent="0.2">
      <c r="D99" s="12"/>
      <c r="E99" s="12"/>
      <c r="F99" s="12"/>
      <c r="G99" s="12"/>
      <c r="H99" s="12"/>
      <c r="I99" s="12"/>
      <c r="J99" s="12"/>
      <c r="K99" s="12"/>
      <c r="L99" s="12"/>
      <c r="M99" s="12"/>
      <c r="N99" s="12"/>
      <c r="O99" s="12"/>
      <c r="P99" s="12"/>
    </row>
    <row r="100" spans="4:16" ht="15" customHeight="1" x14ac:dyDescent="0.2">
      <c r="D100" s="12"/>
      <c r="E100" s="12"/>
      <c r="F100" s="12"/>
      <c r="G100" s="12"/>
      <c r="H100" s="12"/>
      <c r="I100" s="12"/>
      <c r="J100" s="12"/>
      <c r="K100" s="12"/>
      <c r="L100" s="12"/>
      <c r="M100" s="12"/>
      <c r="N100" s="12"/>
      <c r="O100" s="12"/>
      <c r="P100" s="12"/>
    </row>
    <row r="101" spans="4:16" ht="15" customHeight="1" x14ac:dyDescent="0.2">
      <c r="D101" s="12"/>
      <c r="E101" s="12"/>
      <c r="F101" s="12"/>
      <c r="G101" s="12"/>
      <c r="H101" s="12"/>
      <c r="I101" s="12"/>
      <c r="J101" s="12"/>
      <c r="K101" s="12"/>
      <c r="L101" s="12"/>
      <c r="M101" s="12"/>
      <c r="N101" s="12"/>
      <c r="O101" s="12"/>
      <c r="P101" s="12"/>
    </row>
    <row r="102" spans="4:16" ht="15" customHeight="1" x14ac:dyDescent="0.2">
      <c r="D102" s="12"/>
      <c r="E102" s="12"/>
      <c r="F102" s="12"/>
      <c r="G102" s="12"/>
      <c r="H102" s="12"/>
      <c r="I102" s="12"/>
      <c r="J102" s="12"/>
      <c r="K102" s="12"/>
      <c r="L102" s="12"/>
      <c r="M102" s="12"/>
      <c r="N102" s="12"/>
      <c r="O102" s="12"/>
      <c r="P102" s="12"/>
    </row>
    <row r="103" spans="4:16" ht="15" customHeight="1" x14ac:dyDescent="0.2">
      <c r="D103" s="12"/>
      <c r="E103" s="12"/>
      <c r="F103" s="12"/>
      <c r="G103" s="12"/>
      <c r="H103" s="12"/>
      <c r="I103" s="12"/>
      <c r="J103" s="12"/>
      <c r="K103" s="12"/>
      <c r="L103" s="12"/>
      <c r="M103" s="12"/>
      <c r="N103" s="12"/>
      <c r="O103" s="12"/>
      <c r="P103" s="12"/>
    </row>
    <row r="104" spans="4:16" ht="15" customHeight="1" x14ac:dyDescent="0.2">
      <c r="D104" s="12"/>
      <c r="E104" s="12"/>
      <c r="F104" s="12"/>
      <c r="G104" s="12"/>
      <c r="H104" s="12"/>
      <c r="I104" s="12"/>
      <c r="J104" s="12"/>
      <c r="K104" s="12"/>
      <c r="L104" s="12"/>
      <c r="M104" s="12"/>
      <c r="N104" s="12"/>
      <c r="O104" s="12"/>
      <c r="P104" s="12"/>
    </row>
    <row r="105" spans="4:16" ht="15" customHeight="1" x14ac:dyDescent="0.2">
      <c r="D105" s="12"/>
      <c r="E105" s="12"/>
      <c r="F105" s="12"/>
      <c r="G105" s="12"/>
      <c r="H105" s="12"/>
      <c r="I105" s="12"/>
      <c r="J105" s="12"/>
      <c r="K105" s="12"/>
      <c r="L105" s="12"/>
      <c r="M105" s="12"/>
      <c r="N105" s="12"/>
      <c r="O105" s="12"/>
      <c r="P105" s="12"/>
    </row>
    <row r="106" spans="4:16" ht="15" customHeight="1" x14ac:dyDescent="0.2">
      <c r="D106" s="12"/>
      <c r="E106" s="12"/>
      <c r="F106" s="12"/>
      <c r="G106" s="12"/>
      <c r="H106" s="12"/>
      <c r="I106" s="12"/>
      <c r="J106" s="12"/>
      <c r="K106" s="12"/>
      <c r="L106" s="12"/>
      <c r="M106" s="12"/>
      <c r="N106" s="12"/>
      <c r="O106" s="12"/>
      <c r="P106" s="12"/>
    </row>
    <row r="107" spans="4:16" ht="15" customHeight="1" x14ac:dyDescent="0.2">
      <c r="D107" s="12"/>
      <c r="E107" s="12"/>
      <c r="F107" s="12"/>
      <c r="G107" s="12"/>
      <c r="H107" s="12"/>
      <c r="I107" s="12"/>
      <c r="J107" s="12"/>
      <c r="K107" s="12"/>
      <c r="L107" s="12"/>
      <c r="M107" s="12"/>
      <c r="N107" s="12"/>
      <c r="O107" s="12"/>
      <c r="P107" s="12"/>
    </row>
    <row r="108" spans="4:16" ht="15" customHeight="1" x14ac:dyDescent="0.2">
      <c r="D108" s="12"/>
      <c r="E108" s="12"/>
      <c r="F108" s="12"/>
      <c r="G108" s="12"/>
      <c r="H108" s="12"/>
      <c r="I108" s="12"/>
      <c r="J108" s="12"/>
      <c r="K108" s="12"/>
      <c r="L108" s="12"/>
      <c r="M108" s="12"/>
      <c r="N108" s="12"/>
      <c r="O108" s="12"/>
      <c r="P108" s="12"/>
    </row>
    <row r="109" spans="4:16" ht="15" customHeight="1" x14ac:dyDescent="0.2">
      <c r="D109" s="12"/>
      <c r="E109" s="12"/>
      <c r="F109" s="12"/>
      <c r="G109" s="12"/>
      <c r="H109" s="12"/>
      <c r="I109" s="12"/>
      <c r="J109" s="12"/>
      <c r="K109" s="12"/>
      <c r="L109" s="12"/>
      <c r="M109" s="12"/>
      <c r="N109" s="12"/>
      <c r="O109" s="12"/>
      <c r="P109" s="12"/>
    </row>
    <row r="110" spans="4:16" ht="15" customHeight="1" x14ac:dyDescent="0.2">
      <c r="D110" s="12"/>
      <c r="E110" s="12"/>
      <c r="F110" s="12"/>
      <c r="G110" s="12"/>
      <c r="H110" s="12"/>
      <c r="I110" s="12"/>
      <c r="J110" s="12"/>
      <c r="K110" s="12"/>
      <c r="L110" s="12"/>
      <c r="M110" s="12"/>
      <c r="N110" s="12"/>
      <c r="O110" s="12"/>
      <c r="P110" s="12"/>
    </row>
    <row r="111" spans="4:16" ht="15" customHeight="1" x14ac:dyDescent="0.2">
      <c r="D111" s="12"/>
      <c r="E111" s="12"/>
      <c r="F111" s="12"/>
      <c r="G111" s="12"/>
      <c r="H111" s="12"/>
      <c r="I111" s="12"/>
      <c r="J111" s="12"/>
      <c r="K111" s="12"/>
      <c r="L111" s="12"/>
      <c r="M111" s="12"/>
      <c r="N111" s="12"/>
      <c r="O111" s="12"/>
      <c r="P111" s="12"/>
    </row>
    <row r="112" spans="4:16" ht="15" customHeight="1" x14ac:dyDescent="0.2">
      <c r="D112" s="12"/>
      <c r="E112" s="12"/>
      <c r="F112" s="12"/>
      <c r="G112" s="12"/>
      <c r="H112" s="12"/>
      <c r="I112" s="12"/>
      <c r="J112" s="12"/>
      <c r="K112" s="12"/>
      <c r="L112" s="12"/>
      <c r="M112" s="12"/>
      <c r="N112" s="12"/>
      <c r="O112" s="12"/>
      <c r="P112" s="12"/>
    </row>
    <row r="113" spans="4:16" ht="15" customHeight="1" x14ac:dyDescent="0.2">
      <c r="D113" s="12"/>
      <c r="E113" s="12"/>
      <c r="F113" s="12"/>
      <c r="G113" s="12"/>
      <c r="H113" s="12"/>
      <c r="I113" s="12"/>
      <c r="J113" s="12"/>
      <c r="K113" s="12"/>
      <c r="L113" s="12"/>
      <c r="M113" s="12"/>
      <c r="N113" s="12"/>
      <c r="O113" s="12"/>
      <c r="P113" s="12"/>
    </row>
    <row r="114" spans="4:16" ht="15" customHeight="1" x14ac:dyDescent="0.2">
      <c r="D114" s="12"/>
      <c r="E114" s="12"/>
      <c r="F114" s="12"/>
      <c r="G114" s="12"/>
      <c r="H114" s="12"/>
      <c r="I114" s="12"/>
      <c r="J114" s="12"/>
      <c r="K114" s="12"/>
      <c r="L114" s="12"/>
      <c r="M114" s="12"/>
      <c r="N114" s="12"/>
      <c r="O114" s="12"/>
      <c r="P114" s="12"/>
    </row>
    <row r="115" spans="4:16" ht="15" customHeight="1" x14ac:dyDescent="0.2">
      <c r="D115" s="12"/>
      <c r="E115" s="12"/>
      <c r="F115" s="12"/>
      <c r="G115" s="12"/>
      <c r="H115" s="12"/>
      <c r="I115" s="12"/>
      <c r="J115" s="12"/>
      <c r="K115" s="12"/>
      <c r="L115" s="12"/>
      <c r="M115" s="12"/>
      <c r="N115" s="12"/>
      <c r="O115" s="12"/>
      <c r="P115" s="12"/>
    </row>
    <row r="116" spans="4:16" ht="15" customHeight="1" x14ac:dyDescent="0.2">
      <c r="D116" s="12"/>
      <c r="E116" s="12"/>
      <c r="F116" s="12"/>
      <c r="G116" s="12"/>
      <c r="H116" s="12"/>
      <c r="I116" s="12"/>
      <c r="J116" s="12"/>
      <c r="K116" s="12"/>
      <c r="L116" s="12"/>
      <c r="M116" s="12"/>
      <c r="N116" s="12"/>
      <c r="O116" s="12"/>
      <c r="P116" s="12"/>
    </row>
    <row r="117" spans="4:16" ht="15" customHeight="1" x14ac:dyDescent="0.2">
      <c r="D117" s="12"/>
      <c r="E117" s="12"/>
      <c r="F117" s="12"/>
      <c r="G117" s="12"/>
      <c r="H117" s="12"/>
      <c r="I117" s="12"/>
      <c r="J117" s="12"/>
      <c r="K117" s="12"/>
      <c r="L117" s="12"/>
      <c r="M117" s="12"/>
      <c r="N117" s="12"/>
      <c r="O117" s="12"/>
      <c r="P117" s="12"/>
    </row>
    <row r="118" spans="4:16" ht="15" customHeight="1" x14ac:dyDescent="0.2">
      <c r="D118" s="12"/>
      <c r="E118" s="12"/>
      <c r="F118" s="12"/>
      <c r="G118" s="12"/>
      <c r="H118" s="12"/>
      <c r="I118" s="12"/>
      <c r="J118" s="12"/>
      <c r="K118" s="12"/>
      <c r="L118" s="12"/>
      <c r="M118" s="12"/>
      <c r="N118" s="12"/>
      <c r="O118" s="12"/>
      <c r="P118" s="12"/>
    </row>
    <row r="119" spans="4:16" ht="15" customHeight="1" x14ac:dyDescent="0.2">
      <c r="D119" s="12"/>
      <c r="E119" s="12"/>
      <c r="F119" s="12"/>
      <c r="G119" s="12"/>
      <c r="H119" s="12"/>
      <c r="I119" s="12"/>
      <c r="J119" s="12"/>
      <c r="K119" s="12"/>
      <c r="L119" s="12"/>
      <c r="M119" s="12"/>
      <c r="N119" s="12"/>
      <c r="O119" s="12"/>
      <c r="P119" s="12"/>
    </row>
    <row r="120" spans="4:16" ht="15" customHeight="1" x14ac:dyDescent="0.2">
      <c r="D120" s="12"/>
      <c r="E120" s="12"/>
      <c r="F120" s="12"/>
      <c r="G120" s="12"/>
      <c r="H120" s="12"/>
      <c r="I120" s="12"/>
      <c r="J120" s="12"/>
      <c r="K120" s="12"/>
      <c r="L120" s="12"/>
      <c r="M120" s="12"/>
      <c r="N120" s="12"/>
      <c r="O120" s="12"/>
      <c r="P120" s="12"/>
    </row>
    <row r="121" spans="4:16" ht="15" customHeight="1" x14ac:dyDescent="0.2">
      <c r="D121" s="12"/>
      <c r="E121" s="12"/>
      <c r="F121" s="12"/>
      <c r="G121" s="12"/>
      <c r="H121" s="12"/>
      <c r="I121" s="12"/>
      <c r="J121" s="12"/>
      <c r="K121" s="12"/>
      <c r="L121" s="12"/>
      <c r="M121" s="12"/>
      <c r="N121" s="12"/>
      <c r="O121" s="12"/>
      <c r="P121" s="12"/>
    </row>
    <row r="122" spans="4:16" ht="15" customHeight="1" x14ac:dyDescent="0.2">
      <c r="D122" s="12"/>
      <c r="E122" s="12"/>
      <c r="F122" s="12"/>
      <c r="G122" s="12"/>
      <c r="H122" s="12"/>
      <c r="I122" s="12"/>
      <c r="J122" s="12"/>
      <c r="K122" s="12"/>
      <c r="L122" s="12"/>
      <c r="M122" s="12"/>
      <c r="N122" s="12"/>
      <c r="O122" s="12"/>
      <c r="P122" s="12"/>
    </row>
    <row r="123" spans="4:16" ht="15" customHeight="1" x14ac:dyDescent="0.2">
      <c r="D123" s="12"/>
      <c r="E123" s="12"/>
      <c r="F123" s="12"/>
      <c r="G123" s="12"/>
      <c r="H123" s="12"/>
      <c r="I123" s="12"/>
      <c r="J123" s="12"/>
      <c r="K123" s="12"/>
      <c r="L123" s="12"/>
      <c r="M123" s="12"/>
      <c r="N123" s="12"/>
      <c r="O123" s="12"/>
      <c r="P123" s="12"/>
    </row>
    <row r="124" spans="4:16" ht="15" customHeight="1" x14ac:dyDescent="0.2">
      <c r="D124" s="12"/>
      <c r="E124" s="12"/>
      <c r="F124" s="12"/>
      <c r="G124" s="12"/>
      <c r="H124" s="12"/>
      <c r="I124" s="12"/>
      <c r="J124" s="12"/>
      <c r="K124" s="12"/>
      <c r="L124" s="12"/>
      <c r="M124" s="12"/>
      <c r="N124" s="12"/>
      <c r="O124" s="12"/>
      <c r="P124" s="12"/>
    </row>
    <row r="125" spans="4:16" ht="15" customHeight="1" x14ac:dyDescent="0.2">
      <c r="D125" s="12"/>
      <c r="E125" s="12"/>
      <c r="F125" s="12"/>
      <c r="G125" s="12"/>
      <c r="H125" s="12"/>
      <c r="I125" s="12"/>
      <c r="J125" s="12"/>
      <c r="K125" s="12"/>
      <c r="L125" s="12"/>
      <c r="M125" s="12"/>
      <c r="N125" s="12"/>
      <c r="O125" s="12"/>
      <c r="P125" s="12"/>
    </row>
    <row r="126" spans="4:16" ht="15" customHeight="1" x14ac:dyDescent="0.2">
      <c r="D126" s="12"/>
      <c r="E126" s="12"/>
      <c r="F126" s="12"/>
      <c r="G126" s="12"/>
      <c r="H126" s="12"/>
      <c r="I126" s="12"/>
      <c r="J126" s="12"/>
      <c r="K126" s="12"/>
      <c r="L126" s="12"/>
      <c r="M126" s="12"/>
      <c r="N126" s="12"/>
      <c r="O126" s="12"/>
      <c r="P126" s="12"/>
    </row>
    <row r="127" spans="4:16" ht="15" customHeight="1" x14ac:dyDescent="0.2">
      <c r="D127" s="12"/>
      <c r="E127" s="12"/>
      <c r="F127" s="12"/>
      <c r="G127" s="12"/>
      <c r="H127" s="12"/>
      <c r="I127" s="12"/>
      <c r="J127" s="12"/>
      <c r="K127" s="12"/>
      <c r="L127" s="12"/>
      <c r="M127" s="12"/>
      <c r="N127" s="12"/>
      <c r="O127" s="12"/>
      <c r="P127" s="12"/>
    </row>
    <row r="128" spans="4:16" ht="15" customHeight="1" x14ac:dyDescent="0.2">
      <c r="D128" s="12"/>
      <c r="E128" s="12"/>
      <c r="F128" s="12"/>
      <c r="G128" s="12"/>
      <c r="H128" s="12"/>
      <c r="I128" s="12"/>
      <c r="J128" s="12"/>
      <c r="K128" s="12"/>
      <c r="L128" s="12"/>
      <c r="M128" s="12"/>
      <c r="N128" s="12"/>
      <c r="O128" s="12"/>
      <c r="P128" s="12"/>
    </row>
    <row r="129" spans="4:16" ht="15" customHeight="1" x14ac:dyDescent="0.2">
      <c r="D129" s="12"/>
      <c r="E129" s="12"/>
      <c r="F129" s="12"/>
      <c r="G129" s="12"/>
      <c r="H129" s="12"/>
      <c r="I129" s="12"/>
      <c r="J129" s="12"/>
      <c r="K129" s="12"/>
      <c r="L129" s="12"/>
      <c r="M129" s="12"/>
      <c r="N129" s="12"/>
      <c r="O129" s="12"/>
      <c r="P129" s="12"/>
    </row>
    <row r="130" spans="4:16" ht="15" customHeight="1" x14ac:dyDescent="0.2">
      <c r="D130" s="12"/>
      <c r="E130" s="12"/>
      <c r="F130" s="12"/>
      <c r="G130" s="12"/>
      <c r="H130" s="12"/>
      <c r="I130" s="12"/>
      <c r="J130" s="12"/>
      <c r="K130" s="12"/>
      <c r="L130" s="12"/>
      <c r="M130" s="12"/>
      <c r="N130" s="12"/>
      <c r="O130" s="12"/>
      <c r="P130" s="12"/>
    </row>
    <row r="131" spans="4:16" ht="15" customHeight="1" x14ac:dyDescent="0.2">
      <c r="D131" s="12"/>
      <c r="E131" s="12"/>
      <c r="F131" s="12"/>
      <c r="G131" s="12"/>
      <c r="H131" s="12"/>
      <c r="I131" s="12"/>
      <c r="J131" s="12"/>
      <c r="K131" s="12"/>
      <c r="L131" s="12"/>
      <c r="M131" s="12"/>
      <c r="N131" s="12"/>
      <c r="O131" s="12"/>
      <c r="P131" s="12"/>
    </row>
    <row r="132" spans="4:16" ht="15" customHeight="1" x14ac:dyDescent="0.2">
      <c r="D132" s="12"/>
      <c r="E132" s="12"/>
      <c r="F132" s="12"/>
      <c r="G132" s="12"/>
      <c r="H132" s="12"/>
      <c r="I132" s="12"/>
      <c r="J132" s="12"/>
      <c r="K132" s="12"/>
      <c r="L132" s="12"/>
      <c r="M132" s="12"/>
      <c r="N132" s="12"/>
      <c r="O132" s="12"/>
      <c r="P132" s="12"/>
    </row>
    <row r="133" spans="4:16" ht="15" customHeight="1" x14ac:dyDescent="0.2">
      <c r="D133" s="12"/>
      <c r="E133" s="12"/>
      <c r="F133" s="12"/>
      <c r="G133" s="12"/>
      <c r="H133" s="12"/>
      <c r="I133" s="12"/>
      <c r="J133" s="12"/>
      <c r="K133" s="12"/>
      <c r="L133" s="12"/>
      <c r="M133" s="12"/>
      <c r="N133" s="12"/>
      <c r="O133" s="12"/>
      <c r="P133" s="12"/>
    </row>
    <row r="134" spans="4:16" ht="15" customHeight="1" x14ac:dyDescent="0.2">
      <c r="D134" s="12"/>
      <c r="E134" s="12"/>
      <c r="F134" s="12"/>
      <c r="G134" s="12"/>
      <c r="H134" s="12"/>
      <c r="I134" s="12"/>
      <c r="J134" s="12"/>
      <c r="K134" s="12"/>
      <c r="L134" s="12"/>
      <c r="M134" s="12"/>
      <c r="N134" s="12"/>
      <c r="O134" s="12"/>
      <c r="P134" s="12"/>
    </row>
    <row r="135" spans="4:16" ht="15" customHeight="1" x14ac:dyDescent="0.2">
      <c r="D135" s="12"/>
      <c r="E135" s="12"/>
      <c r="F135" s="12"/>
      <c r="G135" s="12"/>
      <c r="H135" s="12"/>
      <c r="I135" s="12"/>
      <c r="J135" s="12"/>
      <c r="K135" s="12"/>
      <c r="L135" s="12"/>
      <c r="M135" s="12"/>
      <c r="N135" s="12"/>
      <c r="O135" s="12"/>
      <c r="P135" s="12"/>
    </row>
    <row r="136" spans="4:16" ht="15" customHeight="1" x14ac:dyDescent="0.2">
      <c r="D136" s="12"/>
      <c r="E136" s="12"/>
      <c r="F136" s="12"/>
      <c r="G136" s="12"/>
      <c r="H136" s="12"/>
      <c r="I136" s="12"/>
      <c r="J136" s="12"/>
      <c r="K136" s="12"/>
      <c r="L136" s="12"/>
      <c r="M136" s="12"/>
      <c r="N136" s="12"/>
      <c r="O136" s="12"/>
      <c r="P136" s="12"/>
    </row>
    <row r="137" spans="4:16" ht="15" customHeight="1" x14ac:dyDescent="0.2">
      <c r="D137" s="12"/>
      <c r="E137" s="12"/>
      <c r="F137" s="12"/>
      <c r="G137" s="12"/>
      <c r="H137" s="12"/>
      <c r="I137" s="12"/>
      <c r="J137" s="12"/>
      <c r="K137" s="12"/>
      <c r="L137" s="12"/>
      <c r="M137" s="12"/>
      <c r="N137" s="12"/>
      <c r="O137" s="12"/>
      <c r="P137" s="12"/>
    </row>
    <row r="138" spans="4:16" ht="15" customHeight="1" x14ac:dyDescent="0.2">
      <c r="D138" s="12"/>
      <c r="E138" s="12"/>
      <c r="F138" s="12"/>
      <c r="G138" s="12"/>
      <c r="H138" s="12"/>
      <c r="I138" s="12"/>
      <c r="J138" s="12"/>
      <c r="K138" s="12"/>
      <c r="L138" s="12"/>
      <c r="M138" s="12"/>
      <c r="N138" s="12"/>
      <c r="O138" s="12"/>
      <c r="P138" s="12"/>
    </row>
    <row r="139" spans="4:16" ht="15" customHeight="1" x14ac:dyDescent="0.2">
      <c r="D139" s="12"/>
      <c r="E139" s="12"/>
      <c r="F139" s="12"/>
      <c r="G139" s="12"/>
      <c r="H139" s="12"/>
      <c r="I139" s="12"/>
      <c r="J139" s="12"/>
      <c r="K139" s="12"/>
      <c r="L139" s="12"/>
      <c r="M139" s="12"/>
      <c r="N139" s="12"/>
      <c r="O139" s="12"/>
      <c r="P139" s="12"/>
    </row>
    <row r="140" spans="4:16" ht="15" customHeight="1" x14ac:dyDescent="0.2">
      <c r="D140" s="12"/>
      <c r="E140" s="12"/>
      <c r="F140" s="12"/>
      <c r="G140" s="12"/>
      <c r="H140" s="12"/>
      <c r="I140" s="12"/>
      <c r="J140" s="12"/>
      <c r="K140" s="12"/>
      <c r="L140" s="12"/>
      <c r="M140" s="12"/>
      <c r="N140" s="12"/>
      <c r="O140" s="12"/>
      <c r="P140" s="12"/>
    </row>
    <row r="141" spans="4:16" ht="15" customHeight="1" x14ac:dyDescent="0.2">
      <c r="D141" s="12"/>
      <c r="E141" s="12"/>
      <c r="F141" s="12"/>
      <c r="G141" s="12"/>
      <c r="H141" s="12"/>
      <c r="I141" s="12"/>
      <c r="J141" s="12"/>
      <c r="K141" s="12"/>
      <c r="L141" s="12"/>
      <c r="M141" s="12"/>
      <c r="N141" s="12"/>
      <c r="O141" s="12"/>
      <c r="P141" s="12"/>
    </row>
    <row r="142" spans="4:16" ht="15" customHeight="1" x14ac:dyDescent="0.2">
      <c r="D142" s="12"/>
      <c r="E142" s="12"/>
      <c r="F142" s="12"/>
      <c r="G142" s="12"/>
      <c r="H142" s="12"/>
      <c r="I142" s="12"/>
      <c r="J142" s="12"/>
      <c r="K142" s="12"/>
      <c r="L142" s="12"/>
      <c r="M142" s="12"/>
      <c r="N142" s="12"/>
      <c r="O142" s="12"/>
      <c r="P142" s="12"/>
    </row>
    <row r="143" spans="4:16" ht="15" customHeight="1" x14ac:dyDescent="0.2">
      <c r="D143" s="12"/>
      <c r="E143" s="12"/>
      <c r="F143" s="12"/>
      <c r="G143" s="12"/>
      <c r="H143" s="12"/>
      <c r="I143" s="12"/>
      <c r="J143" s="12"/>
      <c r="K143" s="12"/>
      <c r="L143" s="12"/>
      <c r="M143" s="12"/>
      <c r="N143" s="12"/>
      <c r="O143" s="12"/>
      <c r="P143" s="12"/>
    </row>
    <row r="144" spans="4:16" ht="15" customHeight="1" x14ac:dyDescent="0.2">
      <c r="D144" s="12"/>
      <c r="E144" s="12"/>
      <c r="F144" s="12"/>
      <c r="G144" s="12"/>
      <c r="H144" s="12"/>
      <c r="I144" s="12"/>
      <c r="J144" s="12"/>
      <c r="K144" s="12"/>
      <c r="L144" s="12"/>
      <c r="M144" s="12"/>
      <c r="N144" s="12"/>
      <c r="O144" s="12"/>
    </row>
    <row r="145" spans="4:15" x14ac:dyDescent="0.2">
      <c r="D145" s="12"/>
      <c r="E145" s="12"/>
      <c r="F145" s="12"/>
      <c r="G145" s="12"/>
      <c r="H145" s="12"/>
      <c r="I145" s="12"/>
      <c r="J145" s="12"/>
      <c r="K145" s="12"/>
      <c r="L145" s="12"/>
      <c r="M145" s="12"/>
      <c r="N145" s="12"/>
      <c r="O145" s="12"/>
    </row>
    <row r="146" spans="4:15" x14ac:dyDescent="0.2">
      <c r="D146" s="12"/>
      <c r="E146" s="12"/>
      <c r="F146" s="12"/>
      <c r="G146" s="12"/>
      <c r="H146" s="12"/>
      <c r="I146" s="12"/>
      <c r="J146" s="12"/>
      <c r="K146" s="12"/>
      <c r="L146" s="12"/>
      <c r="M146" s="12"/>
      <c r="N146" s="12"/>
      <c r="O146" s="12"/>
    </row>
    <row r="147" spans="4:15" x14ac:dyDescent="0.2">
      <c r="D147" s="12"/>
      <c r="E147" s="12"/>
      <c r="F147" s="12"/>
      <c r="G147" s="12"/>
      <c r="H147" s="12"/>
      <c r="I147" s="12"/>
      <c r="J147" s="12"/>
      <c r="K147" s="12"/>
      <c r="L147" s="12"/>
      <c r="M147" s="12"/>
      <c r="N147" s="12"/>
      <c r="O147" s="12"/>
    </row>
    <row r="148" spans="4:15" x14ac:dyDescent="0.2">
      <c r="D148" s="12"/>
      <c r="E148" s="12"/>
      <c r="F148" s="12"/>
      <c r="G148" s="12"/>
      <c r="H148" s="12"/>
      <c r="I148" s="12"/>
      <c r="J148" s="12"/>
      <c r="K148" s="12"/>
      <c r="L148" s="12"/>
      <c r="M148" s="12"/>
      <c r="N148" s="12"/>
      <c r="O148" s="12"/>
    </row>
    <row r="149" spans="4:15" x14ac:dyDescent="0.2">
      <c r="D149" s="12"/>
      <c r="E149" s="12"/>
      <c r="F149" s="12"/>
      <c r="G149" s="12"/>
      <c r="H149" s="12"/>
      <c r="I149" s="12"/>
      <c r="J149" s="12"/>
      <c r="K149" s="12"/>
      <c r="L149" s="12"/>
      <c r="M149" s="12"/>
      <c r="N149" s="12"/>
      <c r="O149" s="12"/>
    </row>
    <row r="150" spans="4:15" x14ac:dyDescent="0.2">
      <c r="D150" s="12"/>
      <c r="E150" s="12"/>
      <c r="F150" s="12"/>
      <c r="G150" s="12"/>
      <c r="H150" s="12"/>
      <c r="I150" s="12"/>
      <c r="J150" s="12"/>
      <c r="K150" s="12"/>
      <c r="L150" s="12"/>
      <c r="M150" s="12"/>
      <c r="N150" s="12"/>
      <c r="O150" s="12"/>
    </row>
    <row r="151" spans="4:15" x14ac:dyDescent="0.2">
      <c r="D151" s="12"/>
      <c r="E151" s="12"/>
      <c r="F151" s="12"/>
      <c r="G151" s="12"/>
      <c r="H151" s="12"/>
      <c r="I151" s="12"/>
      <c r="J151" s="12"/>
      <c r="K151" s="12"/>
      <c r="L151" s="12"/>
      <c r="M151" s="12"/>
      <c r="N151" s="12"/>
      <c r="O151" s="12"/>
    </row>
    <row r="152" spans="4:15" x14ac:dyDescent="0.2">
      <c r="D152" s="12"/>
      <c r="E152" s="12"/>
      <c r="F152" s="12"/>
      <c r="G152" s="12"/>
      <c r="H152" s="12"/>
      <c r="I152" s="12"/>
      <c r="J152" s="12"/>
      <c r="K152" s="12"/>
      <c r="L152" s="12"/>
      <c r="M152" s="12"/>
      <c r="N152" s="12"/>
      <c r="O152" s="12"/>
    </row>
    <row r="153" spans="4:15" x14ac:dyDescent="0.2">
      <c r="D153" s="12"/>
      <c r="E153" s="12"/>
      <c r="F153" s="12"/>
      <c r="G153" s="12"/>
      <c r="H153" s="12"/>
      <c r="I153" s="12"/>
      <c r="J153" s="12"/>
      <c r="K153" s="12"/>
      <c r="L153" s="12"/>
      <c r="M153" s="12"/>
      <c r="N153" s="12"/>
      <c r="O153" s="12"/>
    </row>
    <row r="154" spans="4:15" x14ac:dyDescent="0.2">
      <c r="D154" s="12"/>
      <c r="E154" s="12"/>
      <c r="F154" s="12"/>
      <c r="G154" s="12"/>
      <c r="H154" s="12"/>
      <c r="I154" s="12"/>
      <c r="J154" s="12"/>
      <c r="K154" s="12"/>
      <c r="L154" s="12"/>
      <c r="M154" s="12"/>
      <c r="N154" s="12"/>
      <c r="O154" s="12"/>
    </row>
    <row r="155" spans="4:15" x14ac:dyDescent="0.2">
      <c r="D155" s="12"/>
      <c r="E155" s="12"/>
      <c r="F155" s="12"/>
      <c r="G155" s="12"/>
      <c r="H155" s="12"/>
      <c r="I155" s="12"/>
      <c r="J155" s="12"/>
      <c r="K155" s="12"/>
      <c r="L155" s="12"/>
      <c r="M155" s="12"/>
      <c r="N155" s="12"/>
      <c r="O155" s="12"/>
    </row>
    <row r="156" spans="4:15" x14ac:dyDescent="0.2">
      <c r="D156" s="12"/>
      <c r="E156" s="12"/>
      <c r="F156" s="12"/>
      <c r="G156" s="12"/>
      <c r="H156" s="12"/>
      <c r="I156" s="12"/>
      <c r="J156" s="12"/>
      <c r="K156" s="12"/>
      <c r="L156" s="12"/>
      <c r="M156" s="12"/>
      <c r="N156" s="12"/>
      <c r="O156" s="12"/>
    </row>
    <row r="157" spans="4:15" x14ac:dyDescent="0.2">
      <c r="D157" s="12"/>
      <c r="E157" s="12"/>
      <c r="F157" s="12"/>
      <c r="G157" s="12"/>
      <c r="H157" s="12"/>
      <c r="I157" s="12"/>
      <c r="J157" s="12"/>
      <c r="K157" s="12"/>
      <c r="L157" s="12"/>
      <c r="M157" s="12"/>
      <c r="N157" s="12"/>
      <c r="O157" s="12"/>
    </row>
    <row r="158" spans="4:15" x14ac:dyDescent="0.2">
      <c r="D158" s="12"/>
      <c r="E158" s="12"/>
      <c r="F158" s="12"/>
      <c r="G158" s="12"/>
      <c r="H158" s="12"/>
      <c r="I158" s="12"/>
      <c r="J158" s="12"/>
      <c r="K158" s="12"/>
      <c r="L158" s="12"/>
      <c r="M158" s="12"/>
      <c r="N158" s="12"/>
      <c r="O158" s="12"/>
    </row>
    <row r="159" spans="4:15" x14ac:dyDescent="0.2">
      <c r="D159" s="12"/>
      <c r="E159" s="12"/>
      <c r="F159" s="12"/>
      <c r="G159" s="12"/>
      <c r="H159" s="12"/>
      <c r="I159" s="12"/>
      <c r="J159" s="12"/>
      <c r="K159" s="12"/>
      <c r="L159" s="12"/>
      <c r="M159" s="12"/>
      <c r="N159" s="12"/>
      <c r="O159" s="12"/>
    </row>
    <row r="160" spans="4:15" x14ac:dyDescent="0.2">
      <c r="D160" s="12"/>
      <c r="E160" s="12"/>
      <c r="F160" s="12"/>
      <c r="G160" s="12"/>
      <c r="H160" s="12"/>
      <c r="I160" s="12"/>
      <c r="J160" s="12"/>
      <c r="K160" s="12"/>
      <c r="L160" s="12"/>
      <c r="M160" s="12"/>
      <c r="N160" s="12"/>
      <c r="O160" s="12"/>
    </row>
    <row r="161" spans="4:15" x14ac:dyDescent="0.2">
      <c r="D161" s="12"/>
      <c r="E161" s="12"/>
      <c r="F161" s="12"/>
      <c r="G161" s="12"/>
      <c r="H161" s="12"/>
      <c r="I161" s="12"/>
      <c r="J161" s="12"/>
      <c r="K161" s="12"/>
      <c r="L161" s="12"/>
      <c r="M161" s="12"/>
      <c r="N161" s="12"/>
      <c r="O161" s="12"/>
    </row>
    <row r="162" spans="4:15" x14ac:dyDescent="0.2">
      <c r="D162" s="12"/>
      <c r="E162" s="12"/>
      <c r="F162" s="12"/>
      <c r="G162" s="12"/>
      <c r="H162" s="12"/>
      <c r="I162" s="12"/>
      <c r="J162" s="12"/>
      <c r="K162" s="12"/>
      <c r="L162" s="12"/>
      <c r="M162" s="12"/>
      <c r="N162" s="12"/>
      <c r="O162" s="12"/>
    </row>
    <row r="163" spans="4:15" x14ac:dyDescent="0.2">
      <c r="D163" s="12"/>
      <c r="E163" s="12"/>
      <c r="F163" s="12"/>
      <c r="G163" s="12"/>
      <c r="H163" s="12"/>
      <c r="I163" s="12"/>
      <c r="J163" s="12"/>
      <c r="K163" s="12"/>
      <c r="L163" s="12"/>
      <c r="M163" s="12"/>
      <c r="N163" s="12"/>
      <c r="O163" s="12"/>
    </row>
    <row r="164" spans="4:15" x14ac:dyDescent="0.2">
      <c r="D164" s="12"/>
      <c r="E164" s="12"/>
      <c r="F164" s="12"/>
      <c r="G164" s="12"/>
      <c r="H164" s="12"/>
      <c r="I164" s="12"/>
      <c r="J164" s="12"/>
      <c r="K164" s="12"/>
      <c r="L164" s="12"/>
      <c r="M164" s="12"/>
      <c r="N164" s="12"/>
      <c r="O164" s="12"/>
    </row>
    <row r="165" spans="4:15" x14ac:dyDescent="0.2">
      <c r="D165" s="12"/>
      <c r="E165" s="12"/>
      <c r="F165" s="12"/>
      <c r="G165" s="12"/>
      <c r="H165" s="12"/>
      <c r="I165" s="12"/>
      <c r="J165" s="12"/>
      <c r="K165" s="12"/>
      <c r="L165" s="12"/>
      <c r="M165" s="12"/>
      <c r="N165" s="12"/>
      <c r="O165" s="12"/>
    </row>
    <row r="166" spans="4:15" x14ac:dyDescent="0.2">
      <c r="D166" s="12"/>
      <c r="E166" s="12"/>
      <c r="F166" s="12"/>
      <c r="G166" s="12"/>
      <c r="H166" s="12"/>
      <c r="I166" s="12"/>
      <c r="J166" s="12"/>
      <c r="K166" s="12"/>
      <c r="L166" s="12"/>
      <c r="M166" s="12"/>
      <c r="N166" s="12"/>
      <c r="O166" s="12"/>
    </row>
    <row r="167" spans="4:15" x14ac:dyDescent="0.2">
      <c r="D167" s="12"/>
      <c r="E167" s="12"/>
      <c r="F167" s="12"/>
      <c r="G167" s="12"/>
      <c r="H167" s="12"/>
      <c r="I167" s="12"/>
      <c r="J167" s="12"/>
      <c r="K167" s="12"/>
      <c r="L167" s="12"/>
      <c r="M167" s="12"/>
      <c r="N167" s="12"/>
      <c r="O167" s="12"/>
    </row>
    <row r="168" spans="4:15" x14ac:dyDescent="0.2">
      <c r="D168" s="12"/>
      <c r="E168" s="12"/>
      <c r="F168" s="12"/>
      <c r="G168" s="12"/>
      <c r="H168" s="12"/>
      <c r="I168" s="12"/>
      <c r="J168" s="12"/>
      <c r="K168" s="12"/>
      <c r="L168" s="12"/>
      <c r="M168" s="12"/>
      <c r="N168" s="12"/>
      <c r="O168" s="12"/>
    </row>
    <row r="169" spans="4:15" x14ac:dyDescent="0.2">
      <c r="D169" s="12"/>
      <c r="E169" s="12"/>
      <c r="F169" s="12"/>
      <c r="G169" s="12"/>
      <c r="H169" s="12"/>
      <c r="I169" s="12"/>
      <c r="J169" s="12"/>
      <c r="K169" s="12"/>
      <c r="L169" s="12"/>
      <c r="M169" s="12"/>
      <c r="N169" s="12"/>
      <c r="O169" s="12"/>
    </row>
    <row r="170" spans="4:15" x14ac:dyDescent="0.2">
      <c r="D170" s="12"/>
      <c r="E170" s="12"/>
      <c r="F170" s="12"/>
      <c r="G170" s="12"/>
      <c r="H170" s="12"/>
      <c r="I170" s="12"/>
      <c r="J170" s="12"/>
      <c r="K170" s="12"/>
      <c r="L170" s="12"/>
      <c r="M170" s="12"/>
      <c r="N170" s="12"/>
      <c r="O170" s="12"/>
    </row>
    <row r="171" spans="4:15" x14ac:dyDescent="0.2">
      <c r="D171" s="12"/>
      <c r="E171" s="12"/>
      <c r="F171" s="12"/>
      <c r="G171" s="12"/>
      <c r="H171" s="12"/>
      <c r="I171" s="12"/>
      <c r="J171" s="12"/>
      <c r="K171" s="12"/>
      <c r="L171" s="12"/>
      <c r="M171" s="12"/>
      <c r="N171" s="12"/>
      <c r="O171" s="12"/>
    </row>
    <row r="172" spans="4:15" x14ac:dyDescent="0.2">
      <c r="D172" s="12"/>
      <c r="E172" s="12"/>
      <c r="F172" s="12"/>
      <c r="G172" s="12"/>
      <c r="H172" s="12"/>
      <c r="I172" s="12"/>
      <c r="J172" s="12"/>
      <c r="K172" s="12"/>
      <c r="L172" s="12"/>
      <c r="M172" s="12"/>
      <c r="N172" s="12"/>
      <c r="O172" s="12"/>
    </row>
    <row r="173" spans="4:15" x14ac:dyDescent="0.2">
      <c r="D173" s="12"/>
      <c r="E173" s="12"/>
      <c r="F173" s="12"/>
      <c r="G173" s="12"/>
      <c r="H173" s="12"/>
      <c r="I173" s="12"/>
      <c r="J173" s="12"/>
      <c r="K173" s="12"/>
      <c r="L173" s="12"/>
      <c r="M173" s="12"/>
      <c r="N173" s="12"/>
      <c r="O173" s="12"/>
    </row>
    <row r="174" spans="4:15" x14ac:dyDescent="0.2">
      <c r="D174" s="12"/>
      <c r="E174" s="12"/>
      <c r="F174" s="12"/>
      <c r="G174" s="12"/>
      <c r="H174" s="12"/>
      <c r="I174" s="12"/>
      <c r="J174" s="12"/>
      <c r="K174" s="12"/>
      <c r="L174" s="12"/>
      <c r="M174" s="12"/>
      <c r="N174" s="12"/>
      <c r="O174" s="12"/>
    </row>
    <row r="175" spans="4:15" x14ac:dyDescent="0.2">
      <c r="D175" s="12"/>
      <c r="E175" s="12"/>
      <c r="F175" s="12"/>
      <c r="G175" s="12"/>
      <c r="H175" s="12"/>
      <c r="I175" s="12"/>
      <c r="J175" s="12"/>
      <c r="K175" s="12"/>
      <c r="L175" s="12"/>
      <c r="M175" s="12"/>
      <c r="N175" s="12"/>
      <c r="O175" s="12"/>
    </row>
    <row r="176" spans="4:15" x14ac:dyDescent="0.2">
      <c r="D176" s="12"/>
      <c r="E176" s="12"/>
      <c r="F176" s="12"/>
      <c r="G176" s="12"/>
      <c r="H176" s="12"/>
      <c r="I176" s="12"/>
      <c r="J176" s="12"/>
      <c r="K176" s="12"/>
      <c r="L176" s="12"/>
      <c r="M176" s="12"/>
      <c r="N176" s="12"/>
      <c r="O176" s="12"/>
    </row>
    <row r="177" spans="4:15" x14ac:dyDescent="0.2">
      <c r="D177" s="12"/>
      <c r="E177" s="12"/>
      <c r="F177" s="12"/>
      <c r="G177" s="12"/>
      <c r="H177" s="12"/>
      <c r="I177" s="12"/>
      <c r="J177" s="12"/>
      <c r="K177" s="12"/>
      <c r="L177" s="12"/>
      <c r="M177" s="12"/>
      <c r="N177" s="12"/>
      <c r="O177" s="12"/>
    </row>
    <row r="178" spans="4:15" x14ac:dyDescent="0.2">
      <c r="D178" s="12"/>
      <c r="E178" s="12"/>
      <c r="F178" s="12"/>
      <c r="G178" s="12"/>
      <c r="H178" s="12"/>
      <c r="I178" s="12"/>
      <c r="J178" s="12"/>
      <c r="K178" s="12"/>
      <c r="L178" s="12"/>
      <c r="M178" s="12"/>
      <c r="N178" s="12"/>
      <c r="O178" s="12"/>
    </row>
    <row r="179" spans="4:15" x14ac:dyDescent="0.2">
      <c r="D179" s="12"/>
      <c r="E179" s="12"/>
      <c r="F179" s="12"/>
      <c r="G179" s="12"/>
      <c r="H179" s="12"/>
      <c r="I179" s="12"/>
      <c r="J179" s="12"/>
      <c r="K179" s="12"/>
      <c r="L179" s="12"/>
      <c r="M179" s="12"/>
      <c r="N179" s="12"/>
      <c r="O179" s="12"/>
    </row>
    <row r="180" spans="4:15" x14ac:dyDescent="0.2">
      <c r="D180" s="12"/>
      <c r="E180" s="12"/>
      <c r="F180" s="12"/>
      <c r="G180" s="12"/>
      <c r="H180" s="12"/>
      <c r="I180" s="12"/>
      <c r="J180" s="12"/>
      <c r="K180" s="12"/>
      <c r="L180" s="12"/>
      <c r="M180" s="12"/>
      <c r="N180" s="12"/>
      <c r="O180" s="12"/>
    </row>
    <row r="181" spans="4:15" x14ac:dyDescent="0.2">
      <c r="D181" s="12"/>
      <c r="E181" s="12"/>
      <c r="F181" s="12"/>
      <c r="G181" s="12"/>
      <c r="H181" s="12"/>
      <c r="I181" s="12"/>
      <c r="J181" s="12"/>
      <c r="K181" s="12"/>
      <c r="L181" s="12"/>
      <c r="M181" s="12"/>
      <c r="N181" s="12"/>
      <c r="O181" s="12"/>
    </row>
    <row r="182" spans="4:15" x14ac:dyDescent="0.2">
      <c r="D182" s="12"/>
      <c r="E182" s="12"/>
      <c r="F182" s="12"/>
      <c r="G182" s="12"/>
      <c r="H182" s="12"/>
      <c r="I182" s="12"/>
      <c r="J182" s="12"/>
      <c r="K182" s="12"/>
      <c r="L182" s="12"/>
      <c r="M182" s="12"/>
      <c r="N182" s="12"/>
      <c r="O182" s="12"/>
    </row>
    <row r="183" spans="4:15" x14ac:dyDescent="0.2">
      <c r="D183" s="12"/>
      <c r="E183" s="12"/>
      <c r="F183" s="12"/>
      <c r="G183" s="12"/>
      <c r="H183" s="12"/>
      <c r="I183" s="12"/>
      <c r="J183" s="12"/>
      <c r="K183" s="12"/>
      <c r="L183" s="12"/>
      <c r="M183" s="12"/>
      <c r="N183" s="12"/>
      <c r="O183" s="12"/>
    </row>
    <row r="184" spans="4:15" x14ac:dyDescent="0.2">
      <c r="D184" s="12"/>
      <c r="E184" s="12"/>
      <c r="F184" s="12"/>
      <c r="G184" s="12"/>
      <c r="H184" s="12"/>
      <c r="I184" s="12"/>
      <c r="J184" s="12"/>
      <c r="K184" s="12"/>
      <c r="L184" s="12"/>
      <c r="M184" s="12"/>
      <c r="N184" s="12"/>
      <c r="O184" s="12"/>
    </row>
    <row r="185" spans="4:15" x14ac:dyDescent="0.2">
      <c r="D185" s="12"/>
      <c r="E185" s="12"/>
      <c r="F185" s="12"/>
      <c r="G185" s="12"/>
      <c r="H185" s="12"/>
      <c r="I185" s="12"/>
      <c r="J185" s="12"/>
      <c r="K185" s="12"/>
      <c r="L185" s="12"/>
      <c r="M185" s="12"/>
      <c r="N185" s="12"/>
      <c r="O185" s="12"/>
    </row>
    <row r="186" spans="4:15" x14ac:dyDescent="0.2">
      <c r="D186" s="12"/>
      <c r="E186" s="12"/>
      <c r="F186" s="12"/>
      <c r="G186" s="12"/>
      <c r="H186" s="12"/>
      <c r="I186" s="12"/>
      <c r="J186" s="12"/>
      <c r="K186" s="12"/>
      <c r="L186" s="12"/>
      <c r="M186" s="12"/>
      <c r="N186" s="12"/>
      <c r="O186" s="12"/>
    </row>
    <row r="187" spans="4:15" x14ac:dyDescent="0.2">
      <c r="D187" s="12"/>
      <c r="E187" s="12"/>
      <c r="F187" s="12"/>
      <c r="G187" s="12"/>
      <c r="H187" s="12"/>
      <c r="I187" s="12"/>
      <c r="J187" s="12"/>
      <c r="K187" s="12"/>
      <c r="L187" s="12"/>
      <c r="M187" s="12"/>
      <c r="N187" s="12"/>
      <c r="O187" s="12"/>
    </row>
    <row r="188" spans="4:15" x14ac:dyDescent="0.2">
      <c r="D188" s="12"/>
      <c r="E188" s="12"/>
      <c r="F188" s="12"/>
      <c r="G188" s="12"/>
      <c r="H188" s="12"/>
      <c r="I188" s="12"/>
      <c r="J188" s="12"/>
      <c r="K188" s="12"/>
      <c r="L188" s="12"/>
      <c r="M188" s="12"/>
      <c r="N188" s="12"/>
      <c r="O188" s="12"/>
    </row>
    <row r="189" spans="4:15" x14ac:dyDescent="0.2">
      <c r="D189" s="12"/>
      <c r="E189" s="12"/>
      <c r="F189" s="12"/>
      <c r="G189" s="12"/>
      <c r="H189" s="12"/>
      <c r="I189" s="12"/>
      <c r="J189" s="12"/>
      <c r="K189" s="12"/>
      <c r="L189" s="12"/>
      <c r="M189" s="12"/>
      <c r="N189" s="12"/>
      <c r="O189" s="12"/>
    </row>
    <row r="190" spans="4:15" x14ac:dyDescent="0.2">
      <c r="D190" s="12"/>
      <c r="E190" s="12"/>
      <c r="F190" s="12"/>
      <c r="G190" s="12"/>
      <c r="H190" s="12"/>
      <c r="I190" s="12"/>
      <c r="J190" s="12"/>
      <c r="K190" s="12"/>
      <c r="L190" s="12"/>
      <c r="M190" s="12"/>
      <c r="N190" s="12"/>
      <c r="O190" s="12"/>
    </row>
    <row r="191" spans="4:15" x14ac:dyDescent="0.2">
      <c r="D191" s="12"/>
      <c r="E191" s="12"/>
      <c r="F191" s="12"/>
      <c r="G191" s="12"/>
      <c r="H191" s="12"/>
      <c r="I191" s="12"/>
      <c r="J191" s="12"/>
      <c r="K191" s="12"/>
      <c r="L191" s="12"/>
      <c r="M191" s="12"/>
      <c r="N191" s="12"/>
      <c r="O191" s="12"/>
    </row>
    <row r="192" spans="4:15" x14ac:dyDescent="0.2">
      <c r="D192" s="12"/>
      <c r="E192" s="12"/>
      <c r="F192" s="12"/>
      <c r="G192" s="12"/>
      <c r="H192" s="12"/>
      <c r="I192" s="12"/>
      <c r="J192" s="12"/>
      <c r="K192" s="12"/>
      <c r="L192" s="12"/>
      <c r="M192" s="12"/>
      <c r="N192" s="12"/>
      <c r="O192" s="12"/>
    </row>
    <row r="193" spans="4:15" x14ac:dyDescent="0.2">
      <c r="D193" s="12"/>
      <c r="E193" s="12"/>
      <c r="F193" s="12"/>
      <c r="G193" s="12"/>
      <c r="H193" s="12"/>
      <c r="I193" s="12"/>
      <c r="J193" s="12"/>
      <c r="K193" s="12"/>
      <c r="L193" s="12"/>
      <c r="M193" s="12"/>
      <c r="N193" s="12"/>
      <c r="O193" s="12"/>
    </row>
    <row r="194" spans="4:15" x14ac:dyDescent="0.2">
      <c r="D194" s="12"/>
      <c r="E194" s="12"/>
      <c r="F194" s="12"/>
      <c r="G194" s="12"/>
      <c r="H194" s="12"/>
      <c r="I194" s="12"/>
    </row>
  </sheetData>
  <mergeCells count="1">
    <mergeCell ref="J50:O50"/>
  </mergeCells>
  <hyperlinks>
    <hyperlink ref="C29" r:id="rId1" xr:uid="{34A7651D-62E1-46DE-B37C-06BE6D3BFC34}"/>
    <hyperlink ref="C36" r:id="rId2" location=":~:text=Bloomberg)-,Per%20unit%20vehicle%20cost%20production%20for%20Tesla%20is%20currently%20%2436%2C000,world%20worth%20around%20%241.6%20trillion." xr:uid="{C0A01F7F-5D6B-4136-AD48-10550CA94BCC}"/>
    <hyperlink ref="H50" r:id="rId3" display="https://www.business-standard.com/article/international/bumpy-ride-ahead-for-electric-vehicle-makers-after-us-passes-climate-bill-122081400928_1.html" xr:uid="{08C3A60D-082C-46ED-99AE-3A16E39F215E}"/>
    <hyperlink ref="C76" r:id="rId4" location=":~:text=Tesla%20shares%20will%20begin%20trading,annual%20meeting%20in%20early%20August." xr:uid="{974372DB-EBC4-42CE-A643-DE1479EDC83C}"/>
  </hyperlinks>
  <printOptions horizontalCentered="1"/>
  <pageMargins left="0.11811023622047245" right="0.11811023622047245" top="0.11811023622047245" bottom="0.19685039370078741" header="0.11811023622047245" footer="0.11811023622047245"/>
  <pageSetup scale="80" orientation="landscape" r:id="rId5"/>
  <headerFooter>
    <oddFooter>&amp;Lir.tesla.com&amp;CPage &amp;P of &amp;N&amp;R&amp;D  &amp;T</oddFooter>
  </headerFooter>
  <rowBreaks count="1" manualBreakCount="1">
    <brk id="52" max="15" man="1"/>
  </rowBreaks>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577DA-2E45-4CAA-847F-83A813168C88}">
  <dimension ref="B1:Q150"/>
  <sheetViews>
    <sheetView showGridLines="0" zoomScaleNormal="100" workbookViewId="0"/>
  </sheetViews>
  <sheetFormatPr baseColWidth="10" defaultColWidth="9.1640625" defaultRowHeight="14" x14ac:dyDescent="0.2"/>
  <cols>
    <col min="1" max="2" width="1.1640625" style="1" customWidth="1"/>
    <col min="3" max="3" width="38.6640625" style="1" customWidth="1"/>
    <col min="4" max="14" width="11.6640625" style="1" customWidth="1"/>
    <col min="15" max="15" width="1.1640625" style="1" customWidth="1"/>
    <col min="16" max="16384" width="9.1640625" style="1"/>
  </cols>
  <sheetData>
    <row r="1" spans="2:17" ht="6" customHeight="1" x14ac:dyDescent="0.2"/>
    <row r="2" spans="2:17" ht="20" customHeight="1" x14ac:dyDescent="0.25">
      <c r="B2" s="2" t="str">
        <f>'Cover Page'!$C$18</f>
        <v>Tesla, Inc.</v>
      </c>
      <c r="C2" s="3"/>
      <c r="D2" s="3"/>
      <c r="E2" s="3"/>
      <c r="F2" s="3"/>
      <c r="G2" s="3"/>
      <c r="H2" s="3"/>
      <c r="I2" s="3"/>
      <c r="J2" s="3"/>
      <c r="K2" s="3"/>
      <c r="L2" s="3"/>
      <c r="M2" s="3"/>
      <c r="N2" s="3"/>
    </row>
    <row r="3" spans="2:17" ht="15" customHeight="1" x14ac:dyDescent="0.2">
      <c r="B3" s="4" t="str">
        <f ca="1">RIGHT(CELL("filename",A1),LEN(CELL("filename",A1))-FIND("]",CELL("filename",A1)))</f>
        <v>Scenarios</v>
      </c>
      <c r="C3" s="4"/>
      <c r="D3" s="4"/>
      <c r="E3" s="4"/>
      <c r="F3" s="4"/>
      <c r="G3" s="4"/>
      <c r="H3" s="4"/>
      <c r="I3" s="4"/>
      <c r="J3" s="4"/>
      <c r="K3" s="4"/>
      <c r="L3" s="4"/>
      <c r="M3" s="4"/>
      <c r="N3" s="4"/>
    </row>
    <row r="4" spans="2:17" ht="6" customHeight="1" thickBot="1" x14ac:dyDescent="0.25">
      <c r="B4" s="5"/>
      <c r="C4" s="5"/>
      <c r="D4" s="5"/>
      <c r="E4" s="5"/>
      <c r="F4" s="5"/>
      <c r="G4" s="5"/>
      <c r="H4" s="5"/>
      <c r="I4" s="5"/>
      <c r="J4" s="5"/>
      <c r="K4" s="5"/>
      <c r="L4" s="5"/>
      <c r="M4" s="5"/>
      <c r="N4" s="5"/>
    </row>
    <row r="5" spans="2:17" ht="15" customHeight="1" x14ac:dyDescent="0.2">
      <c r="B5" s="117" t="s">
        <v>426</v>
      </c>
      <c r="C5" s="117"/>
      <c r="D5" s="117"/>
      <c r="E5" s="117"/>
      <c r="F5" s="117"/>
      <c r="G5" s="117"/>
      <c r="H5" s="117"/>
      <c r="I5" s="117"/>
      <c r="J5" s="117"/>
      <c r="K5" s="117"/>
      <c r="L5" s="117"/>
      <c r="M5" s="117"/>
      <c r="N5" s="121" t="str">
        <f>"Based on: "&amp;INDEX(Q7:Q9,C7)&amp;" Senario"</f>
        <v>Based on: Base Case Senario</v>
      </c>
    </row>
    <row r="6" spans="2:17" ht="6" customHeight="1" x14ac:dyDescent="0.2"/>
    <row r="7" spans="2:17" ht="15" customHeight="1" x14ac:dyDescent="0.2">
      <c r="C7" s="1">
        <v>2</v>
      </c>
      <c r="E7" s="6" t="s">
        <v>7</v>
      </c>
      <c r="F7" s="7"/>
      <c r="G7" s="7"/>
      <c r="H7" s="7"/>
      <c r="I7" s="7"/>
      <c r="J7" s="8" t="s">
        <v>6</v>
      </c>
      <c r="K7" s="9"/>
      <c r="L7" s="9"/>
      <c r="M7" s="9"/>
      <c r="N7" s="9"/>
      <c r="Q7" s="1" t="str">
        <f>B17</f>
        <v>Best Case</v>
      </c>
    </row>
    <row r="8" spans="2:17" ht="15" customHeight="1" x14ac:dyDescent="0.2">
      <c r="E8" s="10">
        <f t="shared" ref="E8:I8" si="0">F8-1</f>
        <v>2017</v>
      </c>
      <c r="F8" s="10">
        <f t="shared" si="0"/>
        <v>2018</v>
      </c>
      <c r="G8" s="10">
        <f t="shared" si="0"/>
        <v>2019</v>
      </c>
      <c r="H8" s="10">
        <f t="shared" si="0"/>
        <v>2020</v>
      </c>
      <c r="I8" s="10">
        <f t="shared" si="0"/>
        <v>2021</v>
      </c>
      <c r="J8" s="11">
        <v>2022</v>
      </c>
      <c r="K8" s="11">
        <f>J8+1</f>
        <v>2023</v>
      </c>
      <c r="L8" s="11">
        <f t="shared" ref="L8:N8" si="1">K8+1</f>
        <v>2024</v>
      </c>
      <c r="M8" s="11">
        <f t="shared" si="1"/>
        <v>2025</v>
      </c>
      <c r="N8" s="11">
        <f t="shared" si="1"/>
        <v>2026</v>
      </c>
      <c r="Q8" s="1" t="str">
        <f>B24</f>
        <v>Base Case</v>
      </c>
    </row>
    <row r="9" spans="2:17" ht="15" customHeight="1" x14ac:dyDescent="0.2">
      <c r="Q9" s="1" t="str">
        <f>$B$31</f>
        <v>Worst Case</v>
      </c>
    </row>
    <row r="10" spans="2:17" ht="15" customHeight="1" x14ac:dyDescent="0.2">
      <c r="B10" s="30" t="s">
        <v>418</v>
      </c>
      <c r="E10" s="12"/>
      <c r="F10" s="12"/>
      <c r="G10" s="12"/>
      <c r="H10" s="12"/>
      <c r="I10" s="12"/>
      <c r="J10" s="12"/>
      <c r="K10" s="12"/>
      <c r="L10" s="12"/>
      <c r="M10" s="12"/>
      <c r="N10" s="12"/>
      <c r="O10" s="12"/>
      <c r="P10" s="12"/>
    </row>
    <row r="11" spans="2:17" ht="15" customHeight="1" x14ac:dyDescent="0.2">
      <c r="E11" s="12"/>
      <c r="F11" s="12"/>
      <c r="G11" s="12"/>
      <c r="H11" s="12"/>
      <c r="I11" s="12"/>
      <c r="J11" s="12"/>
      <c r="K11" s="12"/>
      <c r="L11" s="12"/>
      <c r="M11" s="12"/>
      <c r="N11" s="12"/>
      <c r="O11" s="12"/>
      <c r="P11" s="12"/>
    </row>
    <row r="12" spans="2:17" ht="15" customHeight="1" x14ac:dyDescent="0.2">
      <c r="C12" s="1" t="s">
        <v>101</v>
      </c>
      <c r="D12" s="118"/>
      <c r="E12" s="12">
        <f t="shared" ref="E12:N12" si="2">CHOOSE($C$7,E19,E26,E33)</f>
        <v>1.07477</v>
      </c>
      <c r="F12" s="12">
        <f t="shared" si="2"/>
        <v>2.5790999999999999</v>
      </c>
      <c r="G12" s="12">
        <f t="shared" si="2"/>
        <v>3.6810100000000001</v>
      </c>
      <c r="H12" s="12">
        <f t="shared" si="2"/>
        <v>5.0973699999999997</v>
      </c>
      <c r="I12" s="12">
        <f t="shared" si="2"/>
        <v>9.3042200000000008</v>
      </c>
      <c r="J12" s="12">
        <f t="shared" si="2"/>
        <v>14.5</v>
      </c>
      <c r="K12" s="12">
        <f t="shared" si="2"/>
        <v>14.5</v>
      </c>
      <c r="L12" s="12">
        <f t="shared" si="2"/>
        <v>18</v>
      </c>
      <c r="M12" s="12">
        <f t="shared" si="2"/>
        <v>21.5</v>
      </c>
      <c r="N12" s="12">
        <f t="shared" si="2"/>
        <v>25</v>
      </c>
      <c r="O12" s="12"/>
      <c r="P12" s="12"/>
    </row>
    <row r="13" spans="2:17" ht="15" customHeight="1" x14ac:dyDescent="0.2">
      <c r="C13" s="1" t="s">
        <v>419</v>
      </c>
      <c r="D13" s="118"/>
      <c r="E13" s="12">
        <f t="shared" ref="E13:N13" si="3">CHOOSE($C$7,E20,E27,E34)</f>
        <v>49.592005731458826</v>
      </c>
      <c r="F13" s="12">
        <f t="shared" si="3"/>
        <v>44.682253499282695</v>
      </c>
      <c r="G13" s="12">
        <f t="shared" si="3"/>
        <v>36.256353555138396</v>
      </c>
      <c r="H13" s="12">
        <f t="shared" si="3"/>
        <v>31.786980344766025</v>
      </c>
      <c r="I13" s="12">
        <f t="shared" si="3"/>
        <v>30.481867367710564</v>
      </c>
      <c r="J13" s="12">
        <f t="shared" si="3"/>
        <v>36</v>
      </c>
      <c r="K13" s="12">
        <f t="shared" si="3"/>
        <v>36</v>
      </c>
      <c r="L13" s="12">
        <f t="shared" si="3"/>
        <v>34</v>
      </c>
      <c r="M13" s="12">
        <f t="shared" si="3"/>
        <v>34</v>
      </c>
      <c r="N13" s="12">
        <f t="shared" si="3"/>
        <v>34</v>
      </c>
      <c r="O13" s="12"/>
      <c r="P13" s="12"/>
    </row>
    <row r="14" spans="2:17" ht="15" customHeight="1" x14ac:dyDescent="0.2">
      <c r="C14" s="1" t="s">
        <v>420</v>
      </c>
      <c r="D14" s="118"/>
      <c r="E14" s="12">
        <f t="shared" ref="E14:N14" si="4">CHOOSE($C$7,E21,E28,E35)</f>
        <v>82.847990681421081</v>
      </c>
      <c r="F14" s="12">
        <f t="shared" si="4"/>
        <v>71.99085415645925</v>
      </c>
      <c r="G14" s="12">
        <f t="shared" si="4"/>
        <v>55.732077089708476</v>
      </c>
      <c r="H14" s="12">
        <f t="shared" si="4"/>
        <v>56.380935647053278</v>
      </c>
      <c r="I14" s="12">
        <f t="shared" si="4"/>
        <v>52.036114136120041</v>
      </c>
      <c r="J14" s="12">
        <f t="shared" si="4"/>
        <v>53</v>
      </c>
      <c r="K14" s="12">
        <f t="shared" si="4"/>
        <v>53</v>
      </c>
      <c r="L14" s="12">
        <f t="shared" si="4"/>
        <v>53.5</v>
      </c>
      <c r="M14" s="12">
        <f t="shared" si="4"/>
        <v>54</v>
      </c>
      <c r="N14" s="12">
        <f t="shared" si="4"/>
        <v>54.5</v>
      </c>
      <c r="O14" s="12"/>
      <c r="P14" s="12"/>
    </row>
    <row r="15" spans="2:17" ht="15" customHeight="1" x14ac:dyDescent="0.2">
      <c r="C15" s="1" t="s">
        <v>421</v>
      </c>
      <c r="D15" s="118"/>
      <c r="E15" s="12">
        <f t="shared" ref="E15:N15" si="5">CHOOSE($C$7,E22,E29,E36)</f>
        <v>0</v>
      </c>
      <c r="F15" s="12">
        <f t="shared" si="5"/>
        <v>0</v>
      </c>
      <c r="G15" s="12">
        <f t="shared" si="5"/>
        <v>0</v>
      </c>
      <c r="H15" s="12">
        <f t="shared" si="5"/>
        <v>30.485949512717454</v>
      </c>
      <c r="I15" s="12">
        <f t="shared" si="5"/>
        <v>27.445480939431068</v>
      </c>
      <c r="J15" s="12">
        <f t="shared" si="5"/>
        <v>28</v>
      </c>
      <c r="K15" s="12">
        <f t="shared" si="5"/>
        <v>28</v>
      </c>
      <c r="L15" s="12">
        <f t="shared" si="5"/>
        <v>28.5</v>
      </c>
      <c r="M15" s="12">
        <f t="shared" si="5"/>
        <v>29</v>
      </c>
      <c r="N15" s="12">
        <f t="shared" si="5"/>
        <v>29.5</v>
      </c>
      <c r="O15" s="12"/>
      <c r="P15" s="12"/>
    </row>
    <row r="16" spans="2:17" ht="15" customHeight="1" x14ac:dyDescent="0.2">
      <c r="D16" s="118"/>
      <c r="E16" s="12"/>
      <c r="F16" s="12"/>
      <c r="G16" s="12"/>
      <c r="H16" s="12"/>
      <c r="I16" s="12"/>
      <c r="J16" s="12"/>
      <c r="K16" s="12"/>
      <c r="L16" s="12"/>
      <c r="M16" s="12"/>
      <c r="N16" s="12"/>
      <c r="O16" s="12"/>
      <c r="P16" s="12"/>
    </row>
    <row r="17" spans="2:16" ht="15" customHeight="1" x14ac:dyDescent="0.2">
      <c r="B17" s="30" t="s">
        <v>394</v>
      </c>
      <c r="D17" s="118"/>
      <c r="E17" s="12"/>
      <c r="F17" s="12"/>
      <c r="G17" s="12"/>
      <c r="H17" s="12"/>
      <c r="I17" s="12"/>
      <c r="J17" s="12"/>
      <c r="K17" s="12"/>
      <c r="L17" s="12"/>
      <c r="M17" s="12"/>
      <c r="N17" s="12"/>
      <c r="O17" s="12"/>
      <c r="P17" s="12"/>
    </row>
    <row r="18" spans="2:16" ht="15" customHeight="1" x14ac:dyDescent="0.2">
      <c r="D18" s="118"/>
      <c r="E18" s="12"/>
      <c r="F18" s="12"/>
      <c r="G18" s="12"/>
      <c r="H18" s="12"/>
      <c r="I18" s="12"/>
      <c r="J18" s="12"/>
      <c r="K18" s="12"/>
      <c r="L18" s="12"/>
      <c r="M18" s="12"/>
      <c r="N18" s="12"/>
      <c r="O18" s="12"/>
      <c r="P18" s="12"/>
    </row>
    <row r="19" spans="2:16" ht="15" customHeight="1" x14ac:dyDescent="0.2">
      <c r="C19" s="1" t="s">
        <v>101</v>
      </c>
      <c r="D19" s="119">
        <f t="array" ref="D19:D22">TRANSPOSE(Assumptions!E15:H15)</f>
        <v>1.5</v>
      </c>
      <c r="E19" s="12">
        <f t="shared" ref="E19:I22" si="6">E26</f>
        <v>1.07477</v>
      </c>
      <c r="F19" s="12">
        <f t="shared" si="6"/>
        <v>2.5790999999999999</v>
      </c>
      <c r="G19" s="12">
        <f t="shared" si="6"/>
        <v>3.6810100000000001</v>
      </c>
      <c r="H19" s="12">
        <f t="shared" si="6"/>
        <v>5.0973699999999997</v>
      </c>
      <c r="I19" s="12">
        <f t="shared" si="6"/>
        <v>9.3042200000000008</v>
      </c>
      <c r="J19" s="12">
        <f t="shared" ref="J19:N22" si="7">J26+$D19</f>
        <v>16</v>
      </c>
      <c r="K19" s="12">
        <f t="shared" si="7"/>
        <v>16</v>
      </c>
      <c r="L19" s="12">
        <f t="shared" si="7"/>
        <v>19.5</v>
      </c>
      <c r="M19" s="12">
        <f t="shared" si="7"/>
        <v>23</v>
      </c>
      <c r="N19" s="12">
        <f t="shared" si="7"/>
        <v>26.5</v>
      </c>
      <c r="O19" s="12"/>
      <c r="P19" s="12"/>
    </row>
    <row r="20" spans="2:16" ht="15" customHeight="1" x14ac:dyDescent="0.2">
      <c r="C20" s="1" t="s">
        <v>419</v>
      </c>
      <c r="D20" s="119">
        <v>-1.5</v>
      </c>
      <c r="E20" s="12">
        <f t="shared" si="6"/>
        <v>49.592005731458826</v>
      </c>
      <c r="F20" s="12">
        <f t="shared" si="6"/>
        <v>44.682253499282695</v>
      </c>
      <c r="G20" s="12">
        <f t="shared" si="6"/>
        <v>36.256353555138396</v>
      </c>
      <c r="H20" s="12">
        <f t="shared" si="6"/>
        <v>31.786980344766025</v>
      </c>
      <c r="I20" s="12">
        <f t="shared" si="6"/>
        <v>30.481867367710564</v>
      </c>
      <c r="J20" s="12">
        <f t="shared" si="7"/>
        <v>34.5</v>
      </c>
      <c r="K20" s="12">
        <f t="shared" si="7"/>
        <v>34.5</v>
      </c>
      <c r="L20" s="12">
        <f t="shared" si="7"/>
        <v>32.5</v>
      </c>
      <c r="M20" s="12">
        <f t="shared" si="7"/>
        <v>32.5</v>
      </c>
      <c r="N20" s="12">
        <f t="shared" si="7"/>
        <v>32.5</v>
      </c>
      <c r="O20" s="12"/>
      <c r="P20" s="12"/>
    </row>
    <row r="21" spans="2:16" ht="15" customHeight="1" x14ac:dyDescent="0.2">
      <c r="C21" s="1" t="s">
        <v>420</v>
      </c>
      <c r="D21" s="119">
        <v>1.5</v>
      </c>
      <c r="E21" s="12">
        <f t="shared" si="6"/>
        <v>82.847990681421081</v>
      </c>
      <c r="F21" s="12">
        <f t="shared" si="6"/>
        <v>71.99085415645925</v>
      </c>
      <c r="G21" s="12">
        <f t="shared" si="6"/>
        <v>55.732077089708476</v>
      </c>
      <c r="H21" s="12">
        <f t="shared" si="6"/>
        <v>56.380935647053278</v>
      </c>
      <c r="I21" s="12">
        <f t="shared" si="6"/>
        <v>52.036114136120041</v>
      </c>
      <c r="J21" s="12">
        <f t="shared" si="7"/>
        <v>54.5</v>
      </c>
      <c r="K21" s="12">
        <f t="shared" si="7"/>
        <v>54.5</v>
      </c>
      <c r="L21" s="12">
        <f t="shared" si="7"/>
        <v>55</v>
      </c>
      <c r="M21" s="12">
        <f t="shared" si="7"/>
        <v>55.5</v>
      </c>
      <c r="N21" s="12">
        <f t="shared" si="7"/>
        <v>56</v>
      </c>
      <c r="O21" s="12"/>
      <c r="P21" s="12"/>
    </row>
    <row r="22" spans="2:16" ht="15" customHeight="1" x14ac:dyDescent="0.2">
      <c r="C22" s="1" t="s">
        <v>421</v>
      </c>
      <c r="D22" s="119">
        <v>1.5</v>
      </c>
      <c r="E22" s="12">
        <f t="shared" si="6"/>
        <v>0</v>
      </c>
      <c r="F22" s="12">
        <f t="shared" si="6"/>
        <v>0</v>
      </c>
      <c r="G22" s="12">
        <f t="shared" si="6"/>
        <v>0</v>
      </c>
      <c r="H22" s="12">
        <f t="shared" si="6"/>
        <v>30.485949512717454</v>
      </c>
      <c r="I22" s="12">
        <f t="shared" si="6"/>
        <v>27.445480939431068</v>
      </c>
      <c r="J22" s="12">
        <f t="shared" si="7"/>
        <v>29.5</v>
      </c>
      <c r="K22" s="12">
        <f t="shared" si="7"/>
        <v>29.5</v>
      </c>
      <c r="L22" s="12">
        <f t="shared" si="7"/>
        <v>30</v>
      </c>
      <c r="M22" s="12">
        <f t="shared" si="7"/>
        <v>30.5</v>
      </c>
      <c r="N22" s="12">
        <f t="shared" si="7"/>
        <v>31</v>
      </c>
      <c r="O22" s="12"/>
      <c r="P22" s="12"/>
    </row>
    <row r="23" spans="2:16" ht="15" customHeight="1" x14ac:dyDescent="0.2">
      <c r="D23" s="120"/>
      <c r="E23" s="12"/>
      <c r="F23" s="12"/>
      <c r="G23" s="12"/>
      <c r="H23" s="12"/>
      <c r="I23" s="12"/>
      <c r="J23" s="12"/>
      <c r="K23" s="12"/>
      <c r="L23" s="12"/>
      <c r="M23" s="12"/>
      <c r="N23" s="12"/>
      <c r="O23" s="12"/>
      <c r="P23" s="12"/>
    </row>
    <row r="24" spans="2:16" ht="15" customHeight="1" x14ac:dyDescent="0.2">
      <c r="B24" s="30" t="s">
        <v>395</v>
      </c>
      <c r="D24" s="120"/>
      <c r="E24" s="12"/>
      <c r="F24" s="12"/>
      <c r="G24" s="12"/>
      <c r="H24" s="12"/>
      <c r="I24" s="12"/>
      <c r="J24" s="12"/>
      <c r="K24" s="12"/>
      <c r="L24" s="12"/>
      <c r="M24" s="12"/>
      <c r="N24" s="12"/>
      <c r="O24" s="12"/>
      <c r="P24" s="12"/>
    </row>
    <row r="25" spans="2:16" ht="15" customHeight="1" x14ac:dyDescent="0.2">
      <c r="D25" s="120"/>
      <c r="E25" s="12"/>
      <c r="F25" s="12"/>
      <c r="G25" s="12"/>
      <c r="H25" s="12"/>
      <c r="I25" s="12"/>
      <c r="J25" s="12"/>
      <c r="K25" s="12"/>
      <c r="L25" s="12"/>
      <c r="M25" s="12"/>
      <c r="N25" s="12"/>
      <c r="O25" s="12"/>
      <c r="P25" s="12"/>
    </row>
    <row r="26" spans="2:16" ht="15" customHeight="1" x14ac:dyDescent="0.2">
      <c r="C26" s="1" t="s">
        <v>101</v>
      </c>
      <c r="D26" s="120" t="s">
        <v>410</v>
      </c>
      <c r="E26" s="14">
        <f>'Ratio Analysis'!W63/10^5</f>
        <v>1.07477</v>
      </c>
      <c r="F26" s="14">
        <f>'Ratio Analysis'!X63/10^5</f>
        <v>2.5790999999999999</v>
      </c>
      <c r="G26" s="14">
        <f>'Ratio Analysis'!Y63/10^5</f>
        <v>3.6810100000000001</v>
      </c>
      <c r="H26" s="14">
        <f>'Ratio Analysis'!Z63/10^5</f>
        <v>5.0973699999999997</v>
      </c>
      <c r="I26" s="14">
        <f>'Ratio Analysis'!AA63/10^5</f>
        <v>9.3042200000000008</v>
      </c>
      <c r="J26" s="14">
        <f>Assumptions!$E26</f>
        <v>14.5</v>
      </c>
      <c r="K26" s="14">
        <f>Assumptions!E26</f>
        <v>14.5</v>
      </c>
      <c r="L26" s="14">
        <f>Assumptions!F26</f>
        <v>18</v>
      </c>
      <c r="M26" s="14">
        <f>Assumptions!G26</f>
        <v>21.5</v>
      </c>
      <c r="N26" s="14">
        <f>Assumptions!H26</f>
        <v>25</v>
      </c>
      <c r="O26" s="12"/>
      <c r="P26" s="12"/>
    </row>
    <row r="27" spans="2:16" ht="15" customHeight="1" x14ac:dyDescent="0.2">
      <c r="C27" s="1" t="s">
        <v>419</v>
      </c>
      <c r="D27" s="120" t="s">
        <v>425</v>
      </c>
      <c r="E27" s="14">
        <f>'Notes to Accounts'!E43*1000/'Notes to Accounts'!E44</f>
        <v>49.592005731458826</v>
      </c>
      <c r="F27" s="14">
        <f>'Notes to Accounts'!F43*1000/'Notes to Accounts'!F44</f>
        <v>44.682253499282695</v>
      </c>
      <c r="G27" s="14">
        <f>'Notes to Accounts'!G43*1000/'Notes to Accounts'!G44</f>
        <v>36.256353555138396</v>
      </c>
      <c r="H27" s="14">
        <f>'Notes to Accounts'!H43*1000/'Notes to Accounts'!H44</f>
        <v>31.786980344766025</v>
      </c>
      <c r="I27" s="14">
        <f>'Notes to Accounts'!I43*1000/'Notes to Accounts'!I44</f>
        <v>30.481867367710564</v>
      </c>
      <c r="J27" s="14">
        <f>Assumptions!$F33</f>
        <v>36</v>
      </c>
      <c r="K27" s="14">
        <f>Assumptions!$F33</f>
        <v>36</v>
      </c>
      <c r="L27" s="14">
        <f>Assumptions!$H33</f>
        <v>34</v>
      </c>
      <c r="M27" s="14">
        <f>Assumptions!$H33</f>
        <v>34</v>
      </c>
      <c r="N27" s="14">
        <f>Assumptions!$H33</f>
        <v>34</v>
      </c>
      <c r="O27" s="12"/>
      <c r="P27" s="12"/>
    </row>
    <row r="28" spans="2:16" ht="15" customHeight="1" x14ac:dyDescent="0.2">
      <c r="C28" s="1" t="s">
        <v>420</v>
      </c>
      <c r="D28" s="120" t="s">
        <v>425</v>
      </c>
      <c r="E28" s="14">
        <f>'Notes to Accounts'!E22*1000/'Notes to Accounts'!E10</f>
        <v>82.847990681421081</v>
      </c>
      <c r="F28" s="14">
        <f>'Notes to Accounts'!F22*1000/'Notes to Accounts'!F10</f>
        <v>71.99085415645925</v>
      </c>
      <c r="G28" s="14">
        <f>'Notes to Accounts'!G22*1000/'Notes to Accounts'!G10</f>
        <v>55.732077089708476</v>
      </c>
      <c r="H28" s="14">
        <f>'Notes to Accounts'!H22*1000/'Notes to Accounts'!H10</f>
        <v>56.380935647053278</v>
      </c>
      <c r="I28" s="14">
        <f>'Notes to Accounts'!I22*1000/'Notes to Accounts'!I10</f>
        <v>52.036114136120041</v>
      </c>
      <c r="J28" s="14">
        <f>Assumptions!$E21</f>
        <v>53</v>
      </c>
      <c r="K28" s="14">
        <f>Assumptions!E21</f>
        <v>53</v>
      </c>
      <c r="L28" s="14">
        <f>Assumptions!F21</f>
        <v>53.5</v>
      </c>
      <c r="M28" s="14">
        <f>Assumptions!G21</f>
        <v>54</v>
      </c>
      <c r="N28" s="14">
        <f>Assumptions!H21</f>
        <v>54.5</v>
      </c>
      <c r="O28" s="12"/>
      <c r="P28" s="12"/>
    </row>
    <row r="29" spans="2:16" ht="15" customHeight="1" x14ac:dyDescent="0.2">
      <c r="C29" s="1" t="s">
        <v>421</v>
      </c>
      <c r="D29" s="120" t="s">
        <v>425</v>
      </c>
      <c r="E29" s="14">
        <f>IFERROR('Notes to Accounts'!E23*1000/'Notes to Accounts'!E11,0)</f>
        <v>0</v>
      </c>
      <c r="F29" s="14">
        <f>IFERROR('Notes to Accounts'!F23*1000/'Notes to Accounts'!F11,0)</f>
        <v>0</v>
      </c>
      <c r="G29" s="14">
        <f>IFERROR('Notes to Accounts'!G23*1000/'Notes to Accounts'!G11,0)</f>
        <v>0</v>
      </c>
      <c r="H29" s="14">
        <f>IFERROR('Notes to Accounts'!H23*1000/'Notes to Accounts'!H11,0)</f>
        <v>30.485949512717454</v>
      </c>
      <c r="I29" s="14">
        <f>IFERROR('Notes to Accounts'!I23*1000/'Notes to Accounts'!I11,0)</f>
        <v>27.445480939431068</v>
      </c>
      <c r="J29" s="14">
        <f>Assumptions!$E24</f>
        <v>28</v>
      </c>
      <c r="K29" s="14">
        <f>Assumptions!E24</f>
        <v>28</v>
      </c>
      <c r="L29" s="14">
        <f>Assumptions!F24</f>
        <v>28.5</v>
      </c>
      <c r="M29" s="14">
        <f>Assumptions!G24</f>
        <v>29</v>
      </c>
      <c r="N29" s="14">
        <f>Assumptions!H24</f>
        <v>29.5</v>
      </c>
      <c r="O29" s="12"/>
      <c r="P29" s="12"/>
    </row>
    <row r="30" spans="2:16" ht="15" customHeight="1" x14ac:dyDescent="0.2">
      <c r="D30" s="120"/>
      <c r="E30" s="14"/>
      <c r="F30" s="14"/>
      <c r="G30" s="14"/>
      <c r="H30" s="14"/>
      <c r="I30" s="14"/>
      <c r="J30" s="14"/>
      <c r="K30" s="14"/>
      <c r="L30" s="14"/>
      <c r="M30" s="14"/>
      <c r="N30" s="14"/>
      <c r="O30" s="12"/>
      <c r="P30" s="12"/>
    </row>
    <row r="31" spans="2:16" ht="15" customHeight="1" x14ac:dyDescent="0.2">
      <c r="B31" s="30" t="s">
        <v>396</v>
      </c>
      <c r="D31" s="120"/>
      <c r="E31" s="14"/>
      <c r="F31" s="14"/>
      <c r="G31" s="14"/>
      <c r="H31" s="14"/>
      <c r="I31" s="14"/>
      <c r="J31" s="14"/>
      <c r="K31" s="14"/>
      <c r="L31" s="14"/>
      <c r="M31" s="14"/>
      <c r="N31" s="14"/>
      <c r="O31" s="12"/>
      <c r="P31" s="12"/>
    </row>
    <row r="32" spans="2:16" ht="15" customHeight="1" x14ac:dyDescent="0.2">
      <c r="D32" s="120"/>
      <c r="E32" s="12"/>
      <c r="F32" s="12"/>
      <c r="G32" s="12"/>
      <c r="H32" s="12"/>
      <c r="I32" s="12"/>
      <c r="J32" s="12"/>
      <c r="K32" s="12"/>
      <c r="L32" s="12"/>
      <c r="M32" s="12"/>
      <c r="N32" s="12"/>
      <c r="O32" s="12"/>
      <c r="P32" s="12"/>
    </row>
    <row r="33" spans="3:16" ht="15" customHeight="1" x14ac:dyDescent="0.2">
      <c r="C33" s="1" t="s">
        <v>101</v>
      </c>
      <c r="D33" s="119">
        <f t="array" ref="D33:D36">TRANSPOSE(Assumptions!E17:H17)</f>
        <v>-1.5</v>
      </c>
      <c r="E33" s="12">
        <f t="shared" ref="E33:I36" si="8">E26</f>
        <v>1.07477</v>
      </c>
      <c r="F33" s="12">
        <f t="shared" si="8"/>
        <v>2.5790999999999999</v>
      </c>
      <c r="G33" s="12">
        <f t="shared" si="8"/>
        <v>3.6810100000000001</v>
      </c>
      <c r="H33" s="12">
        <f t="shared" si="8"/>
        <v>5.0973699999999997</v>
      </c>
      <c r="I33" s="12">
        <f t="shared" si="8"/>
        <v>9.3042200000000008</v>
      </c>
      <c r="J33" s="12">
        <f t="shared" ref="J33:N36" si="9">J26+$D33</f>
        <v>13</v>
      </c>
      <c r="K33" s="12">
        <f t="shared" si="9"/>
        <v>13</v>
      </c>
      <c r="L33" s="12">
        <f t="shared" si="9"/>
        <v>16.5</v>
      </c>
      <c r="M33" s="12">
        <f t="shared" si="9"/>
        <v>20</v>
      </c>
      <c r="N33" s="12">
        <f t="shared" si="9"/>
        <v>23.5</v>
      </c>
      <c r="O33" s="12"/>
      <c r="P33" s="12"/>
    </row>
    <row r="34" spans="3:16" ht="15" customHeight="1" x14ac:dyDescent="0.2">
      <c r="C34" s="1" t="s">
        <v>419</v>
      </c>
      <c r="D34" s="119">
        <v>1.5</v>
      </c>
      <c r="E34" s="12">
        <f t="shared" si="8"/>
        <v>49.592005731458826</v>
      </c>
      <c r="F34" s="12">
        <f t="shared" si="8"/>
        <v>44.682253499282695</v>
      </c>
      <c r="G34" s="12">
        <f t="shared" si="8"/>
        <v>36.256353555138396</v>
      </c>
      <c r="H34" s="12">
        <f t="shared" si="8"/>
        <v>31.786980344766025</v>
      </c>
      <c r="I34" s="12">
        <f t="shared" si="8"/>
        <v>30.481867367710564</v>
      </c>
      <c r="J34" s="12">
        <f t="shared" si="9"/>
        <v>37.5</v>
      </c>
      <c r="K34" s="12">
        <f t="shared" si="9"/>
        <v>37.5</v>
      </c>
      <c r="L34" s="12">
        <f t="shared" si="9"/>
        <v>35.5</v>
      </c>
      <c r="M34" s="12">
        <f t="shared" si="9"/>
        <v>35.5</v>
      </c>
      <c r="N34" s="12">
        <f t="shared" si="9"/>
        <v>35.5</v>
      </c>
      <c r="O34" s="12"/>
      <c r="P34" s="12"/>
    </row>
    <row r="35" spans="3:16" ht="15" customHeight="1" x14ac:dyDescent="0.2">
      <c r="C35" s="1" t="s">
        <v>420</v>
      </c>
      <c r="D35" s="119">
        <v>-1.5</v>
      </c>
      <c r="E35" s="12">
        <f t="shared" si="8"/>
        <v>82.847990681421081</v>
      </c>
      <c r="F35" s="12">
        <f t="shared" si="8"/>
        <v>71.99085415645925</v>
      </c>
      <c r="G35" s="12">
        <f t="shared" si="8"/>
        <v>55.732077089708476</v>
      </c>
      <c r="H35" s="12">
        <f t="shared" si="8"/>
        <v>56.380935647053278</v>
      </c>
      <c r="I35" s="12">
        <f t="shared" si="8"/>
        <v>52.036114136120041</v>
      </c>
      <c r="J35" s="12">
        <f t="shared" si="9"/>
        <v>51.5</v>
      </c>
      <c r="K35" s="12">
        <f t="shared" si="9"/>
        <v>51.5</v>
      </c>
      <c r="L35" s="12">
        <f t="shared" si="9"/>
        <v>52</v>
      </c>
      <c r="M35" s="12">
        <f t="shared" si="9"/>
        <v>52.5</v>
      </c>
      <c r="N35" s="12">
        <f t="shared" si="9"/>
        <v>53</v>
      </c>
      <c r="O35" s="12"/>
      <c r="P35" s="12"/>
    </row>
    <row r="36" spans="3:16" ht="15" customHeight="1" x14ac:dyDescent="0.2">
      <c r="C36" s="1" t="s">
        <v>421</v>
      </c>
      <c r="D36" s="119">
        <v>-1.5</v>
      </c>
      <c r="E36" s="12">
        <f t="shared" si="8"/>
        <v>0</v>
      </c>
      <c r="F36" s="12">
        <f t="shared" si="8"/>
        <v>0</v>
      </c>
      <c r="G36" s="12">
        <f t="shared" si="8"/>
        <v>0</v>
      </c>
      <c r="H36" s="12">
        <f t="shared" si="8"/>
        <v>30.485949512717454</v>
      </c>
      <c r="I36" s="12">
        <f t="shared" si="8"/>
        <v>27.445480939431068</v>
      </c>
      <c r="J36" s="12">
        <f t="shared" si="9"/>
        <v>26.5</v>
      </c>
      <c r="K36" s="12">
        <f t="shared" si="9"/>
        <v>26.5</v>
      </c>
      <c r="L36" s="12">
        <f t="shared" si="9"/>
        <v>27</v>
      </c>
      <c r="M36" s="12">
        <f t="shared" si="9"/>
        <v>27.5</v>
      </c>
      <c r="N36" s="12">
        <f t="shared" si="9"/>
        <v>28</v>
      </c>
      <c r="O36" s="12"/>
      <c r="P36" s="12"/>
    </row>
    <row r="37" spans="3:16" ht="15" customHeight="1" x14ac:dyDescent="0.2">
      <c r="E37" s="12"/>
      <c r="F37" s="12"/>
      <c r="G37" s="12"/>
      <c r="H37" s="12"/>
      <c r="I37" s="12"/>
      <c r="J37" s="12"/>
      <c r="K37" s="12"/>
      <c r="L37" s="12"/>
      <c r="M37" s="12"/>
      <c r="N37" s="12"/>
      <c r="O37" s="12"/>
      <c r="P37" s="12"/>
    </row>
    <row r="38" spans="3:16" ht="15" customHeight="1" x14ac:dyDescent="0.2">
      <c r="E38" s="12"/>
      <c r="F38" s="12"/>
      <c r="G38" s="12"/>
      <c r="H38" s="12"/>
      <c r="I38" s="12"/>
      <c r="J38" s="12"/>
      <c r="K38" s="12"/>
      <c r="L38" s="12"/>
      <c r="M38" s="12"/>
      <c r="N38" s="12"/>
      <c r="O38" s="12"/>
      <c r="P38" s="12"/>
    </row>
    <row r="39" spans="3:16" ht="15" customHeight="1" x14ac:dyDescent="0.2">
      <c r="E39" s="12"/>
      <c r="F39" s="12"/>
      <c r="G39" s="12"/>
      <c r="H39" s="12"/>
      <c r="I39" s="12"/>
      <c r="J39" s="12"/>
      <c r="K39" s="12"/>
      <c r="L39" s="12"/>
      <c r="M39" s="12"/>
      <c r="N39" s="12"/>
      <c r="O39" s="12"/>
      <c r="P39" s="12"/>
    </row>
    <row r="40" spans="3:16" ht="15" customHeight="1" x14ac:dyDescent="0.2">
      <c r="E40" s="12"/>
      <c r="F40" s="12"/>
      <c r="G40" s="12"/>
      <c r="H40" s="12"/>
      <c r="I40" s="12"/>
      <c r="J40" s="12"/>
      <c r="K40" s="12"/>
      <c r="L40" s="12"/>
      <c r="M40" s="12"/>
      <c r="N40" s="12"/>
      <c r="O40" s="12"/>
      <c r="P40" s="12"/>
    </row>
    <row r="41" spans="3:16" ht="15" customHeight="1" x14ac:dyDescent="0.2">
      <c r="E41" s="12"/>
      <c r="F41" s="12"/>
      <c r="G41" s="12"/>
      <c r="H41" s="12"/>
      <c r="I41" s="12"/>
      <c r="J41" s="12"/>
      <c r="K41" s="12"/>
      <c r="L41" s="12"/>
      <c r="M41" s="12"/>
      <c r="N41" s="12"/>
      <c r="O41" s="12"/>
      <c r="P41" s="12"/>
    </row>
    <row r="42" spans="3:16" ht="15" customHeight="1" x14ac:dyDescent="0.2">
      <c r="E42" s="12"/>
      <c r="F42" s="12"/>
      <c r="G42" s="12"/>
      <c r="H42" s="12"/>
      <c r="I42" s="12"/>
      <c r="J42" s="12"/>
      <c r="K42" s="12"/>
      <c r="L42" s="12"/>
      <c r="M42" s="12"/>
      <c r="N42" s="12"/>
      <c r="O42" s="12"/>
      <c r="P42" s="12"/>
    </row>
    <row r="43" spans="3:16" ht="15" customHeight="1" x14ac:dyDescent="0.2">
      <c r="E43" s="12"/>
      <c r="F43" s="12"/>
      <c r="G43" s="12"/>
      <c r="H43" s="12"/>
      <c r="I43" s="12"/>
      <c r="J43" s="12"/>
      <c r="K43" s="12"/>
      <c r="L43" s="12"/>
      <c r="M43" s="12"/>
      <c r="N43" s="12"/>
      <c r="O43" s="12"/>
      <c r="P43" s="12"/>
    </row>
    <row r="44" spans="3:16" ht="15" customHeight="1" x14ac:dyDescent="0.2">
      <c r="E44" s="12"/>
      <c r="F44" s="12"/>
      <c r="G44" s="12"/>
      <c r="H44" s="12"/>
      <c r="I44" s="12"/>
      <c r="J44" s="12"/>
      <c r="K44" s="12"/>
      <c r="L44" s="12"/>
      <c r="M44" s="12"/>
      <c r="N44" s="12"/>
      <c r="O44" s="12"/>
      <c r="P44" s="12"/>
    </row>
    <row r="45" spans="3:16" ht="15" customHeight="1" x14ac:dyDescent="0.2">
      <c r="E45" s="12"/>
      <c r="F45" s="12"/>
      <c r="G45" s="12"/>
      <c r="H45" s="12"/>
      <c r="I45" s="12"/>
      <c r="J45" s="12"/>
      <c r="K45" s="12"/>
      <c r="L45" s="12"/>
      <c r="M45" s="12"/>
      <c r="N45" s="12"/>
      <c r="O45" s="12"/>
      <c r="P45" s="12"/>
    </row>
    <row r="46" spans="3:16" ht="15" customHeight="1" x14ac:dyDescent="0.2">
      <c r="E46" s="12"/>
      <c r="F46" s="12"/>
      <c r="G46" s="12"/>
      <c r="H46" s="12"/>
      <c r="I46" s="12"/>
      <c r="J46" s="12"/>
      <c r="K46" s="12"/>
      <c r="L46" s="12"/>
      <c r="M46" s="12"/>
      <c r="N46" s="12"/>
      <c r="O46" s="12"/>
      <c r="P46" s="12"/>
    </row>
    <row r="47" spans="3:16" ht="15" customHeight="1" x14ac:dyDescent="0.2">
      <c r="E47" s="12"/>
      <c r="F47" s="12"/>
      <c r="G47" s="12"/>
      <c r="H47" s="12"/>
      <c r="I47" s="12"/>
      <c r="J47" s="12"/>
      <c r="K47" s="12"/>
      <c r="L47" s="12"/>
      <c r="M47" s="12"/>
      <c r="N47" s="12"/>
      <c r="O47" s="12"/>
      <c r="P47" s="12"/>
    </row>
    <row r="48" spans="3:16" ht="15" customHeight="1" x14ac:dyDescent="0.2">
      <c r="E48" s="12"/>
      <c r="F48" s="12"/>
      <c r="G48" s="12"/>
      <c r="H48" s="12"/>
      <c r="I48" s="12"/>
      <c r="J48" s="12"/>
      <c r="K48" s="12"/>
      <c r="L48" s="12"/>
      <c r="M48" s="12"/>
      <c r="N48" s="12"/>
      <c r="O48" s="12"/>
      <c r="P48" s="12"/>
    </row>
    <row r="49" spans="5:16" ht="15" customHeight="1" x14ac:dyDescent="0.2">
      <c r="E49" s="12"/>
      <c r="F49" s="12"/>
      <c r="G49" s="12"/>
      <c r="H49" s="12"/>
      <c r="I49" s="12"/>
      <c r="J49" s="12"/>
      <c r="K49" s="12"/>
      <c r="L49" s="12"/>
      <c r="M49" s="12"/>
      <c r="N49" s="12"/>
      <c r="O49" s="12"/>
      <c r="P49" s="12"/>
    </row>
    <row r="50" spans="5:16" ht="15" customHeight="1" x14ac:dyDescent="0.2">
      <c r="E50" s="12"/>
      <c r="F50" s="12"/>
      <c r="G50" s="12"/>
      <c r="H50" s="12"/>
      <c r="I50" s="12"/>
      <c r="J50" s="12"/>
      <c r="K50" s="12"/>
      <c r="L50" s="12"/>
      <c r="M50" s="12"/>
      <c r="N50" s="12"/>
      <c r="O50" s="12"/>
      <c r="P50" s="12"/>
    </row>
    <row r="51" spans="5:16" ht="15" customHeight="1" x14ac:dyDescent="0.2">
      <c r="E51" s="12"/>
      <c r="F51" s="12"/>
      <c r="G51" s="12"/>
      <c r="H51" s="12"/>
      <c r="I51" s="12"/>
      <c r="J51" s="12"/>
      <c r="K51" s="12"/>
      <c r="L51" s="12"/>
      <c r="M51" s="12"/>
      <c r="N51" s="12"/>
      <c r="O51" s="12"/>
      <c r="P51" s="12"/>
    </row>
    <row r="52" spans="5:16" ht="15" customHeight="1" x14ac:dyDescent="0.2">
      <c r="E52" s="12"/>
      <c r="F52" s="12"/>
      <c r="G52" s="12"/>
      <c r="H52" s="12"/>
      <c r="I52" s="12"/>
      <c r="J52" s="12"/>
      <c r="K52" s="12"/>
      <c r="L52" s="12"/>
      <c r="M52" s="12"/>
      <c r="N52" s="12"/>
      <c r="O52" s="12"/>
      <c r="P52" s="12"/>
    </row>
    <row r="53" spans="5:16" ht="15" customHeight="1" x14ac:dyDescent="0.2">
      <c r="E53" s="12"/>
      <c r="F53" s="12"/>
      <c r="G53" s="12"/>
      <c r="H53" s="12"/>
      <c r="I53" s="12"/>
      <c r="J53" s="12"/>
      <c r="K53" s="12"/>
      <c r="L53" s="12"/>
      <c r="M53" s="12"/>
      <c r="N53" s="12"/>
      <c r="O53" s="12"/>
      <c r="P53" s="12"/>
    </row>
    <row r="54" spans="5:16" ht="15" customHeight="1" x14ac:dyDescent="0.2">
      <c r="E54" s="12"/>
      <c r="F54" s="12"/>
      <c r="G54" s="12"/>
      <c r="H54" s="12"/>
      <c r="I54" s="12"/>
      <c r="J54" s="12"/>
      <c r="K54" s="12"/>
      <c r="L54" s="12"/>
      <c r="M54" s="12"/>
      <c r="N54" s="12"/>
      <c r="O54" s="12"/>
      <c r="P54" s="12"/>
    </row>
    <row r="55" spans="5:16" ht="15" customHeight="1" x14ac:dyDescent="0.2">
      <c r="E55" s="12"/>
      <c r="F55" s="12"/>
      <c r="G55" s="12"/>
      <c r="H55" s="12"/>
      <c r="I55" s="12"/>
      <c r="J55" s="12"/>
      <c r="K55" s="12"/>
      <c r="L55" s="12"/>
      <c r="M55" s="12"/>
      <c r="N55" s="12"/>
      <c r="O55" s="12"/>
      <c r="P55" s="12"/>
    </row>
    <row r="56" spans="5:16" ht="15" customHeight="1" x14ac:dyDescent="0.2">
      <c r="E56" s="12"/>
      <c r="F56" s="12"/>
      <c r="G56" s="12"/>
      <c r="H56" s="12"/>
      <c r="I56" s="12"/>
      <c r="J56" s="12"/>
      <c r="K56" s="12"/>
      <c r="L56" s="12"/>
      <c r="M56" s="12"/>
      <c r="N56" s="12"/>
      <c r="O56" s="12"/>
      <c r="P56" s="12"/>
    </row>
    <row r="57" spans="5:16" ht="15" customHeight="1" x14ac:dyDescent="0.2">
      <c r="E57" s="12"/>
      <c r="F57" s="12"/>
      <c r="G57" s="12"/>
      <c r="H57" s="12"/>
      <c r="I57" s="12"/>
      <c r="J57" s="12"/>
      <c r="K57" s="12"/>
      <c r="L57" s="12"/>
      <c r="M57" s="12"/>
      <c r="N57" s="12"/>
      <c r="O57" s="12"/>
      <c r="P57" s="12"/>
    </row>
    <row r="58" spans="5:16" ht="15" customHeight="1" x14ac:dyDescent="0.2">
      <c r="E58" s="12"/>
      <c r="F58" s="12"/>
      <c r="G58" s="12"/>
      <c r="H58" s="12"/>
      <c r="I58" s="12"/>
      <c r="J58" s="12"/>
      <c r="K58" s="12"/>
      <c r="L58" s="12"/>
      <c r="M58" s="12"/>
      <c r="N58" s="12"/>
      <c r="O58" s="12"/>
      <c r="P58" s="12"/>
    </row>
    <row r="59" spans="5:16" ht="15" customHeight="1" x14ac:dyDescent="0.2">
      <c r="E59" s="12"/>
      <c r="F59" s="12"/>
      <c r="G59" s="12"/>
      <c r="H59" s="12"/>
      <c r="I59" s="12"/>
      <c r="J59" s="12"/>
      <c r="K59" s="12"/>
      <c r="L59" s="12"/>
      <c r="M59" s="12"/>
      <c r="N59" s="12"/>
      <c r="O59" s="12"/>
      <c r="P59" s="12"/>
    </row>
    <row r="60" spans="5:16" ht="15" customHeight="1" x14ac:dyDescent="0.2">
      <c r="E60" s="12"/>
      <c r="F60" s="12"/>
      <c r="G60" s="12"/>
      <c r="H60" s="12"/>
      <c r="I60" s="12"/>
      <c r="J60" s="12"/>
      <c r="K60" s="12"/>
      <c r="L60" s="12"/>
      <c r="M60" s="12"/>
      <c r="N60" s="12"/>
      <c r="O60" s="12"/>
      <c r="P60" s="12"/>
    </row>
    <row r="61" spans="5:16" ht="15" customHeight="1" x14ac:dyDescent="0.2">
      <c r="E61" s="12"/>
      <c r="F61" s="12"/>
      <c r="G61" s="12"/>
      <c r="H61" s="12"/>
      <c r="I61" s="12"/>
      <c r="J61" s="12"/>
      <c r="K61" s="12"/>
      <c r="L61" s="12"/>
      <c r="M61" s="12"/>
      <c r="N61" s="12"/>
      <c r="O61" s="12"/>
      <c r="P61" s="12"/>
    </row>
    <row r="62" spans="5:16" ht="15" customHeight="1" x14ac:dyDescent="0.2">
      <c r="E62" s="12"/>
      <c r="F62" s="12"/>
      <c r="G62" s="12"/>
      <c r="H62" s="12"/>
      <c r="I62" s="12"/>
      <c r="J62" s="12"/>
      <c r="K62" s="12"/>
      <c r="L62" s="12"/>
      <c r="M62" s="12"/>
      <c r="N62" s="12"/>
      <c r="O62" s="12"/>
      <c r="P62" s="12"/>
    </row>
    <row r="63" spans="5:16" ht="15" customHeight="1" x14ac:dyDescent="0.2">
      <c r="E63" s="12"/>
      <c r="F63" s="12"/>
      <c r="G63" s="12"/>
      <c r="H63" s="12"/>
      <c r="I63" s="12"/>
      <c r="J63" s="12"/>
      <c r="K63" s="12"/>
      <c r="L63" s="12"/>
      <c r="M63" s="12"/>
      <c r="N63" s="12"/>
      <c r="O63" s="12"/>
      <c r="P63" s="12"/>
    </row>
    <row r="64" spans="5:16" ht="15" customHeight="1" x14ac:dyDescent="0.2">
      <c r="E64" s="12"/>
      <c r="F64" s="12"/>
      <c r="G64" s="12"/>
      <c r="H64" s="12"/>
      <c r="I64" s="12"/>
      <c r="J64" s="12"/>
      <c r="K64" s="12"/>
      <c r="L64" s="12"/>
      <c r="M64" s="12"/>
      <c r="N64" s="12"/>
      <c r="O64" s="12"/>
      <c r="P64" s="12"/>
    </row>
    <row r="65" spans="5:16" ht="15" customHeight="1" x14ac:dyDescent="0.2">
      <c r="E65" s="12"/>
      <c r="F65" s="12"/>
      <c r="G65" s="12"/>
      <c r="H65" s="12"/>
      <c r="I65" s="12"/>
      <c r="J65" s="12"/>
      <c r="K65" s="12"/>
      <c r="L65" s="12"/>
      <c r="M65" s="12"/>
      <c r="N65" s="12"/>
      <c r="O65" s="12"/>
      <c r="P65" s="12"/>
    </row>
    <row r="66" spans="5:16" ht="15" customHeight="1" x14ac:dyDescent="0.2">
      <c r="E66" s="12"/>
      <c r="F66" s="12"/>
      <c r="G66" s="12"/>
      <c r="H66" s="12"/>
      <c r="I66" s="12"/>
      <c r="J66" s="12"/>
      <c r="K66" s="12"/>
      <c r="L66" s="12"/>
      <c r="M66" s="12"/>
      <c r="N66" s="12"/>
      <c r="O66" s="12"/>
      <c r="P66" s="12"/>
    </row>
    <row r="67" spans="5:16" ht="15" customHeight="1" x14ac:dyDescent="0.2">
      <c r="E67" s="12"/>
      <c r="F67" s="12"/>
      <c r="G67" s="12"/>
      <c r="H67" s="12"/>
      <c r="I67" s="12"/>
      <c r="J67" s="12"/>
      <c r="K67" s="12"/>
      <c r="L67" s="12"/>
      <c r="M67" s="12"/>
      <c r="N67" s="12"/>
      <c r="O67" s="12"/>
      <c r="P67" s="12"/>
    </row>
    <row r="68" spans="5:16" ht="15" customHeight="1" x14ac:dyDescent="0.2">
      <c r="E68" s="12"/>
      <c r="F68" s="12"/>
      <c r="G68" s="12"/>
      <c r="H68" s="12"/>
      <c r="I68" s="12"/>
      <c r="J68" s="12"/>
      <c r="K68" s="12"/>
      <c r="L68" s="12"/>
      <c r="M68" s="12"/>
      <c r="N68" s="12"/>
      <c r="O68" s="12"/>
      <c r="P68" s="12"/>
    </row>
    <row r="69" spans="5:16" ht="15" customHeight="1" x14ac:dyDescent="0.2">
      <c r="E69" s="12"/>
      <c r="F69" s="12"/>
      <c r="G69" s="12"/>
      <c r="H69" s="12"/>
      <c r="I69" s="12"/>
      <c r="J69" s="12"/>
      <c r="K69" s="12"/>
      <c r="L69" s="12"/>
      <c r="M69" s="12"/>
      <c r="N69" s="12"/>
      <c r="O69" s="12"/>
      <c r="P69" s="12"/>
    </row>
    <row r="70" spans="5:16" ht="15" customHeight="1" x14ac:dyDescent="0.2">
      <c r="E70" s="12"/>
      <c r="F70" s="12"/>
      <c r="G70" s="12"/>
      <c r="H70" s="12"/>
      <c r="I70" s="12"/>
      <c r="J70" s="12"/>
      <c r="K70" s="12"/>
      <c r="L70" s="12"/>
      <c r="M70" s="12"/>
      <c r="N70" s="12"/>
      <c r="O70" s="12"/>
      <c r="P70" s="12"/>
    </row>
    <row r="71" spans="5:16" ht="15" customHeight="1" x14ac:dyDescent="0.2">
      <c r="E71" s="12"/>
      <c r="F71" s="12"/>
      <c r="G71" s="12"/>
      <c r="H71" s="12"/>
      <c r="I71" s="12"/>
      <c r="J71" s="12"/>
      <c r="K71" s="12"/>
      <c r="L71" s="12"/>
      <c r="M71" s="12"/>
      <c r="N71" s="12"/>
      <c r="O71" s="12"/>
      <c r="P71" s="12"/>
    </row>
    <row r="72" spans="5:16" ht="15" customHeight="1" x14ac:dyDescent="0.2">
      <c r="E72" s="12"/>
      <c r="F72" s="12"/>
      <c r="G72" s="12"/>
      <c r="H72" s="12"/>
      <c r="I72" s="12"/>
      <c r="J72" s="12"/>
      <c r="K72" s="12"/>
      <c r="L72" s="12"/>
      <c r="M72" s="12"/>
      <c r="N72" s="12"/>
      <c r="O72" s="12"/>
      <c r="P72" s="12"/>
    </row>
    <row r="73" spans="5:16" ht="15" customHeight="1" x14ac:dyDescent="0.2">
      <c r="E73" s="12"/>
      <c r="F73" s="12"/>
      <c r="G73" s="12"/>
      <c r="H73" s="12"/>
      <c r="I73" s="12"/>
      <c r="J73" s="12"/>
      <c r="K73" s="12"/>
      <c r="L73" s="12"/>
      <c r="M73" s="12"/>
      <c r="N73" s="12"/>
      <c r="O73" s="12"/>
      <c r="P73" s="12"/>
    </row>
    <row r="74" spans="5:16" ht="15" customHeight="1" x14ac:dyDescent="0.2">
      <c r="E74" s="12"/>
      <c r="F74" s="12"/>
      <c r="G74" s="12"/>
      <c r="H74" s="12"/>
      <c r="I74" s="12"/>
      <c r="J74" s="12"/>
      <c r="K74" s="12"/>
      <c r="L74" s="12"/>
      <c r="M74" s="12"/>
      <c r="N74" s="12"/>
      <c r="O74" s="12"/>
      <c r="P74" s="12"/>
    </row>
    <row r="75" spans="5:16" ht="15" customHeight="1" x14ac:dyDescent="0.2">
      <c r="E75" s="12"/>
      <c r="F75" s="12"/>
      <c r="G75" s="12"/>
      <c r="H75" s="12"/>
      <c r="I75" s="12"/>
      <c r="J75" s="12"/>
      <c r="K75" s="12"/>
      <c r="L75" s="12"/>
      <c r="M75" s="12"/>
      <c r="N75" s="12"/>
      <c r="O75" s="12"/>
      <c r="P75" s="12"/>
    </row>
    <row r="76" spans="5:16" ht="15" customHeight="1" x14ac:dyDescent="0.2">
      <c r="E76" s="12"/>
      <c r="F76" s="12"/>
      <c r="G76" s="12"/>
      <c r="H76" s="12"/>
      <c r="I76" s="12"/>
      <c r="J76" s="12"/>
      <c r="K76" s="12"/>
      <c r="L76" s="12"/>
      <c r="M76" s="12"/>
      <c r="N76" s="12"/>
      <c r="O76" s="12"/>
      <c r="P76" s="12"/>
    </row>
    <row r="77" spans="5:16" ht="15" customHeight="1" x14ac:dyDescent="0.2">
      <c r="E77" s="12"/>
      <c r="F77" s="12"/>
      <c r="G77" s="12"/>
      <c r="H77" s="12"/>
      <c r="I77" s="12"/>
      <c r="J77" s="12"/>
      <c r="K77" s="12"/>
      <c r="L77" s="12"/>
      <c r="M77" s="12"/>
      <c r="N77" s="12"/>
      <c r="O77" s="12"/>
      <c r="P77" s="12"/>
    </row>
    <row r="78" spans="5:16" ht="15" customHeight="1" x14ac:dyDescent="0.2">
      <c r="E78" s="12"/>
      <c r="F78" s="12"/>
      <c r="G78" s="12"/>
      <c r="H78" s="12"/>
      <c r="I78" s="12"/>
      <c r="J78" s="12"/>
      <c r="K78" s="12"/>
      <c r="L78" s="12"/>
      <c r="M78" s="12"/>
      <c r="N78" s="12"/>
      <c r="O78" s="12"/>
      <c r="P78" s="12"/>
    </row>
    <row r="79" spans="5:16" ht="15" customHeight="1" x14ac:dyDescent="0.2">
      <c r="E79" s="12"/>
      <c r="F79" s="12"/>
      <c r="G79" s="12"/>
      <c r="H79" s="12"/>
      <c r="I79" s="12"/>
      <c r="J79" s="12"/>
      <c r="K79" s="12"/>
      <c r="L79" s="12"/>
      <c r="M79" s="12"/>
      <c r="N79" s="12"/>
      <c r="O79" s="12"/>
      <c r="P79" s="12"/>
    </row>
    <row r="80" spans="5:16" ht="15" customHeight="1" x14ac:dyDescent="0.2">
      <c r="E80" s="12"/>
      <c r="F80" s="12"/>
      <c r="G80" s="12"/>
      <c r="H80" s="12"/>
      <c r="I80" s="12"/>
      <c r="J80" s="12"/>
      <c r="K80" s="12"/>
      <c r="L80" s="12"/>
      <c r="M80" s="12"/>
      <c r="N80" s="12"/>
      <c r="O80" s="12"/>
      <c r="P80" s="12"/>
    </row>
    <row r="81" spans="5:16" ht="15" customHeight="1" x14ac:dyDescent="0.2">
      <c r="E81" s="12"/>
      <c r="F81" s="12"/>
      <c r="G81" s="12"/>
      <c r="H81" s="12"/>
      <c r="I81" s="12"/>
      <c r="J81" s="12"/>
      <c r="K81" s="12"/>
      <c r="L81" s="12"/>
      <c r="M81" s="12"/>
      <c r="N81" s="12"/>
      <c r="O81" s="12"/>
      <c r="P81" s="12"/>
    </row>
    <row r="82" spans="5:16" ht="15" customHeight="1" x14ac:dyDescent="0.2">
      <c r="E82" s="12"/>
      <c r="F82" s="12"/>
      <c r="G82" s="12"/>
      <c r="H82" s="12"/>
      <c r="I82" s="12"/>
      <c r="J82" s="12"/>
      <c r="K82" s="12"/>
      <c r="L82" s="12"/>
      <c r="M82" s="12"/>
      <c r="N82" s="12"/>
      <c r="O82" s="12"/>
      <c r="P82" s="12"/>
    </row>
    <row r="83" spans="5:16" ht="15" customHeight="1" x14ac:dyDescent="0.2">
      <c r="E83" s="12"/>
      <c r="F83" s="12"/>
      <c r="G83" s="12"/>
      <c r="H83" s="12"/>
      <c r="I83" s="12"/>
      <c r="J83" s="12"/>
      <c r="K83" s="12"/>
      <c r="L83" s="12"/>
      <c r="M83" s="12"/>
      <c r="N83" s="12"/>
      <c r="O83" s="12"/>
      <c r="P83" s="12"/>
    </row>
    <row r="84" spans="5:16" ht="15" customHeight="1" x14ac:dyDescent="0.2">
      <c r="E84" s="12"/>
      <c r="F84" s="12"/>
      <c r="G84" s="12"/>
      <c r="H84" s="12"/>
      <c r="I84" s="12"/>
      <c r="J84" s="12"/>
      <c r="K84" s="12"/>
      <c r="L84" s="12"/>
      <c r="M84" s="12"/>
      <c r="N84" s="12"/>
      <c r="O84" s="12"/>
      <c r="P84" s="12"/>
    </row>
    <row r="85" spans="5:16" ht="15" customHeight="1" x14ac:dyDescent="0.2">
      <c r="E85" s="12"/>
      <c r="F85" s="12"/>
      <c r="G85" s="12"/>
      <c r="H85" s="12"/>
      <c r="I85" s="12"/>
      <c r="J85" s="12"/>
      <c r="K85" s="12"/>
      <c r="L85" s="12"/>
      <c r="M85" s="12"/>
      <c r="N85" s="12"/>
      <c r="O85" s="12"/>
      <c r="P85" s="12"/>
    </row>
    <row r="86" spans="5:16" ht="15" customHeight="1" x14ac:dyDescent="0.2">
      <c r="E86" s="12"/>
      <c r="F86" s="12"/>
      <c r="G86" s="12"/>
      <c r="H86" s="12"/>
      <c r="I86" s="12"/>
      <c r="J86" s="12"/>
      <c r="K86" s="12"/>
      <c r="L86" s="12"/>
      <c r="M86" s="12"/>
      <c r="N86" s="12"/>
      <c r="O86" s="12"/>
      <c r="P86" s="12"/>
    </row>
    <row r="87" spans="5:16" ht="15" customHeight="1" x14ac:dyDescent="0.2">
      <c r="E87" s="12"/>
      <c r="F87" s="12"/>
      <c r="G87" s="12"/>
      <c r="H87" s="12"/>
      <c r="I87" s="12"/>
      <c r="J87" s="12"/>
      <c r="K87" s="12"/>
      <c r="L87" s="12"/>
      <c r="M87" s="12"/>
      <c r="N87" s="12"/>
      <c r="O87" s="12"/>
      <c r="P87" s="12"/>
    </row>
    <row r="88" spans="5:16" ht="15" customHeight="1" x14ac:dyDescent="0.2">
      <c r="E88" s="12"/>
      <c r="F88" s="12"/>
      <c r="G88" s="12"/>
      <c r="H88" s="12"/>
      <c r="I88" s="12"/>
      <c r="J88" s="12"/>
      <c r="K88" s="12"/>
      <c r="L88" s="12"/>
      <c r="M88" s="12"/>
      <c r="N88" s="12"/>
      <c r="O88" s="12"/>
      <c r="P88" s="12"/>
    </row>
    <row r="89" spans="5:16" ht="15" customHeight="1" x14ac:dyDescent="0.2">
      <c r="E89" s="12"/>
      <c r="F89" s="12"/>
      <c r="G89" s="12"/>
      <c r="H89" s="12"/>
      <c r="I89" s="12"/>
      <c r="J89" s="12"/>
      <c r="K89" s="12"/>
      <c r="L89" s="12"/>
      <c r="M89" s="12"/>
      <c r="N89" s="12"/>
      <c r="O89" s="12"/>
      <c r="P89" s="12"/>
    </row>
    <row r="90" spans="5:16" ht="15" customHeight="1" x14ac:dyDescent="0.2">
      <c r="E90" s="12"/>
      <c r="F90" s="12"/>
      <c r="G90" s="12"/>
      <c r="H90" s="12"/>
      <c r="I90" s="12"/>
      <c r="J90" s="12"/>
      <c r="K90" s="12"/>
      <c r="L90" s="12"/>
      <c r="M90" s="12"/>
      <c r="N90" s="12"/>
      <c r="O90" s="12"/>
      <c r="P90" s="12"/>
    </row>
    <row r="91" spans="5:16" ht="15" customHeight="1" x14ac:dyDescent="0.2">
      <c r="E91" s="12"/>
      <c r="F91" s="12"/>
      <c r="G91" s="12"/>
      <c r="H91" s="12"/>
      <c r="I91" s="12"/>
      <c r="J91" s="12"/>
      <c r="K91" s="12"/>
      <c r="L91" s="12"/>
      <c r="M91" s="12"/>
      <c r="N91" s="12"/>
      <c r="O91" s="12"/>
      <c r="P91" s="12"/>
    </row>
    <row r="92" spans="5:16" ht="15" customHeight="1" x14ac:dyDescent="0.2">
      <c r="E92" s="12"/>
      <c r="F92" s="12"/>
      <c r="G92" s="12"/>
      <c r="H92" s="12"/>
      <c r="I92" s="12"/>
      <c r="J92" s="12"/>
      <c r="K92" s="12"/>
      <c r="L92" s="12"/>
      <c r="M92" s="12"/>
      <c r="N92" s="12"/>
      <c r="O92" s="12"/>
      <c r="P92" s="12"/>
    </row>
    <row r="93" spans="5:16" ht="15" customHeight="1" x14ac:dyDescent="0.2">
      <c r="E93" s="12"/>
      <c r="F93" s="12"/>
      <c r="G93" s="12"/>
      <c r="H93" s="12"/>
      <c r="I93" s="12"/>
      <c r="J93" s="12"/>
      <c r="K93" s="12"/>
      <c r="L93" s="12"/>
      <c r="M93" s="12"/>
      <c r="N93" s="12"/>
      <c r="O93" s="12"/>
      <c r="P93" s="12"/>
    </row>
    <row r="94" spans="5:16" ht="15" customHeight="1" x14ac:dyDescent="0.2">
      <c r="E94" s="12"/>
      <c r="F94" s="12"/>
      <c r="G94" s="12"/>
      <c r="H94" s="12"/>
      <c r="I94" s="12"/>
      <c r="J94" s="12"/>
      <c r="K94" s="12"/>
      <c r="L94" s="12"/>
      <c r="M94" s="12"/>
      <c r="N94" s="12"/>
      <c r="O94" s="12"/>
      <c r="P94" s="12"/>
    </row>
    <row r="95" spans="5:16" ht="15" customHeight="1" x14ac:dyDescent="0.2">
      <c r="E95" s="12"/>
      <c r="F95" s="12"/>
      <c r="G95" s="12"/>
      <c r="H95" s="12"/>
      <c r="I95" s="12"/>
      <c r="J95" s="12"/>
      <c r="K95" s="12"/>
      <c r="L95" s="12"/>
      <c r="M95" s="12"/>
      <c r="N95" s="12"/>
      <c r="O95" s="12"/>
      <c r="P95" s="12"/>
    </row>
    <row r="96" spans="5:16" ht="15" customHeight="1" x14ac:dyDescent="0.2">
      <c r="E96" s="12"/>
      <c r="F96" s="12"/>
      <c r="G96" s="12"/>
      <c r="H96" s="12"/>
      <c r="I96" s="12"/>
      <c r="J96" s="12"/>
      <c r="K96" s="12"/>
      <c r="L96" s="12"/>
      <c r="M96" s="12"/>
      <c r="N96" s="12"/>
      <c r="O96" s="12"/>
      <c r="P96" s="12"/>
    </row>
    <row r="97" spans="5:16" ht="15" customHeight="1" x14ac:dyDescent="0.2">
      <c r="E97" s="12"/>
      <c r="F97" s="12"/>
      <c r="G97" s="12"/>
      <c r="H97" s="12"/>
      <c r="I97" s="12"/>
      <c r="J97" s="12"/>
      <c r="K97" s="12"/>
      <c r="L97" s="12"/>
      <c r="M97" s="12"/>
      <c r="N97" s="12"/>
      <c r="O97" s="12"/>
      <c r="P97" s="12"/>
    </row>
    <row r="98" spans="5:16" ht="15" customHeight="1" x14ac:dyDescent="0.2">
      <c r="E98" s="12"/>
      <c r="F98" s="12"/>
      <c r="G98" s="12"/>
      <c r="H98" s="12"/>
      <c r="I98" s="12"/>
      <c r="J98" s="12"/>
      <c r="K98" s="12"/>
      <c r="L98" s="12"/>
      <c r="M98" s="12"/>
      <c r="N98" s="12"/>
      <c r="O98" s="12"/>
      <c r="P98" s="12"/>
    </row>
    <row r="99" spans="5:16" ht="15" customHeight="1" x14ac:dyDescent="0.2">
      <c r="E99" s="12"/>
      <c r="F99" s="12"/>
      <c r="G99" s="12"/>
      <c r="H99" s="12"/>
      <c r="I99" s="12"/>
      <c r="J99" s="12"/>
      <c r="K99" s="12"/>
      <c r="L99" s="12"/>
      <c r="M99" s="12"/>
      <c r="N99" s="12"/>
      <c r="O99" s="12"/>
      <c r="P99" s="12"/>
    </row>
    <row r="100" spans="5:16" ht="15" customHeight="1" x14ac:dyDescent="0.2">
      <c r="E100" s="12"/>
      <c r="F100" s="12"/>
      <c r="G100" s="12"/>
      <c r="H100" s="12"/>
      <c r="I100" s="12"/>
      <c r="J100" s="12"/>
      <c r="K100" s="12"/>
      <c r="L100" s="12"/>
      <c r="M100" s="12"/>
      <c r="N100" s="12"/>
      <c r="O100" s="12"/>
      <c r="P100" s="12"/>
    </row>
    <row r="101" spans="5:16" ht="15" customHeight="1" x14ac:dyDescent="0.2">
      <c r="E101" s="12"/>
      <c r="F101" s="12"/>
      <c r="G101" s="12"/>
      <c r="H101" s="12"/>
      <c r="I101" s="12"/>
      <c r="J101" s="12"/>
      <c r="K101" s="12"/>
      <c r="L101" s="12"/>
      <c r="M101" s="12"/>
      <c r="N101" s="12"/>
      <c r="O101" s="12"/>
      <c r="P101" s="12"/>
    </row>
    <row r="102" spans="5:16" ht="15" customHeight="1" x14ac:dyDescent="0.2">
      <c r="E102" s="12"/>
      <c r="F102" s="12"/>
      <c r="G102" s="12"/>
      <c r="H102" s="12"/>
      <c r="I102" s="12"/>
      <c r="J102" s="12"/>
      <c r="K102" s="12"/>
      <c r="L102" s="12"/>
      <c r="M102" s="12"/>
      <c r="N102" s="12"/>
      <c r="O102" s="12"/>
      <c r="P102" s="12"/>
    </row>
    <row r="103" spans="5:16" ht="15" customHeight="1" x14ac:dyDescent="0.2">
      <c r="E103" s="12"/>
      <c r="F103" s="12"/>
      <c r="G103" s="12"/>
      <c r="H103" s="12"/>
      <c r="I103" s="12"/>
      <c r="J103" s="12"/>
      <c r="K103" s="12"/>
      <c r="L103" s="12"/>
      <c r="M103" s="12"/>
      <c r="N103" s="12"/>
      <c r="O103" s="12"/>
      <c r="P103" s="12"/>
    </row>
    <row r="104" spans="5:16" ht="15" customHeight="1" x14ac:dyDescent="0.2">
      <c r="E104" s="12"/>
      <c r="F104" s="12"/>
      <c r="G104" s="12"/>
      <c r="H104" s="12"/>
      <c r="I104" s="12"/>
      <c r="J104" s="12"/>
      <c r="K104" s="12"/>
      <c r="L104" s="12"/>
      <c r="M104" s="12"/>
      <c r="N104" s="12"/>
      <c r="O104" s="12"/>
      <c r="P104" s="12"/>
    </row>
    <row r="105" spans="5:16" ht="15" customHeight="1" x14ac:dyDescent="0.2">
      <c r="E105" s="12"/>
      <c r="F105" s="12"/>
      <c r="G105" s="12"/>
      <c r="H105" s="12"/>
      <c r="I105" s="12"/>
      <c r="J105" s="12"/>
      <c r="K105" s="12"/>
      <c r="L105" s="12"/>
      <c r="M105" s="12"/>
      <c r="N105" s="12"/>
      <c r="O105" s="12"/>
      <c r="P105" s="12"/>
    </row>
    <row r="106" spans="5:16" ht="15" customHeight="1" x14ac:dyDescent="0.2">
      <c r="E106" s="12"/>
      <c r="F106" s="12"/>
      <c r="G106" s="12"/>
      <c r="H106" s="12"/>
      <c r="I106" s="12"/>
      <c r="J106" s="12"/>
      <c r="K106" s="12"/>
      <c r="L106" s="12"/>
      <c r="M106" s="12"/>
      <c r="N106" s="12"/>
      <c r="O106" s="12"/>
      <c r="P106" s="12"/>
    </row>
    <row r="107" spans="5:16" ht="15" customHeight="1" x14ac:dyDescent="0.2">
      <c r="E107" s="12"/>
      <c r="F107" s="12"/>
      <c r="G107" s="12"/>
      <c r="H107" s="12"/>
      <c r="I107" s="12"/>
      <c r="J107" s="12"/>
      <c r="K107" s="12"/>
      <c r="L107" s="12"/>
      <c r="M107" s="12"/>
      <c r="N107" s="12"/>
      <c r="O107" s="12"/>
      <c r="P107" s="12"/>
    </row>
    <row r="108" spans="5:16" ht="15" customHeight="1" x14ac:dyDescent="0.2">
      <c r="E108" s="12"/>
      <c r="F108" s="12"/>
      <c r="G108" s="12"/>
      <c r="H108" s="12"/>
      <c r="I108" s="12"/>
      <c r="J108" s="12"/>
      <c r="K108" s="12"/>
      <c r="L108" s="12"/>
      <c r="M108" s="12"/>
      <c r="N108" s="12"/>
      <c r="O108" s="12"/>
      <c r="P108" s="12"/>
    </row>
    <row r="109" spans="5:16" ht="15" customHeight="1" x14ac:dyDescent="0.2">
      <c r="E109" s="12"/>
      <c r="F109" s="12"/>
      <c r="G109" s="12"/>
      <c r="H109" s="12"/>
      <c r="I109" s="12"/>
      <c r="J109" s="12"/>
      <c r="K109" s="12"/>
      <c r="L109" s="12"/>
      <c r="M109" s="12"/>
      <c r="N109" s="12"/>
      <c r="O109" s="12"/>
      <c r="P109" s="12"/>
    </row>
    <row r="110" spans="5:16" ht="15" customHeight="1" x14ac:dyDescent="0.2">
      <c r="E110" s="12"/>
      <c r="F110" s="12"/>
      <c r="G110" s="12"/>
      <c r="H110" s="12"/>
      <c r="I110" s="12"/>
      <c r="J110" s="12"/>
      <c r="K110" s="12"/>
      <c r="L110" s="12"/>
      <c r="M110" s="12"/>
      <c r="N110" s="12"/>
      <c r="O110" s="12"/>
      <c r="P110" s="12"/>
    </row>
    <row r="111" spans="5:16" ht="15" customHeight="1" x14ac:dyDescent="0.2">
      <c r="E111" s="12"/>
      <c r="F111" s="12"/>
      <c r="G111" s="12"/>
      <c r="H111" s="12"/>
      <c r="I111" s="12"/>
      <c r="J111" s="12"/>
      <c r="K111" s="12"/>
      <c r="L111" s="12"/>
      <c r="M111" s="12"/>
      <c r="N111" s="12"/>
      <c r="O111" s="12"/>
      <c r="P111" s="12"/>
    </row>
    <row r="112" spans="5:16" ht="15" customHeight="1" x14ac:dyDescent="0.2">
      <c r="E112" s="12"/>
      <c r="F112" s="12"/>
      <c r="G112" s="12"/>
      <c r="H112" s="12"/>
      <c r="I112" s="12"/>
      <c r="J112" s="12"/>
      <c r="K112" s="12"/>
      <c r="L112" s="12"/>
      <c r="M112" s="12"/>
      <c r="N112" s="12"/>
      <c r="O112" s="12"/>
      <c r="P112" s="12"/>
    </row>
    <row r="113" spans="5:16" ht="15" customHeight="1" x14ac:dyDescent="0.2">
      <c r="E113" s="12"/>
      <c r="F113" s="12"/>
      <c r="G113" s="12"/>
      <c r="H113" s="12"/>
      <c r="I113" s="12"/>
      <c r="J113" s="12"/>
      <c r="K113" s="12"/>
      <c r="L113" s="12"/>
      <c r="M113" s="12"/>
      <c r="N113" s="12"/>
      <c r="O113" s="12"/>
      <c r="P113" s="12"/>
    </row>
    <row r="114" spans="5:16" ht="15" customHeight="1" x14ac:dyDescent="0.2">
      <c r="E114" s="12"/>
      <c r="F114" s="12"/>
      <c r="G114" s="12"/>
      <c r="H114" s="12"/>
      <c r="I114" s="12"/>
      <c r="J114" s="12"/>
      <c r="K114" s="12"/>
      <c r="L114" s="12"/>
      <c r="M114" s="12"/>
      <c r="N114" s="12"/>
      <c r="O114" s="12"/>
      <c r="P114" s="12"/>
    </row>
    <row r="115" spans="5:16" ht="15" customHeight="1" x14ac:dyDescent="0.2">
      <c r="E115" s="12"/>
      <c r="F115" s="12"/>
      <c r="G115" s="12"/>
      <c r="H115" s="12"/>
      <c r="I115" s="12"/>
      <c r="J115" s="12"/>
      <c r="K115" s="12"/>
      <c r="L115" s="12"/>
      <c r="M115" s="12"/>
      <c r="N115" s="12"/>
      <c r="O115" s="12"/>
      <c r="P115" s="12"/>
    </row>
    <row r="116" spans="5:16" ht="15" customHeight="1" x14ac:dyDescent="0.2">
      <c r="E116" s="12"/>
      <c r="F116" s="12"/>
      <c r="G116" s="12"/>
      <c r="H116" s="12"/>
      <c r="I116" s="12"/>
      <c r="J116" s="12"/>
      <c r="K116" s="12"/>
      <c r="L116" s="12"/>
      <c r="M116" s="12"/>
      <c r="N116" s="12"/>
      <c r="O116" s="12"/>
      <c r="P116" s="12"/>
    </row>
    <row r="117" spans="5:16" ht="15" customHeight="1" x14ac:dyDescent="0.2">
      <c r="E117" s="12"/>
      <c r="F117" s="12"/>
      <c r="G117" s="12"/>
      <c r="H117" s="12"/>
      <c r="I117" s="12"/>
      <c r="J117" s="12"/>
      <c r="K117" s="12"/>
      <c r="L117" s="12"/>
      <c r="M117" s="12"/>
      <c r="N117" s="12"/>
      <c r="O117" s="12"/>
      <c r="P117" s="12"/>
    </row>
    <row r="118" spans="5:16" ht="15" customHeight="1" x14ac:dyDescent="0.2">
      <c r="E118" s="12"/>
      <c r="F118" s="12"/>
      <c r="G118" s="12"/>
      <c r="H118" s="12"/>
      <c r="I118" s="12"/>
      <c r="J118" s="12"/>
      <c r="K118" s="12"/>
      <c r="L118" s="12"/>
      <c r="M118" s="12"/>
      <c r="N118" s="12"/>
      <c r="O118" s="12"/>
      <c r="P118" s="12"/>
    </row>
    <row r="119" spans="5:16" ht="15" customHeight="1" x14ac:dyDescent="0.2">
      <c r="E119" s="12"/>
      <c r="F119" s="12"/>
      <c r="G119" s="12"/>
      <c r="H119" s="12"/>
      <c r="I119" s="12"/>
      <c r="J119" s="12"/>
      <c r="K119" s="12"/>
      <c r="L119" s="12"/>
      <c r="M119" s="12"/>
      <c r="N119" s="12"/>
      <c r="O119" s="12"/>
      <c r="P119" s="12"/>
    </row>
    <row r="120" spans="5:16" ht="15" customHeight="1" x14ac:dyDescent="0.2">
      <c r="E120" s="12"/>
      <c r="F120" s="12"/>
      <c r="G120" s="12"/>
      <c r="H120" s="12"/>
      <c r="I120" s="12"/>
      <c r="J120" s="12"/>
      <c r="K120" s="12"/>
      <c r="L120" s="12"/>
      <c r="M120" s="12"/>
      <c r="N120" s="12"/>
      <c r="O120" s="12"/>
      <c r="P120" s="12"/>
    </row>
    <row r="121" spans="5:16" ht="15" customHeight="1" x14ac:dyDescent="0.2">
      <c r="E121" s="12"/>
      <c r="F121" s="12"/>
      <c r="G121" s="12"/>
      <c r="H121" s="12"/>
      <c r="I121" s="12"/>
      <c r="J121" s="12"/>
      <c r="K121" s="12"/>
      <c r="L121" s="12"/>
      <c r="M121" s="12"/>
      <c r="N121" s="12"/>
      <c r="O121" s="12"/>
      <c r="P121" s="12"/>
    </row>
    <row r="122" spans="5:16" ht="15" customHeight="1" x14ac:dyDescent="0.2">
      <c r="E122" s="12"/>
      <c r="F122" s="12"/>
      <c r="G122" s="12"/>
      <c r="H122" s="12"/>
      <c r="I122" s="12"/>
      <c r="J122" s="12"/>
      <c r="K122" s="12"/>
      <c r="L122" s="12"/>
      <c r="M122" s="12"/>
      <c r="N122" s="12"/>
      <c r="O122" s="12"/>
      <c r="P122" s="12"/>
    </row>
    <row r="123" spans="5:16" ht="15" customHeight="1" x14ac:dyDescent="0.2">
      <c r="E123" s="12"/>
      <c r="F123" s="12"/>
      <c r="G123" s="12"/>
      <c r="H123" s="12"/>
      <c r="I123" s="12"/>
      <c r="J123" s="12"/>
      <c r="K123" s="12"/>
      <c r="L123" s="12"/>
      <c r="M123" s="12"/>
      <c r="N123" s="12"/>
      <c r="O123" s="12"/>
      <c r="P123" s="12"/>
    </row>
    <row r="124" spans="5:16" ht="15" customHeight="1" x14ac:dyDescent="0.2">
      <c r="E124" s="12"/>
      <c r="F124" s="12"/>
      <c r="G124" s="12"/>
      <c r="H124" s="12"/>
      <c r="I124" s="12"/>
      <c r="J124" s="12"/>
      <c r="K124" s="12"/>
      <c r="L124" s="12"/>
      <c r="M124" s="12"/>
      <c r="N124" s="12"/>
      <c r="O124" s="12"/>
      <c r="P124" s="12"/>
    </row>
    <row r="125" spans="5:16" ht="15" customHeight="1" x14ac:dyDescent="0.2">
      <c r="E125" s="12"/>
      <c r="F125" s="12"/>
      <c r="G125" s="12"/>
      <c r="H125" s="12"/>
      <c r="I125" s="12"/>
      <c r="J125" s="12"/>
      <c r="K125" s="12"/>
      <c r="L125" s="12"/>
      <c r="M125" s="12"/>
      <c r="N125" s="12"/>
      <c r="O125" s="12"/>
      <c r="P125" s="12"/>
    </row>
    <row r="126" spans="5:16" ht="15" customHeight="1" x14ac:dyDescent="0.2">
      <c r="E126" s="12"/>
      <c r="F126" s="12"/>
      <c r="G126" s="12"/>
      <c r="H126" s="12"/>
      <c r="I126" s="12"/>
      <c r="J126" s="12"/>
      <c r="K126" s="12"/>
      <c r="L126" s="12"/>
      <c r="M126" s="12"/>
      <c r="N126" s="12"/>
      <c r="O126" s="12"/>
      <c r="P126" s="12"/>
    </row>
    <row r="127" spans="5:16" ht="15" customHeight="1" x14ac:dyDescent="0.2">
      <c r="E127" s="12"/>
      <c r="F127" s="12"/>
      <c r="G127" s="12"/>
      <c r="H127" s="12"/>
      <c r="I127" s="12"/>
      <c r="J127" s="12"/>
      <c r="K127" s="12"/>
      <c r="L127" s="12"/>
      <c r="M127" s="12"/>
      <c r="N127" s="12"/>
      <c r="O127" s="12"/>
      <c r="P127" s="12"/>
    </row>
    <row r="128" spans="5:16" ht="15" customHeight="1" x14ac:dyDescent="0.2">
      <c r="E128" s="12"/>
      <c r="F128" s="12"/>
      <c r="G128" s="12"/>
      <c r="H128" s="12"/>
      <c r="I128" s="12"/>
      <c r="J128" s="12"/>
      <c r="K128" s="12"/>
      <c r="L128" s="12"/>
      <c r="M128" s="12"/>
      <c r="N128" s="12"/>
      <c r="O128" s="12"/>
      <c r="P128" s="12"/>
    </row>
    <row r="129" spans="5:16" ht="15" customHeight="1" x14ac:dyDescent="0.2">
      <c r="E129" s="12"/>
      <c r="F129" s="12"/>
      <c r="G129" s="12"/>
      <c r="H129" s="12"/>
      <c r="I129" s="12"/>
      <c r="J129" s="12"/>
      <c r="K129" s="12"/>
      <c r="L129" s="12"/>
      <c r="M129" s="12"/>
      <c r="N129" s="12"/>
      <c r="O129" s="12"/>
      <c r="P129" s="12"/>
    </row>
    <row r="130" spans="5:16" ht="15" customHeight="1" x14ac:dyDescent="0.2">
      <c r="E130" s="12"/>
      <c r="F130" s="12"/>
      <c r="G130" s="12"/>
      <c r="H130" s="12"/>
      <c r="I130" s="12"/>
      <c r="J130" s="12"/>
      <c r="K130" s="12"/>
      <c r="L130" s="12"/>
      <c r="M130" s="12"/>
      <c r="N130" s="12"/>
      <c r="O130" s="12"/>
      <c r="P130" s="12"/>
    </row>
    <row r="131" spans="5:16" ht="15" customHeight="1" x14ac:dyDescent="0.2">
      <c r="E131" s="12"/>
      <c r="F131" s="12"/>
      <c r="G131" s="12"/>
      <c r="H131" s="12"/>
      <c r="I131" s="12"/>
      <c r="J131" s="12"/>
      <c r="K131" s="12"/>
      <c r="L131" s="12"/>
      <c r="M131" s="12"/>
      <c r="N131" s="12"/>
      <c r="O131" s="12"/>
      <c r="P131" s="12"/>
    </row>
    <row r="132" spans="5:16" ht="15" customHeight="1" x14ac:dyDescent="0.2">
      <c r="E132" s="12"/>
      <c r="F132" s="12"/>
      <c r="G132" s="12"/>
      <c r="H132" s="12"/>
      <c r="I132" s="12"/>
      <c r="J132" s="12"/>
      <c r="K132" s="12"/>
      <c r="L132" s="12"/>
      <c r="M132" s="12"/>
      <c r="N132" s="12"/>
      <c r="O132" s="12"/>
      <c r="P132" s="12"/>
    </row>
    <row r="133" spans="5:16" ht="15" customHeight="1" x14ac:dyDescent="0.2">
      <c r="E133" s="12"/>
      <c r="F133" s="12"/>
      <c r="G133" s="12"/>
      <c r="H133" s="12"/>
      <c r="I133" s="12"/>
      <c r="J133" s="12"/>
      <c r="K133" s="12"/>
      <c r="L133" s="12"/>
      <c r="M133" s="12"/>
      <c r="N133" s="12"/>
      <c r="O133" s="12"/>
      <c r="P133" s="12"/>
    </row>
    <row r="134" spans="5:16" ht="15" customHeight="1" x14ac:dyDescent="0.2">
      <c r="E134" s="12"/>
      <c r="F134" s="12"/>
      <c r="G134" s="12"/>
      <c r="H134" s="12"/>
      <c r="I134" s="12"/>
      <c r="J134" s="12"/>
      <c r="K134" s="12"/>
      <c r="L134" s="12"/>
      <c r="M134" s="12"/>
      <c r="N134" s="12"/>
      <c r="O134" s="12"/>
      <c r="P134" s="12"/>
    </row>
    <row r="135" spans="5:16" ht="15" customHeight="1" x14ac:dyDescent="0.2">
      <c r="E135" s="12"/>
      <c r="F135" s="12"/>
      <c r="G135" s="12"/>
      <c r="H135" s="12"/>
      <c r="I135" s="12"/>
      <c r="J135" s="12"/>
      <c r="K135" s="12"/>
      <c r="L135" s="12"/>
      <c r="M135" s="12"/>
      <c r="N135" s="12"/>
      <c r="O135" s="12"/>
      <c r="P135" s="12"/>
    </row>
    <row r="136" spans="5:16" ht="15" customHeight="1" x14ac:dyDescent="0.2">
      <c r="E136" s="12"/>
      <c r="F136" s="12"/>
      <c r="G136" s="12"/>
      <c r="H136" s="12"/>
      <c r="I136" s="12"/>
      <c r="J136" s="12"/>
      <c r="K136" s="12"/>
      <c r="L136" s="12"/>
      <c r="M136" s="12"/>
      <c r="N136" s="12"/>
      <c r="O136" s="12"/>
      <c r="P136" s="12"/>
    </row>
    <row r="137" spans="5:16" ht="15" customHeight="1" x14ac:dyDescent="0.2">
      <c r="E137" s="12"/>
      <c r="F137" s="12"/>
      <c r="G137" s="12"/>
      <c r="H137" s="12"/>
      <c r="I137" s="12"/>
      <c r="J137" s="12"/>
      <c r="K137" s="12"/>
      <c r="L137" s="12"/>
      <c r="M137" s="12"/>
      <c r="N137" s="12"/>
      <c r="O137" s="12"/>
      <c r="P137" s="12"/>
    </row>
    <row r="138" spans="5:16" ht="15" customHeight="1" x14ac:dyDescent="0.2">
      <c r="E138" s="12"/>
      <c r="F138" s="12"/>
      <c r="G138" s="12"/>
      <c r="H138" s="12"/>
      <c r="I138" s="12"/>
      <c r="J138" s="12"/>
      <c r="K138" s="12"/>
      <c r="L138" s="12"/>
      <c r="M138" s="12"/>
      <c r="N138" s="12"/>
      <c r="O138" s="12"/>
      <c r="P138" s="12"/>
    </row>
    <row r="139" spans="5:16" ht="15" customHeight="1" x14ac:dyDescent="0.2">
      <c r="E139" s="12"/>
      <c r="F139" s="12"/>
      <c r="G139" s="12"/>
      <c r="H139" s="12"/>
      <c r="I139" s="12"/>
      <c r="J139" s="12"/>
      <c r="K139" s="12"/>
      <c r="L139" s="12"/>
      <c r="M139" s="12"/>
      <c r="N139" s="12"/>
      <c r="O139" s="12"/>
      <c r="P139" s="12"/>
    </row>
    <row r="140" spans="5:16" ht="15" customHeight="1" x14ac:dyDescent="0.2">
      <c r="E140" s="12"/>
      <c r="F140" s="12"/>
      <c r="G140" s="12"/>
      <c r="H140" s="12"/>
      <c r="I140" s="12"/>
      <c r="J140" s="12"/>
      <c r="K140" s="12"/>
      <c r="L140" s="12"/>
      <c r="M140" s="12"/>
      <c r="N140" s="12"/>
      <c r="O140" s="12"/>
      <c r="P140" s="12"/>
    </row>
    <row r="141" spans="5:16" ht="15" customHeight="1" x14ac:dyDescent="0.2">
      <c r="E141" s="12"/>
      <c r="F141" s="12"/>
      <c r="G141" s="12"/>
      <c r="H141" s="12"/>
      <c r="I141" s="12"/>
      <c r="J141" s="12"/>
      <c r="K141" s="12"/>
      <c r="L141" s="12"/>
      <c r="M141" s="12"/>
      <c r="N141" s="12"/>
      <c r="O141" s="12"/>
      <c r="P141" s="12"/>
    </row>
    <row r="142" spans="5:16" ht="15" customHeight="1" x14ac:dyDescent="0.2">
      <c r="E142" s="12"/>
      <c r="F142" s="12"/>
      <c r="G142" s="12"/>
      <c r="H142" s="12"/>
      <c r="I142" s="12"/>
      <c r="J142" s="12"/>
      <c r="K142" s="12"/>
      <c r="L142" s="12"/>
      <c r="M142" s="12"/>
      <c r="N142" s="12"/>
      <c r="O142" s="12"/>
      <c r="P142" s="12"/>
    </row>
    <row r="143" spans="5:16" ht="15" customHeight="1" x14ac:dyDescent="0.2">
      <c r="E143" s="12"/>
      <c r="F143" s="12"/>
      <c r="G143" s="12"/>
      <c r="H143" s="12"/>
      <c r="I143" s="12"/>
      <c r="J143" s="12"/>
      <c r="K143" s="12"/>
      <c r="L143" s="12"/>
      <c r="M143" s="12"/>
      <c r="N143" s="12"/>
      <c r="O143" s="12"/>
      <c r="P143" s="12"/>
    </row>
    <row r="144" spans="5:16" ht="15" customHeight="1" x14ac:dyDescent="0.2">
      <c r="E144" s="12"/>
      <c r="F144" s="12"/>
      <c r="G144" s="12"/>
      <c r="H144" s="12"/>
      <c r="I144" s="12"/>
      <c r="J144" s="12"/>
      <c r="K144" s="12"/>
      <c r="L144" s="12"/>
      <c r="M144" s="12"/>
      <c r="N144" s="12"/>
      <c r="O144" s="12"/>
      <c r="P144" s="12"/>
    </row>
    <row r="145" spans="5:16" ht="15" customHeight="1" x14ac:dyDescent="0.2">
      <c r="E145" s="12"/>
      <c r="F145" s="12"/>
      <c r="G145" s="12"/>
      <c r="H145" s="12"/>
      <c r="I145" s="12"/>
      <c r="J145" s="12"/>
      <c r="K145" s="12"/>
      <c r="L145" s="12"/>
      <c r="M145" s="12"/>
      <c r="N145" s="12"/>
      <c r="O145" s="12"/>
      <c r="P145" s="12"/>
    </row>
    <row r="146" spans="5:16" ht="15" customHeight="1" x14ac:dyDescent="0.2">
      <c r="E146" s="12"/>
      <c r="F146" s="12"/>
      <c r="G146" s="12"/>
      <c r="H146" s="12"/>
      <c r="I146" s="12"/>
      <c r="J146" s="12"/>
      <c r="K146" s="12"/>
      <c r="L146" s="12"/>
      <c r="M146" s="12"/>
      <c r="N146" s="12"/>
      <c r="O146" s="12"/>
      <c r="P146" s="12"/>
    </row>
    <row r="147" spans="5:16" ht="15" customHeight="1" x14ac:dyDescent="0.2">
      <c r="E147" s="12"/>
      <c r="F147" s="12"/>
      <c r="G147" s="12"/>
      <c r="H147" s="12"/>
      <c r="I147" s="12"/>
      <c r="J147" s="12"/>
      <c r="K147" s="12"/>
      <c r="L147" s="12"/>
      <c r="M147" s="12"/>
      <c r="N147" s="12"/>
      <c r="O147" s="12"/>
      <c r="P147" s="12"/>
    </row>
    <row r="148" spans="5:16" ht="15" customHeight="1" x14ac:dyDescent="0.2">
      <c r="E148" s="12"/>
      <c r="F148" s="12"/>
      <c r="G148" s="12"/>
      <c r="H148" s="12"/>
      <c r="I148" s="12"/>
      <c r="J148" s="12"/>
      <c r="K148" s="12"/>
      <c r="L148" s="12"/>
      <c r="M148" s="12"/>
      <c r="N148" s="12"/>
      <c r="O148" s="12"/>
      <c r="P148" s="12"/>
    </row>
    <row r="149" spans="5:16" ht="15" customHeight="1" x14ac:dyDescent="0.2">
      <c r="E149" s="12"/>
      <c r="F149" s="12"/>
      <c r="G149" s="12"/>
      <c r="H149" s="12"/>
      <c r="I149" s="12"/>
      <c r="J149" s="12"/>
      <c r="K149" s="12"/>
      <c r="L149" s="12"/>
      <c r="M149" s="12"/>
      <c r="N149" s="12"/>
      <c r="O149" s="12"/>
      <c r="P149" s="12"/>
    </row>
    <row r="150" spans="5:16" ht="15" customHeight="1" x14ac:dyDescent="0.2"/>
  </sheetData>
  <printOptions horizontalCentered="1"/>
  <pageMargins left="0.11811023622047245" right="0.11811023622047245" top="0.11811023622047245" bottom="0.19685039370078741" header="0.11811023622047245" footer="0.11811023622047245"/>
  <pageSetup scale="80" orientation="landscape" r:id="rId1"/>
  <headerFooter>
    <oddFooter>&amp;Lir.tesla.com&amp;CPage &amp;P of &amp;N&amp;R&amp;D  &amp;T</oddFooter>
  </headerFooter>
  <rowBreaks count="1" manualBreakCount="1">
    <brk id="50" max="14" man="1"/>
  </rowBreaks>
  <drawing r:id="rId2"/>
  <legacyDrawing r:id="rId3"/>
  <mc:AlternateContent xmlns:mc="http://schemas.openxmlformats.org/markup-compatibility/2006">
    <mc:Choice Requires="x14">
      <controls>
        <mc:AlternateContent xmlns:mc="http://schemas.openxmlformats.org/markup-compatibility/2006">
          <mc:Choice Requires="x14">
            <control shapeId="10241" r:id="rId4" name="Drop Down 1">
              <controlPr defaultSize="0" autoLine="0" autoPict="0">
                <anchor moveWithCells="1">
                  <from>
                    <xdr:col>2</xdr:col>
                    <xdr:colOff>1397000</xdr:colOff>
                    <xdr:row>5</xdr:row>
                    <xdr:rowOff>63500</xdr:rowOff>
                  </from>
                  <to>
                    <xdr:col>3</xdr:col>
                    <xdr:colOff>0</xdr:colOff>
                    <xdr:row>7</xdr:row>
                    <xdr:rowOff>101600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378C3-C87A-4337-8E90-93F0D421E172}">
  <dimension ref="B1:P156"/>
  <sheetViews>
    <sheetView showGridLines="0" topLeftCell="A5" zoomScaleNormal="100" workbookViewId="0">
      <selection activeCell="J24" sqref="J24"/>
    </sheetView>
  </sheetViews>
  <sheetFormatPr baseColWidth="10" defaultColWidth="9.1640625" defaultRowHeight="14" x14ac:dyDescent="0.2"/>
  <cols>
    <col min="1" max="2" width="1.1640625" style="1" customWidth="1"/>
    <col min="3" max="3" width="30.6640625" style="1" customWidth="1"/>
    <col min="4" max="4" width="9.6640625" style="1" customWidth="1"/>
    <col min="5" max="14" width="12.5" style="1" customWidth="1"/>
    <col min="15" max="15" width="1.1640625" style="1" customWidth="1"/>
    <col min="16" max="16" width="11.6640625" style="1" customWidth="1"/>
    <col min="17" max="16384" width="9.1640625" style="1"/>
  </cols>
  <sheetData>
    <row r="1" spans="2:16" ht="6" customHeight="1" x14ac:dyDescent="0.2"/>
    <row r="2" spans="2:16" ht="20" customHeight="1" x14ac:dyDescent="0.25">
      <c r="B2" s="2" t="str">
        <f>'Cover Page'!$C$18</f>
        <v>Tesla, Inc.</v>
      </c>
      <c r="C2" s="3"/>
      <c r="D2" s="3"/>
      <c r="E2" s="3"/>
      <c r="F2" s="3"/>
      <c r="G2" s="3"/>
      <c r="H2" s="3"/>
      <c r="I2" s="3"/>
      <c r="J2" s="3"/>
      <c r="K2" s="3"/>
      <c r="L2" s="3"/>
      <c r="M2" s="3"/>
      <c r="N2" s="3"/>
    </row>
    <row r="3" spans="2:16" ht="15" customHeight="1" x14ac:dyDescent="0.2">
      <c r="B3" s="4" t="s">
        <v>43</v>
      </c>
      <c r="C3" s="4"/>
      <c r="D3" s="4"/>
      <c r="E3" s="4"/>
      <c r="F3" s="4"/>
      <c r="G3" s="4"/>
      <c r="H3" s="4"/>
      <c r="I3" s="4"/>
      <c r="J3" s="4"/>
      <c r="K3" s="4"/>
      <c r="L3" s="4"/>
      <c r="M3" s="4"/>
      <c r="N3" s="4"/>
    </row>
    <row r="4" spans="2:16" ht="6" customHeight="1" thickBot="1" x14ac:dyDescent="0.25">
      <c r="B4" s="5"/>
      <c r="C4" s="5"/>
      <c r="D4" s="5"/>
      <c r="E4" s="5"/>
      <c r="F4" s="5"/>
      <c r="G4" s="5"/>
      <c r="H4" s="5"/>
      <c r="I4" s="5"/>
      <c r="J4" s="5"/>
      <c r="K4" s="5"/>
      <c r="L4" s="5"/>
      <c r="M4" s="5"/>
      <c r="N4" s="5"/>
    </row>
    <row r="5" spans="2:16" ht="15" customHeight="1" x14ac:dyDescent="0.2">
      <c r="B5" s="117" t="str">
        <f>Scenarios!$B$5</f>
        <v>$ MM's ( unless otherwise specified )</v>
      </c>
      <c r="C5" s="117"/>
      <c r="D5" s="117"/>
      <c r="E5" s="117"/>
      <c r="F5" s="117"/>
      <c r="G5" s="117"/>
      <c r="H5" s="117"/>
      <c r="I5" s="117"/>
      <c r="J5" s="117"/>
      <c r="K5" s="117"/>
      <c r="L5" s="117"/>
      <c r="M5" s="117"/>
      <c r="N5" s="121" t="str">
        <f>Scenarios!$N$5</f>
        <v>Based on: Base Case Senario</v>
      </c>
    </row>
    <row r="6" spans="2:16" ht="6" customHeight="1" x14ac:dyDescent="0.2"/>
    <row r="7" spans="2:16" ht="15" customHeight="1" x14ac:dyDescent="0.2">
      <c r="E7" s="6" t="s">
        <v>7</v>
      </c>
      <c r="F7" s="7"/>
      <c r="G7" s="7"/>
      <c r="H7" s="7"/>
      <c r="I7" s="7"/>
      <c r="J7" s="8" t="s">
        <v>6</v>
      </c>
      <c r="K7" s="9"/>
      <c r="L7" s="9"/>
      <c r="M7" s="9"/>
      <c r="N7" s="9"/>
    </row>
    <row r="8" spans="2:16" ht="15" customHeight="1" x14ac:dyDescent="0.2">
      <c r="E8" s="10">
        <f t="shared" ref="E8:I8" si="0">F8-1</f>
        <v>2017</v>
      </c>
      <c r="F8" s="10">
        <f t="shared" si="0"/>
        <v>2018</v>
      </c>
      <c r="G8" s="10">
        <f t="shared" si="0"/>
        <v>2019</v>
      </c>
      <c r="H8" s="10">
        <f t="shared" si="0"/>
        <v>2020</v>
      </c>
      <c r="I8" s="10">
        <f t="shared" si="0"/>
        <v>2021</v>
      </c>
      <c r="J8" s="11">
        <v>2022</v>
      </c>
      <c r="K8" s="11">
        <f>J8+1</f>
        <v>2023</v>
      </c>
      <c r="L8" s="11">
        <f t="shared" ref="L8:N8" si="1">K8+1</f>
        <v>2024</v>
      </c>
      <c r="M8" s="11">
        <f t="shared" si="1"/>
        <v>2025</v>
      </c>
      <c r="N8" s="11">
        <f t="shared" si="1"/>
        <v>2026</v>
      </c>
    </row>
    <row r="9" spans="2:16" ht="6" customHeight="1" x14ac:dyDescent="0.2">
      <c r="E9" s="12"/>
      <c r="F9" s="12"/>
      <c r="G9" s="12"/>
      <c r="H9" s="12"/>
      <c r="I9" s="12"/>
      <c r="J9" s="12"/>
      <c r="K9" s="12"/>
      <c r="L9" s="12"/>
      <c r="M9" s="12"/>
      <c r="N9" s="12"/>
      <c r="O9" s="12"/>
      <c r="P9" s="12"/>
    </row>
    <row r="10" spans="2:16" ht="15" customHeight="1" x14ac:dyDescent="0.2">
      <c r="C10" s="13" t="str">
        <f>'Ratio Analysis'!S10</f>
        <v>Revenue</v>
      </c>
      <c r="E10" s="14">
        <f>'Notes to Accounts'!E27</f>
        <v>11759</v>
      </c>
      <c r="F10" s="14">
        <f>'Notes to Accounts'!F27</f>
        <v>21461</v>
      </c>
      <c r="G10" s="14">
        <f>'Notes to Accounts'!G27</f>
        <v>24578</v>
      </c>
      <c r="H10" s="14">
        <f>'Notes to Accounts'!H27</f>
        <v>31536</v>
      </c>
      <c r="I10" s="14">
        <f>'Notes to Accounts'!I27</f>
        <v>53823</v>
      </c>
      <c r="J10" s="14">
        <f>'Notes to Accounts'!J27</f>
        <v>83951.349999999991</v>
      </c>
      <c r="K10" s="14">
        <f>'Notes to Accounts'!K27</f>
        <v>87519.865000000005</v>
      </c>
      <c r="L10" s="14">
        <f>'Notes to Accounts'!L27</f>
        <v>111861.5187</v>
      </c>
      <c r="M10" s="14">
        <f>'Notes to Accounts'!M27</f>
        <v>139716.447942</v>
      </c>
      <c r="N10" s="14">
        <f>'Notes to Accounts'!N27</f>
        <v>172374.17742948001</v>
      </c>
      <c r="O10" s="12"/>
      <c r="P10" s="12"/>
    </row>
    <row r="11" spans="2:16" ht="15" customHeight="1" x14ac:dyDescent="0.2">
      <c r="C11" s="13" t="str">
        <f>'Ratio Analysis'!S11</f>
        <v>Cost of revenue</v>
      </c>
      <c r="E11" s="14">
        <f>'Notes to Accounts'!E58</f>
        <v>9536</v>
      </c>
      <c r="F11" s="14">
        <f>'Notes to Accounts'!F58</f>
        <v>17419</v>
      </c>
      <c r="G11" s="14">
        <f>'Notes to Accounts'!G58</f>
        <v>20509</v>
      </c>
      <c r="H11" s="14">
        <f>'Notes to Accounts'!H58</f>
        <v>24906</v>
      </c>
      <c r="I11" s="14">
        <f>'Notes to Accounts'!I58</f>
        <v>40217</v>
      </c>
      <c r="J11" s="14">
        <f>'Notes to Accounts'!J58</f>
        <v>61441.579999999994</v>
      </c>
      <c r="K11" s="14">
        <f>'Notes to Accounts'!K58</f>
        <v>64715.817800000004</v>
      </c>
      <c r="L11" s="14">
        <f>'Notes to Accounts'!L58</f>
        <v>76272.952688000005</v>
      </c>
      <c r="M11" s="14">
        <f>'Notes to Accounts'!M58</f>
        <v>91252.848532479984</v>
      </c>
      <c r="N11" s="14">
        <f>'Notes to Accounts'!N58</f>
        <v>106862.4376603008</v>
      </c>
      <c r="O11" s="12"/>
      <c r="P11" s="12"/>
    </row>
    <row r="12" spans="2:16" ht="15" customHeight="1" x14ac:dyDescent="0.2">
      <c r="C12" s="15" t="str">
        <f>'Ratio Analysis'!S12</f>
        <v>Gross Profit</v>
      </c>
      <c r="D12" s="15"/>
      <c r="E12" s="16">
        <f t="shared" ref="E12:N12" si="2">E10-E11</f>
        <v>2223</v>
      </c>
      <c r="F12" s="16">
        <f t="shared" si="2"/>
        <v>4042</v>
      </c>
      <c r="G12" s="16">
        <f t="shared" si="2"/>
        <v>4069</v>
      </c>
      <c r="H12" s="16">
        <f t="shared" si="2"/>
        <v>6630</v>
      </c>
      <c r="I12" s="16">
        <f t="shared" si="2"/>
        <v>13606</v>
      </c>
      <c r="J12" s="16">
        <f t="shared" si="2"/>
        <v>22509.769999999997</v>
      </c>
      <c r="K12" s="16">
        <f t="shared" si="2"/>
        <v>22804.047200000001</v>
      </c>
      <c r="L12" s="16">
        <f t="shared" si="2"/>
        <v>35588.566011999996</v>
      </c>
      <c r="M12" s="16">
        <f t="shared" si="2"/>
        <v>48463.599409520015</v>
      </c>
      <c r="N12" s="16">
        <f t="shared" si="2"/>
        <v>65511.739769179214</v>
      </c>
      <c r="O12" s="12"/>
      <c r="P12" s="12"/>
    </row>
    <row r="13" spans="2:16" ht="6" customHeight="1" x14ac:dyDescent="0.2">
      <c r="E13" s="12"/>
      <c r="F13" s="12"/>
      <c r="G13" s="12"/>
      <c r="H13" s="12"/>
      <c r="I13" s="12"/>
      <c r="J13" s="12"/>
      <c r="K13" s="12"/>
      <c r="L13" s="12"/>
      <c r="M13" s="12"/>
      <c r="N13" s="12"/>
      <c r="O13" s="12"/>
      <c r="P13" s="12"/>
    </row>
    <row r="14" spans="2:16" ht="15" customHeight="1" x14ac:dyDescent="0.2">
      <c r="C14" s="1" t="s">
        <v>430</v>
      </c>
      <c r="E14" s="31">
        <f t="shared" ref="E14:N14" si="3">E12/E10</f>
        <v>0.1890466876435071</v>
      </c>
      <c r="F14" s="31">
        <f t="shared" si="3"/>
        <v>0.18834164298028983</v>
      </c>
      <c r="G14" s="31">
        <f t="shared" si="3"/>
        <v>0.1655545609895028</v>
      </c>
      <c r="H14" s="31">
        <f t="shared" si="3"/>
        <v>0.2102359208523592</v>
      </c>
      <c r="I14" s="31">
        <f t="shared" si="3"/>
        <v>0.25279155751258753</v>
      </c>
      <c r="J14" s="31">
        <f t="shared" si="3"/>
        <v>0.26812874361162742</v>
      </c>
      <c r="K14" s="31">
        <f t="shared" si="3"/>
        <v>0.26055852805531637</v>
      </c>
      <c r="L14" s="31">
        <f t="shared" si="3"/>
        <v>0.318148425174206</v>
      </c>
      <c r="M14" s="31">
        <f t="shared" si="3"/>
        <v>0.34687111019053779</v>
      </c>
      <c r="N14" s="31">
        <f t="shared" si="3"/>
        <v>0.38005541633972822</v>
      </c>
      <c r="O14" s="12"/>
      <c r="P14" s="12"/>
    </row>
    <row r="15" spans="2:16" ht="6" customHeight="1" x14ac:dyDescent="0.2">
      <c r="E15" s="12"/>
      <c r="F15" s="12"/>
      <c r="G15" s="12"/>
      <c r="H15" s="12"/>
      <c r="I15" s="12"/>
      <c r="J15" s="12"/>
      <c r="K15" s="12"/>
      <c r="L15" s="12"/>
      <c r="M15" s="12"/>
      <c r="N15" s="12"/>
      <c r="O15" s="12"/>
      <c r="P15" s="12"/>
    </row>
    <row r="16" spans="2:16" ht="15" customHeight="1" x14ac:dyDescent="0.2">
      <c r="C16" s="1" t="str">
        <f>'Ratio Analysis'!S14</f>
        <v>Operating Expenses</v>
      </c>
      <c r="E16" s="12"/>
      <c r="F16" s="12"/>
      <c r="G16" s="12"/>
      <c r="H16" s="12"/>
      <c r="I16" s="12"/>
      <c r="J16" s="12"/>
      <c r="K16" s="12"/>
      <c r="L16" s="12"/>
      <c r="M16" s="12"/>
      <c r="N16" s="12"/>
      <c r="O16" s="12"/>
      <c r="P16" s="12"/>
    </row>
    <row r="17" spans="3:16" ht="15" customHeight="1" x14ac:dyDescent="0.2">
      <c r="C17" s="13" t="str">
        <f>'Ratio Analysis'!S15</f>
        <v>Research and development</v>
      </c>
      <c r="E17" s="14">
        <f>'Notes to Accounts'!E79</f>
        <v>1378</v>
      </c>
      <c r="F17" s="14">
        <f>'Notes to Accounts'!F79</f>
        <v>1460</v>
      </c>
      <c r="G17" s="14">
        <f>'Notes to Accounts'!G79</f>
        <v>1343</v>
      </c>
      <c r="H17" s="14">
        <f>'Notes to Accounts'!H79</f>
        <v>1491</v>
      </c>
      <c r="I17" s="14">
        <f>'Notes to Accounts'!I79</f>
        <v>2593</v>
      </c>
      <c r="J17" s="14">
        <f>'Notes to Accounts'!J79</f>
        <v>3770</v>
      </c>
      <c r="K17" s="14">
        <f>'Notes to Accounts'!K79</f>
        <v>3596</v>
      </c>
      <c r="L17" s="14">
        <f>'Notes to Accounts'!L79</f>
        <v>4248</v>
      </c>
      <c r="M17" s="14">
        <f>'Notes to Accounts'!M79</f>
        <v>4815.9999999999991</v>
      </c>
      <c r="N17" s="14">
        <f>'Notes to Accounts'!N79</f>
        <v>5299.9999999999991</v>
      </c>
      <c r="O17" s="12"/>
      <c r="P17" s="12"/>
    </row>
    <row r="18" spans="3:16" ht="15" customHeight="1" x14ac:dyDescent="0.2">
      <c r="C18" s="13" t="str">
        <f>'Ratio Analysis'!S16</f>
        <v>Selling, general and administrative</v>
      </c>
      <c r="E18" s="14">
        <f>'Notes to Accounts'!E80</f>
        <v>2477</v>
      </c>
      <c r="F18" s="14">
        <f>'Notes to Accounts'!F80</f>
        <v>2835</v>
      </c>
      <c r="G18" s="14">
        <f>'Notes to Accounts'!G80</f>
        <v>2646</v>
      </c>
      <c r="H18" s="14">
        <f>'Notes to Accounts'!H80</f>
        <v>3145</v>
      </c>
      <c r="I18" s="14">
        <f>'Notes to Accounts'!I80</f>
        <v>4517</v>
      </c>
      <c r="J18" s="14">
        <f>'Notes to Accounts'!J80</f>
        <v>6235</v>
      </c>
      <c r="K18" s="14">
        <f>'Notes to Accounts'!K80</f>
        <v>6061</v>
      </c>
      <c r="L18" s="14">
        <f>'Notes to Accounts'!L80</f>
        <v>7307.9999999999991</v>
      </c>
      <c r="M18" s="14">
        <f>'Notes to Accounts'!M80</f>
        <v>8470.9999999999982</v>
      </c>
      <c r="N18" s="14">
        <f>'Notes to Accounts'!N80</f>
        <v>9549.9999999999982</v>
      </c>
      <c r="O18" s="12"/>
      <c r="P18" s="12"/>
    </row>
    <row r="19" spans="3:16" ht="15" customHeight="1" x14ac:dyDescent="0.2">
      <c r="C19" s="13" t="str">
        <f>'Ratio Analysis'!S17</f>
        <v>Restructuring and other</v>
      </c>
      <c r="E19" s="14">
        <f>'Ratio Analysis'!W17</f>
        <v>0</v>
      </c>
      <c r="F19" s="14">
        <f>'Ratio Analysis'!X17</f>
        <v>135</v>
      </c>
      <c r="G19" s="14">
        <f>'Ratio Analysis'!Y17</f>
        <v>149</v>
      </c>
      <c r="H19" s="14">
        <f>'Ratio Analysis'!Z17</f>
        <v>0</v>
      </c>
      <c r="I19" s="14">
        <f>'Ratio Analysis'!AA17</f>
        <v>-27</v>
      </c>
      <c r="J19" s="14">
        <f>Assumptions!D43</f>
        <v>142</v>
      </c>
      <c r="K19" s="14">
        <f>Assumptions!E43</f>
        <v>0</v>
      </c>
      <c r="L19" s="14">
        <f>Assumptions!F43</f>
        <v>0</v>
      </c>
      <c r="M19" s="14">
        <f>Assumptions!G43</f>
        <v>0</v>
      </c>
      <c r="N19" s="14">
        <f>Assumptions!H43</f>
        <v>0</v>
      </c>
      <c r="O19" s="12"/>
      <c r="P19" s="12"/>
    </row>
    <row r="20" spans="3:16" ht="15" customHeight="1" x14ac:dyDescent="0.2">
      <c r="C20" s="15" t="str">
        <f>'Ratio Analysis'!S18</f>
        <v>Operating Expenses</v>
      </c>
      <c r="D20" s="15"/>
      <c r="E20" s="16">
        <f t="shared" ref="E20:N20" si="4">SUM(E17:E19)</f>
        <v>3855</v>
      </c>
      <c r="F20" s="16">
        <f t="shared" si="4"/>
        <v>4430</v>
      </c>
      <c r="G20" s="16">
        <f t="shared" si="4"/>
        <v>4138</v>
      </c>
      <c r="H20" s="16">
        <f t="shared" si="4"/>
        <v>4636</v>
      </c>
      <c r="I20" s="16">
        <f t="shared" si="4"/>
        <v>7083</v>
      </c>
      <c r="J20" s="16">
        <f t="shared" si="4"/>
        <v>10147</v>
      </c>
      <c r="K20" s="16">
        <f t="shared" si="4"/>
        <v>9657</v>
      </c>
      <c r="L20" s="16">
        <f t="shared" si="4"/>
        <v>11556</v>
      </c>
      <c r="M20" s="16">
        <f t="shared" si="4"/>
        <v>13286.999999999996</v>
      </c>
      <c r="N20" s="16">
        <f t="shared" si="4"/>
        <v>14849.999999999996</v>
      </c>
      <c r="O20" s="12"/>
      <c r="P20" s="12"/>
    </row>
    <row r="21" spans="3:16" ht="15" customHeight="1" x14ac:dyDescent="0.2">
      <c r="E21" s="12"/>
      <c r="F21" s="12"/>
      <c r="G21" s="12"/>
      <c r="H21" s="12"/>
      <c r="I21" s="12"/>
      <c r="J21" s="12"/>
      <c r="K21" s="12"/>
      <c r="L21" s="12"/>
      <c r="M21" s="12"/>
      <c r="N21" s="12"/>
      <c r="O21" s="12"/>
      <c r="P21" s="12"/>
    </row>
    <row r="22" spans="3:16" ht="15" customHeight="1" x14ac:dyDescent="0.2">
      <c r="C22" s="1" t="str">
        <f>'Ratio Analysis'!S20</f>
        <v>Operating Profit</v>
      </c>
      <c r="E22" s="12">
        <f t="shared" ref="E22:N22" si="5">E12-E20</f>
        <v>-1632</v>
      </c>
      <c r="F22" s="12">
        <f t="shared" si="5"/>
        <v>-388</v>
      </c>
      <c r="G22" s="12">
        <f t="shared" si="5"/>
        <v>-69</v>
      </c>
      <c r="H22" s="12">
        <f t="shared" si="5"/>
        <v>1994</v>
      </c>
      <c r="I22" s="12">
        <f t="shared" si="5"/>
        <v>6523</v>
      </c>
      <c r="J22" s="12">
        <f t="shared" si="5"/>
        <v>12362.769999999997</v>
      </c>
      <c r="K22" s="12">
        <f t="shared" si="5"/>
        <v>13147.047200000001</v>
      </c>
      <c r="L22" s="12">
        <f t="shared" si="5"/>
        <v>24032.566011999996</v>
      </c>
      <c r="M22" s="12">
        <f t="shared" si="5"/>
        <v>35176.599409520015</v>
      </c>
      <c r="N22" s="12">
        <f t="shared" si="5"/>
        <v>50661.739769179214</v>
      </c>
      <c r="O22" s="12"/>
      <c r="P22" s="12"/>
    </row>
    <row r="23" spans="3:16" ht="6" customHeight="1" x14ac:dyDescent="0.2">
      <c r="E23" s="12"/>
      <c r="F23" s="12"/>
      <c r="G23" s="12"/>
      <c r="H23" s="12"/>
      <c r="I23" s="12"/>
      <c r="J23" s="12"/>
      <c r="K23" s="12"/>
      <c r="L23" s="12"/>
      <c r="M23" s="12"/>
      <c r="N23" s="12"/>
      <c r="O23" s="12"/>
      <c r="P23" s="12"/>
    </row>
    <row r="24" spans="3:16" ht="15" customHeight="1" x14ac:dyDescent="0.2">
      <c r="C24" s="1" t="s">
        <v>786</v>
      </c>
      <c r="E24" s="31">
        <f t="shared" ref="E24:N24" si="6">E22/E10</f>
        <v>-0.13878731184624543</v>
      </c>
      <c r="F24" s="31">
        <f t="shared" si="6"/>
        <v>-1.8079306649270769E-2</v>
      </c>
      <c r="G24" s="31">
        <f t="shared" si="6"/>
        <v>-2.8073887216209618E-3</v>
      </c>
      <c r="H24" s="31">
        <f t="shared" si="6"/>
        <v>6.3229325215626589E-2</v>
      </c>
      <c r="I24" s="31">
        <f t="shared" si="6"/>
        <v>0.12119354179440016</v>
      </c>
      <c r="J24" s="31">
        <f t="shared" si="6"/>
        <v>0.14726112206653016</v>
      </c>
      <c r="K24" s="31">
        <f t="shared" si="6"/>
        <v>0.15021786425287562</v>
      </c>
      <c r="L24" s="31">
        <f t="shared" si="6"/>
        <v>0.21484212168129624</v>
      </c>
      <c r="M24" s="31">
        <f t="shared" si="6"/>
        <v>0.25177135496690234</v>
      </c>
      <c r="N24" s="31">
        <f t="shared" si="6"/>
        <v>0.29390562162308465</v>
      </c>
      <c r="O24" s="12"/>
      <c r="P24" s="12"/>
    </row>
    <row r="25" spans="3:16" ht="6" customHeight="1" x14ac:dyDescent="0.2">
      <c r="E25" s="12"/>
      <c r="F25" s="12"/>
      <c r="G25" s="12"/>
      <c r="H25" s="12"/>
      <c r="I25" s="12"/>
      <c r="J25" s="298"/>
      <c r="K25" s="298"/>
      <c r="L25" s="298"/>
      <c r="M25" s="298"/>
      <c r="N25" s="298"/>
      <c r="O25" s="12"/>
      <c r="P25" s="12"/>
    </row>
    <row r="26" spans="3:16" ht="15" customHeight="1" x14ac:dyDescent="0.2">
      <c r="C26" s="13" t="str">
        <f>'Ratio Analysis'!S22</f>
        <v>Interest income</v>
      </c>
      <c r="E26" s="14">
        <f>'Notes to Accounts'!E549</f>
        <v>19</v>
      </c>
      <c r="F26" s="14">
        <f>'Notes to Accounts'!F549</f>
        <v>24</v>
      </c>
      <c r="G26" s="14">
        <f>'Notes to Accounts'!G549</f>
        <v>44</v>
      </c>
      <c r="H26" s="14">
        <f>'Notes to Accounts'!H549</f>
        <v>30</v>
      </c>
      <c r="I26" s="14">
        <f>'Notes to Accounts'!I549</f>
        <v>56</v>
      </c>
      <c r="J26" s="14">
        <f>'Notes to Accounts'!J549</f>
        <v>41.94</v>
      </c>
      <c r="K26" s="14">
        <f>'Notes to Accounts'!K549</f>
        <v>55.92</v>
      </c>
      <c r="L26" s="14">
        <f>'Notes to Accounts'!L549</f>
        <v>55.92</v>
      </c>
      <c r="M26" s="14">
        <f>'Notes to Accounts'!M549</f>
        <v>55.92</v>
      </c>
      <c r="N26" s="14">
        <f>'Notes to Accounts'!N549</f>
        <v>55.92</v>
      </c>
      <c r="O26" s="12"/>
      <c r="P26" s="12"/>
    </row>
    <row r="27" spans="3:16" ht="15" customHeight="1" x14ac:dyDescent="0.2">
      <c r="C27" s="13" t="str">
        <f>'Ratio Analysis'!S23</f>
        <v>Interest expense</v>
      </c>
      <c r="E27" s="14">
        <f>'Notes to Accounts'!E542</f>
        <v>-471</v>
      </c>
      <c r="F27" s="14">
        <f>'Notes to Accounts'!F542</f>
        <v>-663</v>
      </c>
      <c r="G27" s="14">
        <f>'Notes to Accounts'!G542</f>
        <v>-685</v>
      </c>
      <c r="H27" s="14">
        <f>'Notes to Accounts'!H542</f>
        <v>-748</v>
      </c>
      <c r="I27" s="14">
        <f>'Notes to Accounts'!I542</f>
        <v>-371</v>
      </c>
      <c r="J27" s="14">
        <f>'Notes to Accounts'!J542</f>
        <v>460.89089450216449</v>
      </c>
      <c r="K27" s="14">
        <f>'Notes to Accounts'!K542</f>
        <v>321.4162432997835</v>
      </c>
      <c r="L27" s="14">
        <f>'Notes to Accounts'!L542</f>
        <v>300.12208369857387</v>
      </c>
      <c r="M27" s="14">
        <f>'Notes to Accounts'!M542</f>
        <v>291.5002975003643</v>
      </c>
      <c r="N27" s="14">
        <f>'Notes to Accounts'!N542</f>
        <v>290.76013015223464</v>
      </c>
      <c r="O27" s="12"/>
      <c r="P27" s="12"/>
    </row>
    <row r="28" spans="3:16" ht="15" customHeight="1" x14ac:dyDescent="0.2">
      <c r="C28" s="13" t="str">
        <f>'Ratio Analysis'!S24</f>
        <v>Other income (expense), net</v>
      </c>
      <c r="E28" s="14">
        <f>'Ratio Analysis'!W24</f>
        <v>-125</v>
      </c>
      <c r="F28" s="14">
        <f>'Ratio Analysis'!X24</f>
        <v>22</v>
      </c>
      <c r="G28" s="14">
        <f>'Ratio Analysis'!Y24</f>
        <v>45</v>
      </c>
      <c r="H28" s="14">
        <f>'Ratio Analysis'!Z24</f>
        <v>-122</v>
      </c>
      <c r="I28" s="14">
        <f>'Ratio Analysis'!AA24</f>
        <v>135</v>
      </c>
      <c r="J28" s="14">
        <f>Assumptions!D44</f>
        <v>84</v>
      </c>
      <c r="K28" s="14">
        <f>Assumptions!E44</f>
        <v>0</v>
      </c>
      <c r="L28" s="14">
        <f>Assumptions!F44</f>
        <v>0</v>
      </c>
      <c r="M28" s="14">
        <f>Assumptions!G44</f>
        <v>0</v>
      </c>
      <c r="N28" s="14">
        <f>Assumptions!H44</f>
        <v>0</v>
      </c>
      <c r="O28" s="12"/>
      <c r="P28" s="12"/>
    </row>
    <row r="29" spans="3:16" ht="15" customHeight="1" x14ac:dyDescent="0.2">
      <c r="C29" s="15" t="str">
        <f>'Ratio Analysis'!S25</f>
        <v>Non Operating Income / Expense</v>
      </c>
      <c r="D29" s="15"/>
      <c r="E29" s="16">
        <f t="shared" ref="E29:N29" si="7">SUM(E26:E28)</f>
        <v>-577</v>
      </c>
      <c r="F29" s="16">
        <f t="shared" si="7"/>
        <v>-617</v>
      </c>
      <c r="G29" s="16">
        <f t="shared" si="7"/>
        <v>-596</v>
      </c>
      <c r="H29" s="16">
        <f t="shared" si="7"/>
        <v>-840</v>
      </c>
      <c r="I29" s="16">
        <f t="shared" si="7"/>
        <v>-180</v>
      </c>
      <c r="J29" s="16">
        <f t="shared" si="7"/>
        <v>586.83089450216448</v>
      </c>
      <c r="K29" s="16">
        <f t="shared" si="7"/>
        <v>377.33624329978352</v>
      </c>
      <c r="L29" s="16">
        <f t="shared" si="7"/>
        <v>356.04208369857389</v>
      </c>
      <c r="M29" s="16">
        <f t="shared" si="7"/>
        <v>347.42029750036431</v>
      </c>
      <c r="N29" s="16">
        <f t="shared" si="7"/>
        <v>346.68013015223465</v>
      </c>
      <c r="O29" s="12"/>
      <c r="P29" s="12"/>
    </row>
    <row r="30" spans="3:16" ht="15" customHeight="1" x14ac:dyDescent="0.2">
      <c r="E30" s="12"/>
      <c r="F30" s="12"/>
      <c r="G30" s="12"/>
      <c r="H30" s="12"/>
      <c r="I30" s="12"/>
      <c r="J30" s="12"/>
      <c r="K30" s="12"/>
      <c r="L30" s="12"/>
      <c r="M30" s="12"/>
      <c r="N30" s="12"/>
      <c r="O30" s="12"/>
      <c r="P30" s="12"/>
    </row>
    <row r="31" spans="3:16" ht="15" customHeight="1" x14ac:dyDescent="0.2">
      <c r="C31" s="1" t="str">
        <f>'Ratio Analysis'!S27</f>
        <v>Income (loss) before income taxes</v>
      </c>
      <c r="E31" s="12">
        <f t="shared" ref="E31:N31" si="8">E22+E29</f>
        <v>-2209</v>
      </c>
      <c r="F31" s="12">
        <f t="shared" si="8"/>
        <v>-1005</v>
      </c>
      <c r="G31" s="12">
        <f t="shared" si="8"/>
        <v>-665</v>
      </c>
      <c r="H31" s="12">
        <f t="shared" si="8"/>
        <v>1154</v>
      </c>
      <c r="I31" s="12">
        <f t="shared" si="8"/>
        <v>6343</v>
      </c>
      <c r="J31" s="12">
        <f t="shared" si="8"/>
        <v>12949.60089450216</v>
      </c>
      <c r="K31" s="12">
        <f t="shared" si="8"/>
        <v>13524.383443299785</v>
      </c>
      <c r="L31" s="12">
        <f t="shared" si="8"/>
        <v>24388.608095698568</v>
      </c>
      <c r="M31" s="12">
        <f t="shared" si="8"/>
        <v>35524.019707020379</v>
      </c>
      <c r="N31" s="12">
        <f t="shared" si="8"/>
        <v>51008.419899331449</v>
      </c>
      <c r="O31" s="12"/>
      <c r="P31" s="12"/>
    </row>
    <row r="32" spans="3:16" ht="15" customHeight="1" x14ac:dyDescent="0.2">
      <c r="C32" s="13" t="str">
        <f>'Ratio Analysis'!S28</f>
        <v>Provision for income taxes</v>
      </c>
      <c r="E32" s="14">
        <f>'Ratio Analysis'!W28</f>
        <v>32</v>
      </c>
      <c r="F32" s="14">
        <f>'Ratio Analysis'!X28</f>
        <v>58</v>
      </c>
      <c r="G32" s="14">
        <f>'Ratio Analysis'!Y28</f>
        <v>110</v>
      </c>
      <c r="H32" s="14">
        <f>'Ratio Analysis'!Z28</f>
        <v>292</v>
      </c>
      <c r="I32" s="14">
        <f>'Ratio Analysis'!AA28</f>
        <v>699</v>
      </c>
      <c r="J32" s="14">
        <f>J31*Assumptions!$H$50</f>
        <v>1942.4401341753239</v>
      </c>
      <c r="K32" s="14">
        <f>K31*Assumptions!$H$50</f>
        <v>2028.6575164949677</v>
      </c>
      <c r="L32" s="14">
        <f>L31*Assumptions!$H$50</f>
        <v>3658.2912143547851</v>
      </c>
      <c r="M32" s="14">
        <f>M31*Assumptions!$H$50</f>
        <v>5328.6029560530569</v>
      </c>
      <c r="N32" s="14">
        <f>N31*Assumptions!$H$50</f>
        <v>7651.2629848997167</v>
      </c>
      <c r="O32" s="12"/>
      <c r="P32" s="12"/>
    </row>
    <row r="33" spans="3:16" ht="15" customHeight="1" x14ac:dyDescent="0.2">
      <c r="C33" s="15" t="str">
        <f>'Ratio Analysis'!S29</f>
        <v>Net income (loss)</v>
      </c>
      <c r="D33" s="15"/>
      <c r="E33" s="16">
        <f t="shared" ref="E33:N33" si="9">E31-E32</f>
        <v>-2241</v>
      </c>
      <c r="F33" s="16">
        <f t="shared" si="9"/>
        <v>-1063</v>
      </c>
      <c r="G33" s="16">
        <f t="shared" si="9"/>
        <v>-775</v>
      </c>
      <c r="H33" s="16">
        <f t="shared" si="9"/>
        <v>862</v>
      </c>
      <c r="I33" s="16">
        <f t="shared" si="9"/>
        <v>5644</v>
      </c>
      <c r="J33" s="16">
        <f t="shared" si="9"/>
        <v>11007.160760326837</v>
      </c>
      <c r="K33" s="16">
        <f t="shared" si="9"/>
        <v>11495.725926804816</v>
      </c>
      <c r="L33" s="16">
        <f t="shared" si="9"/>
        <v>20730.316881343784</v>
      </c>
      <c r="M33" s="16">
        <f t="shared" si="9"/>
        <v>30195.416750967321</v>
      </c>
      <c r="N33" s="16">
        <f t="shared" si="9"/>
        <v>43357.156914431733</v>
      </c>
      <c r="O33" s="12"/>
      <c r="P33" s="12"/>
    </row>
    <row r="34" spans="3:16" ht="15" customHeight="1" x14ac:dyDescent="0.2">
      <c r="C34" s="13" t="str">
        <f>'Ratio Analysis'!S30</f>
        <v>NI attributable to noncontrolling interests</v>
      </c>
      <c r="E34" s="14">
        <f>'Ratio Analysis'!W30</f>
        <v>-279</v>
      </c>
      <c r="F34" s="14">
        <f>'Ratio Analysis'!X30</f>
        <v>-87</v>
      </c>
      <c r="G34" s="14">
        <f>'Ratio Analysis'!Y30</f>
        <v>87</v>
      </c>
      <c r="H34" s="14">
        <f>'Ratio Analysis'!Z30</f>
        <v>141</v>
      </c>
      <c r="I34" s="14">
        <f>'Ratio Analysis'!AA30</f>
        <v>125</v>
      </c>
      <c r="J34" s="14">
        <f>Assumptions!D45</f>
        <v>100</v>
      </c>
      <c r="K34" s="14">
        <f>Assumptions!E45</f>
        <v>105</v>
      </c>
      <c r="L34" s="14">
        <f>Assumptions!F45</f>
        <v>110</v>
      </c>
      <c r="M34" s="14">
        <f>Assumptions!G45</f>
        <v>115</v>
      </c>
      <c r="N34" s="14">
        <f>Assumptions!H45</f>
        <v>120</v>
      </c>
      <c r="O34" s="12"/>
      <c r="P34" s="12"/>
    </row>
    <row r="35" spans="3:16" ht="15" customHeight="1" x14ac:dyDescent="0.2">
      <c r="C35" s="15" t="str">
        <f>'Ratio Analysis'!S31</f>
        <v>Net income / loss attributable to CS</v>
      </c>
      <c r="D35" s="15"/>
      <c r="E35" s="16">
        <f t="shared" ref="E35:N35" si="10">E33-E34</f>
        <v>-1962</v>
      </c>
      <c r="F35" s="16">
        <f t="shared" si="10"/>
        <v>-976</v>
      </c>
      <c r="G35" s="16">
        <f t="shared" si="10"/>
        <v>-862</v>
      </c>
      <c r="H35" s="16">
        <f t="shared" si="10"/>
        <v>721</v>
      </c>
      <c r="I35" s="16">
        <f t="shared" si="10"/>
        <v>5519</v>
      </c>
      <c r="J35" s="16">
        <f t="shared" si="10"/>
        <v>10907.160760326837</v>
      </c>
      <c r="K35" s="16">
        <f t="shared" si="10"/>
        <v>11390.725926804816</v>
      </c>
      <c r="L35" s="16">
        <f t="shared" si="10"/>
        <v>20620.316881343784</v>
      </c>
      <c r="M35" s="16">
        <f t="shared" si="10"/>
        <v>30080.416750967321</v>
      </c>
      <c r="N35" s="16">
        <f t="shared" si="10"/>
        <v>43237.156914431733</v>
      </c>
      <c r="O35" s="12"/>
      <c r="P35" s="12"/>
    </row>
    <row r="36" spans="3:16" ht="15" customHeight="1" x14ac:dyDescent="0.2">
      <c r="C36" s="13" t="str">
        <f>'Ratio Analysis'!S32</f>
        <v>Less: Buy-out of noncontrolling interest</v>
      </c>
      <c r="E36" s="14">
        <f>'Ratio Analysis'!W32</f>
        <v>0</v>
      </c>
      <c r="F36" s="14">
        <f>'Ratio Analysis'!X32</f>
        <v>0</v>
      </c>
      <c r="G36" s="14">
        <f>'Ratio Analysis'!Y32</f>
        <v>8</v>
      </c>
      <c r="H36" s="14">
        <f>'Ratio Analysis'!Z32</f>
        <v>31</v>
      </c>
      <c r="I36" s="14">
        <f>'Ratio Analysis'!AA32</f>
        <v>-5</v>
      </c>
      <c r="J36" s="14">
        <f>Assumptions!$O$74</f>
        <v>0</v>
      </c>
      <c r="K36" s="14">
        <f>Assumptions!$O$74</f>
        <v>0</v>
      </c>
      <c r="L36" s="14">
        <f>Assumptions!$O$74</f>
        <v>0</v>
      </c>
      <c r="M36" s="14">
        <f>Assumptions!$O$74</f>
        <v>0</v>
      </c>
      <c r="N36" s="14">
        <f>Assumptions!$O$74</f>
        <v>0</v>
      </c>
      <c r="O36" s="12"/>
      <c r="P36" s="12"/>
    </row>
    <row r="37" spans="3:16" ht="18" customHeight="1" thickBot="1" x14ac:dyDescent="0.25">
      <c r="C37" s="17" t="str">
        <f>'Ratio Analysis'!S33</f>
        <v>Net income / loss attributable to CS</v>
      </c>
      <c r="D37" s="17"/>
      <c r="E37" s="18">
        <f t="shared" ref="E37:N37" si="11">E35-E36</f>
        <v>-1962</v>
      </c>
      <c r="F37" s="18">
        <f t="shared" si="11"/>
        <v>-976</v>
      </c>
      <c r="G37" s="18">
        <f t="shared" si="11"/>
        <v>-870</v>
      </c>
      <c r="H37" s="18">
        <f t="shared" si="11"/>
        <v>690</v>
      </c>
      <c r="I37" s="18">
        <f t="shared" si="11"/>
        <v>5524</v>
      </c>
      <c r="J37" s="18">
        <f t="shared" si="11"/>
        <v>10907.160760326837</v>
      </c>
      <c r="K37" s="18">
        <f t="shared" si="11"/>
        <v>11390.725926804816</v>
      </c>
      <c r="L37" s="18">
        <f t="shared" si="11"/>
        <v>20620.316881343784</v>
      </c>
      <c r="M37" s="18">
        <f t="shared" si="11"/>
        <v>30080.416750967321</v>
      </c>
      <c r="N37" s="18">
        <f t="shared" si="11"/>
        <v>43237.156914431733</v>
      </c>
      <c r="O37" s="12"/>
      <c r="P37" s="12"/>
    </row>
    <row r="38" spans="3:16" ht="15" customHeight="1" thickTop="1" x14ac:dyDescent="0.25">
      <c r="E38" s="12"/>
      <c r="F38" s="12"/>
      <c r="G38" s="12"/>
      <c r="H38" s="12"/>
      <c r="I38" s="12"/>
      <c r="J38" s="12"/>
      <c r="K38" s="12"/>
      <c r="L38" s="12"/>
      <c r="M38" s="12"/>
      <c r="N38" s="12"/>
      <c r="O38" s="12"/>
      <c r="P38" s="12"/>
    </row>
    <row r="39" spans="3:16" ht="15" customHeight="1" x14ac:dyDescent="0.25">
      <c r="E39" s="12"/>
      <c r="F39" s="12"/>
      <c r="G39" s="12"/>
      <c r="H39" s="12"/>
      <c r="I39" s="12"/>
      <c r="J39" s="12"/>
      <c r="K39" s="12"/>
      <c r="L39" s="12"/>
      <c r="M39" s="12"/>
      <c r="N39" s="12"/>
      <c r="O39" s="12"/>
      <c r="P39" s="12"/>
    </row>
    <row r="40" spans="3:16" ht="15" customHeight="1" x14ac:dyDescent="0.25">
      <c r="C40" s="1" t="s">
        <v>39</v>
      </c>
      <c r="E40" s="12"/>
      <c r="F40" s="12"/>
      <c r="G40" s="12"/>
      <c r="H40" s="12"/>
      <c r="I40" s="12"/>
      <c r="J40" s="12"/>
      <c r="K40" s="12"/>
      <c r="L40" s="12"/>
      <c r="M40" s="12"/>
      <c r="N40" s="12"/>
      <c r="O40" s="12"/>
      <c r="P40" s="12"/>
    </row>
    <row r="41" spans="3:16" ht="15" customHeight="1" x14ac:dyDescent="0.25">
      <c r="C41" s="13" t="s">
        <v>41</v>
      </c>
      <c r="E41" s="12">
        <f>IFERROR(E$37/E45,"")</f>
        <v>-11.819277108433734</v>
      </c>
      <c r="F41" s="12">
        <f t="shared" ref="F41:N41" si="12">IFERROR(F$37/F45,"")</f>
        <v>-1.1441969519343493</v>
      </c>
      <c r="G41" s="12">
        <f t="shared" si="12"/>
        <v>-0.98083427282976321</v>
      </c>
      <c r="H41" s="12">
        <f t="shared" si="12"/>
        <v>0.73954983922829587</v>
      </c>
      <c r="I41" s="12">
        <f t="shared" si="12"/>
        <v>5.6024340770791072</v>
      </c>
      <c r="J41" s="12">
        <f t="shared" si="12"/>
        <v>3.5093824840176437</v>
      </c>
      <c r="K41" s="12">
        <f t="shared" si="12"/>
        <v>3.6649697319191814</v>
      </c>
      <c r="L41" s="12">
        <f t="shared" si="12"/>
        <v>6.6345935911659542</v>
      </c>
      <c r="M41" s="12">
        <f t="shared" si="12"/>
        <v>9.6783837680075031</v>
      </c>
      <c r="N41" s="12">
        <f t="shared" si="12"/>
        <v>13.911569148787558</v>
      </c>
      <c r="O41" s="12"/>
      <c r="P41" s="12"/>
    </row>
    <row r="42" spans="3:16" ht="15" customHeight="1" x14ac:dyDescent="0.25">
      <c r="C42" s="13" t="s">
        <v>42</v>
      </c>
      <c r="E42" s="12">
        <f>IFERROR(E$37/E46,"")</f>
        <v>-11.819277108433734</v>
      </c>
      <c r="F42" s="12">
        <f t="shared" ref="F42:N42" si="13">IFERROR(F$37/F46,"")</f>
        <v>-1.1441969519343493</v>
      </c>
      <c r="G42" s="12">
        <f t="shared" si="13"/>
        <v>-0.98083427282976321</v>
      </c>
      <c r="H42" s="12">
        <f t="shared" si="13"/>
        <v>0.63711911357340723</v>
      </c>
      <c r="I42" s="12">
        <f t="shared" si="13"/>
        <v>4.8928255093002662</v>
      </c>
      <c r="J42" s="12">
        <f t="shared" si="13"/>
        <v>3.5093824840176437</v>
      </c>
      <c r="K42" s="12">
        <f t="shared" si="13"/>
        <v>3.6649697319191814</v>
      </c>
      <c r="L42" s="12">
        <f t="shared" si="13"/>
        <v>6.6345935911659542</v>
      </c>
      <c r="M42" s="12">
        <f t="shared" si="13"/>
        <v>9.6783837680075031</v>
      </c>
      <c r="N42" s="12">
        <f t="shared" si="13"/>
        <v>13.911569148787558</v>
      </c>
      <c r="O42" s="12"/>
      <c r="P42" s="12"/>
    </row>
    <row r="43" spans="3:16" ht="15" customHeight="1" x14ac:dyDescent="0.25">
      <c r="E43" s="12"/>
      <c r="F43" s="12"/>
      <c r="G43" s="12"/>
      <c r="H43" s="12"/>
      <c r="I43" s="12"/>
      <c r="J43" s="12"/>
      <c r="K43" s="12"/>
      <c r="L43" s="12"/>
      <c r="M43" s="12"/>
      <c r="N43" s="12"/>
      <c r="O43" s="12"/>
      <c r="P43" s="12"/>
    </row>
    <row r="44" spans="3:16" ht="15" customHeight="1" x14ac:dyDescent="0.25">
      <c r="C44" s="1" t="s">
        <v>40</v>
      </c>
      <c r="E44" s="12"/>
      <c r="F44" s="12"/>
      <c r="G44" s="12"/>
      <c r="H44" s="12"/>
      <c r="I44" s="12"/>
      <c r="J44" s="12"/>
      <c r="K44" s="12"/>
      <c r="L44" s="12"/>
      <c r="M44" s="12"/>
      <c r="N44" s="12"/>
      <c r="O44" s="12"/>
      <c r="P44" s="12"/>
    </row>
    <row r="45" spans="3:16" ht="15" customHeight="1" x14ac:dyDescent="0.25">
      <c r="C45" s="13" t="s">
        <v>41</v>
      </c>
      <c r="E45" s="14">
        <f>'Ratio Analysis'!W80</f>
        <v>166</v>
      </c>
      <c r="F45" s="14">
        <f>'Ratio Analysis'!X80</f>
        <v>853</v>
      </c>
      <c r="G45" s="14">
        <f>'Ratio Analysis'!Y80</f>
        <v>887</v>
      </c>
      <c r="H45" s="14">
        <f>'Ratio Analysis'!Z80</f>
        <v>933</v>
      </c>
      <c r="I45" s="14">
        <f>'Ratio Analysis'!AA80</f>
        <v>986</v>
      </c>
      <c r="J45" s="14">
        <f>Assumptions!$F74*3</f>
        <v>3108</v>
      </c>
      <c r="K45" s="14">
        <f>Assumptions!$F74*3</f>
        <v>3108</v>
      </c>
      <c r="L45" s="14">
        <f>Assumptions!$F74*3</f>
        <v>3108</v>
      </c>
      <c r="M45" s="14">
        <f>Assumptions!$F74*3</f>
        <v>3108</v>
      </c>
      <c r="N45" s="14">
        <f>Assumptions!$F74*3</f>
        <v>3108</v>
      </c>
      <c r="O45" s="12"/>
      <c r="P45" s="12"/>
    </row>
    <row r="46" spans="3:16" ht="15" customHeight="1" x14ac:dyDescent="0.25">
      <c r="C46" s="13" t="s">
        <v>42</v>
      </c>
      <c r="E46" s="14">
        <f>'Ratio Analysis'!W85</f>
        <v>166</v>
      </c>
      <c r="F46" s="14">
        <f>'Ratio Analysis'!X85</f>
        <v>853</v>
      </c>
      <c r="G46" s="14">
        <f>'Ratio Analysis'!Y85</f>
        <v>887</v>
      </c>
      <c r="H46" s="14">
        <f>'Ratio Analysis'!Z85</f>
        <v>1083</v>
      </c>
      <c r="I46" s="14">
        <f>'Ratio Analysis'!AA85</f>
        <v>1129</v>
      </c>
      <c r="J46" s="14">
        <f>J45</f>
        <v>3108</v>
      </c>
      <c r="K46" s="14">
        <f t="shared" ref="K46:N46" si="14">K45</f>
        <v>3108</v>
      </c>
      <c r="L46" s="14">
        <f t="shared" si="14"/>
        <v>3108</v>
      </c>
      <c r="M46" s="14">
        <f t="shared" si="14"/>
        <v>3108</v>
      </c>
      <c r="N46" s="14">
        <f t="shared" si="14"/>
        <v>3108</v>
      </c>
      <c r="O46" s="12"/>
      <c r="P46" s="12"/>
    </row>
    <row r="47" spans="3:16" ht="15" customHeight="1" x14ac:dyDescent="0.25">
      <c r="E47" s="12"/>
      <c r="F47" s="12"/>
      <c r="G47" s="12"/>
      <c r="H47" s="12"/>
      <c r="I47" s="12"/>
      <c r="J47" s="12"/>
      <c r="K47" s="12"/>
      <c r="L47" s="12"/>
      <c r="M47" s="12"/>
      <c r="N47" s="12"/>
      <c r="O47" s="12"/>
      <c r="P47" s="12"/>
    </row>
    <row r="48" spans="3:16" ht="15" customHeight="1" x14ac:dyDescent="0.25">
      <c r="E48" s="12"/>
      <c r="F48" s="12"/>
      <c r="G48" s="12"/>
      <c r="H48" s="12"/>
      <c r="I48" s="12"/>
      <c r="J48" s="12"/>
      <c r="K48" s="12"/>
      <c r="L48" s="12"/>
      <c r="M48" s="12"/>
      <c r="N48" s="12"/>
      <c r="O48" s="12"/>
      <c r="P48" s="12"/>
    </row>
    <row r="50" spans="2:16" ht="6" customHeight="1" x14ac:dyDescent="0.25"/>
    <row r="51" spans="2:16" ht="20" customHeight="1" x14ac:dyDescent="0.25">
      <c r="B51" s="2" t="str">
        <f>'Cover Page'!$C$18</f>
        <v>Tesla, Inc.</v>
      </c>
      <c r="C51" s="3"/>
      <c r="D51" s="3"/>
      <c r="E51" s="3"/>
      <c r="F51" s="3"/>
      <c r="G51" s="3"/>
      <c r="H51" s="3"/>
      <c r="I51" s="3"/>
      <c r="J51" s="3"/>
      <c r="K51" s="3"/>
      <c r="L51" s="3"/>
      <c r="M51" s="3"/>
      <c r="N51" s="3"/>
    </row>
    <row r="52" spans="2:16" ht="15" customHeight="1" x14ac:dyDescent="0.25">
      <c r="B52" s="4" t="s">
        <v>45</v>
      </c>
      <c r="C52" s="4"/>
      <c r="D52" s="4"/>
      <c r="E52" s="4"/>
      <c r="F52" s="4"/>
      <c r="G52" s="4"/>
      <c r="H52" s="4"/>
      <c r="I52" s="4"/>
      <c r="J52" s="4"/>
      <c r="K52" s="4"/>
      <c r="L52" s="4"/>
      <c r="M52" s="4"/>
      <c r="N52" s="4"/>
    </row>
    <row r="53" spans="2:16" ht="6" customHeight="1" thickBot="1" x14ac:dyDescent="0.3">
      <c r="B53" s="5"/>
      <c r="C53" s="5"/>
      <c r="D53" s="5"/>
      <c r="E53" s="5"/>
      <c r="F53" s="5"/>
      <c r="G53" s="5"/>
      <c r="H53" s="5"/>
      <c r="I53" s="5"/>
      <c r="J53" s="5"/>
      <c r="K53" s="5"/>
      <c r="L53" s="5"/>
      <c r="M53" s="5"/>
      <c r="N53" s="5"/>
    </row>
    <row r="54" spans="2:16" ht="15" customHeight="1" x14ac:dyDescent="0.25">
      <c r="B54" s="117" t="str">
        <f>Scenarios!$B$5</f>
        <v>$ MM's ( unless otherwise specified )</v>
      </c>
      <c r="C54" s="117"/>
      <c r="D54" s="117"/>
      <c r="E54" s="117"/>
      <c r="F54" s="117"/>
      <c r="G54" s="117"/>
      <c r="H54" s="117"/>
      <c r="I54" s="117"/>
      <c r="J54" s="117"/>
      <c r="K54" s="117"/>
      <c r="L54" s="117"/>
      <c r="M54" s="117"/>
      <c r="N54" s="121" t="str">
        <f>Scenarios!$N$5</f>
        <v>Based on: Base Case Senario</v>
      </c>
    </row>
    <row r="55" spans="2:16" ht="6" customHeight="1" x14ac:dyDescent="0.25"/>
    <row r="56" spans="2:16" ht="15" customHeight="1" x14ac:dyDescent="0.25">
      <c r="E56" s="6" t="s">
        <v>7</v>
      </c>
      <c r="F56" s="7"/>
      <c r="G56" s="7"/>
      <c r="H56" s="7"/>
      <c r="I56" s="7"/>
      <c r="J56" s="8" t="s">
        <v>6</v>
      </c>
      <c r="K56" s="9"/>
      <c r="L56" s="9"/>
      <c r="M56" s="9"/>
      <c r="N56" s="9"/>
    </row>
    <row r="57" spans="2:16" ht="15" customHeight="1" x14ac:dyDescent="0.25">
      <c r="E57" s="10">
        <f t="shared" ref="E57" si="15">F57-1</f>
        <v>2017</v>
      </c>
      <c r="F57" s="10">
        <f t="shared" ref="F57" si="16">G57-1</f>
        <v>2018</v>
      </c>
      <c r="G57" s="10">
        <f t="shared" ref="G57" si="17">H57-1</f>
        <v>2019</v>
      </c>
      <c r="H57" s="10">
        <f t="shared" ref="H57" si="18">I57-1</f>
        <v>2020</v>
      </c>
      <c r="I57" s="10">
        <f t="shared" ref="I57" si="19">J57-1</f>
        <v>2021</v>
      </c>
      <c r="J57" s="11">
        <v>2022</v>
      </c>
      <c r="K57" s="11">
        <f>J57+1</f>
        <v>2023</v>
      </c>
      <c r="L57" s="11">
        <f t="shared" ref="L57" si="20">K57+1</f>
        <v>2024</v>
      </c>
      <c r="M57" s="11">
        <f t="shared" ref="M57" si="21">L57+1</f>
        <v>2025</v>
      </c>
      <c r="N57" s="11">
        <f t="shared" ref="N57" si="22">M57+1</f>
        <v>2026</v>
      </c>
    </row>
    <row r="58" spans="2:16" ht="6" customHeight="1" x14ac:dyDescent="0.25"/>
    <row r="59" spans="2:16" ht="16" x14ac:dyDescent="0.25">
      <c r="B59" s="30" t="s">
        <v>46</v>
      </c>
    </row>
    <row r="60" spans="2:16" ht="16" x14ac:dyDescent="0.25">
      <c r="C60" s="1" t="s">
        <v>47</v>
      </c>
    </row>
    <row r="61" spans="2:16" ht="16" x14ac:dyDescent="0.25">
      <c r="C61" s="13" t="s">
        <v>359</v>
      </c>
      <c r="E61" s="12">
        <f t="shared" ref="E61:N61" si="23">E154</f>
        <v>3964.9590000000026</v>
      </c>
      <c r="F61" s="12">
        <f t="shared" si="23"/>
        <v>4277</v>
      </c>
      <c r="G61" s="12">
        <f t="shared" si="23"/>
        <v>6783</v>
      </c>
      <c r="H61" s="12">
        <f t="shared" si="23"/>
        <v>19901</v>
      </c>
      <c r="I61" s="12">
        <f t="shared" si="23"/>
        <v>18144</v>
      </c>
      <c r="J61" s="12">
        <f t="shared" si="23"/>
        <v>30854.652340662753</v>
      </c>
      <c r="K61" s="12">
        <f t="shared" si="23"/>
        <v>39177.641437068691</v>
      </c>
      <c r="L61" s="12">
        <f t="shared" si="23"/>
        <v>62878.233414649949</v>
      </c>
      <c r="M61" s="12">
        <f t="shared" si="23"/>
        <v>90584.412694157756</v>
      </c>
      <c r="N61" s="12">
        <f t="shared" si="23"/>
        <v>131141.59643830909</v>
      </c>
    </row>
    <row r="62" spans="2:16" ht="16" x14ac:dyDescent="0.25">
      <c r="C62" s="13" t="s">
        <v>49</v>
      </c>
      <c r="E62" s="14">
        <f>'Notes to Accounts'!E544</f>
        <v>0</v>
      </c>
      <c r="F62" s="14">
        <f>'Notes to Accounts'!F544</f>
        <v>0</v>
      </c>
      <c r="G62" s="14">
        <f>'Notes to Accounts'!G544</f>
        <v>0</v>
      </c>
      <c r="H62" s="14">
        <f>'Notes to Accounts'!H544</f>
        <v>0</v>
      </c>
      <c r="I62" s="14">
        <f>'Notes to Accounts'!I544</f>
        <v>131</v>
      </c>
      <c r="J62" s="14">
        <f>'Notes to Accounts'!J544</f>
        <v>131</v>
      </c>
      <c r="K62" s="14">
        <f>'Notes to Accounts'!K544</f>
        <v>131</v>
      </c>
      <c r="L62" s="14">
        <f>'Notes to Accounts'!L544</f>
        <v>131</v>
      </c>
      <c r="M62" s="14">
        <f>'Notes to Accounts'!M544</f>
        <v>131</v>
      </c>
      <c r="N62" s="14">
        <f>'Notes to Accounts'!N544</f>
        <v>131</v>
      </c>
    </row>
    <row r="63" spans="2:16" ht="16" x14ac:dyDescent="0.25">
      <c r="C63" s="13" t="s">
        <v>50</v>
      </c>
      <c r="E63" s="14">
        <f>'Notes to Accounts'!E118</f>
        <v>515.38099999999997</v>
      </c>
      <c r="F63" s="14">
        <f>'Notes to Accounts'!F118</f>
        <v>949</v>
      </c>
      <c r="G63" s="14">
        <f>'Notes to Accounts'!G118</f>
        <v>1324</v>
      </c>
      <c r="H63" s="14">
        <f>'Notes to Accounts'!H118</f>
        <v>1886</v>
      </c>
      <c r="I63" s="14">
        <f>'Notes to Accounts'!I118</f>
        <v>1913</v>
      </c>
      <c r="J63" s="14">
        <f>'Notes to Accounts'!J118</f>
        <v>3105.0499315068491</v>
      </c>
      <c r="K63" s="14">
        <f>'Notes to Accounts'!K118</f>
        <v>3237.0361027397262</v>
      </c>
      <c r="L63" s="14">
        <f>'Notes to Accounts'!L118</f>
        <v>3973.2233418032788</v>
      </c>
      <c r="M63" s="14">
        <f>'Notes to Accounts'!M118</f>
        <v>4976.2022554684927</v>
      </c>
      <c r="N63" s="14">
        <f>'Notes to Accounts'!N118</f>
        <v>6139.3542646116166</v>
      </c>
      <c r="P63" s="88"/>
    </row>
    <row r="64" spans="2:16" ht="16" x14ac:dyDescent="0.25">
      <c r="C64" s="13" t="s">
        <v>51</v>
      </c>
      <c r="E64" s="14">
        <f>'Notes to Accounts'!E119</f>
        <v>2263.5369999999998</v>
      </c>
      <c r="F64" s="14">
        <f>'Notes to Accounts'!F119</f>
        <v>3113</v>
      </c>
      <c r="G64" s="14">
        <f>'Notes to Accounts'!G119</f>
        <v>3552</v>
      </c>
      <c r="H64" s="14">
        <f>'Notes to Accounts'!H119</f>
        <v>4101</v>
      </c>
      <c r="I64" s="14">
        <f>'Notes to Accounts'!I119</f>
        <v>5757</v>
      </c>
      <c r="J64" s="14">
        <f>'Notes to Accounts'!J119</f>
        <v>8921.6540821917806</v>
      </c>
      <c r="K64" s="14">
        <f>'Notes to Accounts'!K119</f>
        <v>9397.0913517808222</v>
      </c>
      <c r="L64" s="14">
        <f>'Notes to Accounts'!L119</f>
        <v>10419.802279781421</v>
      </c>
      <c r="M64" s="14">
        <f>'Notes to Accounts'!M119</f>
        <v>12500.390209928764</v>
      </c>
      <c r="N64" s="14">
        <f>'Notes to Accounts'!N119</f>
        <v>14638.690090452164</v>
      </c>
      <c r="P64" s="88"/>
    </row>
    <row r="65" spans="2:16" ht="16" x14ac:dyDescent="0.25">
      <c r="C65" s="13" t="s">
        <v>52</v>
      </c>
      <c r="E65" s="14">
        <f>'Notes to Accounts'!E120</f>
        <v>268.36500000000001</v>
      </c>
      <c r="F65" s="14">
        <f>'Notes to Accounts'!F120</f>
        <v>366</v>
      </c>
      <c r="G65" s="14">
        <f>'Notes to Accounts'!G120</f>
        <v>444</v>
      </c>
      <c r="H65" s="14">
        <f>'Notes to Accounts'!H120</f>
        <v>829</v>
      </c>
      <c r="I65" s="14">
        <f>'Notes to Accounts'!I120</f>
        <v>1155</v>
      </c>
      <c r="J65" s="14">
        <f>'Notes to Accounts'!J120</f>
        <v>1588.6438356164383</v>
      </c>
      <c r="K65" s="14">
        <f>'Notes to Accounts'!K120</f>
        <v>1544.3095890410959</v>
      </c>
      <c r="L65" s="14">
        <f>'Notes to Accounts'!L120</f>
        <v>1797.0491803278685</v>
      </c>
      <c r="M65" s="14">
        <f>'Notes to Accounts'!M120</f>
        <v>2088.739726027397</v>
      </c>
      <c r="N65" s="14">
        <f>'Notes to Accounts'!N120</f>
        <v>2354.794520547945</v>
      </c>
      <c r="P65" s="88"/>
    </row>
    <row r="66" spans="2:16" ht="16" x14ac:dyDescent="0.25">
      <c r="C66" s="15" t="s">
        <v>53</v>
      </c>
      <c r="D66" s="15"/>
      <c r="E66" s="16">
        <f t="shared" ref="E66:N66" si="24">SUM(E61:E65)</f>
        <v>7012.242000000002</v>
      </c>
      <c r="F66" s="16">
        <f t="shared" si="24"/>
        <v>8705</v>
      </c>
      <c r="G66" s="16">
        <f t="shared" si="24"/>
        <v>12103</v>
      </c>
      <c r="H66" s="16">
        <f t="shared" si="24"/>
        <v>26717</v>
      </c>
      <c r="I66" s="16">
        <f t="shared" si="24"/>
        <v>27100</v>
      </c>
      <c r="J66" s="16">
        <f t="shared" si="24"/>
        <v>44601.000189977822</v>
      </c>
      <c r="K66" s="16">
        <f t="shared" si="24"/>
        <v>53487.078480630335</v>
      </c>
      <c r="L66" s="16">
        <f t="shared" si="24"/>
        <v>79199.308216562524</v>
      </c>
      <c r="M66" s="16">
        <f t="shared" si="24"/>
        <v>110280.74488558242</v>
      </c>
      <c r="N66" s="16">
        <f t="shared" si="24"/>
        <v>154405.43531392081</v>
      </c>
    </row>
    <row r="67" spans="2:16" ht="16" x14ac:dyDescent="0.25">
      <c r="C67" s="1" t="s">
        <v>86</v>
      </c>
      <c r="E67" s="14">
        <f>'Notes to Accounts'!E162</f>
        <v>4116.6040000000003</v>
      </c>
      <c r="F67" s="14">
        <f>'Notes to Accounts'!F162</f>
        <v>2090</v>
      </c>
      <c r="G67" s="14">
        <f>'Notes to Accounts'!G162</f>
        <v>2447</v>
      </c>
      <c r="H67" s="14">
        <f>'Notes to Accounts'!H162</f>
        <v>3091</v>
      </c>
      <c r="I67" s="14">
        <f>'Notes to Accounts'!I162</f>
        <v>4511</v>
      </c>
      <c r="J67" s="14">
        <f>'Notes to Accounts'!J162</f>
        <v>4635.5732361524433</v>
      </c>
      <c r="K67" s="14">
        <f>'Notes to Accounts'!K162</f>
        <v>4217.3998380318499</v>
      </c>
      <c r="L67" s="14">
        <f>'Notes to Accounts'!L162</f>
        <v>4013.4461274154705</v>
      </c>
      <c r="M67" s="14">
        <f>'Notes to Accounts'!M162</f>
        <v>5023.5621899899488</v>
      </c>
      <c r="N67" s="14">
        <f>'Notes to Accounts'!N162</f>
        <v>5571.8171134799559</v>
      </c>
      <c r="P67" s="88"/>
    </row>
    <row r="68" spans="2:16" ht="16" x14ac:dyDescent="0.25">
      <c r="C68" s="1" t="s">
        <v>87</v>
      </c>
      <c r="E68" s="14">
        <f>'Notes to Accounts'!E199</f>
        <v>6347.49</v>
      </c>
      <c r="F68" s="14">
        <f>'Notes to Accounts'!F199</f>
        <v>6271</v>
      </c>
      <c r="G68" s="14">
        <f>'Notes to Accounts'!G199</f>
        <v>6138</v>
      </c>
      <c r="H68" s="14">
        <f>'Notes to Accounts'!H199</f>
        <v>5979</v>
      </c>
      <c r="I68" s="14">
        <f>'Notes to Accounts'!I199</f>
        <v>5765</v>
      </c>
      <c r="J68" s="14">
        <f>'Notes to Accounts'!J199</f>
        <v>5534.5014228571436</v>
      </c>
      <c r="K68" s="14">
        <f>'Notes to Accounts'!K199</f>
        <v>5323.1195808000011</v>
      </c>
      <c r="L68" s="14">
        <f>'Notes to Accounts'!L199</f>
        <v>5157.6596286811437</v>
      </c>
      <c r="M68" s="14">
        <f>'Notes to Accounts'!M199</f>
        <v>5015.1125099476121</v>
      </c>
      <c r="N68" s="14">
        <f>'Notes to Accounts'!N199</f>
        <v>4900.2899196103244</v>
      </c>
    </row>
    <row r="69" spans="2:16" ht="16" x14ac:dyDescent="0.25">
      <c r="C69" s="1" t="s">
        <v>54</v>
      </c>
      <c r="E69" s="14">
        <f>'Notes to Accounts'!E233</f>
        <v>10027.521999999999</v>
      </c>
      <c r="F69" s="14">
        <f>'Notes to Accounts'!F233</f>
        <v>11330</v>
      </c>
      <c r="G69" s="14">
        <f>'Notes to Accounts'!G233</f>
        <v>10396</v>
      </c>
      <c r="H69" s="14">
        <f>'Notes to Accounts'!H233</f>
        <v>12747</v>
      </c>
      <c r="I69" s="14">
        <f>'Notes to Accounts'!I233</f>
        <v>18884</v>
      </c>
      <c r="J69" s="14">
        <f>'Notes to Accounts'!J233</f>
        <v>23320.986000000001</v>
      </c>
      <c r="K69" s="14">
        <f>'Notes to Accounts'!K233</f>
        <v>27558.471333333335</v>
      </c>
      <c r="L69" s="14">
        <f>'Notes to Accounts'!L233</f>
        <v>33515.047666666673</v>
      </c>
      <c r="M69" s="14">
        <f>'Notes to Accounts'!M233</f>
        <v>40813.514750000009</v>
      </c>
      <c r="N69" s="14">
        <f>'Notes to Accounts'!N233</f>
        <v>49408.423083333342</v>
      </c>
      <c r="O69" s="160"/>
    </row>
    <row r="70" spans="2:16" ht="16" x14ac:dyDescent="0.25">
      <c r="C70" s="1" t="s">
        <v>55</v>
      </c>
      <c r="E70" s="14">
        <f>'Notes to Accounts'!E292</f>
        <v>0</v>
      </c>
      <c r="F70" s="14">
        <f>'Notes to Accounts'!F292</f>
        <v>0</v>
      </c>
      <c r="G70" s="14">
        <f>'Notes to Accounts'!G292</f>
        <v>1218</v>
      </c>
      <c r="H70" s="14">
        <f>'Notes to Accounts'!H292</f>
        <v>1558</v>
      </c>
      <c r="I70" s="14">
        <f>'Notes to Accounts'!I292</f>
        <v>2016</v>
      </c>
      <c r="J70" s="14">
        <f>'Notes to Accounts'!J292</f>
        <v>2412.1788283333331</v>
      </c>
      <c r="K70" s="14">
        <f>'Notes to Accounts'!K292</f>
        <v>2780.8139454499997</v>
      </c>
      <c r="L70" s="14">
        <f>'Notes to Accounts'!L292</f>
        <v>3356.8965306266664</v>
      </c>
      <c r="M70" s="14">
        <f>'Notes to Accounts'!M292</f>
        <v>4043.6114928049324</v>
      </c>
      <c r="N70" s="14">
        <f>'Notes to Accounts'!N292</f>
        <v>4830.8922448251351</v>
      </c>
      <c r="P70" s="88"/>
    </row>
    <row r="71" spans="2:16" ht="16" x14ac:dyDescent="0.25">
      <c r="C71" s="1" t="s">
        <v>56</v>
      </c>
      <c r="E71" s="14">
        <f>'Notes to Accounts'!E348</f>
        <v>0</v>
      </c>
      <c r="F71" s="14">
        <f>'Notes to Accounts'!F348</f>
        <v>0</v>
      </c>
      <c r="G71" s="14">
        <f>'Notes to Accounts'!G348</f>
        <v>0</v>
      </c>
      <c r="H71" s="14">
        <f>'Notes to Accounts'!H348</f>
        <v>0</v>
      </c>
      <c r="I71" s="14">
        <f>'Notes to Accounts'!I348</f>
        <v>1260</v>
      </c>
      <c r="J71" s="14">
        <f>'Notes to Accounts'!J348</f>
        <v>77.777777777777828</v>
      </c>
      <c r="K71" s="14">
        <f>'Notes to Accounts'!K348</f>
        <v>33.333333333333371</v>
      </c>
      <c r="L71" s="14">
        <f>'Notes to Accounts'!L348</f>
        <v>2.8421709430404007E-14</v>
      </c>
      <c r="M71" s="14">
        <f>'Notes to Accounts'!M348</f>
        <v>2.8421709430404007E-14</v>
      </c>
      <c r="N71" s="14">
        <f>'Notes to Accounts'!N348</f>
        <v>2.8421709430404007E-14</v>
      </c>
    </row>
    <row r="72" spans="2:16" ht="16" x14ac:dyDescent="0.25">
      <c r="C72" s="1" t="s">
        <v>57</v>
      </c>
      <c r="E72" s="14">
        <f>'Notes to Accounts'!E368</f>
        <v>361.50199999999995</v>
      </c>
      <c r="F72" s="14">
        <f>'Notes to Accounts'!F368</f>
        <v>282</v>
      </c>
      <c r="G72" s="14">
        <f>'Notes to Accounts'!G368</f>
        <v>339</v>
      </c>
      <c r="H72" s="14">
        <f>'Notes to Accounts'!H368</f>
        <v>313</v>
      </c>
      <c r="I72" s="14">
        <f>'Notes to Accounts'!I368</f>
        <v>257</v>
      </c>
      <c r="J72" s="14">
        <f>'Notes to Accounts'!J368</f>
        <v>208</v>
      </c>
      <c r="K72" s="14">
        <f>'Notes to Accounts'!K368</f>
        <v>165</v>
      </c>
      <c r="L72" s="14">
        <f>'Notes to Accounts'!L368</f>
        <v>137</v>
      </c>
      <c r="M72" s="14">
        <f>'Notes to Accounts'!M368</f>
        <v>109</v>
      </c>
      <c r="N72" s="14">
        <f>'Notes to Accounts'!N368</f>
        <v>81</v>
      </c>
    </row>
    <row r="73" spans="2:16" ht="16" x14ac:dyDescent="0.25">
      <c r="C73" s="1" t="s">
        <v>58</v>
      </c>
      <c r="E73" s="14">
        <f>'Notes to Accounts'!E388</f>
        <v>60.237000000000002</v>
      </c>
      <c r="F73" s="14">
        <f>'Notes to Accounts'!F388</f>
        <v>68</v>
      </c>
      <c r="G73" s="14">
        <f>'Notes to Accounts'!G388</f>
        <v>198</v>
      </c>
      <c r="H73" s="14">
        <f>'Notes to Accounts'!H388</f>
        <v>207</v>
      </c>
      <c r="I73" s="14">
        <f>'Notes to Accounts'!I388</f>
        <v>200</v>
      </c>
      <c r="J73" s="14">
        <f>'Notes to Accounts'!J388</f>
        <v>204</v>
      </c>
      <c r="K73" s="14">
        <f>'Notes to Accounts'!K388</f>
        <v>204</v>
      </c>
      <c r="L73" s="14">
        <f>'Notes to Accounts'!L388</f>
        <v>204</v>
      </c>
      <c r="M73" s="14">
        <f>'Notes to Accounts'!M388</f>
        <v>204</v>
      </c>
      <c r="N73" s="14">
        <f>'Notes to Accounts'!N388</f>
        <v>204</v>
      </c>
    </row>
    <row r="74" spans="2:16" ht="16" x14ac:dyDescent="0.25">
      <c r="C74" s="1" t="s">
        <v>59</v>
      </c>
      <c r="E74" s="14">
        <f>'Notes to Accounts'!E408</f>
        <v>729.77499999999998</v>
      </c>
      <c r="F74" s="14">
        <f>'Notes to Accounts'!F408</f>
        <v>994</v>
      </c>
      <c r="G74" s="14">
        <f>'Notes to Accounts'!G408</f>
        <v>1470</v>
      </c>
      <c r="H74" s="14">
        <f>'Notes to Accounts'!H408</f>
        <v>1536</v>
      </c>
      <c r="I74" s="14">
        <f>'Notes to Accounts'!I408</f>
        <v>2138</v>
      </c>
      <c r="J74" s="14">
        <f>'Notes to Accounts'!J408</f>
        <v>2952</v>
      </c>
      <c r="K74" s="14">
        <f>'Notes to Accounts'!K408</f>
        <v>2952</v>
      </c>
      <c r="L74" s="14">
        <f>'Notes to Accounts'!L408</f>
        <v>2952</v>
      </c>
      <c r="M74" s="14">
        <f>'Notes to Accounts'!M408</f>
        <v>2952</v>
      </c>
      <c r="N74" s="14">
        <f>'Notes to Accounts'!N408</f>
        <v>2952</v>
      </c>
    </row>
    <row r="75" spans="2:16" ht="20" customHeight="1" thickBot="1" x14ac:dyDescent="0.3">
      <c r="C75" s="17" t="s">
        <v>60</v>
      </c>
      <c r="D75" s="17"/>
      <c r="E75" s="18">
        <f t="shared" ref="E75:N75" si="25">SUM(E66:E74)</f>
        <v>28655.372000000003</v>
      </c>
      <c r="F75" s="18">
        <f t="shared" si="25"/>
        <v>29740</v>
      </c>
      <c r="G75" s="18">
        <f t="shared" si="25"/>
        <v>34309</v>
      </c>
      <c r="H75" s="18">
        <f t="shared" si="25"/>
        <v>52148</v>
      </c>
      <c r="I75" s="18">
        <f t="shared" si="25"/>
        <v>62131</v>
      </c>
      <c r="J75" s="18">
        <f t="shared" si="25"/>
        <v>83946.017455098525</v>
      </c>
      <c r="K75" s="18">
        <f t="shared" si="25"/>
        <v>96721.216511578852</v>
      </c>
      <c r="L75" s="18">
        <f t="shared" si="25"/>
        <v>128535.35816995247</v>
      </c>
      <c r="M75" s="18">
        <f t="shared" si="25"/>
        <v>168441.54582832492</v>
      </c>
      <c r="N75" s="18">
        <f t="shared" si="25"/>
        <v>222353.85767516959</v>
      </c>
    </row>
    <row r="76" spans="2:16" ht="6" customHeight="1" thickTop="1" x14ac:dyDescent="0.25">
      <c r="E76" s="12"/>
      <c r="F76" s="12"/>
      <c r="G76" s="12"/>
      <c r="H76" s="12"/>
      <c r="I76" s="12"/>
      <c r="J76" s="12"/>
      <c r="K76" s="12"/>
      <c r="L76" s="12"/>
      <c r="M76" s="12"/>
      <c r="N76" s="12"/>
    </row>
    <row r="77" spans="2:16" ht="16" x14ac:dyDescent="0.25">
      <c r="B77" s="30" t="s">
        <v>61</v>
      </c>
      <c r="E77" s="12"/>
      <c r="F77" s="12"/>
      <c r="G77" s="12"/>
      <c r="H77" s="12"/>
      <c r="I77" s="12"/>
      <c r="J77" s="12"/>
      <c r="K77" s="12"/>
      <c r="L77" s="12"/>
      <c r="M77" s="12"/>
      <c r="N77" s="12"/>
    </row>
    <row r="78" spans="2:16" ht="16" x14ac:dyDescent="0.25">
      <c r="C78" s="1" t="s">
        <v>62</v>
      </c>
      <c r="J78" s="12"/>
      <c r="K78" s="12"/>
      <c r="L78" s="12"/>
      <c r="M78" s="12"/>
      <c r="N78" s="12"/>
    </row>
    <row r="79" spans="2:16" ht="16" x14ac:dyDescent="0.25">
      <c r="C79" s="13" t="s">
        <v>63</v>
      </c>
      <c r="E79" s="14">
        <f>'Notes to Accounts'!E123</f>
        <v>2390.25</v>
      </c>
      <c r="F79" s="14">
        <f>'Notes to Accounts'!F123</f>
        <v>3405</v>
      </c>
      <c r="G79" s="14">
        <f>'Notes to Accounts'!G123</f>
        <v>3771</v>
      </c>
      <c r="H79" s="14">
        <f>'Notes to Accounts'!H123</f>
        <v>6051</v>
      </c>
      <c r="I79" s="14">
        <f>'Notes to Accounts'!I123</f>
        <v>10025</v>
      </c>
      <c r="J79" s="14">
        <f>'Notes to Accounts'!J123</f>
        <v>15570.811369863011</v>
      </c>
      <c r="K79" s="14">
        <f>'Notes to Accounts'!K123</f>
        <v>16400.583963013702</v>
      </c>
      <c r="L79" s="14">
        <f>'Notes to Accounts'!L123</f>
        <v>19485.030263191256</v>
      </c>
      <c r="M79" s="14">
        <f>'Notes to Accounts'!M123</f>
        <v>23375.729692566794</v>
      </c>
      <c r="N79" s="14">
        <f>'Notes to Accounts'!N123</f>
        <v>27374.350469145546</v>
      </c>
      <c r="P79" s="88"/>
    </row>
    <row r="80" spans="2:16" ht="16" x14ac:dyDescent="0.25">
      <c r="C80" s="13" t="s">
        <v>64</v>
      </c>
      <c r="E80" s="14">
        <f>SUM('Notes to Accounts'!E124:E125)</f>
        <v>2618.6990000000001</v>
      </c>
      <c r="F80" s="14">
        <f>SUM('Notes to Accounts'!F124:F125)</f>
        <v>2597</v>
      </c>
      <c r="G80" s="14">
        <f>SUM('Notes to Accounts'!G124:G125)</f>
        <v>3222</v>
      </c>
      <c r="H80" s="14">
        <f>SUM('Notes to Accounts'!H124:H125)</f>
        <v>3855</v>
      </c>
      <c r="I80" s="14">
        <f>SUM('Notes to Accounts'!I124:I125)</f>
        <v>5719</v>
      </c>
      <c r="J80" s="14">
        <f>SUM('Notes to Accounts'!J124:J125)</f>
        <v>8790.4882465753417</v>
      </c>
      <c r="K80" s="14">
        <f>SUM('Notes to Accounts'!K124:K125)</f>
        <v>9188.528715342467</v>
      </c>
      <c r="L80" s="14">
        <f>SUM('Notes to Accounts'!L124:L125)</f>
        <v>10994.198325377049</v>
      </c>
      <c r="M80" s="14">
        <f>SUM('Notes to Accounts'!M124:M125)</f>
        <v>13069.398014127341</v>
      </c>
      <c r="N80" s="14">
        <f>SUM('Notes to Accounts'!N124:N125)</f>
        <v>15163.463892261207</v>
      </c>
      <c r="P80" s="88"/>
    </row>
    <row r="81" spans="3:16" ht="16" x14ac:dyDescent="0.25">
      <c r="C81" s="13" t="s">
        <v>65</v>
      </c>
      <c r="E81" s="14">
        <f>'Notes to Accounts'!E126</f>
        <v>1015.253</v>
      </c>
      <c r="F81" s="14">
        <f>'Notes to Accounts'!F126</f>
        <v>630</v>
      </c>
      <c r="G81" s="14">
        <f>'Notes to Accounts'!G126</f>
        <v>1163</v>
      </c>
      <c r="H81" s="14">
        <f>'Notes to Accounts'!H126</f>
        <v>1458</v>
      </c>
      <c r="I81" s="14">
        <f>'Notes to Accounts'!I126</f>
        <v>1447</v>
      </c>
      <c r="J81" s="14">
        <f>'Notes to Accounts'!J126</f>
        <v>2518.5404999999996</v>
      </c>
      <c r="K81" s="14">
        <f>'Notes to Accounts'!K126</f>
        <v>2625.5959499999999</v>
      </c>
      <c r="L81" s="14">
        <f>'Notes to Accounts'!L126</f>
        <v>5033.7683415000001</v>
      </c>
      <c r="M81" s="14">
        <f>'Notes to Accounts'!M126</f>
        <v>6287.2401573899997</v>
      </c>
      <c r="N81" s="14">
        <f>'Notes to Accounts'!N126</f>
        <v>7756.8379843266002</v>
      </c>
      <c r="P81" s="88"/>
    </row>
    <row r="82" spans="3:16" ht="16" x14ac:dyDescent="0.25">
      <c r="C82" s="13" t="s">
        <v>66</v>
      </c>
      <c r="E82" s="14">
        <f>'Notes to Accounts'!E127</f>
        <v>853.91899999999998</v>
      </c>
      <c r="F82" s="14">
        <f>'Notes to Accounts'!F127</f>
        <v>793</v>
      </c>
      <c r="G82" s="14">
        <f>'Notes to Accounts'!G127</f>
        <v>726</v>
      </c>
      <c r="H82" s="14">
        <f>'Notes to Accounts'!H127</f>
        <v>752</v>
      </c>
      <c r="I82" s="14">
        <f>'Notes to Accounts'!I127</f>
        <v>925</v>
      </c>
      <c r="J82" s="14">
        <f>'Notes to Accounts'!J127</f>
        <v>2098.7837500000001</v>
      </c>
      <c r="K82" s="14">
        <f>'Notes to Accounts'!K127</f>
        <v>2187.9966250000002</v>
      </c>
      <c r="L82" s="14">
        <f>'Notes to Accounts'!L127</f>
        <v>3915.1531545000003</v>
      </c>
      <c r="M82" s="14">
        <f>'Notes to Accounts'!M127</f>
        <v>4890.0756779700005</v>
      </c>
      <c r="N82" s="14">
        <f>'Notes to Accounts'!N127</f>
        <v>6033.0962100318011</v>
      </c>
      <c r="P82" s="88"/>
    </row>
    <row r="83" spans="3:16" ht="16" x14ac:dyDescent="0.25">
      <c r="C83" s="13" t="s">
        <v>67</v>
      </c>
      <c r="E83" s="14">
        <f>'Notes to Accounts'!E441</f>
        <v>796.54899999999998</v>
      </c>
      <c r="F83" s="14">
        <f>'Notes to Accounts'!F441</f>
        <v>2568</v>
      </c>
      <c r="G83" s="14">
        <f>'Notes to Accounts'!G441</f>
        <v>1785</v>
      </c>
      <c r="H83" s="14">
        <f>'Notes to Accounts'!H441</f>
        <v>2132</v>
      </c>
      <c r="I83" s="14">
        <f>'Notes to Accounts'!I441</f>
        <v>1589</v>
      </c>
      <c r="J83" s="14">
        <f>'Notes to Accounts'!J441</f>
        <v>1531</v>
      </c>
      <c r="K83" s="14">
        <f>'Notes to Accounts'!K441</f>
        <v>1371.6346153846152</v>
      </c>
      <c r="L83" s="14">
        <f>'Notes to Accounts'!L441</f>
        <v>1212.2692307692307</v>
      </c>
      <c r="M83" s="14">
        <f>'Notes to Accounts'!M441</f>
        <v>1052.9038461538462</v>
      </c>
      <c r="N83" s="14">
        <f>'Notes to Accounts'!N441</f>
        <v>893.53846153846143</v>
      </c>
    </row>
    <row r="84" spans="3:16" ht="16" x14ac:dyDescent="0.25">
      <c r="C84" s="15" t="s">
        <v>68</v>
      </c>
      <c r="D84" s="15"/>
      <c r="E84" s="16">
        <f t="shared" ref="E84:N84" si="26">SUM(E79:E83)</f>
        <v>7674.67</v>
      </c>
      <c r="F84" s="16">
        <f t="shared" si="26"/>
        <v>9993</v>
      </c>
      <c r="G84" s="16">
        <f t="shared" si="26"/>
        <v>10667</v>
      </c>
      <c r="H84" s="16">
        <f t="shared" si="26"/>
        <v>14248</v>
      </c>
      <c r="I84" s="16">
        <f t="shared" si="26"/>
        <v>19705</v>
      </c>
      <c r="J84" s="16">
        <f t="shared" si="26"/>
        <v>30509.623866438349</v>
      </c>
      <c r="K84" s="16">
        <f t="shared" si="26"/>
        <v>31774.339868740783</v>
      </c>
      <c r="L84" s="16">
        <f t="shared" si="26"/>
        <v>40640.419315337545</v>
      </c>
      <c r="M84" s="16">
        <f t="shared" si="26"/>
        <v>48675.347388207978</v>
      </c>
      <c r="N84" s="16">
        <f t="shared" si="26"/>
        <v>57221.287017303614</v>
      </c>
    </row>
    <row r="85" spans="3:16" ht="16" x14ac:dyDescent="0.25">
      <c r="C85" s="1" t="s">
        <v>69</v>
      </c>
      <c r="E85" s="14">
        <f>'Notes to Accounts'!E473</f>
        <v>9418.3190000000031</v>
      </c>
      <c r="F85" s="14">
        <f>'Notes to Accounts'!F473</f>
        <v>9404</v>
      </c>
      <c r="G85" s="14">
        <f>'Notes to Accounts'!G473</f>
        <v>11634</v>
      </c>
      <c r="H85" s="14">
        <f>'Notes to Accounts'!H473</f>
        <v>9556</v>
      </c>
      <c r="I85" s="14">
        <f>'Notes to Accounts'!I473</f>
        <v>5245</v>
      </c>
      <c r="J85" s="14">
        <f>'Notes to Accounts'!J473</f>
        <v>2846</v>
      </c>
      <c r="K85" s="14">
        <f>'Notes to Accounts'!K473</f>
        <v>2667.0480769230771</v>
      </c>
      <c r="L85" s="14">
        <f>'Notes to Accounts'!L473</f>
        <v>2488.0961538461538</v>
      </c>
      <c r="M85" s="14">
        <f>'Notes to Accounts'!M473</f>
        <v>2309.1442307692305</v>
      </c>
      <c r="N85" s="14">
        <f>'Notes to Accounts'!N473</f>
        <v>2130.1923076923076</v>
      </c>
    </row>
    <row r="86" spans="3:16" ht="16" x14ac:dyDescent="0.25">
      <c r="C86" s="1" t="s">
        <v>70</v>
      </c>
      <c r="E86" s="14">
        <f>'Notes to Accounts'!E130</f>
        <v>1177.799</v>
      </c>
      <c r="F86" s="14">
        <f>'Notes to Accounts'!F130</f>
        <v>991</v>
      </c>
      <c r="G86" s="14">
        <f>'Notes to Accounts'!G130</f>
        <v>1207</v>
      </c>
      <c r="H86" s="14">
        <f>'Notes to Accounts'!H130</f>
        <v>1284</v>
      </c>
      <c r="I86" s="14">
        <f>'Notes to Accounts'!I130</f>
        <v>2052</v>
      </c>
      <c r="J86" s="14">
        <f>'Notes to Accounts'!J130</f>
        <v>3358.0539999999996</v>
      </c>
      <c r="K86" s="14">
        <f>'Notes to Accounts'!K130</f>
        <v>3500.7946000000002</v>
      </c>
      <c r="L86" s="14">
        <f>'Notes to Accounts'!L130</f>
        <v>5593.0759350000008</v>
      </c>
      <c r="M86" s="14">
        <f>'Notes to Accounts'!M130</f>
        <v>6985.8223971000007</v>
      </c>
      <c r="N86" s="14">
        <f>'Notes to Accounts'!N130</f>
        <v>8618.7088714740003</v>
      </c>
    </row>
    <row r="87" spans="3:16" ht="16" x14ac:dyDescent="0.25">
      <c r="C87" s="1" t="s">
        <v>71</v>
      </c>
      <c r="E87" s="14">
        <f>'Notes to Accounts'!E328</f>
        <v>4752.1920000000009</v>
      </c>
      <c r="F87" s="14">
        <f>'Notes to Accounts'!F328</f>
        <v>3039</v>
      </c>
      <c r="G87" s="14">
        <f>'Notes to Accounts'!G328</f>
        <v>2691</v>
      </c>
      <c r="H87" s="14">
        <f>'Notes to Accounts'!H328</f>
        <v>3330</v>
      </c>
      <c r="I87" s="14">
        <f>'Notes to Accounts'!I328</f>
        <v>3546</v>
      </c>
      <c r="J87" s="14">
        <f>'Notes to Accounts'!J328</f>
        <v>3484.1788283333331</v>
      </c>
      <c r="K87" s="14">
        <f>'Notes to Accounts'!K328</f>
        <v>3440.8139454499997</v>
      </c>
      <c r="L87" s="14">
        <f>'Notes to Accounts'!L328</f>
        <v>3650.8965306266664</v>
      </c>
      <c r="M87" s="14">
        <f>'Notes to Accounts'!M328</f>
        <v>4018.6114928049333</v>
      </c>
      <c r="N87" s="14">
        <f>'Notes to Accounts'!N328</f>
        <v>4573.892244825136</v>
      </c>
      <c r="P87" s="88"/>
    </row>
    <row r="88" spans="3:16" ht="16" x14ac:dyDescent="0.25">
      <c r="C88" s="15" t="s">
        <v>72</v>
      </c>
      <c r="D88" s="15"/>
      <c r="E88" s="16">
        <f t="shared" ref="E88:N88" si="27">SUM(E84:E87)</f>
        <v>23022.980000000003</v>
      </c>
      <c r="F88" s="16">
        <f t="shared" si="27"/>
        <v>23427</v>
      </c>
      <c r="G88" s="16">
        <f t="shared" si="27"/>
        <v>26199</v>
      </c>
      <c r="H88" s="16">
        <f t="shared" si="27"/>
        <v>28418</v>
      </c>
      <c r="I88" s="16">
        <f t="shared" si="27"/>
        <v>30548</v>
      </c>
      <c r="J88" s="16">
        <f t="shared" si="27"/>
        <v>40197.856694771675</v>
      </c>
      <c r="K88" s="16">
        <f t="shared" si="27"/>
        <v>41382.99649111386</v>
      </c>
      <c r="L88" s="16">
        <f t="shared" si="27"/>
        <v>52372.487934810371</v>
      </c>
      <c r="M88" s="16">
        <f t="shared" si="27"/>
        <v>61988.925508882137</v>
      </c>
      <c r="N88" s="16">
        <f t="shared" si="27"/>
        <v>72544.080441295053</v>
      </c>
    </row>
    <row r="89" spans="3:16" ht="4" customHeight="1" x14ac:dyDescent="0.25">
      <c r="E89" s="12"/>
      <c r="F89" s="12"/>
      <c r="G89" s="12"/>
      <c r="H89" s="12"/>
      <c r="I89" s="12"/>
      <c r="J89" s="12"/>
      <c r="K89" s="12"/>
      <c r="L89" s="12"/>
      <c r="M89" s="12"/>
      <c r="N89" s="12"/>
    </row>
    <row r="90" spans="3:16" ht="16" x14ac:dyDescent="0.25">
      <c r="C90" s="1" t="s">
        <v>74</v>
      </c>
      <c r="E90" s="14">
        <f>'Notes to Accounts'!E534</f>
        <v>397.73399999999998</v>
      </c>
      <c r="F90" s="14">
        <f>'Notes to Accounts'!F534</f>
        <v>556</v>
      </c>
      <c r="G90" s="14">
        <f>'Notes to Accounts'!G534</f>
        <v>643</v>
      </c>
      <c r="H90" s="14">
        <f>'Notes to Accounts'!H534</f>
        <v>604</v>
      </c>
      <c r="I90" s="14">
        <f>'Notes to Accounts'!I534</f>
        <v>568</v>
      </c>
      <c r="J90" s="14">
        <f>'Notes to Accounts'!J534</f>
        <v>568</v>
      </c>
      <c r="K90" s="14">
        <f>'Notes to Accounts'!K534</f>
        <v>568</v>
      </c>
      <c r="L90" s="14">
        <f>'Notes to Accounts'!L534</f>
        <v>568</v>
      </c>
      <c r="M90" s="14">
        <f>'Notes to Accounts'!M534</f>
        <v>568</v>
      </c>
      <c r="N90" s="14">
        <f>'Notes to Accounts'!N534</f>
        <v>568</v>
      </c>
    </row>
    <row r="91" spans="3:16" ht="16" x14ac:dyDescent="0.25">
      <c r="C91" s="1" t="s">
        <v>75</v>
      </c>
      <c r="E91" s="14">
        <f>'Ratio Analysis'!W134</f>
        <v>7.0000000000000007E-2</v>
      </c>
      <c r="F91" s="14">
        <f>'Ratio Analysis'!X134</f>
        <v>0</v>
      </c>
      <c r="G91" s="14">
        <f>'Ratio Analysis'!Y134</f>
        <v>0</v>
      </c>
      <c r="H91" s="14">
        <f>'Ratio Analysis'!Z134</f>
        <v>51</v>
      </c>
      <c r="I91" s="14">
        <f>'Ratio Analysis'!AA134</f>
        <v>0</v>
      </c>
      <c r="J91" s="12">
        <f t="shared" ref="J91:N91" si="28">I91</f>
        <v>0</v>
      </c>
      <c r="K91" s="12">
        <f t="shared" si="28"/>
        <v>0</v>
      </c>
      <c r="L91" s="12">
        <f t="shared" si="28"/>
        <v>0</v>
      </c>
      <c r="M91" s="12">
        <f t="shared" si="28"/>
        <v>0</v>
      </c>
      <c r="N91" s="12">
        <f t="shared" si="28"/>
        <v>0</v>
      </c>
    </row>
    <row r="92" spans="3:16" ht="4" customHeight="1" x14ac:dyDescent="0.25">
      <c r="E92" s="14"/>
      <c r="F92" s="14"/>
      <c r="G92" s="14"/>
      <c r="H92" s="14"/>
      <c r="I92" s="14"/>
      <c r="J92" s="12">
        <f t="shared" ref="J92:N92" si="29">I92</f>
        <v>0</v>
      </c>
      <c r="K92" s="12">
        <f t="shared" si="29"/>
        <v>0</v>
      </c>
      <c r="L92" s="12">
        <f t="shared" si="29"/>
        <v>0</v>
      </c>
      <c r="M92" s="12">
        <f t="shared" si="29"/>
        <v>0</v>
      </c>
      <c r="N92" s="12">
        <f t="shared" si="29"/>
        <v>0</v>
      </c>
    </row>
    <row r="93" spans="3:16" ht="16" x14ac:dyDescent="0.25">
      <c r="C93" s="1" t="str">
        <f>'Ratio Analysis'!S138</f>
        <v>Common stock</v>
      </c>
      <c r="E93" s="14">
        <f>'Notes to Accounts'!E535</f>
        <v>0.16900000000000001</v>
      </c>
      <c r="F93" s="14">
        <f>'Notes to Accounts'!F535</f>
        <v>0</v>
      </c>
      <c r="G93" s="14">
        <f>'Notes to Accounts'!G535</f>
        <v>1</v>
      </c>
      <c r="H93" s="14">
        <f>'Notes to Accounts'!H535</f>
        <v>1</v>
      </c>
      <c r="I93" s="14">
        <f>'Notes to Accounts'!I535</f>
        <v>1</v>
      </c>
      <c r="J93" s="14">
        <f>'Notes to Accounts'!J535</f>
        <v>1</v>
      </c>
      <c r="K93" s="14">
        <f>'Notes to Accounts'!K535</f>
        <v>1</v>
      </c>
      <c r="L93" s="14">
        <f>'Notes to Accounts'!L535</f>
        <v>1</v>
      </c>
      <c r="M93" s="14">
        <f>'Notes to Accounts'!M535</f>
        <v>1</v>
      </c>
      <c r="N93" s="14">
        <f>'Notes to Accounts'!N535</f>
        <v>1</v>
      </c>
    </row>
    <row r="94" spans="3:16" ht="16" x14ac:dyDescent="0.25">
      <c r="C94" s="1" t="str">
        <f>'Ratio Analysis'!S139</f>
        <v>Additional paid-in capital</v>
      </c>
      <c r="E94" s="14">
        <f>'Notes to Accounts'!E517</f>
        <v>9178.0239999999994</v>
      </c>
      <c r="F94" s="14">
        <f>'Notes to Accounts'!F517</f>
        <v>10249</v>
      </c>
      <c r="G94" s="14">
        <f>'Notes to Accounts'!G517</f>
        <v>12736</v>
      </c>
      <c r="H94" s="14">
        <f>'Notes to Accounts'!H517</f>
        <v>27260</v>
      </c>
      <c r="I94" s="14">
        <f>'Notes to Accounts'!I517</f>
        <v>29803</v>
      </c>
      <c r="J94" s="14">
        <f>'Notes to Accounts'!J517</f>
        <v>30961</v>
      </c>
      <c r="K94" s="14">
        <f>'Notes to Accounts'!K517</f>
        <v>31055.333333333332</v>
      </c>
      <c r="L94" s="14">
        <f>'Notes to Accounts'!L517</f>
        <v>31149.666666666664</v>
      </c>
      <c r="M94" s="14">
        <f>'Notes to Accounts'!M517</f>
        <v>31243.999999999996</v>
      </c>
      <c r="N94" s="14">
        <f>'Notes to Accounts'!N517</f>
        <v>31243.999999999996</v>
      </c>
    </row>
    <row r="95" spans="3:16" ht="16" x14ac:dyDescent="0.25">
      <c r="C95" s="1" t="str">
        <f>'Ratio Analysis'!S140</f>
        <v>Accumulated other comprehensive income</v>
      </c>
      <c r="E95" s="14">
        <f>'Notes to Accounts'!E536</f>
        <v>33.347999999999999</v>
      </c>
      <c r="F95" s="14">
        <f>'Notes to Accounts'!F536</f>
        <v>-8</v>
      </c>
      <c r="G95" s="14">
        <f>'Notes to Accounts'!G536</f>
        <v>-36</v>
      </c>
      <c r="H95" s="14">
        <f>'Notes to Accounts'!H536</f>
        <v>363</v>
      </c>
      <c r="I95" s="14">
        <f>'Notes to Accounts'!I536</f>
        <v>54</v>
      </c>
      <c r="J95" s="14">
        <f>'Notes to Accounts'!J536</f>
        <v>54</v>
      </c>
      <c r="K95" s="14">
        <f>'Notes to Accounts'!K536</f>
        <v>54</v>
      </c>
      <c r="L95" s="14">
        <f>'Notes to Accounts'!L536</f>
        <v>54</v>
      </c>
      <c r="M95" s="14">
        <f>'Notes to Accounts'!M536</f>
        <v>54</v>
      </c>
      <c r="N95" s="14">
        <f>'Notes to Accounts'!N536</f>
        <v>54</v>
      </c>
    </row>
    <row r="96" spans="3:16" ht="16" x14ac:dyDescent="0.25">
      <c r="C96" s="1" t="str">
        <f>'Ratio Analysis'!S141</f>
        <v>Retained earnings (accumulated deficit)</v>
      </c>
      <c r="E96" s="14">
        <f>'Notes to Accounts'!E504</f>
        <v>-4974.299</v>
      </c>
      <c r="F96" s="14">
        <f>'Notes to Accounts'!F504</f>
        <v>-5318</v>
      </c>
      <c r="G96" s="14">
        <f>'Notes to Accounts'!G504</f>
        <v>-6083</v>
      </c>
      <c r="H96" s="14">
        <f>'Notes to Accounts'!H504</f>
        <v>-5399</v>
      </c>
      <c r="I96" s="14">
        <f>'Notes to Accounts'!I504</f>
        <v>331</v>
      </c>
      <c r="J96" s="14">
        <f>'Notes to Accounts'!J504</f>
        <v>11238.160760326837</v>
      </c>
      <c r="K96" s="14">
        <f>'Notes to Accounts'!K504</f>
        <v>22628.886687131653</v>
      </c>
      <c r="L96" s="14">
        <f>'Notes to Accounts'!L504</f>
        <v>43249.203568475437</v>
      </c>
      <c r="M96" s="14">
        <f>'Notes to Accounts'!M504</f>
        <v>73329.620319442765</v>
      </c>
      <c r="N96" s="14">
        <f>'Notes to Accounts'!N504</f>
        <v>116566.7772338745</v>
      </c>
    </row>
    <row r="97" spans="2:14" ht="16" x14ac:dyDescent="0.25">
      <c r="C97" s="30" t="str">
        <f>'Ratio Analysis'!S142</f>
        <v>Total stockholders' equity</v>
      </c>
      <c r="D97" s="30"/>
      <c r="E97" s="87">
        <f t="shared" ref="E97:N97" si="30">SUM(E93:E96)</f>
        <v>4237.2419999999993</v>
      </c>
      <c r="F97" s="87">
        <f t="shared" si="30"/>
        <v>4923</v>
      </c>
      <c r="G97" s="87">
        <f t="shared" si="30"/>
        <v>6618</v>
      </c>
      <c r="H97" s="87">
        <f t="shared" si="30"/>
        <v>22225</v>
      </c>
      <c r="I97" s="87">
        <f t="shared" si="30"/>
        <v>30189</v>
      </c>
      <c r="J97" s="87">
        <f t="shared" si="30"/>
        <v>42254.160760326835</v>
      </c>
      <c r="K97" s="87">
        <f t="shared" si="30"/>
        <v>53739.220020464985</v>
      </c>
      <c r="L97" s="87">
        <f t="shared" si="30"/>
        <v>74453.870235142094</v>
      </c>
      <c r="M97" s="87">
        <f t="shared" si="30"/>
        <v>104628.62031944277</v>
      </c>
      <c r="N97" s="87">
        <f t="shared" si="30"/>
        <v>147865.77723387448</v>
      </c>
    </row>
    <row r="98" spans="2:14" ht="16" x14ac:dyDescent="0.25">
      <c r="C98" s="1" t="str">
        <f>'Ratio Analysis'!S143</f>
        <v>Noncontrolling interests in subsidiaries</v>
      </c>
      <c r="E98" s="14">
        <f>'Notes to Accounts'!E510</f>
        <v>997.346</v>
      </c>
      <c r="F98" s="14">
        <f>'Notes to Accounts'!F510</f>
        <v>834</v>
      </c>
      <c r="G98" s="14">
        <f>'Notes to Accounts'!G510</f>
        <v>849</v>
      </c>
      <c r="H98" s="14">
        <f>'Notes to Accounts'!H510</f>
        <v>850</v>
      </c>
      <c r="I98" s="14">
        <f>'Notes to Accounts'!I510</f>
        <v>826</v>
      </c>
      <c r="J98" s="14">
        <f>'Notes to Accounts'!J510</f>
        <v>926</v>
      </c>
      <c r="K98" s="14">
        <f>'Notes to Accounts'!K510</f>
        <v>1031</v>
      </c>
      <c r="L98" s="14">
        <f>'Notes to Accounts'!L510</f>
        <v>1141</v>
      </c>
      <c r="M98" s="14">
        <f>'Notes to Accounts'!M510</f>
        <v>1256</v>
      </c>
      <c r="N98" s="14">
        <f>'Notes to Accounts'!N510</f>
        <v>1376</v>
      </c>
    </row>
    <row r="99" spans="2:14" ht="20" customHeight="1" thickBot="1" x14ac:dyDescent="0.3">
      <c r="C99" s="17" t="str">
        <f>'Ratio Analysis'!S144</f>
        <v>Total liabilities and equity</v>
      </c>
      <c r="D99" s="17"/>
      <c r="E99" s="18">
        <f t="shared" ref="E99:N99" si="31">SUM(E97:E98,E90:E91,E88)</f>
        <v>28655.372000000003</v>
      </c>
      <c r="F99" s="18">
        <f t="shared" si="31"/>
        <v>29740</v>
      </c>
      <c r="G99" s="18">
        <f t="shared" si="31"/>
        <v>34309</v>
      </c>
      <c r="H99" s="18">
        <f t="shared" si="31"/>
        <v>52148</v>
      </c>
      <c r="I99" s="18">
        <f t="shared" si="31"/>
        <v>62131</v>
      </c>
      <c r="J99" s="18">
        <f t="shared" si="31"/>
        <v>83946.01745509851</v>
      </c>
      <c r="K99" s="18">
        <f t="shared" si="31"/>
        <v>96721.216511578852</v>
      </c>
      <c r="L99" s="18">
        <f t="shared" si="31"/>
        <v>128535.35816995247</v>
      </c>
      <c r="M99" s="18">
        <f t="shared" si="31"/>
        <v>168441.54582832492</v>
      </c>
      <c r="N99" s="18">
        <f t="shared" si="31"/>
        <v>222353.85767516954</v>
      </c>
    </row>
    <row r="100" spans="2:14" ht="6" customHeight="1" thickTop="1" x14ac:dyDescent="0.25"/>
    <row r="101" spans="2:14" ht="16" x14ac:dyDescent="0.25">
      <c r="C101" s="55" t="s">
        <v>312</v>
      </c>
      <c r="D101" s="55"/>
      <c r="E101" s="90">
        <f t="shared" ref="E101:N101" si="32">E75-E99</f>
        <v>0</v>
      </c>
      <c r="F101" s="90">
        <f t="shared" si="32"/>
        <v>0</v>
      </c>
      <c r="G101" s="90">
        <f t="shared" si="32"/>
        <v>0</v>
      </c>
      <c r="H101" s="90">
        <f t="shared" si="32"/>
        <v>0</v>
      </c>
      <c r="I101" s="90">
        <f t="shared" si="32"/>
        <v>0</v>
      </c>
      <c r="J101" s="90">
        <f t="shared" si="32"/>
        <v>0</v>
      </c>
      <c r="K101" s="90">
        <f t="shared" si="32"/>
        <v>0</v>
      </c>
      <c r="L101" s="90">
        <f t="shared" si="32"/>
        <v>0</v>
      </c>
      <c r="M101" s="90">
        <f t="shared" si="32"/>
        <v>0</v>
      </c>
      <c r="N101" s="90">
        <f t="shared" si="32"/>
        <v>0</v>
      </c>
    </row>
    <row r="102" spans="2:14" ht="6" customHeight="1" x14ac:dyDescent="0.25"/>
    <row r="103" spans="2:14" ht="15" customHeight="1" x14ac:dyDescent="0.25"/>
    <row r="105" spans="2:14" ht="6" customHeight="1" x14ac:dyDescent="0.25"/>
    <row r="106" spans="2:14" ht="20" customHeight="1" x14ac:dyDescent="0.25">
      <c r="B106" s="2" t="str">
        <f>'Cover Page'!$C$18</f>
        <v>Tesla, Inc.</v>
      </c>
      <c r="C106" s="3"/>
      <c r="D106" s="3"/>
      <c r="E106" s="3"/>
      <c r="F106" s="3"/>
      <c r="G106" s="3"/>
      <c r="H106" s="3"/>
      <c r="I106" s="3"/>
      <c r="J106" s="3"/>
      <c r="K106" s="3"/>
      <c r="L106" s="3"/>
      <c r="M106" s="3"/>
      <c r="N106" s="3"/>
    </row>
    <row r="107" spans="2:14" ht="15" customHeight="1" x14ac:dyDescent="0.25">
      <c r="B107" s="4" t="s">
        <v>385</v>
      </c>
      <c r="C107" s="4"/>
      <c r="D107" s="4"/>
      <c r="E107" s="4"/>
      <c r="F107" s="4"/>
      <c r="G107" s="4"/>
      <c r="H107" s="4"/>
      <c r="I107" s="4"/>
      <c r="J107" s="4"/>
      <c r="K107" s="4"/>
      <c r="L107" s="4"/>
      <c r="M107" s="4"/>
      <c r="N107" s="4"/>
    </row>
    <row r="108" spans="2:14" ht="6" customHeight="1" thickBot="1" x14ac:dyDescent="0.3">
      <c r="B108" s="5"/>
      <c r="C108" s="5"/>
      <c r="D108" s="5"/>
      <c r="E108" s="5"/>
      <c r="F108" s="5"/>
      <c r="G108" s="5"/>
      <c r="H108" s="5"/>
      <c r="I108" s="5"/>
      <c r="J108" s="5"/>
      <c r="K108" s="5"/>
      <c r="L108" s="5"/>
      <c r="M108" s="5"/>
      <c r="N108" s="5"/>
    </row>
    <row r="109" spans="2:14" ht="15" customHeight="1" x14ac:dyDescent="0.25">
      <c r="B109" s="117" t="str">
        <f>Scenarios!$B$5</f>
        <v>$ MM's ( unless otherwise specified )</v>
      </c>
      <c r="C109" s="117"/>
      <c r="D109" s="117"/>
      <c r="E109" s="117"/>
      <c r="F109" s="117"/>
      <c r="G109" s="117"/>
      <c r="H109" s="117"/>
      <c r="I109" s="117"/>
      <c r="J109" s="117"/>
      <c r="K109" s="117"/>
      <c r="L109" s="117"/>
      <c r="M109" s="117"/>
      <c r="N109" s="121" t="str">
        <f>Scenarios!$N$5</f>
        <v>Based on: Base Case Senario</v>
      </c>
    </row>
    <row r="110" spans="2:14" ht="6" customHeight="1" x14ac:dyDescent="0.25"/>
    <row r="111" spans="2:14" ht="15" customHeight="1" x14ac:dyDescent="0.25">
      <c r="E111" s="6" t="s">
        <v>7</v>
      </c>
      <c r="F111" s="7"/>
      <c r="G111" s="7"/>
      <c r="H111" s="7"/>
      <c r="I111" s="7"/>
      <c r="J111" s="8" t="s">
        <v>6</v>
      </c>
      <c r="K111" s="9"/>
      <c r="L111" s="9"/>
      <c r="M111" s="9"/>
      <c r="N111" s="9"/>
    </row>
    <row r="112" spans="2:14" ht="15" customHeight="1" x14ac:dyDescent="0.25">
      <c r="E112" s="10">
        <f t="shared" ref="E112" si="33">F112-1</f>
        <v>2017</v>
      </c>
      <c r="F112" s="10">
        <f t="shared" ref="F112" si="34">G112-1</f>
        <v>2018</v>
      </c>
      <c r="G112" s="10">
        <f t="shared" ref="G112" si="35">H112-1</f>
        <v>2019</v>
      </c>
      <c r="H112" s="10">
        <f t="shared" ref="H112" si="36">I112-1</f>
        <v>2020</v>
      </c>
      <c r="I112" s="10">
        <f t="shared" ref="I112" si="37">J112-1</f>
        <v>2021</v>
      </c>
      <c r="J112" s="11">
        <v>2022</v>
      </c>
      <c r="K112" s="11">
        <f>J112+1</f>
        <v>2023</v>
      </c>
      <c r="L112" s="11">
        <f t="shared" ref="L112" si="38">K112+1</f>
        <v>2024</v>
      </c>
      <c r="M112" s="11">
        <f t="shared" ref="M112" si="39">L112+1</f>
        <v>2025</v>
      </c>
      <c r="N112" s="11">
        <f t="shared" ref="N112" si="40">M112+1</f>
        <v>2026</v>
      </c>
    </row>
    <row r="114" spans="2:14" ht="16" x14ac:dyDescent="0.25">
      <c r="B114" s="30" t="str">
        <f>'Ratio Analysis'!R408</f>
        <v>Cash Flows from Operating Activities</v>
      </c>
    </row>
    <row r="115" spans="2:14" ht="6" customHeight="1" x14ac:dyDescent="0.25"/>
    <row r="116" spans="2:14" ht="16" x14ac:dyDescent="0.25">
      <c r="C116" s="1" t="s">
        <v>364</v>
      </c>
      <c r="E116" s="12">
        <f t="shared" ref="E116:N116" si="41">E33</f>
        <v>-2241</v>
      </c>
      <c r="F116" s="12">
        <f t="shared" si="41"/>
        <v>-1063</v>
      </c>
      <c r="G116" s="12">
        <f t="shared" si="41"/>
        <v>-775</v>
      </c>
      <c r="H116" s="12">
        <f t="shared" si="41"/>
        <v>862</v>
      </c>
      <c r="I116" s="12">
        <f t="shared" si="41"/>
        <v>5644</v>
      </c>
      <c r="J116" s="12">
        <f t="shared" si="41"/>
        <v>11007.160760326837</v>
      </c>
      <c r="K116" s="12">
        <f t="shared" si="41"/>
        <v>11495.725926804816</v>
      </c>
      <c r="L116" s="12">
        <f t="shared" si="41"/>
        <v>20730.316881343784</v>
      </c>
      <c r="M116" s="12">
        <f t="shared" si="41"/>
        <v>30195.416750967321</v>
      </c>
      <c r="N116" s="12">
        <f t="shared" si="41"/>
        <v>43357.156914431733</v>
      </c>
    </row>
    <row r="117" spans="2:14" ht="16" x14ac:dyDescent="0.25">
      <c r="C117" s="1" t="s">
        <v>365</v>
      </c>
      <c r="E117" s="12"/>
      <c r="F117" s="12"/>
      <c r="G117" s="12"/>
      <c r="H117" s="12"/>
      <c r="I117" s="12"/>
      <c r="J117" s="12"/>
      <c r="K117" s="12"/>
      <c r="L117" s="12"/>
      <c r="M117" s="12"/>
      <c r="N117" s="12"/>
    </row>
    <row r="118" spans="2:14" ht="16" x14ac:dyDescent="0.25">
      <c r="C118" s="13" t="s">
        <v>366</v>
      </c>
      <c r="E118" s="14">
        <f>'Ratio Analysis'!W411</f>
        <v>1636</v>
      </c>
      <c r="F118" s="14">
        <f>'Ratio Analysis'!X411</f>
        <v>1901</v>
      </c>
      <c r="G118" s="14">
        <f>'Ratio Analysis'!Y411</f>
        <v>2154</v>
      </c>
      <c r="H118" s="14">
        <f>'Ratio Analysis'!Z411</f>
        <v>2322</v>
      </c>
      <c r="I118" s="14">
        <f>'Ratio Analysis'!AA411</f>
        <v>2911</v>
      </c>
      <c r="J118" s="14">
        <f>'Notes to Accounts'!J156+'Notes to Accounts'!J189+'Notes to Accounts'!J226-'Notes to Accounts'!J367-'Notes to Accounts'!J387-'Notes to Accounts'!J252-'Notes to Accounts'!J258</f>
        <v>3929.4730780825607</v>
      </c>
      <c r="K118" s="14">
        <f>'Notes to Accounts'!K156+'Notes to Accounts'!K189+'Notes to Accounts'!K226-'Notes to Accounts'!K367-'Notes to Accounts'!K387-'Notes to Accounts'!K252-'Notes to Accounts'!K258</f>
        <v>4672.0334359365497</v>
      </c>
      <c r="L118" s="14">
        <f>'Notes to Accounts'!L156+'Notes to Accounts'!L189+'Notes to Accounts'!L226-'Notes to Accounts'!L367-'Notes to Accounts'!L387-'Notes to Accounts'!L252-'Notes to Accounts'!L258</f>
        <v>5721.4929092903849</v>
      </c>
      <c r="M118" s="14">
        <f>'Notes to Accounts'!M156+'Notes to Accounts'!M189+'Notes to Accounts'!M226-'Notes to Accounts'!M367-'Notes to Accounts'!M387-'Notes to Accounts'!M252-'Notes to Accounts'!M258</f>
        <v>5506.9927456788828</v>
      </c>
      <c r="N118" s="14">
        <f>'Notes to Accounts'!N156+'Notes to Accounts'!N189+'Notes to Accounts'!N226-'Notes to Accounts'!N367-'Notes to Accounts'!N387-'Notes to Accounts'!N252-'Notes to Accounts'!N258</f>
        <v>7020.1172212787524</v>
      </c>
    </row>
    <row r="119" spans="2:14" ht="16" x14ac:dyDescent="0.25">
      <c r="C119" s="13" t="str">
        <f>'Ratio Analysis'!S412</f>
        <v>Stock-based compensation</v>
      </c>
      <c r="E119" s="14">
        <f>'Notes to Accounts'!E54</f>
        <v>467</v>
      </c>
      <c r="F119" s="14">
        <f>'Notes to Accounts'!F54</f>
        <v>749</v>
      </c>
      <c r="G119" s="14">
        <f>'Notes to Accounts'!G54</f>
        <v>898</v>
      </c>
      <c r="H119" s="14">
        <f>'Notes to Accounts'!H54</f>
        <v>1734</v>
      </c>
      <c r="I119" s="14">
        <f>'Notes to Accounts'!I54</f>
        <v>2121</v>
      </c>
      <c r="J119" s="14">
        <f>'Notes to Accounts'!J54</f>
        <v>913</v>
      </c>
      <c r="K119" s="14">
        <f>'Notes to Accounts'!K54</f>
        <v>94.333333333333329</v>
      </c>
      <c r="L119" s="14">
        <f>'Notes to Accounts'!L54</f>
        <v>94.333333333333329</v>
      </c>
      <c r="M119" s="14">
        <f>'Notes to Accounts'!M54</f>
        <v>94.333333333333329</v>
      </c>
      <c r="N119" s="14">
        <f>'Notes to Accounts'!N54</f>
        <v>0</v>
      </c>
    </row>
    <row r="120" spans="2:14" ht="16" x14ac:dyDescent="0.25">
      <c r="C120" s="13" t="s">
        <v>368</v>
      </c>
      <c r="E120" s="14">
        <f>'Ratio Analysis'!W418</f>
        <v>135</v>
      </c>
      <c r="F120" s="14">
        <f>'Ratio Analysis'!X418</f>
        <v>49</v>
      </c>
      <c r="G120" s="14">
        <f>'Ratio Analysis'!Y418</f>
        <v>186</v>
      </c>
      <c r="H120" s="14">
        <f>'Ratio Analysis'!Z418</f>
        <v>228</v>
      </c>
      <c r="I120" s="14">
        <f>'Ratio Analysis'!AA418</f>
        <v>245</v>
      </c>
      <c r="J120" s="14">
        <f>-'Notes to Accounts'!J402</f>
        <v>-814</v>
      </c>
      <c r="K120" s="14">
        <f>-'Notes to Accounts'!K402</f>
        <v>0</v>
      </c>
      <c r="L120" s="14">
        <f>-'Notes to Accounts'!L402</f>
        <v>0</v>
      </c>
      <c r="M120" s="14">
        <f>-'Notes to Accounts'!M402</f>
        <v>0</v>
      </c>
      <c r="N120" s="14">
        <f>-'Notes to Accounts'!N402</f>
        <v>0</v>
      </c>
    </row>
    <row r="121" spans="2:14" ht="16" x14ac:dyDescent="0.25">
      <c r="C121" s="13" t="s">
        <v>367</v>
      </c>
      <c r="E121" s="14">
        <f>SUM('Ratio Analysis'!W413:W417,'Ratio Analysis'!W419:W420)</f>
        <v>439</v>
      </c>
      <c r="F121" s="14">
        <f>SUM('Ratio Analysis'!X413:X417,'Ratio Analysis'!X419:X420)</f>
        <v>404</v>
      </c>
      <c r="G121" s="14">
        <f>SUM('Ratio Analysis'!Y413:Y417,'Ratio Analysis'!Y419:Y420)</f>
        <v>291</v>
      </c>
      <c r="H121" s="14">
        <f>SUM('Ratio Analysis'!Z413:Z417,'Ratio Analysis'!Z419:Z420)</f>
        <v>613</v>
      </c>
      <c r="I121" s="14">
        <f>SUM('Ratio Analysis'!AA413:AA417,'Ratio Analysis'!AA419:AA420)</f>
        <v>58</v>
      </c>
      <c r="J121" s="12"/>
      <c r="K121" s="12"/>
      <c r="L121" s="12"/>
      <c r="M121" s="12"/>
      <c r="N121" s="12"/>
    </row>
    <row r="122" spans="2:14" ht="16" x14ac:dyDescent="0.25">
      <c r="C122" s="1" t="s">
        <v>369</v>
      </c>
      <c r="E122" s="14"/>
      <c r="F122" s="14"/>
      <c r="G122" s="14"/>
      <c r="H122" s="14"/>
      <c r="I122" s="14"/>
      <c r="J122" s="12"/>
      <c r="K122" s="12"/>
      <c r="L122" s="12"/>
      <c r="M122" s="12"/>
      <c r="N122" s="12"/>
    </row>
    <row r="123" spans="2:14" ht="16" x14ac:dyDescent="0.25">
      <c r="C123" s="13" t="str">
        <f>'Ratio Analysis'!S422</f>
        <v>Accounts receivable</v>
      </c>
      <c r="E123" s="14">
        <f>'Ratio Analysis'!W422</f>
        <v>-25</v>
      </c>
      <c r="F123" s="14">
        <f>'Ratio Analysis'!X422</f>
        <v>-497</v>
      </c>
      <c r="G123" s="14">
        <f>'Ratio Analysis'!Y422</f>
        <v>-367</v>
      </c>
      <c r="H123" s="14">
        <f>'Ratio Analysis'!Z422</f>
        <v>-652</v>
      </c>
      <c r="I123" s="14">
        <f>'Ratio Analysis'!AA422</f>
        <v>-130</v>
      </c>
      <c r="J123" s="14">
        <f>'Notes to Accounts'!I118-'Notes to Accounts'!J118</f>
        <v>-1192.0499315068491</v>
      </c>
      <c r="K123" s="14">
        <f>'Notes to Accounts'!J118-'Notes to Accounts'!K118</f>
        <v>-131.98617123287704</v>
      </c>
      <c r="L123" s="14">
        <f>'Notes to Accounts'!K118-'Notes to Accounts'!L118</f>
        <v>-736.18723906355262</v>
      </c>
      <c r="M123" s="14">
        <f>'Notes to Accounts'!L118-'Notes to Accounts'!M118</f>
        <v>-1002.9789136652139</v>
      </c>
      <c r="N123" s="14">
        <f>'Notes to Accounts'!M118-'Notes to Accounts'!N118</f>
        <v>-1163.1520091431239</v>
      </c>
    </row>
    <row r="124" spans="2:14" ht="16" x14ac:dyDescent="0.25">
      <c r="C124" s="13" t="str">
        <f>'Ratio Analysis'!S423</f>
        <v>Inventory</v>
      </c>
      <c r="E124" s="14">
        <f>'Ratio Analysis'!W423</f>
        <v>-179</v>
      </c>
      <c r="F124" s="14">
        <f>'Ratio Analysis'!X423</f>
        <v>-1023</v>
      </c>
      <c r="G124" s="14">
        <f>'Ratio Analysis'!Y423</f>
        <v>-429</v>
      </c>
      <c r="H124" s="14">
        <f>'Ratio Analysis'!Z423</f>
        <v>-422</v>
      </c>
      <c r="I124" s="14">
        <f>'Ratio Analysis'!AA423</f>
        <v>-1709</v>
      </c>
      <c r="J124" s="14">
        <f>'Notes to Accounts'!I119-'Notes to Accounts'!J119</f>
        <v>-3164.6540821917806</v>
      </c>
      <c r="K124" s="14">
        <f>'Notes to Accounts'!J119-'Notes to Accounts'!K119</f>
        <v>-475.43726958904153</v>
      </c>
      <c r="L124" s="14">
        <f>'Notes to Accounts'!K119-'Notes to Accounts'!L119</f>
        <v>-1022.7109280005989</v>
      </c>
      <c r="M124" s="14">
        <f>'Notes to Accounts'!L119-'Notes to Accounts'!M119</f>
        <v>-2080.5879301473433</v>
      </c>
      <c r="N124" s="14">
        <f>'Notes to Accounts'!M119-'Notes to Accounts'!N119</f>
        <v>-2138.2998805234001</v>
      </c>
    </row>
    <row r="125" spans="2:14" ht="16" x14ac:dyDescent="0.25">
      <c r="C125" s="13" t="str">
        <f>'Ratio Analysis'!S424</f>
        <v>Operating lease vehicles</v>
      </c>
      <c r="E125" s="14">
        <f>'Ratio Analysis'!W424</f>
        <v>-1523</v>
      </c>
      <c r="F125" s="14">
        <f>'Ratio Analysis'!X424</f>
        <v>-215</v>
      </c>
      <c r="G125" s="14">
        <f>'Ratio Analysis'!Y424</f>
        <v>-764</v>
      </c>
      <c r="H125" s="14">
        <f>'Ratio Analysis'!Z424</f>
        <v>-1072</v>
      </c>
      <c r="I125" s="14">
        <f>'Ratio Analysis'!AA424</f>
        <v>-2114</v>
      </c>
      <c r="J125" s="12"/>
      <c r="K125" s="12"/>
      <c r="L125" s="12"/>
      <c r="M125" s="12"/>
      <c r="N125" s="12"/>
    </row>
    <row r="126" spans="2:14" ht="16" x14ac:dyDescent="0.25">
      <c r="C126" s="13" t="str">
        <f>'Ratio Analysis'!S425</f>
        <v>Prepaid expenses &amp; other current assets</v>
      </c>
      <c r="E126" s="14">
        <f>'Ratio Analysis'!W425</f>
        <v>-72</v>
      </c>
      <c r="F126" s="14">
        <f>'Ratio Analysis'!X425</f>
        <v>-82</v>
      </c>
      <c r="G126" s="14">
        <f>'Ratio Analysis'!Y425</f>
        <v>-288</v>
      </c>
      <c r="H126" s="14">
        <f>'Ratio Analysis'!Z425</f>
        <v>-251</v>
      </c>
      <c r="I126" s="14">
        <f>'Ratio Analysis'!AA425</f>
        <v>-271</v>
      </c>
      <c r="J126" s="14">
        <f>'Notes to Accounts'!I120-'Notes to Accounts'!J120</f>
        <v>-433.64383561643831</v>
      </c>
      <c r="K126" s="14">
        <f>'Notes to Accounts'!J120-'Notes to Accounts'!K120</f>
        <v>44.334246575342377</v>
      </c>
      <c r="L126" s="14">
        <f>'Notes to Accounts'!K120-'Notes to Accounts'!L120</f>
        <v>-252.73959128677257</v>
      </c>
      <c r="M126" s="14">
        <f>'Notes to Accounts'!L120-'Notes to Accounts'!M120</f>
        <v>-291.69054569952846</v>
      </c>
      <c r="N126" s="14">
        <f>'Notes to Accounts'!M120-'Notes to Accounts'!N120</f>
        <v>-266.05479452054806</v>
      </c>
    </row>
    <row r="127" spans="2:14" ht="16" x14ac:dyDescent="0.25">
      <c r="C127" s="13" t="str">
        <f>'Ratio Analysis'!S426</f>
        <v>Other non-current assets</v>
      </c>
      <c r="E127" s="14">
        <f>'Ratio Analysis'!W426</f>
        <v>-15</v>
      </c>
      <c r="F127" s="14">
        <f>'Ratio Analysis'!X426</f>
        <v>-207</v>
      </c>
      <c r="G127" s="14">
        <f>'Ratio Analysis'!Y426</f>
        <v>115</v>
      </c>
      <c r="H127" s="14">
        <f>'Ratio Analysis'!Z426</f>
        <v>-344</v>
      </c>
      <c r="I127" s="14">
        <f>'Ratio Analysis'!AA426</f>
        <v>-1291</v>
      </c>
      <c r="J127" s="12"/>
      <c r="K127" s="12"/>
      <c r="L127" s="12"/>
      <c r="M127" s="12"/>
      <c r="N127" s="12"/>
    </row>
    <row r="128" spans="2:14" ht="16" x14ac:dyDescent="0.25">
      <c r="C128" s="13" t="str">
        <f>'Ratio Analysis'!S427</f>
        <v>Accounts payable &amp; accrued liabilities</v>
      </c>
      <c r="E128" s="14">
        <f>'Ratio Analysis'!W427</f>
        <v>388</v>
      </c>
      <c r="F128" s="14">
        <f>'Ratio Analysis'!X427</f>
        <v>1723</v>
      </c>
      <c r="G128" s="14">
        <f>'Ratio Analysis'!Y427</f>
        <v>682</v>
      </c>
      <c r="H128" s="14">
        <f>'Ratio Analysis'!Z427</f>
        <v>2102</v>
      </c>
      <c r="I128" s="14">
        <f>'Ratio Analysis'!AA427</f>
        <v>4578</v>
      </c>
      <c r="J128" s="14">
        <f>SUM('Notes to Accounts'!J123:J124)-SUM('Notes to Accounts'!I123:I124)</f>
        <v>8527.2996164383512</v>
      </c>
      <c r="K128" s="14">
        <f>SUM('Notes to Accounts'!K123:K124)-SUM('Notes to Accounts'!J123:J124)</f>
        <v>1273.8130619178191</v>
      </c>
      <c r="L128" s="14">
        <f>SUM('Notes to Accounts'!L123:L124)-SUM('Notes to Accounts'!K123:K124)</f>
        <v>4936.1159102121346</v>
      </c>
      <c r="M128" s="14">
        <f>SUM('Notes to Accounts'!M123:M124)-SUM('Notes to Accounts'!L123:L124)</f>
        <v>6012.899118125828</v>
      </c>
      <c r="N128" s="14">
        <f>SUM('Notes to Accounts'!N123:N124)-SUM('Notes to Accounts'!M123:M124)</f>
        <v>6179.6866547126192</v>
      </c>
    </row>
    <row r="129" spans="2:14" ht="16" x14ac:dyDescent="0.25">
      <c r="C129" s="13" t="str">
        <f>'Ratio Analysis'!S428</f>
        <v>Deferred revenue</v>
      </c>
      <c r="E129" s="14">
        <f>'Ratio Analysis'!W428</f>
        <v>469</v>
      </c>
      <c r="F129" s="14">
        <f>'Ratio Analysis'!X428</f>
        <v>406</v>
      </c>
      <c r="G129" s="14">
        <f>'Ratio Analysis'!Y428</f>
        <v>801</v>
      </c>
      <c r="H129" s="14">
        <f>'Ratio Analysis'!Z428</f>
        <v>321</v>
      </c>
      <c r="I129" s="14">
        <f>'Ratio Analysis'!AA428</f>
        <v>793</v>
      </c>
      <c r="J129" s="14">
        <f>SUM('Notes to Accounts'!J126,'Notes to Accounts'!J130)-SUM('Notes to Accounts'!I126,'Notes to Accounts'!I130)</f>
        <v>2377.5944999999992</v>
      </c>
      <c r="K129" s="14">
        <f>SUM('Notes to Accounts'!K126,'Notes to Accounts'!K130)-SUM('Notes to Accounts'!J126,'Notes to Accounts'!J130)</f>
        <v>249.79605000000083</v>
      </c>
      <c r="L129" s="14">
        <f>SUM('Notes to Accounts'!L126,'Notes to Accounts'!L130)-SUM('Notes to Accounts'!K126,'Notes to Accounts'!K130)</f>
        <v>4500.4537264999999</v>
      </c>
      <c r="M129" s="14">
        <f>SUM('Notes to Accounts'!M126,'Notes to Accounts'!M130)-SUM('Notes to Accounts'!L126,'Notes to Accounts'!L130)</f>
        <v>2646.2182779899995</v>
      </c>
      <c r="N129" s="14">
        <f>SUM('Notes to Accounts'!N126,'Notes to Accounts'!N130)-SUM('Notes to Accounts'!M126,'Notes to Accounts'!M130)</f>
        <v>3102.4843013106001</v>
      </c>
    </row>
    <row r="130" spans="2:14" ht="16" x14ac:dyDescent="0.25">
      <c r="C130" s="13" t="str">
        <f>'Ratio Analysis'!S429</f>
        <v>Customer deposits</v>
      </c>
      <c r="E130" s="14">
        <f>'Ratio Analysis'!W429</f>
        <v>170</v>
      </c>
      <c r="F130" s="14">
        <f>'Ratio Analysis'!X429</f>
        <v>-96</v>
      </c>
      <c r="G130" s="14">
        <f>'Ratio Analysis'!Y429</f>
        <v>-58</v>
      </c>
      <c r="H130" s="14">
        <f>'Ratio Analysis'!Z429</f>
        <v>7</v>
      </c>
      <c r="I130" s="14">
        <f>'Ratio Analysis'!AA429</f>
        <v>186</v>
      </c>
      <c r="J130" s="14">
        <f>'Notes to Accounts'!J127-'Notes to Accounts'!I127</f>
        <v>1173.7837500000001</v>
      </c>
      <c r="K130" s="14">
        <f>'Notes to Accounts'!K127-'Notes to Accounts'!J127</f>
        <v>89.212875000000167</v>
      </c>
      <c r="L130" s="14">
        <f>'Notes to Accounts'!L127-'Notes to Accounts'!K127</f>
        <v>1727.1565295</v>
      </c>
      <c r="M130" s="14">
        <f>'Notes to Accounts'!M127-'Notes to Accounts'!L127</f>
        <v>974.92252347000021</v>
      </c>
      <c r="N130" s="14">
        <f>'Notes to Accounts'!N127-'Notes to Accounts'!M127</f>
        <v>1143.0205320618006</v>
      </c>
    </row>
    <row r="131" spans="2:14" ht="16" x14ac:dyDescent="0.25">
      <c r="C131" s="13" t="str">
        <f>'Ratio Analysis'!S431</f>
        <v>Other long-term liabilities</v>
      </c>
      <c r="E131" s="14">
        <f>SUM('Ratio Analysis'!W430:W431)</f>
        <v>289.95900000000256</v>
      </c>
      <c r="F131" s="14">
        <f>SUM('Ratio Analysis'!X430:X431)</f>
        <v>49.040999999997439</v>
      </c>
      <c r="G131" s="14">
        <f>SUM('Ratio Analysis'!Y430:Y431)</f>
        <v>-41</v>
      </c>
      <c r="H131" s="14">
        <f>SUM('Ratio Analysis'!Z430:Z431)</f>
        <v>495</v>
      </c>
      <c r="I131" s="14">
        <f>SUM('Ratio Analysis'!AA430:AA431)</f>
        <v>476</v>
      </c>
      <c r="J131" s="12"/>
      <c r="K131" s="12"/>
      <c r="L131" s="12"/>
      <c r="M131" s="12"/>
      <c r="N131" s="12"/>
    </row>
    <row r="132" spans="2:14" ht="16" x14ac:dyDescent="0.25">
      <c r="C132" s="15" t="s">
        <v>372</v>
      </c>
      <c r="D132" s="15"/>
      <c r="E132" s="16">
        <f t="shared" ref="E132:N132" si="42">SUM(E116:E131)</f>
        <v>-61.040999999997439</v>
      </c>
      <c r="F132" s="16">
        <f t="shared" si="42"/>
        <v>2098.0409999999974</v>
      </c>
      <c r="G132" s="16">
        <f t="shared" si="42"/>
        <v>2405</v>
      </c>
      <c r="H132" s="16">
        <f t="shared" si="42"/>
        <v>5943</v>
      </c>
      <c r="I132" s="16">
        <f t="shared" si="42"/>
        <v>11497</v>
      </c>
      <c r="J132" s="16">
        <f t="shared" si="42"/>
        <v>22323.963855532678</v>
      </c>
      <c r="K132" s="16">
        <f t="shared" si="42"/>
        <v>17311.825488745948</v>
      </c>
      <c r="L132" s="16">
        <f t="shared" si="42"/>
        <v>35698.231531828715</v>
      </c>
      <c r="M132" s="16">
        <f t="shared" si="42"/>
        <v>42055.525360053274</v>
      </c>
      <c r="N132" s="16">
        <f t="shared" si="42"/>
        <v>57234.958939608434</v>
      </c>
    </row>
    <row r="133" spans="2:14" ht="6" customHeight="1" x14ac:dyDescent="0.25">
      <c r="E133" s="12"/>
      <c r="F133" s="12"/>
      <c r="G133" s="12"/>
      <c r="H133" s="12"/>
      <c r="I133" s="12"/>
      <c r="J133" s="12"/>
      <c r="K133" s="12"/>
      <c r="L133" s="12"/>
      <c r="M133" s="12"/>
      <c r="N133" s="12"/>
    </row>
    <row r="134" spans="2:14" ht="16" x14ac:dyDescent="0.25">
      <c r="B134" s="30" t="str">
        <f>'Ratio Analysis'!R435</f>
        <v>Cash Flows from Investing Activities</v>
      </c>
      <c r="E134" s="12"/>
      <c r="F134" s="12"/>
      <c r="G134" s="12"/>
      <c r="H134" s="12"/>
      <c r="I134" s="12"/>
      <c r="J134" s="12"/>
      <c r="K134" s="12"/>
      <c r="L134" s="12"/>
      <c r="M134" s="12"/>
      <c r="N134" s="12"/>
    </row>
    <row r="135" spans="2:14" ht="6" customHeight="1" x14ac:dyDescent="0.25">
      <c r="E135" s="12"/>
      <c r="F135" s="12"/>
      <c r="G135" s="12"/>
      <c r="H135" s="12"/>
      <c r="I135" s="12"/>
      <c r="J135" s="12"/>
      <c r="K135" s="12"/>
      <c r="L135" s="12"/>
      <c r="M135" s="12"/>
      <c r="N135" s="12"/>
    </row>
    <row r="136" spans="2:14" ht="16" x14ac:dyDescent="0.25">
      <c r="C136" s="1" t="str">
        <f>'Ratio Analysis'!S435</f>
        <v xml:space="preserve">Purchases of property and equipment </v>
      </c>
      <c r="E136" s="14">
        <f>'Ratio Analysis'!W435</f>
        <v>-3415</v>
      </c>
      <c r="F136" s="14">
        <f>'Ratio Analysis'!X435</f>
        <v>-2101</v>
      </c>
      <c r="G136" s="14">
        <f>'Ratio Analysis'!Y435</f>
        <v>-1327</v>
      </c>
      <c r="H136" s="14">
        <f>'Ratio Analysis'!Z435</f>
        <v>-3157</v>
      </c>
      <c r="I136" s="14">
        <f>'Ratio Analysis'!AA435</f>
        <v>-6482</v>
      </c>
      <c r="J136" s="14">
        <f>-'Notes to Accounts'!J231</f>
        <v>-5985.02</v>
      </c>
      <c r="K136" s="14">
        <f>-'Notes to Accounts'!K231</f>
        <v>-5985.02</v>
      </c>
      <c r="L136" s="14">
        <f>-'Notes to Accounts'!L231</f>
        <v>-7969.77</v>
      </c>
      <c r="M136" s="14">
        <f>-'Notes to Accounts'!M231</f>
        <v>-9632.7525000000005</v>
      </c>
      <c r="N136" s="14">
        <f>-'Notes to Accounts'!N231</f>
        <v>-11306.0625</v>
      </c>
    </row>
    <row r="137" spans="2:14" ht="16" x14ac:dyDescent="0.25">
      <c r="C137" s="1" t="str">
        <f>'Ratio Analysis'!S436</f>
        <v>Purchases of solar energy systems</v>
      </c>
      <c r="E137" s="14">
        <f>'Ratio Analysis'!W436</f>
        <v>-666</v>
      </c>
      <c r="F137" s="14">
        <f>'Ratio Analysis'!X436</f>
        <v>-218</v>
      </c>
      <c r="G137" s="14">
        <f>'Ratio Analysis'!Y436</f>
        <v>-105</v>
      </c>
      <c r="H137" s="14">
        <f>'Ratio Analysis'!Z436</f>
        <v>-75</v>
      </c>
      <c r="I137" s="14">
        <f>'Ratio Analysis'!AA436</f>
        <v>-32</v>
      </c>
      <c r="J137" s="14">
        <f>-'Notes to Accounts'!J194</f>
        <v>-59.527199999999993</v>
      </c>
      <c r="K137" s="14">
        <f>-'Notes to Accounts'!K194</f>
        <v>-80.956991999999971</v>
      </c>
      <c r="L137" s="14">
        <f>-'Notes to Accounts'!L194</f>
        <v>-130.61061375999995</v>
      </c>
      <c r="M137" s="14">
        <f>-'Notes to Accounts'!M194</f>
        <v>-158.03884264959996</v>
      </c>
      <c r="N137" s="14">
        <f>-'Notes to Accounts'!N194</f>
        <v>-191.22699960601594</v>
      </c>
    </row>
    <row r="138" spans="2:14" ht="16" x14ac:dyDescent="0.25">
      <c r="C138" s="1" t="s">
        <v>374</v>
      </c>
      <c r="E138" s="14">
        <f>SUM('Ratio Analysis'!W437:W442)</f>
        <v>-115</v>
      </c>
      <c r="F138" s="14">
        <f>SUM('Ratio Analysis'!X437:X442)</f>
        <v>-18</v>
      </c>
      <c r="G138" s="14">
        <f>SUM('Ratio Analysis'!Y437:Y442)</f>
        <v>-4</v>
      </c>
      <c r="H138" s="14">
        <f>SUM('Ratio Analysis'!Z437:Z442)</f>
        <v>100</v>
      </c>
      <c r="I138" s="14">
        <f>SUM('Ratio Analysis'!AA437:AA442)</f>
        <v>-1354</v>
      </c>
      <c r="J138" s="14">
        <f>-'Notes to Accounts'!J160-SUM('Notes to Accounts'!J346:J347)</f>
        <v>-988.76431486992487</v>
      </c>
      <c r="K138" s="14">
        <f>-'Notes to Accounts'!K160-SUM('Notes to Accounts'!K346:K347)</f>
        <v>-2126.5420926477027</v>
      </c>
      <c r="L138" s="14">
        <f>-'Notes to Accounts'!L160-SUM('Notes to Accounts'!L346:L347)</f>
        <v>-3146.9416327951476</v>
      </c>
      <c r="M138" s="14">
        <f>-'Notes to Accounts'!M160-SUM('Notes to Accounts'!M346:M347)</f>
        <v>-3854.2374302035628</v>
      </c>
      <c r="N138" s="14">
        <f>-'Notes to Accounts'!N160-SUM('Notes to Accounts'!N346:N347)</f>
        <v>-4523.1683881587896</v>
      </c>
    </row>
    <row r="139" spans="2:14" ht="16" x14ac:dyDescent="0.25">
      <c r="C139" s="15" t="s">
        <v>380</v>
      </c>
      <c r="D139" s="15"/>
      <c r="E139" s="16">
        <f t="shared" ref="E139:N139" si="43">SUM(E136:E138)</f>
        <v>-4196</v>
      </c>
      <c r="F139" s="16">
        <f t="shared" si="43"/>
        <v>-2337</v>
      </c>
      <c r="G139" s="16">
        <f t="shared" si="43"/>
        <v>-1436</v>
      </c>
      <c r="H139" s="16">
        <f t="shared" si="43"/>
        <v>-3132</v>
      </c>
      <c r="I139" s="16">
        <f t="shared" si="43"/>
        <v>-7868</v>
      </c>
      <c r="J139" s="16">
        <f t="shared" si="43"/>
        <v>-7033.3115148699253</v>
      </c>
      <c r="K139" s="16">
        <f t="shared" si="43"/>
        <v>-8192.5190846477035</v>
      </c>
      <c r="L139" s="16">
        <f t="shared" si="43"/>
        <v>-11247.322246555148</v>
      </c>
      <c r="M139" s="16">
        <f t="shared" si="43"/>
        <v>-13645.028772853162</v>
      </c>
      <c r="N139" s="16">
        <f t="shared" si="43"/>
        <v>-16020.457887764805</v>
      </c>
    </row>
    <row r="140" spans="2:14" ht="6" customHeight="1" x14ac:dyDescent="0.25">
      <c r="E140" s="12"/>
      <c r="F140" s="12"/>
      <c r="G140" s="12"/>
      <c r="H140" s="12"/>
      <c r="I140" s="12"/>
      <c r="J140" s="12"/>
      <c r="K140" s="12"/>
      <c r="L140" s="12"/>
      <c r="M140" s="12"/>
      <c r="N140" s="12"/>
    </row>
    <row r="141" spans="2:14" ht="16" x14ac:dyDescent="0.25">
      <c r="B141" s="30" t="str">
        <f>'Ratio Analysis'!R446</f>
        <v>Cash Flows from Financing Activities</v>
      </c>
      <c r="E141" s="12"/>
      <c r="F141" s="12"/>
      <c r="G141" s="12"/>
      <c r="H141" s="12"/>
      <c r="I141" s="12"/>
      <c r="J141" s="12"/>
      <c r="K141" s="12"/>
      <c r="L141" s="12"/>
      <c r="M141" s="12"/>
      <c r="N141" s="12"/>
    </row>
    <row r="142" spans="2:14" ht="6" customHeight="1" x14ac:dyDescent="0.25">
      <c r="E142" s="12"/>
      <c r="F142" s="12"/>
      <c r="G142" s="12"/>
      <c r="H142" s="12"/>
      <c r="I142" s="12"/>
      <c r="J142" s="12"/>
      <c r="K142" s="12"/>
      <c r="L142" s="12"/>
      <c r="M142" s="12"/>
      <c r="N142" s="12"/>
    </row>
    <row r="143" spans="2:14" ht="16" x14ac:dyDescent="0.25">
      <c r="C143" s="1" t="s">
        <v>376</v>
      </c>
      <c r="E143" s="14">
        <f>SUM('Ratio Analysis'!W447:W448)</f>
        <v>3142</v>
      </c>
      <c r="F143" s="14">
        <f>SUM('Ratio Analysis'!X447:X448)</f>
        <v>929</v>
      </c>
      <c r="G143" s="14">
        <f>SUM('Ratio Analysis'!Y447:Y448)</f>
        <v>1508</v>
      </c>
      <c r="H143" s="14">
        <f>SUM('Ratio Analysis'!Z447:Z448)</f>
        <v>-1910</v>
      </c>
      <c r="I143" s="14">
        <f>SUM('Ratio Analysis'!AA447:AA448)</f>
        <v>-5284</v>
      </c>
      <c r="J143" s="14">
        <f>'Notes to Accounts'!J470</f>
        <v>-2211</v>
      </c>
      <c r="K143" s="14">
        <f>'Notes to Accounts'!K470</f>
        <v>-78.57692307692308</v>
      </c>
      <c r="L143" s="14">
        <f>'Notes to Accounts'!L470</f>
        <v>-78.57692307692308</v>
      </c>
      <c r="M143" s="14">
        <f>'Notes to Accounts'!M470</f>
        <v>-78.57692307692308</v>
      </c>
      <c r="N143" s="14">
        <f>'Notes to Accounts'!N470</f>
        <v>-78.57692307692308</v>
      </c>
    </row>
    <row r="144" spans="2:14" ht="16" x14ac:dyDescent="0.25">
      <c r="C144" s="1" t="s">
        <v>375</v>
      </c>
      <c r="E144" s="14">
        <f>'Ratio Analysis'!W449</f>
        <v>-165</v>
      </c>
      <c r="F144" s="14">
        <f>'Ratio Analysis'!X449</f>
        <v>-100</v>
      </c>
      <c r="G144" s="14">
        <f>'Ratio Analysis'!Y449</f>
        <v>0</v>
      </c>
      <c r="H144" s="14">
        <f>'Ratio Analysis'!Z449</f>
        <v>0</v>
      </c>
      <c r="I144" s="14">
        <f>'Ratio Analysis'!AA449</f>
        <v>0</v>
      </c>
      <c r="J144" s="12"/>
      <c r="K144" s="12"/>
      <c r="L144" s="12"/>
      <c r="M144" s="12"/>
      <c r="N144" s="12"/>
    </row>
    <row r="145" spans="3:14" ht="16" x14ac:dyDescent="0.25">
      <c r="C145" s="1" t="str">
        <f>'Ratio Analysis'!S450</f>
        <v>Collateralized lease repayments</v>
      </c>
      <c r="E145" s="14">
        <f>'Ratio Analysis'!W450</f>
        <v>511</v>
      </c>
      <c r="F145" s="14">
        <f>'Ratio Analysis'!X450</f>
        <v>-559</v>
      </c>
      <c r="G145" s="14">
        <f>'Ratio Analysis'!Y450</f>
        <v>-389</v>
      </c>
      <c r="H145" s="14">
        <f>'Ratio Analysis'!Z450</f>
        <v>-240</v>
      </c>
      <c r="I145" s="14">
        <f>'Ratio Analysis'!AA450</f>
        <v>-9</v>
      </c>
      <c r="J145" s="14">
        <f>-'Notes to Accounts'!I298</f>
        <v>-368</v>
      </c>
      <c r="K145" s="14">
        <f>-'Notes to Accounts'!J298</f>
        <v>-458</v>
      </c>
      <c r="L145" s="14">
        <f>-'Notes to Accounts'!K298</f>
        <v>-412</v>
      </c>
      <c r="M145" s="14">
        <f>-'Notes to Accounts'!L298</f>
        <v>-366</v>
      </c>
      <c r="N145" s="14">
        <f>-'Notes to Accounts'!M298</f>
        <v>-319</v>
      </c>
    </row>
    <row r="146" spans="3:14" ht="16" x14ac:dyDescent="0.25">
      <c r="C146" s="1" t="str">
        <f>'Ratio Analysis'!S452</f>
        <v>Principal payments on finance leases</v>
      </c>
      <c r="E146" s="14">
        <f>'Ratio Analysis'!W452</f>
        <v>-103</v>
      </c>
      <c r="F146" s="14">
        <f>'Ratio Analysis'!X452</f>
        <v>-181</v>
      </c>
      <c r="G146" s="14">
        <f>'Ratio Analysis'!Y452</f>
        <v>-321</v>
      </c>
      <c r="H146" s="14">
        <f>'Ratio Analysis'!Z452</f>
        <v>-338</v>
      </c>
      <c r="I146" s="14">
        <f>'Ratio Analysis'!AA452</f>
        <v>-439</v>
      </c>
      <c r="J146" s="14">
        <f>-'Notes to Accounts'!J479</f>
        <v>-246</v>
      </c>
      <c r="K146" s="14">
        <f>-'Notes to Accounts'!K479</f>
        <v>-259.74038461538464</v>
      </c>
      <c r="L146" s="14">
        <f>-'Notes to Accounts'!L479</f>
        <v>-259.74038461538464</v>
      </c>
      <c r="M146" s="14">
        <f>-'Notes to Accounts'!M479</f>
        <v>-259.74038461538464</v>
      </c>
      <c r="N146" s="14">
        <f>-'Notes to Accounts'!N479</f>
        <v>-259.74038461538464</v>
      </c>
    </row>
    <row r="147" spans="3:14" ht="16" x14ac:dyDescent="0.25">
      <c r="C147" s="1" t="s">
        <v>377</v>
      </c>
      <c r="E147" s="14">
        <f>SUM('Ratio Analysis'!W446,'Ratio Analysis'!W453)</f>
        <v>337</v>
      </c>
      <c r="F147" s="14">
        <f>SUM('Ratio Analysis'!X446,'Ratio Analysis'!X453)</f>
        <v>-15</v>
      </c>
      <c r="G147" s="14">
        <f>SUM('Ratio Analysis'!Y446,'Ratio Analysis'!Y453)</f>
        <v>811</v>
      </c>
      <c r="H147" s="14">
        <f>SUM('Ratio Analysis'!Z446,'Ratio Analysis'!Z453)</f>
        <v>12263</v>
      </c>
      <c r="I147" s="14">
        <f>SUM('Ratio Analysis'!AA446,'Ratio Analysis'!AA453)</f>
        <v>-9</v>
      </c>
      <c r="J147" s="14">
        <f>Assumptions!H70</f>
        <v>245</v>
      </c>
      <c r="K147" s="12"/>
      <c r="L147" s="12"/>
      <c r="M147" s="12"/>
      <c r="N147" s="12"/>
    </row>
    <row r="148" spans="3:14" ht="16" x14ac:dyDescent="0.25">
      <c r="C148" s="1" t="s">
        <v>378</v>
      </c>
      <c r="E148" s="14">
        <f>SUM('Ratio Analysis'!W451,'Ratio Analysis'!W454:W460)</f>
        <v>693</v>
      </c>
      <c r="F148" s="14">
        <f>SUM('Ratio Analysis'!X451,'Ratio Analysis'!X454:X460)</f>
        <v>500</v>
      </c>
      <c r="G148" s="14">
        <f>SUM('Ratio Analysis'!Y451,'Ratio Analysis'!Y454:Y460)</f>
        <v>-80</v>
      </c>
      <c r="H148" s="14">
        <f>SUM('Ratio Analysis'!Z451,'Ratio Analysis'!Z454:Z460)</f>
        <v>198</v>
      </c>
      <c r="I148" s="14">
        <f>SUM('Ratio Analysis'!AA451,'Ratio Analysis'!AA454:AA460)</f>
        <v>538</v>
      </c>
      <c r="J148" s="12"/>
      <c r="K148" s="12"/>
      <c r="L148" s="12"/>
      <c r="M148" s="12"/>
      <c r="N148" s="12"/>
    </row>
    <row r="149" spans="3:14" ht="16" x14ac:dyDescent="0.25">
      <c r="C149" s="15" t="s">
        <v>379</v>
      </c>
      <c r="D149" s="15"/>
      <c r="E149" s="16">
        <f t="shared" ref="E149:N149" si="44">SUM(E143:E148)</f>
        <v>4415</v>
      </c>
      <c r="F149" s="16">
        <f t="shared" si="44"/>
        <v>574</v>
      </c>
      <c r="G149" s="16">
        <f t="shared" si="44"/>
        <v>1529</v>
      </c>
      <c r="H149" s="16">
        <f t="shared" si="44"/>
        <v>9973</v>
      </c>
      <c r="I149" s="16">
        <f t="shared" si="44"/>
        <v>-5203</v>
      </c>
      <c r="J149" s="16">
        <f t="shared" si="44"/>
        <v>-2580</v>
      </c>
      <c r="K149" s="16">
        <f t="shared" si="44"/>
        <v>-796.31730769230774</v>
      </c>
      <c r="L149" s="16">
        <f t="shared" si="44"/>
        <v>-750.31730769230774</v>
      </c>
      <c r="M149" s="16">
        <f t="shared" si="44"/>
        <v>-704.31730769230774</v>
      </c>
      <c r="N149" s="16">
        <f t="shared" si="44"/>
        <v>-657.31730769230774</v>
      </c>
    </row>
    <row r="150" spans="3:14" ht="16" x14ac:dyDescent="0.25">
      <c r="E150" s="12"/>
      <c r="F150" s="12"/>
      <c r="G150" s="12"/>
      <c r="H150" s="12"/>
      <c r="I150" s="12"/>
      <c r="J150" s="12"/>
      <c r="K150" s="12"/>
      <c r="L150" s="12"/>
      <c r="M150" s="12"/>
      <c r="N150" s="12"/>
    </row>
    <row r="151" spans="3:14" ht="16" x14ac:dyDescent="0.25">
      <c r="C151" s="1" t="s">
        <v>381</v>
      </c>
      <c r="E151" s="14">
        <f>'Ratio Analysis'!W463</f>
        <v>40</v>
      </c>
      <c r="F151" s="14">
        <f>'Ratio Analysis'!X463</f>
        <v>-23</v>
      </c>
      <c r="G151" s="14">
        <f>'Ratio Analysis'!Y463</f>
        <v>8</v>
      </c>
      <c r="H151" s="14">
        <f>'Ratio Analysis'!Z463</f>
        <v>334</v>
      </c>
      <c r="I151" s="14">
        <f>'Ratio Analysis'!AA463</f>
        <v>-183</v>
      </c>
      <c r="J151" s="99"/>
      <c r="K151" s="99"/>
      <c r="L151" s="99"/>
      <c r="M151" s="99"/>
      <c r="N151" s="99"/>
    </row>
    <row r="152" spans="3:14" ht="16" x14ac:dyDescent="0.25">
      <c r="C152" s="1" t="s">
        <v>382</v>
      </c>
      <c r="E152" s="12">
        <f t="shared" ref="E152:N152" si="45">E132+E139+E149+E151</f>
        <v>197.95900000000256</v>
      </c>
      <c r="F152" s="12">
        <f t="shared" si="45"/>
        <v>312.04099999999744</v>
      </c>
      <c r="G152" s="12">
        <f t="shared" si="45"/>
        <v>2506</v>
      </c>
      <c r="H152" s="12">
        <f t="shared" si="45"/>
        <v>13118</v>
      </c>
      <c r="I152" s="12">
        <f t="shared" si="45"/>
        <v>-1757</v>
      </c>
      <c r="J152" s="12">
        <f t="shared" si="45"/>
        <v>12710.652340662753</v>
      </c>
      <c r="K152" s="12">
        <f t="shared" si="45"/>
        <v>8322.9890964059359</v>
      </c>
      <c r="L152" s="12">
        <f t="shared" si="45"/>
        <v>23700.591977581258</v>
      </c>
      <c r="M152" s="12">
        <f t="shared" si="45"/>
        <v>27706.179279507804</v>
      </c>
      <c r="N152" s="12">
        <f t="shared" si="45"/>
        <v>40557.183744151327</v>
      </c>
    </row>
    <row r="153" spans="3:14" ht="16" x14ac:dyDescent="0.25">
      <c r="C153" s="1" t="s">
        <v>383</v>
      </c>
      <c r="E153" s="14">
        <f>'Ratio Analysis'!W465</f>
        <v>3767</v>
      </c>
      <c r="F153" s="12">
        <f t="shared" ref="F153:N153" si="46">E154</f>
        <v>3964.9590000000026</v>
      </c>
      <c r="G153" s="12">
        <f t="shared" si="46"/>
        <v>4277</v>
      </c>
      <c r="H153" s="12">
        <f t="shared" si="46"/>
        <v>6783</v>
      </c>
      <c r="I153" s="12">
        <f t="shared" si="46"/>
        <v>19901</v>
      </c>
      <c r="J153" s="12">
        <f t="shared" si="46"/>
        <v>18144</v>
      </c>
      <c r="K153" s="12">
        <f t="shared" si="46"/>
        <v>30854.652340662753</v>
      </c>
      <c r="L153" s="12">
        <f t="shared" si="46"/>
        <v>39177.641437068691</v>
      </c>
      <c r="M153" s="12">
        <f t="shared" si="46"/>
        <v>62878.233414649949</v>
      </c>
      <c r="N153" s="12">
        <f t="shared" si="46"/>
        <v>90584.412694157756</v>
      </c>
    </row>
    <row r="154" spans="3:14" ht="20" customHeight="1" thickBot="1" x14ac:dyDescent="0.3">
      <c r="C154" s="17" t="s">
        <v>384</v>
      </c>
      <c r="D154" s="17"/>
      <c r="E154" s="18">
        <f>E153+E152</f>
        <v>3964.9590000000026</v>
      </c>
      <c r="F154" s="18">
        <f t="shared" ref="F154:N154" si="47">F153+F152</f>
        <v>4277</v>
      </c>
      <c r="G154" s="18">
        <f t="shared" si="47"/>
        <v>6783</v>
      </c>
      <c r="H154" s="18">
        <f t="shared" si="47"/>
        <v>19901</v>
      </c>
      <c r="I154" s="18">
        <f t="shared" si="47"/>
        <v>18144</v>
      </c>
      <c r="J154" s="18">
        <f t="shared" si="47"/>
        <v>30854.652340662753</v>
      </c>
      <c r="K154" s="18">
        <f t="shared" si="47"/>
        <v>39177.641437068691</v>
      </c>
      <c r="L154" s="18">
        <f t="shared" si="47"/>
        <v>62878.233414649949</v>
      </c>
      <c r="M154" s="18">
        <f t="shared" si="47"/>
        <v>90584.412694157756</v>
      </c>
      <c r="N154" s="18">
        <f t="shared" si="47"/>
        <v>131141.59643830909</v>
      </c>
    </row>
    <row r="155" spans="3:14" ht="17" thickTop="1" x14ac:dyDescent="0.25">
      <c r="E155" s="12"/>
      <c r="F155" s="12"/>
      <c r="G155" s="12"/>
      <c r="H155" s="12"/>
      <c r="I155" s="12"/>
      <c r="J155" s="12"/>
      <c r="K155" s="12"/>
      <c r="L155" s="12"/>
      <c r="M155" s="12"/>
      <c r="N155" s="12"/>
    </row>
    <row r="156" spans="3:14" ht="16" x14ac:dyDescent="0.25">
      <c r="E156" s="12"/>
      <c r="F156" s="12"/>
      <c r="G156" s="12"/>
      <c r="H156" s="12"/>
      <c r="I156" s="12"/>
      <c r="J156" s="12"/>
      <c r="K156" s="12"/>
      <c r="L156" s="12"/>
      <c r="M156" s="12"/>
      <c r="N156" s="12"/>
    </row>
  </sheetData>
  <printOptions horizontalCentered="1"/>
  <pageMargins left="0.11811023622047245" right="0.11811023622047245" top="0.11811023622047245" bottom="0.19685039370078741" header="0.11811023622047245" footer="0.11811023622047245"/>
  <pageSetup scale="80" orientation="landscape" r:id="rId1"/>
  <headerFooter>
    <oddFooter>&amp;Lir.tesla.com&amp;CPage &amp;P of &amp;N&amp;R&amp;D  &amp;T</oddFooter>
  </headerFooter>
  <rowBreaks count="1" manualBreakCount="1">
    <brk id="49" max="1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D3FD4-1687-4E43-9FBA-1EB54D849764}">
  <dimension ref="B1:R549"/>
  <sheetViews>
    <sheetView showGridLines="0" zoomScaleNormal="100" workbookViewId="0"/>
  </sheetViews>
  <sheetFormatPr baseColWidth="10" defaultColWidth="9.1640625" defaultRowHeight="14" x14ac:dyDescent="0.2"/>
  <cols>
    <col min="1" max="2" width="1.1640625" style="1" customWidth="1"/>
    <col min="3" max="3" width="30.6640625" style="1" customWidth="1"/>
    <col min="4" max="4" width="9.6640625" style="1" customWidth="1"/>
    <col min="5" max="14" width="12.5" style="1" customWidth="1"/>
    <col min="15" max="15" width="1.1640625" style="1" customWidth="1"/>
    <col min="16" max="17" width="14.6640625" style="1" customWidth="1"/>
    <col min="18" max="18" width="13.6640625" style="1" customWidth="1"/>
    <col min="19" max="16384" width="9.1640625" style="1"/>
  </cols>
  <sheetData>
    <row r="1" spans="2:18" ht="6" customHeight="1" x14ac:dyDescent="0.2"/>
    <row r="2" spans="2:18" ht="20" customHeight="1" x14ac:dyDescent="0.25">
      <c r="B2" s="2" t="str">
        <f>'Cover Page'!$C$18</f>
        <v>Tesla, Inc.</v>
      </c>
      <c r="C2" s="3"/>
      <c r="D2" s="3"/>
      <c r="E2" s="3"/>
      <c r="F2" s="3"/>
      <c r="G2" s="3"/>
      <c r="H2" s="3"/>
      <c r="I2" s="3"/>
      <c r="J2" s="3"/>
      <c r="K2" s="3"/>
      <c r="L2" s="3"/>
      <c r="M2" s="3"/>
      <c r="N2" s="3"/>
    </row>
    <row r="3" spans="2:18" ht="15" customHeight="1" x14ac:dyDescent="0.2">
      <c r="B3" s="4" t="s">
        <v>397</v>
      </c>
      <c r="C3" s="4"/>
      <c r="D3" s="4"/>
      <c r="E3" s="4"/>
      <c r="F3" s="4"/>
      <c r="G3" s="4"/>
      <c r="H3" s="4"/>
      <c r="I3" s="4"/>
      <c r="J3" s="4"/>
      <c r="K3" s="4"/>
      <c r="L3" s="4"/>
      <c r="M3" s="4"/>
      <c r="N3" s="4"/>
    </row>
    <row r="4" spans="2:18" ht="6" customHeight="1" thickBot="1" x14ac:dyDescent="0.25">
      <c r="B4" s="5"/>
      <c r="C4" s="5"/>
      <c r="D4" s="5"/>
      <c r="E4" s="5"/>
      <c r="F4" s="5"/>
      <c r="G4" s="5"/>
      <c r="H4" s="5"/>
      <c r="I4" s="5"/>
      <c r="J4" s="5"/>
      <c r="K4" s="5"/>
      <c r="L4" s="5"/>
      <c r="M4" s="5"/>
      <c r="N4" s="5"/>
    </row>
    <row r="5" spans="2:18" ht="15" customHeight="1" x14ac:dyDescent="0.2">
      <c r="B5" s="117" t="str">
        <f>Scenarios!$B$5</f>
        <v>$ MM's ( unless otherwise specified )</v>
      </c>
      <c r="C5" s="117"/>
      <c r="D5" s="117"/>
      <c r="E5" s="117"/>
      <c r="F5" s="117"/>
      <c r="G5" s="117"/>
      <c r="H5" s="117"/>
      <c r="I5" s="117"/>
      <c r="J5" s="117"/>
      <c r="K5" s="117"/>
      <c r="L5" s="117"/>
      <c r="M5" s="117"/>
      <c r="N5" s="121" t="str">
        <f>Scenarios!$N$5</f>
        <v>Based on: Base Case Senario</v>
      </c>
    </row>
    <row r="6" spans="2:18" ht="6" customHeight="1" x14ac:dyDescent="0.2"/>
    <row r="7" spans="2:18" ht="15" customHeight="1" x14ac:dyDescent="0.2">
      <c r="E7" s="6" t="s">
        <v>7</v>
      </c>
      <c r="F7" s="7"/>
      <c r="G7" s="7"/>
      <c r="H7" s="7"/>
      <c r="I7" s="7"/>
      <c r="J7" s="8" t="s">
        <v>6</v>
      </c>
      <c r="K7" s="9"/>
      <c r="L7" s="9"/>
      <c r="M7" s="9"/>
      <c r="N7" s="9"/>
    </row>
    <row r="8" spans="2:18" ht="15" customHeight="1" x14ac:dyDescent="0.2">
      <c r="E8" s="10">
        <f t="shared" ref="E8:I8" si="0">F8-1</f>
        <v>2017</v>
      </c>
      <c r="F8" s="10">
        <f t="shared" si="0"/>
        <v>2018</v>
      </c>
      <c r="G8" s="10">
        <f t="shared" si="0"/>
        <v>2019</v>
      </c>
      <c r="H8" s="10">
        <f t="shared" si="0"/>
        <v>2020</v>
      </c>
      <c r="I8" s="10">
        <f t="shared" si="0"/>
        <v>2021</v>
      </c>
      <c r="J8" s="11">
        <v>2022</v>
      </c>
      <c r="K8" s="11">
        <f>J8+1</f>
        <v>2023</v>
      </c>
      <c r="L8" s="11">
        <f t="shared" ref="L8:N8" si="1">K8+1</f>
        <v>2024</v>
      </c>
      <c r="M8" s="11">
        <f t="shared" si="1"/>
        <v>2025</v>
      </c>
      <c r="N8" s="11">
        <f t="shared" si="1"/>
        <v>2026</v>
      </c>
    </row>
    <row r="9" spans="2:18" ht="15" customHeight="1" x14ac:dyDescent="0.2"/>
    <row r="10" spans="2:18" ht="15" customHeight="1" x14ac:dyDescent="0.2">
      <c r="C10" s="104" t="str">
        <f>'Ratio Analysis'!S61</f>
        <v>Deliveries</v>
      </c>
      <c r="D10" s="105"/>
      <c r="E10" s="106">
        <f>'Ratio Analysis'!W$61</f>
        <v>103020</v>
      </c>
      <c r="F10" s="106">
        <f>'Ratio Analysis'!X$61</f>
        <v>244920</v>
      </c>
      <c r="G10" s="106">
        <f>'Ratio Analysis'!Y$61</f>
        <v>357998.5</v>
      </c>
      <c r="H10" s="106">
        <f>'Ratio Analysis'!Z$61</f>
        <v>464412.3</v>
      </c>
      <c r="I10" s="106">
        <f>'Ratio Analysis'!AA$61</f>
        <v>876122.29999999993</v>
      </c>
      <c r="J10" s="107">
        <f>J$13*Assumptions!E$22</f>
        <v>1384750</v>
      </c>
      <c r="K10" s="107">
        <f>K$13*Assumptions!E$22</f>
        <v>1384750</v>
      </c>
      <c r="L10" s="107">
        <f>L$13*Assumptions!F$22</f>
        <v>1719000</v>
      </c>
      <c r="M10" s="107">
        <f>M$13*Assumptions!G$22</f>
        <v>2064000</v>
      </c>
      <c r="N10" s="108">
        <f>N$13*Assumptions!H$22</f>
        <v>2400000</v>
      </c>
      <c r="O10" s="12"/>
      <c r="P10" s="12"/>
    </row>
    <row r="11" spans="2:18" ht="15" customHeight="1" x14ac:dyDescent="0.2">
      <c r="C11" s="109" t="str">
        <f>'Ratio Analysis'!S65</f>
        <v>Operating Lease</v>
      </c>
      <c r="E11" s="14">
        <f>'Ratio Analysis'!W$65</f>
        <v>0</v>
      </c>
      <c r="F11" s="14">
        <f>'Ratio Analysis'!X$65</f>
        <v>0</v>
      </c>
      <c r="G11" s="14">
        <f>'Ratio Analysis'!Y$65</f>
        <v>0</v>
      </c>
      <c r="H11" s="14">
        <f>'Ratio Analysis'!Z$65</f>
        <v>34507.699999999997</v>
      </c>
      <c r="I11" s="14">
        <f>'Ratio Analysis'!AA$65</f>
        <v>59827.7</v>
      </c>
      <c r="J11" s="12">
        <f>J$13*Assumptions!$E$25</f>
        <v>50750.000000000007</v>
      </c>
      <c r="K11" s="12">
        <f>K$13*Assumptions!E$25</f>
        <v>50750.000000000007</v>
      </c>
      <c r="L11" s="12">
        <f>L$13*Assumptions!F$25</f>
        <v>63000.000000000007</v>
      </c>
      <c r="M11" s="12">
        <f>M$13*Assumptions!G$25</f>
        <v>64500</v>
      </c>
      <c r="N11" s="110">
        <f>N$13*Assumptions!H$25</f>
        <v>75000</v>
      </c>
      <c r="O11" s="12"/>
      <c r="P11" s="75" t="s">
        <v>429</v>
      </c>
      <c r="R11" s="12">
        <f>'Ratio Analysis'!AJ95</f>
        <v>564743</v>
      </c>
    </row>
    <row r="12" spans="2:18" ht="20" customHeight="1" x14ac:dyDescent="0.2">
      <c r="C12" s="111" t="s">
        <v>107</v>
      </c>
      <c r="D12" s="30"/>
      <c r="E12" s="87">
        <f t="shared" ref="E12:N12" si="2">SUM(E10:E11)</f>
        <v>103020</v>
      </c>
      <c r="F12" s="87">
        <f t="shared" si="2"/>
        <v>244920</v>
      </c>
      <c r="G12" s="87">
        <f t="shared" si="2"/>
        <v>357998.5</v>
      </c>
      <c r="H12" s="87">
        <f t="shared" si="2"/>
        <v>498920</v>
      </c>
      <c r="I12" s="87">
        <f t="shared" si="2"/>
        <v>935949.99999999988</v>
      </c>
      <c r="J12" s="87">
        <f t="shared" si="2"/>
        <v>1435500</v>
      </c>
      <c r="K12" s="87">
        <f t="shared" si="2"/>
        <v>1435500</v>
      </c>
      <c r="L12" s="87">
        <f t="shared" si="2"/>
        <v>1782000</v>
      </c>
      <c r="M12" s="87">
        <f t="shared" si="2"/>
        <v>2128500</v>
      </c>
      <c r="N12" s="112">
        <f t="shared" si="2"/>
        <v>2475000</v>
      </c>
      <c r="O12" s="12"/>
      <c r="P12" s="75" t="s">
        <v>428</v>
      </c>
      <c r="R12" s="12">
        <f>J12-R11</f>
        <v>870757</v>
      </c>
    </row>
    <row r="13" spans="2:18" ht="20" customHeight="1" x14ac:dyDescent="0.2">
      <c r="C13" s="26" t="s">
        <v>401</v>
      </c>
      <c r="D13" s="30"/>
      <c r="E13" s="14">
        <f>Scenarios!E12*10^5</f>
        <v>107477</v>
      </c>
      <c r="F13" s="14">
        <f>Scenarios!F12*10^5</f>
        <v>257910</v>
      </c>
      <c r="G13" s="14">
        <f>Scenarios!G12*10^5</f>
        <v>368101</v>
      </c>
      <c r="H13" s="14">
        <f>Scenarios!H12*10^5</f>
        <v>509737</v>
      </c>
      <c r="I13" s="14">
        <f>Scenarios!I12*10^5</f>
        <v>930422.00000000012</v>
      </c>
      <c r="J13" s="14">
        <f>Scenarios!J12*10^5</f>
        <v>1450000</v>
      </c>
      <c r="K13" s="14">
        <f>Scenarios!K12*10^5</f>
        <v>1450000</v>
      </c>
      <c r="L13" s="14">
        <f>Scenarios!L12*10^5</f>
        <v>1800000</v>
      </c>
      <c r="M13" s="14">
        <f>Scenarios!M12*10^5</f>
        <v>2150000</v>
      </c>
      <c r="N13" s="132">
        <f>Scenarios!N12*10^5</f>
        <v>2500000</v>
      </c>
      <c r="O13" s="12"/>
      <c r="P13" s="12"/>
    </row>
    <row r="14" spans="2:18" ht="15" customHeight="1" x14ac:dyDescent="0.2">
      <c r="C14" s="26" t="str">
        <f>C25</f>
        <v>Energy generation and storage</v>
      </c>
      <c r="D14" s="126" t="s">
        <v>427</v>
      </c>
      <c r="E14" s="128"/>
      <c r="F14" s="31">
        <f t="shared" ref="F14:I14" si="3">IFERROR(F25/E25-1,"")</f>
        <v>0.39336917562724016</v>
      </c>
      <c r="G14" s="31">
        <f t="shared" si="3"/>
        <v>-1.5434083601286175E-2</v>
      </c>
      <c r="H14" s="31">
        <f t="shared" si="3"/>
        <v>0.30241672109732209</v>
      </c>
      <c r="I14" s="31">
        <f t="shared" si="3"/>
        <v>0.3986960882647943</v>
      </c>
      <c r="J14" s="31">
        <f>Assumptions!$E27</f>
        <v>0.3</v>
      </c>
      <c r="K14" s="31">
        <f>Assumptions!E27</f>
        <v>0.3</v>
      </c>
      <c r="L14" s="31">
        <f>Assumptions!F27</f>
        <v>0.32999999999999996</v>
      </c>
      <c r="M14" s="31">
        <f>Assumptions!G27</f>
        <v>0.36</v>
      </c>
      <c r="N14" s="113">
        <f>Assumptions!H27</f>
        <v>0.39</v>
      </c>
      <c r="O14" s="12"/>
      <c r="P14" s="12"/>
    </row>
    <row r="15" spans="2:18" ht="15" customHeight="1" x14ac:dyDescent="0.2">
      <c r="C15" s="114" t="str">
        <f>C26</f>
        <v>Services and other</v>
      </c>
      <c r="D15" s="127" t="s">
        <v>427</v>
      </c>
      <c r="E15" s="129"/>
      <c r="F15" s="115">
        <f t="shared" ref="F15:I15" si="4">IFERROR(F26/E26-1,"")</f>
        <v>0.38961038961038952</v>
      </c>
      <c r="G15" s="115">
        <f t="shared" si="4"/>
        <v>0.60028756290438534</v>
      </c>
      <c r="H15" s="115">
        <f t="shared" si="4"/>
        <v>3.5938903863432126E-2</v>
      </c>
      <c r="I15" s="115">
        <f t="shared" si="4"/>
        <v>0.64874241110147435</v>
      </c>
      <c r="J15" s="115">
        <f>Assumptions!$E28</f>
        <v>0.45</v>
      </c>
      <c r="K15" s="115">
        <f>Assumptions!E28</f>
        <v>0.45</v>
      </c>
      <c r="L15" s="115">
        <f>Assumptions!F28</f>
        <v>0.48</v>
      </c>
      <c r="M15" s="115">
        <f>Assumptions!G28</f>
        <v>0.51</v>
      </c>
      <c r="N15" s="116">
        <f>Assumptions!H28</f>
        <v>0.54</v>
      </c>
      <c r="O15" s="12"/>
      <c r="P15" s="12"/>
    </row>
    <row r="16" spans="2:18" ht="15" customHeight="1" x14ac:dyDescent="0.2">
      <c r="E16" s="12"/>
      <c r="F16" s="12"/>
      <c r="G16" s="12"/>
      <c r="H16" s="12"/>
      <c r="I16" s="12"/>
      <c r="J16" s="12"/>
      <c r="K16" s="12"/>
      <c r="L16" s="12"/>
      <c r="M16" s="12"/>
      <c r="N16" s="12"/>
      <c r="O16" s="12"/>
      <c r="P16" s="12"/>
    </row>
    <row r="17" spans="2:16" ht="15" customHeight="1" x14ac:dyDescent="0.2">
      <c r="C17" s="1" t="s">
        <v>402</v>
      </c>
      <c r="E17" s="14">
        <f>Scenarios!E14</f>
        <v>82.847990681421081</v>
      </c>
      <c r="F17" s="14">
        <f>Scenarios!F14</f>
        <v>71.99085415645925</v>
      </c>
      <c r="G17" s="14">
        <f>Scenarios!G14</f>
        <v>55.732077089708476</v>
      </c>
      <c r="H17" s="14">
        <f>Scenarios!H14</f>
        <v>56.380935647053278</v>
      </c>
      <c r="I17" s="14">
        <f>Scenarios!I14</f>
        <v>52.036114136120041</v>
      </c>
      <c r="J17" s="14">
        <f>Scenarios!J14</f>
        <v>53</v>
      </c>
      <c r="K17" s="14">
        <f>Scenarios!K14</f>
        <v>53</v>
      </c>
      <c r="L17" s="14">
        <f>Scenarios!L14</f>
        <v>53.5</v>
      </c>
      <c r="M17" s="14">
        <f>Scenarios!M14</f>
        <v>54</v>
      </c>
      <c r="N17" s="14">
        <f>Scenarios!N14</f>
        <v>54.5</v>
      </c>
      <c r="O17" s="12"/>
      <c r="P17" s="12"/>
    </row>
    <row r="18" spans="2:16" ht="15" customHeight="1" x14ac:dyDescent="0.2">
      <c r="C18" s="1" t="s">
        <v>403</v>
      </c>
      <c r="E18" s="14">
        <f>Scenarios!E15</f>
        <v>0</v>
      </c>
      <c r="F18" s="14">
        <f>Scenarios!F15</f>
        <v>0</v>
      </c>
      <c r="G18" s="14">
        <f>Scenarios!G15</f>
        <v>0</v>
      </c>
      <c r="H18" s="14">
        <f>Scenarios!H15</f>
        <v>30.485949512717454</v>
      </c>
      <c r="I18" s="14">
        <f>Scenarios!I15</f>
        <v>27.445480939431068</v>
      </c>
      <c r="J18" s="14">
        <f>Scenarios!J15</f>
        <v>28</v>
      </c>
      <c r="K18" s="14">
        <f>Scenarios!K15</f>
        <v>28</v>
      </c>
      <c r="L18" s="14">
        <f>Scenarios!L15</f>
        <v>28.5</v>
      </c>
      <c r="M18" s="14">
        <f>Scenarios!M15</f>
        <v>29</v>
      </c>
      <c r="N18" s="14">
        <f>Scenarios!N15</f>
        <v>29.5</v>
      </c>
      <c r="O18" s="12"/>
      <c r="P18" s="12"/>
    </row>
    <row r="19" spans="2:16" ht="15" customHeight="1" x14ac:dyDescent="0.2">
      <c r="E19" s="12"/>
      <c r="F19" s="12"/>
      <c r="G19" s="12"/>
      <c r="H19" s="12"/>
      <c r="I19" s="12"/>
      <c r="J19" s="12"/>
      <c r="K19" s="12"/>
      <c r="L19" s="12"/>
      <c r="M19" s="12"/>
      <c r="N19" s="12"/>
      <c r="O19" s="12"/>
      <c r="P19" s="12"/>
    </row>
    <row r="20" spans="2:16" ht="15" customHeight="1" x14ac:dyDescent="0.2">
      <c r="B20" s="30" t="s">
        <v>11</v>
      </c>
      <c r="E20" s="12"/>
      <c r="F20" s="12"/>
      <c r="G20" s="12"/>
      <c r="H20" s="12"/>
      <c r="I20" s="12"/>
      <c r="J20" s="12"/>
      <c r="K20" s="12"/>
      <c r="L20" s="12"/>
      <c r="M20" s="12"/>
      <c r="N20" s="12"/>
      <c r="O20" s="12"/>
      <c r="P20" s="12"/>
    </row>
    <row r="21" spans="2:16" ht="15" customHeight="1" x14ac:dyDescent="0.2">
      <c r="E21" s="12"/>
      <c r="F21" s="12"/>
      <c r="G21" s="12"/>
      <c r="H21" s="12"/>
      <c r="I21" s="12"/>
      <c r="J21" s="12"/>
      <c r="K21" s="12"/>
      <c r="L21" s="12"/>
      <c r="M21" s="12"/>
      <c r="N21" s="12"/>
      <c r="O21" s="12"/>
      <c r="P21" s="12"/>
    </row>
    <row r="22" spans="2:16" ht="15" customHeight="1" x14ac:dyDescent="0.2">
      <c r="C22" s="13" t="s">
        <v>12</v>
      </c>
      <c r="E22" s="14">
        <f>'Ratio Analysis'!W48</f>
        <v>8535</v>
      </c>
      <c r="F22" s="14">
        <f>'Ratio Analysis'!X48</f>
        <v>17632</v>
      </c>
      <c r="G22" s="14">
        <f>'Ratio Analysis'!Y48</f>
        <v>19952</v>
      </c>
      <c r="H22" s="14">
        <f>'Ratio Analysis'!Z48</f>
        <v>26184</v>
      </c>
      <c r="I22" s="14">
        <f>'Ratio Analysis'!AA48</f>
        <v>45590</v>
      </c>
      <c r="J22" s="12">
        <f t="shared" ref="J22:N23" si="5">J10*J17/1000</f>
        <v>73391.75</v>
      </c>
      <c r="K22" s="12">
        <f t="shared" si="5"/>
        <v>73391.75</v>
      </c>
      <c r="L22" s="12">
        <f t="shared" si="5"/>
        <v>91966.5</v>
      </c>
      <c r="M22" s="12">
        <f t="shared" si="5"/>
        <v>111456</v>
      </c>
      <c r="N22" s="12">
        <f t="shared" si="5"/>
        <v>130800</v>
      </c>
      <c r="O22" s="12"/>
      <c r="P22" s="12"/>
    </row>
    <row r="23" spans="2:16" ht="15" customHeight="1" x14ac:dyDescent="0.2">
      <c r="C23" s="13" t="s">
        <v>13</v>
      </c>
      <c r="E23" s="14">
        <f>'Ratio Analysis'!W49</f>
        <v>1107</v>
      </c>
      <c r="F23" s="14">
        <f>'Ratio Analysis'!X49</f>
        <v>883</v>
      </c>
      <c r="G23" s="14">
        <f>'Ratio Analysis'!Y49</f>
        <v>869</v>
      </c>
      <c r="H23" s="14">
        <f>'Ratio Analysis'!Z49</f>
        <v>1052</v>
      </c>
      <c r="I23" s="14">
        <f>'Ratio Analysis'!AA49</f>
        <v>1642</v>
      </c>
      <c r="J23" s="12">
        <f t="shared" si="5"/>
        <v>1421.0000000000002</v>
      </c>
      <c r="K23" s="12">
        <f t="shared" si="5"/>
        <v>1421.0000000000002</v>
      </c>
      <c r="L23" s="12">
        <f t="shared" si="5"/>
        <v>1795.5000000000002</v>
      </c>
      <c r="M23" s="12">
        <f t="shared" si="5"/>
        <v>1870.5</v>
      </c>
      <c r="N23" s="12">
        <f t="shared" si="5"/>
        <v>2212.5</v>
      </c>
      <c r="O23" s="12"/>
      <c r="P23" s="12" t="s">
        <v>455</v>
      </c>
    </row>
    <row r="24" spans="2:16" ht="15" customHeight="1" x14ac:dyDescent="0.2">
      <c r="C24" s="15" t="s">
        <v>14</v>
      </c>
      <c r="D24" s="15"/>
      <c r="E24" s="16">
        <f t="shared" ref="E24:N24" si="6">SUM(E22:E23)</f>
        <v>9642</v>
      </c>
      <c r="F24" s="16">
        <f t="shared" si="6"/>
        <v>18515</v>
      </c>
      <c r="G24" s="16">
        <f t="shared" si="6"/>
        <v>20821</v>
      </c>
      <c r="H24" s="16">
        <f t="shared" si="6"/>
        <v>27236</v>
      </c>
      <c r="I24" s="16">
        <f t="shared" si="6"/>
        <v>47232</v>
      </c>
      <c r="J24" s="16">
        <f t="shared" si="6"/>
        <v>74812.75</v>
      </c>
      <c r="K24" s="16">
        <f t="shared" si="6"/>
        <v>74812.75</v>
      </c>
      <c r="L24" s="16">
        <f t="shared" si="6"/>
        <v>93762</v>
      </c>
      <c r="M24" s="16">
        <f t="shared" si="6"/>
        <v>113326.5</v>
      </c>
      <c r="N24" s="16">
        <f t="shared" si="6"/>
        <v>133012.5</v>
      </c>
      <c r="O24" s="12"/>
      <c r="P24" s="12"/>
    </row>
    <row r="25" spans="2:16" ht="15" customHeight="1" x14ac:dyDescent="0.2">
      <c r="C25" s="13" t="s">
        <v>15</v>
      </c>
      <c r="E25" s="14">
        <f>'Ratio Analysis'!W51</f>
        <v>1116</v>
      </c>
      <c r="F25" s="14">
        <f>'Ratio Analysis'!X51</f>
        <v>1555</v>
      </c>
      <c r="G25" s="14">
        <f>'Ratio Analysis'!Y51</f>
        <v>1531</v>
      </c>
      <c r="H25" s="14">
        <f>'Ratio Analysis'!Z51</f>
        <v>1994</v>
      </c>
      <c r="I25" s="14">
        <f>'Ratio Analysis'!AA51</f>
        <v>2789</v>
      </c>
      <c r="J25" s="12">
        <f t="shared" ref="J25:N26" si="7">I25*(1+J14)</f>
        <v>3625.7000000000003</v>
      </c>
      <c r="K25" s="12">
        <f t="shared" si="7"/>
        <v>4713.4100000000008</v>
      </c>
      <c r="L25" s="12">
        <f t="shared" si="7"/>
        <v>6268.8353000000016</v>
      </c>
      <c r="M25" s="12">
        <f t="shared" si="7"/>
        <v>8525.6160080000009</v>
      </c>
      <c r="N25" s="12">
        <f t="shared" si="7"/>
        <v>11850.606251120002</v>
      </c>
      <c r="O25" s="12"/>
      <c r="P25" s="12"/>
    </row>
    <row r="26" spans="2:16" ht="15" customHeight="1" x14ac:dyDescent="0.2">
      <c r="C26" s="13" t="s">
        <v>16</v>
      </c>
      <c r="E26" s="14">
        <f>'Ratio Analysis'!W52</f>
        <v>1001</v>
      </c>
      <c r="F26" s="14">
        <f>'Ratio Analysis'!X52</f>
        <v>1391</v>
      </c>
      <c r="G26" s="14">
        <f>'Ratio Analysis'!Y52</f>
        <v>2226</v>
      </c>
      <c r="H26" s="14">
        <f>'Ratio Analysis'!Z52</f>
        <v>2306</v>
      </c>
      <c r="I26" s="14">
        <f>'Ratio Analysis'!AA52</f>
        <v>3802</v>
      </c>
      <c r="J26" s="12">
        <f t="shared" si="7"/>
        <v>5512.9</v>
      </c>
      <c r="K26" s="12">
        <f t="shared" si="7"/>
        <v>7993.704999999999</v>
      </c>
      <c r="L26" s="12">
        <f t="shared" si="7"/>
        <v>11830.683399999998</v>
      </c>
      <c r="M26" s="12">
        <f t="shared" si="7"/>
        <v>17864.331933999998</v>
      </c>
      <c r="N26" s="12">
        <f t="shared" si="7"/>
        <v>27511.071178359998</v>
      </c>
      <c r="O26" s="12"/>
      <c r="P26" s="12"/>
    </row>
    <row r="27" spans="2:16" ht="15" customHeight="1" x14ac:dyDescent="0.2">
      <c r="C27" s="15" t="s">
        <v>17</v>
      </c>
      <c r="D27" s="15"/>
      <c r="E27" s="16">
        <f t="shared" ref="E27:N27" si="8">SUM(E24:E26)</f>
        <v>11759</v>
      </c>
      <c r="F27" s="16">
        <f t="shared" si="8"/>
        <v>21461</v>
      </c>
      <c r="G27" s="16">
        <f t="shared" si="8"/>
        <v>24578</v>
      </c>
      <c r="H27" s="16">
        <f t="shared" si="8"/>
        <v>31536</v>
      </c>
      <c r="I27" s="16">
        <f t="shared" si="8"/>
        <v>53823</v>
      </c>
      <c r="J27" s="16">
        <f t="shared" si="8"/>
        <v>83951.349999999991</v>
      </c>
      <c r="K27" s="16">
        <f t="shared" si="8"/>
        <v>87519.865000000005</v>
      </c>
      <c r="L27" s="16">
        <f t="shared" si="8"/>
        <v>111861.5187</v>
      </c>
      <c r="M27" s="16">
        <f t="shared" si="8"/>
        <v>139716.447942</v>
      </c>
      <c r="N27" s="16">
        <f t="shared" si="8"/>
        <v>172374.17742948001</v>
      </c>
      <c r="O27" s="12"/>
      <c r="P27" s="12"/>
    </row>
    <row r="28" spans="2:16" ht="15" customHeight="1" x14ac:dyDescent="0.2">
      <c r="E28" s="12"/>
      <c r="F28" s="12"/>
      <c r="G28" s="12"/>
      <c r="H28" s="12"/>
      <c r="I28" s="12"/>
      <c r="J28" s="12"/>
      <c r="K28" s="12"/>
      <c r="L28" s="12"/>
      <c r="M28" s="12"/>
      <c r="N28" s="12"/>
      <c r="O28" s="12"/>
      <c r="P28" s="12"/>
    </row>
    <row r="29" spans="2:16" ht="15" customHeight="1" x14ac:dyDescent="0.2">
      <c r="E29" s="12"/>
      <c r="F29" s="12"/>
      <c r="G29" s="12"/>
      <c r="H29" s="12"/>
      <c r="I29" s="12"/>
      <c r="J29" s="12"/>
      <c r="K29" s="12"/>
      <c r="L29" s="12"/>
      <c r="M29" s="12"/>
      <c r="N29" s="12"/>
      <c r="O29" s="12"/>
      <c r="P29" s="12"/>
    </row>
    <row r="30" spans="2:16" ht="15" customHeight="1" x14ac:dyDescent="0.2">
      <c r="E30" s="12"/>
      <c r="F30" s="12"/>
      <c r="G30" s="12"/>
      <c r="H30" s="12"/>
      <c r="I30" s="12"/>
      <c r="J30" s="12"/>
      <c r="K30" s="12"/>
      <c r="L30" s="12"/>
      <c r="M30" s="12"/>
      <c r="N30" s="12"/>
      <c r="O30" s="12"/>
      <c r="P30" s="12"/>
    </row>
    <row r="31" spans="2:16" ht="6" customHeight="1" x14ac:dyDescent="0.25"/>
    <row r="32" spans="2:16" ht="20" customHeight="1" x14ac:dyDescent="0.25">
      <c r="B32" s="2" t="str">
        <f>'Cover Page'!$C$18</f>
        <v>Tesla, Inc.</v>
      </c>
      <c r="C32" s="3"/>
      <c r="D32" s="3"/>
      <c r="E32" s="3"/>
      <c r="F32" s="3"/>
      <c r="G32" s="3"/>
      <c r="H32" s="3"/>
      <c r="I32" s="3"/>
      <c r="J32" s="3"/>
      <c r="K32" s="3"/>
      <c r="L32" s="3"/>
      <c r="M32" s="3"/>
      <c r="N32" s="3"/>
    </row>
    <row r="33" spans="2:16" ht="15" customHeight="1" x14ac:dyDescent="0.25">
      <c r="B33" s="4" t="s">
        <v>424</v>
      </c>
      <c r="C33" s="4"/>
      <c r="D33" s="4"/>
      <c r="E33" s="4"/>
      <c r="F33" s="4"/>
      <c r="G33" s="4"/>
      <c r="H33" s="4"/>
      <c r="I33" s="4"/>
      <c r="J33" s="4"/>
      <c r="K33" s="4"/>
      <c r="L33" s="4"/>
      <c r="M33" s="4"/>
      <c r="N33" s="4"/>
    </row>
    <row r="34" spans="2:16" ht="6" customHeight="1" thickBot="1" x14ac:dyDescent="0.3">
      <c r="B34" s="5"/>
      <c r="C34" s="5"/>
      <c r="D34" s="5"/>
      <c r="E34" s="5"/>
      <c r="F34" s="5"/>
      <c r="G34" s="5"/>
      <c r="H34" s="5"/>
      <c r="I34" s="5"/>
      <c r="J34" s="5"/>
      <c r="K34" s="5"/>
      <c r="L34" s="5"/>
      <c r="M34" s="5"/>
      <c r="N34" s="5"/>
    </row>
    <row r="35" spans="2:16" ht="15" customHeight="1" x14ac:dyDescent="0.25">
      <c r="B35" s="117" t="str">
        <f>Scenarios!$B$5</f>
        <v>$ MM's ( unless otherwise specified )</v>
      </c>
      <c r="C35" s="117"/>
      <c r="D35" s="117"/>
      <c r="E35" s="117"/>
      <c r="F35" s="117"/>
      <c r="G35" s="117"/>
      <c r="H35" s="117"/>
      <c r="I35" s="117"/>
      <c r="J35" s="117"/>
      <c r="K35" s="117"/>
      <c r="L35" s="117"/>
      <c r="M35" s="117"/>
      <c r="N35" s="121" t="str">
        <f>Scenarios!$N$5</f>
        <v>Based on: Base Case Senario</v>
      </c>
    </row>
    <row r="36" spans="2:16" ht="6" customHeight="1" x14ac:dyDescent="0.25"/>
    <row r="37" spans="2:16" ht="15" customHeight="1" x14ac:dyDescent="0.25">
      <c r="E37" s="6" t="s">
        <v>7</v>
      </c>
      <c r="F37" s="7"/>
      <c r="G37" s="7"/>
      <c r="H37" s="7"/>
      <c r="I37" s="7"/>
      <c r="J37" s="8" t="s">
        <v>6</v>
      </c>
      <c r="K37" s="9"/>
      <c r="L37" s="9"/>
      <c r="M37" s="9"/>
      <c r="N37" s="9"/>
    </row>
    <row r="38" spans="2:16" ht="15" customHeight="1" x14ac:dyDescent="0.25">
      <c r="E38" s="10">
        <f t="shared" ref="E38" si="9">F38-1</f>
        <v>2017</v>
      </c>
      <c r="F38" s="10">
        <f t="shared" ref="F38" si="10">G38-1</f>
        <v>2018</v>
      </c>
      <c r="G38" s="10">
        <f t="shared" ref="G38" si="11">H38-1</f>
        <v>2019</v>
      </c>
      <c r="H38" s="10">
        <f t="shared" ref="H38" si="12">I38-1</f>
        <v>2020</v>
      </c>
      <c r="I38" s="10">
        <f t="shared" ref="I38" si="13">J38-1</f>
        <v>2021</v>
      </c>
      <c r="J38" s="11">
        <v>2022</v>
      </c>
      <c r="K38" s="11">
        <f>J38+1</f>
        <v>2023</v>
      </c>
      <c r="L38" s="11">
        <f t="shared" ref="L38" si="14">K38+1</f>
        <v>2024</v>
      </c>
      <c r="M38" s="11">
        <f t="shared" ref="M38" si="15">L38+1</f>
        <v>2025</v>
      </c>
      <c r="N38" s="11">
        <f t="shared" ref="N38" si="16">M38+1</f>
        <v>2026</v>
      </c>
    </row>
    <row r="39" spans="2:16" ht="15" customHeight="1" x14ac:dyDescent="0.25">
      <c r="E39" s="12"/>
      <c r="F39" s="12"/>
      <c r="G39" s="12"/>
      <c r="H39" s="12"/>
      <c r="I39" s="12"/>
      <c r="J39" s="12"/>
      <c r="K39" s="12"/>
      <c r="L39" s="12"/>
      <c r="M39" s="12"/>
      <c r="N39" s="12"/>
      <c r="O39" s="12"/>
      <c r="P39" s="12"/>
    </row>
    <row r="40" spans="2:16" ht="15" customHeight="1" x14ac:dyDescent="0.25">
      <c r="C40" s="122" t="str">
        <f>'Ratio Analysis'!S72</f>
        <v>Total Automotive Cost</v>
      </c>
      <c r="D40" s="105"/>
      <c r="E40" s="107">
        <f>'Ratio Analysis'!W72</f>
        <v>7433</v>
      </c>
      <c r="F40" s="107">
        <f>'Ratio Analysis'!X72</f>
        <v>14174</v>
      </c>
      <c r="G40" s="107">
        <f>'Ratio Analysis'!Y72</f>
        <v>16398</v>
      </c>
      <c r="H40" s="107">
        <f>'Ratio Analysis'!Z72</f>
        <v>20259</v>
      </c>
      <c r="I40" s="107">
        <f>'Ratio Analysis'!AA72</f>
        <v>33393</v>
      </c>
      <c r="J40" s="107">
        <f>J44*J48/1000</f>
        <v>52200</v>
      </c>
      <c r="K40" s="107">
        <f>K44*K48/1000</f>
        <v>52200</v>
      </c>
      <c r="L40" s="107">
        <f>L44*L48/1000</f>
        <v>61200</v>
      </c>
      <c r="M40" s="107">
        <f>M44*M48/1000</f>
        <v>73100</v>
      </c>
      <c r="N40" s="108">
        <f>N44*N48/1000</f>
        <v>85000</v>
      </c>
      <c r="O40" s="12"/>
      <c r="P40" s="12"/>
    </row>
    <row r="41" spans="2:16" ht="15" customHeight="1" x14ac:dyDescent="0.25">
      <c r="C41" s="123" t="s">
        <v>422</v>
      </c>
      <c r="E41" s="14">
        <f>'Ratio Analysis'!W411</f>
        <v>1636</v>
      </c>
      <c r="F41" s="14">
        <f>'Ratio Analysis'!X411</f>
        <v>1901</v>
      </c>
      <c r="G41" s="14">
        <f>'Ratio Analysis'!Y411</f>
        <v>2154</v>
      </c>
      <c r="H41" s="14">
        <f>'Ratio Analysis'!Z411</f>
        <v>2322</v>
      </c>
      <c r="I41" s="14">
        <f>'Ratio Analysis'!AA411</f>
        <v>2911</v>
      </c>
      <c r="J41" s="12">
        <f>'Notes to Accounts'!J156+'Notes to Accounts'!J189+'Notes to Accounts'!J226-'Notes to Accounts'!J367-'Notes to Accounts'!J387-'Notes to Accounts'!J252-'Notes to Accounts'!J258</f>
        <v>3929.4730780825607</v>
      </c>
      <c r="K41" s="12">
        <f>'Notes to Accounts'!K156+'Notes to Accounts'!K189+'Notes to Accounts'!K226-'Notes to Accounts'!K367-'Notes to Accounts'!K387-'Notes to Accounts'!K252-'Notes to Accounts'!K258</f>
        <v>4672.0334359365497</v>
      </c>
      <c r="L41" s="12">
        <f>'Notes to Accounts'!L156+'Notes to Accounts'!L189+'Notes to Accounts'!L226-'Notes to Accounts'!L367-'Notes to Accounts'!L387-'Notes to Accounts'!L252-'Notes to Accounts'!L258</f>
        <v>5721.4929092903849</v>
      </c>
      <c r="M41" s="12">
        <f>'Notes to Accounts'!M156+'Notes to Accounts'!M189+'Notes to Accounts'!M226-'Notes to Accounts'!M367-'Notes to Accounts'!M387-'Notes to Accounts'!M252-'Notes to Accounts'!M258</f>
        <v>5506.9927456788828</v>
      </c>
      <c r="N41" s="110">
        <f>'Notes to Accounts'!N156+'Notes to Accounts'!N189+'Notes to Accounts'!N226-'Notes to Accounts'!N367-'Notes to Accounts'!N387-'Notes to Accounts'!N252-'Notes to Accounts'!N258</f>
        <v>7020.1172212787524</v>
      </c>
      <c r="O41" s="12"/>
      <c r="P41" s="12"/>
    </row>
    <row r="42" spans="2:16" ht="15" customHeight="1" x14ac:dyDescent="0.25">
      <c r="C42" s="123" t="s">
        <v>557</v>
      </c>
      <c r="E42" s="14">
        <f>'Ratio Analysis'!W41</f>
        <v>467</v>
      </c>
      <c r="F42" s="14">
        <f>'Ratio Analysis'!X41</f>
        <v>749</v>
      </c>
      <c r="G42" s="14">
        <f>'Ratio Analysis'!Y41</f>
        <v>898</v>
      </c>
      <c r="H42" s="14">
        <f>'Ratio Analysis'!Z41</f>
        <v>1734</v>
      </c>
      <c r="I42" s="14">
        <f>'Ratio Analysis'!AA41</f>
        <v>2121</v>
      </c>
      <c r="J42" s="14">
        <f>Assumptions!$H$66+Assumptions!H68+Assumptions!H68</f>
        <v>913</v>
      </c>
      <c r="K42" s="14">
        <f>Assumptions!H69/3</f>
        <v>94.333333333333329</v>
      </c>
      <c r="L42" s="14">
        <f>K42</f>
        <v>94.333333333333329</v>
      </c>
      <c r="M42" s="14">
        <f>L42</f>
        <v>94.333333333333329</v>
      </c>
      <c r="N42" s="110"/>
      <c r="O42" s="12"/>
      <c r="P42" s="12"/>
    </row>
    <row r="43" spans="2:16" ht="20" customHeight="1" x14ac:dyDescent="0.25">
      <c r="C43" s="124" t="s">
        <v>423</v>
      </c>
      <c r="D43" s="15"/>
      <c r="E43" s="16">
        <f t="shared" ref="E43:N43" si="17">E40-SUM(E41:E42)</f>
        <v>5330</v>
      </c>
      <c r="F43" s="16">
        <f t="shared" si="17"/>
        <v>11524</v>
      </c>
      <c r="G43" s="16">
        <f t="shared" si="17"/>
        <v>13346</v>
      </c>
      <c r="H43" s="16">
        <f t="shared" si="17"/>
        <v>16203</v>
      </c>
      <c r="I43" s="16">
        <f t="shared" si="17"/>
        <v>28361</v>
      </c>
      <c r="J43" s="16">
        <f t="shared" si="17"/>
        <v>47357.526921917437</v>
      </c>
      <c r="K43" s="16">
        <f t="shared" si="17"/>
        <v>47433.63323073012</v>
      </c>
      <c r="L43" s="16">
        <f t="shared" si="17"/>
        <v>55384.17375737628</v>
      </c>
      <c r="M43" s="16">
        <f t="shared" si="17"/>
        <v>67498.673920987785</v>
      </c>
      <c r="N43" s="125">
        <f t="shared" si="17"/>
        <v>77979.88277872125</v>
      </c>
      <c r="O43" s="12"/>
      <c r="P43" s="12"/>
    </row>
    <row r="44" spans="2:16" ht="20" customHeight="1" x14ac:dyDescent="0.25">
      <c r="C44" s="26" t="str">
        <f>C13</f>
        <v>Total production</v>
      </c>
      <c r="E44" s="12">
        <f t="shared" ref="E44:N44" si="18">E13</f>
        <v>107477</v>
      </c>
      <c r="F44" s="12">
        <f t="shared" si="18"/>
        <v>257910</v>
      </c>
      <c r="G44" s="12">
        <f t="shared" si="18"/>
        <v>368101</v>
      </c>
      <c r="H44" s="12">
        <f t="shared" si="18"/>
        <v>509737</v>
      </c>
      <c r="I44" s="12">
        <f t="shared" si="18"/>
        <v>930422.00000000012</v>
      </c>
      <c r="J44" s="12">
        <f t="shared" si="18"/>
        <v>1450000</v>
      </c>
      <c r="K44" s="12">
        <f t="shared" si="18"/>
        <v>1450000</v>
      </c>
      <c r="L44" s="12">
        <f t="shared" si="18"/>
        <v>1800000</v>
      </c>
      <c r="M44" s="12">
        <f t="shared" si="18"/>
        <v>2150000</v>
      </c>
      <c r="N44" s="110">
        <f t="shared" si="18"/>
        <v>2500000</v>
      </c>
      <c r="O44" s="12"/>
      <c r="P44" s="12"/>
    </row>
    <row r="45" spans="2:16" ht="15" customHeight="1" x14ac:dyDescent="0.25">
      <c r="C45" s="26" t="str">
        <f>'Ratio Analysis'!S73</f>
        <v>Energy generation and storage</v>
      </c>
      <c r="D45" s="126" t="s">
        <v>427</v>
      </c>
      <c r="E45" s="128"/>
      <c r="F45" s="31">
        <f t="shared" ref="F45:I46" si="19">IFERROR(F56/E56-1,"")</f>
        <v>0.56178489702517154</v>
      </c>
      <c r="G45" s="31">
        <f t="shared" si="19"/>
        <v>-1.7582417582417631E-2</v>
      </c>
      <c r="H45" s="31">
        <f t="shared" si="19"/>
        <v>0.47352721849366142</v>
      </c>
      <c r="I45" s="31">
        <f t="shared" si="19"/>
        <v>0.47672064777327927</v>
      </c>
      <c r="J45" s="31">
        <f>Assumptions!$F34</f>
        <v>0.36</v>
      </c>
      <c r="K45" s="31">
        <f>Assumptions!$F34</f>
        <v>0.36</v>
      </c>
      <c r="L45" s="31">
        <f>Assumptions!$H34</f>
        <v>0.21</v>
      </c>
      <c r="M45" s="31">
        <f>Assumptions!$H34</f>
        <v>0.21</v>
      </c>
      <c r="N45" s="113">
        <f>Assumptions!$H34</f>
        <v>0.21</v>
      </c>
      <c r="O45" s="12"/>
      <c r="P45" s="12"/>
    </row>
    <row r="46" spans="2:16" ht="15" customHeight="1" x14ac:dyDescent="0.25">
      <c r="C46" s="114" t="str">
        <f>'Ratio Analysis'!S74</f>
        <v>Services and other</v>
      </c>
      <c r="D46" s="127" t="s">
        <v>427</v>
      </c>
      <c r="E46" s="129"/>
      <c r="F46" s="115">
        <f t="shared" si="19"/>
        <v>0.52969894222945491</v>
      </c>
      <c r="G46" s="115">
        <f t="shared" si="19"/>
        <v>0.47340425531914887</v>
      </c>
      <c r="H46" s="115">
        <f t="shared" si="19"/>
        <v>-3.5740072202166018E-2</v>
      </c>
      <c r="I46" s="115">
        <f t="shared" si="19"/>
        <v>0.46237364283040061</v>
      </c>
      <c r="J46" s="115">
        <f>Assumptions!$F35</f>
        <v>0.35</v>
      </c>
      <c r="K46" s="115">
        <f>Assumptions!$F35</f>
        <v>0.35</v>
      </c>
      <c r="L46" s="115">
        <f>Assumptions!$H35</f>
        <v>0.19999999999999998</v>
      </c>
      <c r="M46" s="115">
        <f>Assumptions!$H35</f>
        <v>0.19999999999999998</v>
      </c>
      <c r="N46" s="116">
        <f>Assumptions!$H35</f>
        <v>0.19999999999999998</v>
      </c>
      <c r="O46" s="12"/>
      <c r="P46" s="12"/>
    </row>
    <row r="47" spans="2:16" ht="15" customHeight="1" x14ac:dyDescent="0.25">
      <c r="E47" s="12"/>
      <c r="F47" s="12"/>
      <c r="G47" s="12"/>
      <c r="H47" s="12"/>
      <c r="I47" s="12"/>
      <c r="J47" s="12"/>
      <c r="K47" s="12"/>
      <c r="L47" s="12"/>
      <c r="M47" s="12"/>
      <c r="N47" s="12"/>
      <c r="O47" s="12"/>
      <c r="P47" s="12"/>
    </row>
    <row r="48" spans="2:16" ht="15" customHeight="1" x14ac:dyDescent="0.25">
      <c r="C48" s="1" t="s">
        <v>419</v>
      </c>
      <c r="E48" s="14">
        <f>Scenarios!E13</f>
        <v>49.592005731458826</v>
      </c>
      <c r="F48" s="14">
        <f>Scenarios!F13</f>
        <v>44.682253499282695</v>
      </c>
      <c r="G48" s="14">
        <f>Scenarios!G13</f>
        <v>36.256353555138396</v>
      </c>
      <c r="H48" s="14">
        <f>Scenarios!H13</f>
        <v>31.786980344766025</v>
      </c>
      <c r="I48" s="14">
        <f>Scenarios!I13</f>
        <v>30.481867367710564</v>
      </c>
      <c r="J48" s="14">
        <f>Scenarios!J13</f>
        <v>36</v>
      </c>
      <c r="K48" s="14">
        <f>Scenarios!K13</f>
        <v>36</v>
      </c>
      <c r="L48" s="14">
        <f>Scenarios!L13</f>
        <v>34</v>
      </c>
      <c r="M48" s="14">
        <f>Scenarios!M13</f>
        <v>34</v>
      </c>
      <c r="N48" s="14">
        <f>Scenarios!N13</f>
        <v>34</v>
      </c>
      <c r="O48" s="12"/>
      <c r="P48" s="12"/>
    </row>
    <row r="49" spans="2:16" ht="15" customHeight="1" x14ac:dyDescent="0.25">
      <c r="E49" s="12"/>
      <c r="F49" s="12"/>
      <c r="G49" s="12"/>
      <c r="H49" s="12"/>
      <c r="I49" s="12"/>
      <c r="J49" s="12"/>
      <c r="K49" s="12"/>
      <c r="L49" s="12"/>
      <c r="M49" s="12"/>
      <c r="N49" s="12"/>
      <c r="O49" s="12"/>
      <c r="P49" s="12"/>
    </row>
    <row r="50" spans="2:16" ht="15" customHeight="1" x14ac:dyDescent="0.25">
      <c r="B50" s="30" t="str">
        <f>'Ratio Analysis'!R69</f>
        <v>Cost of revenue</v>
      </c>
      <c r="L50" s="12"/>
      <c r="M50" s="12"/>
      <c r="N50" s="12"/>
      <c r="O50" s="12"/>
      <c r="P50" s="12"/>
    </row>
    <row r="51" spans="2:16" ht="15" customHeight="1" x14ac:dyDescent="0.25">
      <c r="B51" s="1">
        <f>'Ratio Analysis'!R70</f>
        <v>0</v>
      </c>
      <c r="L51" s="12"/>
      <c r="M51" s="12"/>
      <c r="N51" s="12"/>
      <c r="O51" s="12"/>
      <c r="P51" s="12"/>
    </row>
    <row r="52" spans="2:16" ht="15" customHeight="1" x14ac:dyDescent="0.25">
      <c r="B52" s="1">
        <f>'Ratio Analysis'!R71</f>
        <v>0</v>
      </c>
      <c r="C52" s="13" t="str">
        <f>C40</f>
        <v>Total Automotive Cost</v>
      </c>
      <c r="E52" s="130">
        <f t="shared" ref="E52:N52" si="20">E40</f>
        <v>7433</v>
      </c>
      <c r="F52" s="130">
        <f t="shared" si="20"/>
        <v>14174</v>
      </c>
      <c r="G52" s="130">
        <f t="shared" si="20"/>
        <v>16398</v>
      </c>
      <c r="H52" s="130">
        <f t="shared" si="20"/>
        <v>20259</v>
      </c>
      <c r="I52" s="130">
        <f t="shared" si="20"/>
        <v>33393</v>
      </c>
      <c r="J52" s="130">
        <f t="shared" si="20"/>
        <v>52200</v>
      </c>
      <c r="K52" s="130">
        <f t="shared" si="20"/>
        <v>52200</v>
      </c>
      <c r="L52" s="130">
        <f t="shared" si="20"/>
        <v>61200</v>
      </c>
      <c r="M52" s="130">
        <f t="shared" si="20"/>
        <v>73100</v>
      </c>
      <c r="N52" s="130">
        <f t="shared" si="20"/>
        <v>85000</v>
      </c>
      <c r="O52" s="12"/>
      <c r="P52" s="12"/>
    </row>
    <row r="53" spans="2:16" ht="15" customHeight="1" x14ac:dyDescent="0.25">
      <c r="B53" s="1">
        <f>'Ratio Analysis'!R72</f>
        <v>0</v>
      </c>
      <c r="C53" s="13" t="str">
        <f>C41</f>
        <v>- Depreciation, Amortization &amp; Impairments</v>
      </c>
      <c r="E53" s="130">
        <f t="shared" ref="E53:J53" si="21">E41</f>
        <v>1636</v>
      </c>
      <c r="F53" s="130">
        <f t="shared" si="21"/>
        <v>1901</v>
      </c>
      <c r="G53" s="130">
        <f t="shared" si="21"/>
        <v>2154</v>
      </c>
      <c r="H53" s="130">
        <f t="shared" si="21"/>
        <v>2322</v>
      </c>
      <c r="I53" s="130">
        <f t="shared" si="21"/>
        <v>2911</v>
      </c>
      <c r="J53" s="130">
        <f t="shared" si="21"/>
        <v>3929.4730780825607</v>
      </c>
      <c r="K53" s="130">
        <f t="shared" ref="K53:N53" si="22">K41</f>
        <v>4672.0334359365497</v>
      </c>
      <c r="L53" s="130">
        <f t="shared" si="22"/>
        <v>5721.4929092903849</v>
      </c>
      <c r="M53" s="130">
        <f t="shared" si="22"/>
        <v>5506.9927456788828</v>
      </c>
      <c r="N53" s="130">
        <f t="shared" si="22"/>
        <v>7020.1172212787524</v>
      </c>
      <c r="O53" s="12"/>
      <c r="P53" s="12"/>
    </row>
    <row r="54" spans="2:16" ht="15" customHeight="1" x14ac:dyDescent="0.25">
      <c r="C54" s="68" t="s">
        <v>557</v>
      </c>
      <c r="E54" s="130">
        <f t="shared" ref="E54:M54" si="23">E42</f>
        <v>467</v>
      </c>
      <c r="F54" s="130">
        <f t="shared" si="23"/>
        <v>749</v>
      </c>
      <c r="G54" s="130">
        <f t="shared" si="23"/>
        <v>898</v>
      </c>
      <c r="H54" s="130">
        <f t="shared" si="23"/>
        <v>1734</v>
      </c>
      <c r="I54" s="130">
        <f t="shared" si="23"/>
        <v>2121</v>
      </c>
      <c r="J54" s="130">
        <f t="shared" si="23"/>
        <v>913</v>
      </c>
      <c r="K54" s="130">
        <f t="shared" si="23"/>
        <v>94.333333333333329</v>
      </c>
      <c r="L54" s="130">
        <f t="shared" si="23"/>
        <v>94.333333333333329</v>
      </c>
      <c r="M54" s="130">
        <f t="shared" si="23"/>
        <v>94.333333333333329</v>
      </c>
      <c r="N54" s="130"/>
      <c r="O54" s="12"/>
      <c r="P54" s="12"/>
    </row>
    <row r="55" spans="2:16" ht="15" customHeight="1" x14ac:dyDescent="0.25">
      <c r="B55" s="1">
        <f>'Ratio Analysis'!R73</f>
        <v>0</v>
      </c>
      <c r="C55" s="15" t="str">
        <f>C43</f>
        <v>Cost of Manufacturing Vehicles</v>
      </c>
      <c r="D55" s="15"/>
      <c r="E55" s="131">
        <f t="shared" ref="E55:N55" si="24">E43</f>
        <v>5330</v>
      </c>
      <c r="F55" s="131">
        <f t="shared" si="24"/>
        <v>11524</v>
      </c>
      <c r="G55" s="131">
        <f t="shared" si="24"/>
        <v>13346</v>
      </c>
      <c r="H55" s="131">
        <f t="shared" si="24"/>
        <v>16203</v>
      </c>
      <c r="I55" s="131">
        <f t="shared" si="24"/>
        <v>28361</v>
      </c>
      <c r="J55" s="131">
        <f t="shared" si="24"/>
        <v>47357.526921917437</v>
      </c>
      <c r="K55" s="131">
        <f t="shared" si="24"/>
        <v>47433.63323073012</v>
      </c>
      <c r="L55" s="131">
        <f t="shared" si="24"/>
        <v>55384.17375737628</v>
      </c>
      <c r="M55" s="131">
        <f t="shared" si="24"/>
        <v>67498.673920987785</v>
      </c>
      <c r="N55" s="131">
        <f t="shared" si="24"/>
        <v>77979.88277872125</v>
      </c>
      <c r="O55" s="12"/>
      <c r="P55" s="12"/>
    </row>
    <row r="56" spans="2:16" ht="15" customHeight="1" x14ac:dyDescent="0.25">
      <c r="B56" s="1">
        <f>'Ratio Analysis'!R74</f>
        <v>0</v>
      </c>
      <c r="C56" s="13" t="str">
        <f>'Ratio Analysis'!S73</f>
        <v>Energy generation and storage</v>
      </c>
      <c r="E56" s="133">
        <f>'Ratio Analysis'!W73</f>
        <v>874</v>
      </c>
      <c r="F56" s="133">
        <f>'Ratio Analysis'!X73</f>
        <v>1365</v>
      </c>
      <c r="G56" s="133">
        <f>'Ratio Analysis'!Y73</f>
        <v>1341</v>
      </c>
      <c r="H56" s="133">
        <f>'Ratio Analysis'!Z73</f>
        <v>1976</v>
      </c>
      <c r="I56" s="133">
        <f>'Ratio Analysis'!AA73</f>
        <v>2918</v>
      </c>
      <c r="J56" s="130">
        <f t="shared" ref="J56:N57" si="25">I56*(1+J45)</f>
        <v>3968.4799999999996</v>
      </c>
      <c r="K56" s="130">
        <f t="shared" si="25"/>
        <v>5397.1327999999985</v>
      </c>
      <c r="L56" s="130">
        <f t="shared" si="25"/>
        <v>6530.530687999998</v>
      </c>
      <c r="M56" s="130">
        <f t="shared" si="25"/>
        <v>7901.9421324799978</v>
      </c>
      <c r="N56" s="130">
        <f t="shared" si="25"/>
        <v>9561.3499803007962</v>
      </c>
      <c r="O56" s="12"/>
      <c r="P56" s="12"/>
    </row>
    <row r="57" spans="2:16" ht="15" customHeight="1" x14ac:dyDescent="0.25">
      <c r="B57" s="1">
        <f>'Ratio Analysis'!R75</f>
        <v>0</v>
      </c>
      <c r="C57" s="13" t="str">
        <f>'Ratio Analysis'!S74</f>
        <v>Services and other</v>
      </c>
      <c r="E57" s="133">
        <f>'Ratio Analysis'!W74</f>
        <v>1229</v>
      </c>
      <c r="F57" s="133">
        <f>'Ratio Analysis'!X74</f>
        <v>1880</v>
      </c>
      <c r="G57" s="133">
        <f>'Ratio Analysis'!Y74</f>
        <v>2770</v>
      </c>
      <c r="H57" s="133">
        <f>'Ratio Analysis'!Z74</f>
        <v>2671</v>
      </c>
      <c r="I57" s="133">
        <f>'Ratio Analysis'!AA74</f>
        <v>3906</v>
      </c>
      <c r="J57" s="130">
        <f t="shared" si="25"/>
        <v>5273.1</v>
      </c>
      <c r="K57" s="130">
        <f t="shared" si="25"/>
        <v>7118.6850000000013</v>
      </c>
      <c r="L57" s="130">
        <f t="shared" si="25"/>
        <v>8542.4220000000005</v>
      </c>
      <c r="M57" s="130">
        <f t="shared" si="25"/>
        <v>10250.9064</v>
      </c>
      <c r="N57" s="130">
        <f t="shared" si="25"/>
        <v>12301.087679999999</v>
      </c>
      <c r="O57" s="12"/>
      <c r="P57" s="12"/>
    </row>
    <row r="58" spans="2:16" ht="15" customHeight="1" x14ac:dyDescent="0.25">
      <c r="B58" s="1">
        <f>'Ratio Analysis'!R76</f>
        <v>0</v>
      </c>
      <c r="C58" s="15" t="str">
        <f>'Ratio Analysis'!S75</f>
        <v>Cost of revenue</v>
      </c>
      <c r="D58" s="15"/>
      <c r="E58" s="131">
        <f t="shared" ref="E58:N58" si="26">SUM(E53:E57)</f>
        <v>9536</v>
      </c>
      <c r="F58" s="131">
        <f t="shared" si="26"/>
        <v>17419</v>
      </c>
      <c r="G58" s="131">
        <f t="shared" si="26"/>
        <v>20509</v>
      </c>
      <c r="H58" s="131">
        <f t="shared" si="26"/>
        <v>24906</v>
      </c>
      <c r="I58" s="131">
        <f>SUM(I53:I57)</f>
        <v>40217</v>
      </c>
      <c r="J58" s="131">
        <f t="shared" si="26"/>
        <v>61441.579999999994</v>
      </c>
      <c r="K58" s="131">
        <f t="shared" si="26"/>
        <v>64715.817800000004</v>
      </c>
      <c r="L58" s="131">
        <f t="shared" si="26"/>
        <v>76272.952688000005</v>
      </c>
      <c r="M58" s="131">
        <f t="shared" si="26"/>
        <v>91252.848532479984</v>
      </c>
      <c r="N58" s="131">
        <f t="shared" si="26"/>
        <v>106862.4376603008</v>
      </c>
      <c r="O58" s="12"/>
      <c r="P58" s="12"/>
    </row>
    <row r="59" spans="2:16" ht="15" customHeight="1" x14ac:dyDescent="0.25">
      <c r="E59" s="130"/>
      <c r="F59" s="130"/>
      <c r="G59" s="130"/>
      <c r="H59" s="130"/>
      <c r="I59" s="130"/>
      <c r="J59" s="130"/>
      <c r="K59" s="130"/>
      <c r="L59" s="130"/>
      <c r="M59" s="130"/>
      <c r="N59" s="130"/>
      <c r="O59" s="12"/>
      <c r="P59" s="12"/>
    </row>
    <row r="60" spans="2:16" ht="15" customHeight="1" x14ac:dyDescent="0.25">
      <c r="D60" s="130"/>
      <c r="E60" s="12"/>
      <c r="F60" s="12"/>
      <c r="G60" s="12"/>
      <c r="H60" s="12"/>
      <c r="I60" s="12"/>
      <c r="J60" s="12"/>
      <c r="K60" s="12"/>
      <c r="L60" s="12"/>
      <c r="M60" s="12"/>
      <c r="N60" s="12"/>
      <c r="O60" s="12"/>
      <c r="P60" s="12"/>
    </row>
    <row r="61" spans="2:16" ht="15" customHeight="1" x14ac:dyDescent="0.25">
      <c r="E61" s="12"/>
      <c r="F61" s="12"/>
      <c r="G61" s="12"/>
      <c r="H61" s="12"/>
      <c r="I61" s="12"/>
      <c r="J61" s="12"/>
      <c r="K61" s="12"/>
      <c r="L61" s="12"/>
      <c r="M61" s="12"/>
      <c r="N61" s="12"/>
      <c r="O61" s="12"/>
      <c r="P61" s="12"/>
    </row>
    <row r="62" spans="2:16" ht="6" customHeight="1" x14ac:dyDescent="0.25"/>
    <row r="63" spans="2:16" ht="20" customHeight="1" x14ac:dyDescent="0.25">
      <c r="B63" s="2" t="str">
        <f>'Cover Page'!$C$18</f>
        <v>Tesla, Inc.</v>
      </c>
      <c r="C63" s="3"/>
      <c r="D63" s="3"/>
      <c r="E63" s="3"/>
      <c r="F63" s="3"/>
      <c r="G63" s="3"/>
      <c r="H63" s="3"/>
      <c r="I63" s="3"/>
      <c r="J63" s="3"/>
      <c r="K63" s="3"/>
      <c r="L63" s="3"/>
      <c r="M63" s="3"/>
      <c r="N63" s="3"/>
    </row>
    <row r="64" spans="2:16" ht="15" customHeight="1" x14ac:dyDescent="0.25">
      <c r="B64" s="4" t="s">
        <v>435</v>
      </c>
      <c r="C64" s="4"/>
      <c r="D64" s="4"/>
      <c r="E64" s="4"/>
      <c r="F64" s="4"/>
      <c r="G64" s="4"/>
      <c r="H64" s="4"/>
      <c r="I64" s="4"/>
      <c r="J64" s="4"/>
      <c r="K64" s="4"/>
      <c r="L64" s="4"/>
      <c r="M64" s="4"/>
      <c r="N64" s="4"/>
    </row>
    <row r="65" spans="2:16" ht="6" customHeight="1" thickBot="1" x14ac:dyDescent="0.3">
      <c r="B65" s="5"/>
      <c r="C65" s="5"/>
      <c r="D65" s="5"/>
      <c r="E65" s="5"/>
      <c r="F65" s="5"/>
      <c r="G65" s="5"/>
      <c r="H65" s="5"/>
      <c r="I65" s="5"/>
      <c r="J65" s="5"/>
      <c r="K65" s="5"/>
      <c r="L65" s="5"/>
      <c r="M65" s="5"/>
      <c r="N65" s="5"/>
    </row>
    <row r="66" spans="2:16" ht="15" customHeight="1" x14ac:dyDescent="0.25">
      <c r="B66" s="117" t="str">
        <f>Scenarios!$B$5</f>
        <v>$ MM's ( unless otherwise specified )</v>
      </c>
      <c r="C66" s="117"/>
      <c r="D66" s="117"/>
      <c r="E66" s="117"/>
      <c r="F66" s="117"/>
      <c r="G66" s="117"/>
      <c r="H66" s="117"/>
      <c r="I66" s="117"/>
      <c r="J66" s="117"/>
      <c r="K66" s="117"/>
      <c r="L66" s="117"/>
      <c r="M66" s="117"/>
      <c r="N66" s="121" t="str">
        <f>Scenarios!$N$5</f>
        <v>Based on: Base Case Senario</v>
      </c>
    </row>
    <row r="67" spans="2:16" ht="6" customHeight="1" x14ac:dyDescent="0.25"/>
    <row r="68" spans="2:16" ht="15" customHeight="1" x14ac:dyDescent="0.25">
      <c r="E68" s="6" t="s">
        <v>7</v>
      </c>
      <c r="F68" s="7"/>
      <c r="G68" s="7"/>
      <c r="H68" s="7"/>
      <c r="I68" s="7"/>
      <c r="J68" s="8" t="s">
        <v>6</v>
      </c>
      <c r="K68" s="9"/>
      <c r="L68" s="9"/>
      <c r="M68" s="9"/>
      <c r="N68" s="9"/>
    </row>
    <row r="69" spans="2:16" ht="15" customHeight="1" x14ac:dyDescent="0.25">
      <c r="E69" s="10">
        <f t="shared" ref="E69" si="27">F69-1</f>
        <v>2017</v>
      </c>
      <c r="F69" s="10">
        <f t="shared" ref="F69" si="28">G69-1</f>
        <v>2018</v>
      </c>
      <c r="G69" s="10">
        <f t="shared" ref="G69" si="29">H69-1</f>
        <v>2019</v>
      </c>
      <c r="H69" s="10">
        <f t="shared" ref="H69" si="30">I69-1</f>
        <v>2020</v>
      </c>
      <c r="I69" s="10">
        <f t="shared" ref="I69" si="31">J69-1</f>
        <v>2021</v>
      </c>
      <c r="J69" s="11">
        <v>2022</v>
      </c>
      <c r="K69" s="11">
        <f>J69+1</f>
        <v>2023</v>
      </c>
      <c r="L69" s="11">
        <f t="shared" ref="L69" si="32">K69+1</f>
        <v>2024</v>
      </c>
      <c r="M69" s="11">
        <f t="shared" ref="M69" si="33">L69+1</f>
        <v>2025</v>
      </c>
      <c r="N69" s="11">
        <f t="shared" ref="N69" si="34">M69+1</f>
        <v>2026</v>
      </c>
    </row>
    <row r="70" spans="2:16" ht="15" customHeight="1" x14ac:dyDescent="0.25">
      <c r="E70" s="12"/>
      <c r="F70" s="12"/>
      <c r="G70" s="12"/>
      <c r="H70" s="12"/>
      <c r="I70" s="12"/>
      <c r="J70" s="12"/>
      <c r="K70" s="12"/>
      <c r="L70" s="12"/>
      <c r="M70" s="12"/>
      <c r="N70" s="12"/>
      <c r="O70" s="12"/>
      <c r="P70" s="12"/>
    </row>
    <row r="71" spans="2:16" ht="15" customHeight="1" x14ac:dyDescent="0.25">
      <c r="C71" s="122" t="str">
        <f>'Ratio Analysis'!S15</f>
        <v>Research and development</v>
      </c>
      <c r="D71" s="105"/>
      <c r="E71" s="107">
        <f>'Ratio Analysis'!W15</f>
        <v>1378</v>
      </c>
      <c r="F71" s="107">
        <f>'Ratio Analysis'!X15</f>
        <v>1460</v>
      </c>
      <c r="G71" s="107">
        <f>'Ratio Analysis'!Y15</f>
        <v>1343</v>
      </c>
      <c r="H71" s="107">
        <f>'Ratio Analysis'!Z15</f>
        <v>1491</v>
      </c>
      <c r="I71" s="107">
        <f>'Ratio Analysis'!AA15</f>
        <v>2593</v>
      </c>
      <c r="J71" s="135"/>
      <c r="K71" s="135"/>
      <c r="L71" s="135"/>
      <c r="M71" s="135"/>
      <c r="N71" s="136"/>
      <c r="O71" s="12"/>
      <c r="P71" s="12"/>
    </row>
    <row r="72" spans="2:16" ht="15" customHeight="1" x14ac:dyDescent="0.25">
      <c r="C72" s="26" t="str">
        <f>'Ratio Analysis'!S16</f>
        <v>Selling, general and administrative</v>
      </c>
      <c r="E72" s="12">
        <f>'Ratio Analysis'!W16</f>
        <v>2477</v>
      </c>
      <c r="F72" s="12">
        <f>'Ratio Analysis'!X16</f>
        <v>2835</v>
      </c>
      <c r="G72" s="12">
        <f>'Ratio Analysis'!Y16</f>
        <v>2646</v>
      </c>
      <c r="H72" s="12">
        <f>'Ratio Analysis'!Z16</f>
        <v>3145</v>
      </c>
      <c r="I72" s="12">
        <f>'Ratio Analysis'!AA16</f>
        <v>4517</v>
      </c>
      <c r="J72" s="99"/>
      <c r="K72" s="99"/>
      <c r="L72" s="99"/>
      <c r="M72" s="99"/>
      <c r="N72" s="137"/>
      <c r="O72" s="12"/>
      <c r="P72" s="12"/>
    </row>
    <row r="73" spans="2:16" ht="15" customHeight="1" x14ac:dyDescent="0.25">
      <c r="C73" s="26" t="str">
        <f>'Ratio Analysis'!S17</f>
        <v>Restructuring and other</v>
      </c>
      <c r="E73" s="99"/>
      <c r="F73" s="99"/>
      <c r="G73" s="99"/>
      <c r="H73" s="99"/>
      <c r="I73" s="99"/>
      <c r="J73" s="99"/>
      <c r="K73" s="99"/>
      <c r="L73" s="99"/>
      <c r="M73" s="99"/>
      <c r="N73" s="137"/>
      <c r="O73" s="12"/>
      <c r="P73" s="12"/>
    </row>
    <row r="74" spans="2:16" ht="15" customHeight="1" x14ac:dyDescent="0.25">
      <c r="C74" s="114" t="str">
        <f>C13</f>
        <v>Total production</v>
      </c>
      <c r="D74" s="138"/>
      <c r="E74" s="139">
        <f t="shared" ref="E74:N74" si="35">E13</f>
        <v>107477</v>
      </c>
      <c r="F74" s="139">
        <f t="shared" si="35"/>
        <v>257910</v>
      </c>
      <c r="G74" s="139">
        <f t="shared" si="35"/>
        <v>368101</v>
      </c>
      <c r="H74" s="139">
        <f t="shared" si="35"/>
        <v>509737</v>
      </c>
      <c r="I74" s="139">
        <f t="shared" si="35"/>
        <v>930422.00000000012</v>
      </c>
      <c r="J74" s="139">
        <f t="shared" si="35"/>
        <v>1450000</v>
      </c>
      <c r="K74" s="139">
        <f t="shared" si="35"/>
        <v>1450000</v>
      </c>
      <c r="L74" s="139">
        <f t="shared" si="35"/>
        <v>1800000</v>
      </c>
      <c r="M74" s="139">
        <f t="shared" si="35"/>
        <v>2150000</v>
      </c>
      <c r="N74" s="140">
        <f t="shared" si="35"/>
        <v>2500000</v>
      </c>
      <c r="O74" s="12"/>
      <c r="P74" s="12"/>
    </row>
    <row r="75" spans="2:16" ht="15" customHeight="1" x14ac:dyDescent="0.25">
      <c r="E75" s="12"/>
      <c r="F75" s="12"/>
      <c r="G75" s="12"/>
      <c r="H75" s="12"/>
      <c r="I75" s="12"/>
      <c r="J75" s="12"/>
      <c r="K75" s="12"/>
      <c r="L75" s="12"/>
      <c r="M75" s="12"/>
      <c r="N75" s="12"/>
      <c r="O75" s="12"/>
      <c r="P75" s="12"/>
    </row>
    <row r="76" spans="2:16" ht="15" customHeight="1" x14ac:dyDescent="0.25">
      <c r="C76" s="1" t="s">
        <v>434</v>
      </c>
      <c r="E76" s="12">
        <f t="shared" ref="E76:I77" si="36">E71*1000/E$74</f>
        <v>12.821347823255207</v>
      </c>
      <c r="F76" s="12">
        <f t="shared" si="36"/>
        <v>5.6608894575627158</v>
      </c>
      <c r="G76" s="12">
        <f t="shared" si="36"/>
        <v>3.6484551794208655</v>
      </c>
      <c r="H76" s="12">
        <f t="shared" si="36"/>
        <v>2.9250378136176107</v>
      </c>
      <c r="I76" s="12">
        <f t="shared" si="36"/>
        <v>2.786907446298561</v>
      </c>
      <c r="J76" s="12">
        <f>Assumptions!D41</f>
        <v>2.6</v>
      </c>
      <c r="K76" s="12">
        <f>Assumptions!E41</f>
        <v>2.48</v>
      </c>
      <c r="L76" s="12">
        <f>Assumptions!F41</f>
        <v>2.36</v>
      </c>
      <c r="M76" s="12">
        <f>Assumptions!G41</f>
        <v>2.2399999999999998</v>
      </c>
      <c r="N76" s="12">
        <f>Assumptions!H41</f>
        <v>2.1199999999999997</v>
      </c>
      <c r="O76" s="12"/>
      <c r="P76" s="12"/>
    </row>
    <row r="77" spans="2:16" ht="15" customHeight="1" x14ac:dyDescent="0.25">
      <c r="C77" s="1" t="s">
        <v>433</v>
      </c>
      <c r="E77" s="12">
        <f t="shared" si="36"/>
        <v>23.04679140653349</v>
      </c>
      <c r="F77" s="12">
        <f t="shared" si="36"/>
        <v>10.992206583691985</v>
      </c>
      <c r="G77" s="12">
        <f t="shared" si="36"/>
        <v>7.188244530713038</v>
      </c>
      <c r="H77" s="12">
        <f t="shared" si="36"/>
        <v>6.1698483727883202</v>
      </c>
      <c r="I77" s="12">
        <f t="shared" si="36"/>
        <v>4.854786322765368</v>
      </c>
      <c r="J77" s="12">
        <f>Assumptions!D42</f>
        <v>4.3</v>
      </c>
      <c r="K77" s="12">
        <f>Assumptions!E42</f>
        <v>4.18</v>
      </c>
      <c r="L77" s="12">
        <f>Assumptions!F42</f>
        <v>4.0599999999999996</v>
      </c>
      <c r="M77" s="12">
        <f>Assumptions!G42</f>
        <v>3.9399999999999995</v>
      </c>
      <c r="N77" s="12">
        <f>Assumptions!H42</f>
        <v>3.8199999999999994</v>
      </c>
      <c r="O77" s="12"/>
      <c r="P77" s="12"/>
    </row>
    <row r="78" spans="2:16" ht="15" customHeight="1" x14ac:dyDescent="0.25">
      <c r="E78" s="12"/>
      <c r="F78" s="12"/>
      <c r="G78" s="12"/>
      <c r="H78" s="12"/>
      <c r="I78" s="12"/>
      <c r="J78" s="12"/>
      <c r="K78" s="12"/>
      <c r="L78" s="12"/>
      <c r="M78" s="12"/>
      <c r="N78" s="12"/>
      <c r="O78" s="12"/>
      <c r="P78" s="12"/>
    </row>
    <row r="79" spans="2:16" ht="15" customHeight="1" x14ac:dyDescent="0.25">
      <c r="C79" s="1" t="str">
        <f>C71</f>
        <v>Research and development</v>
      </c>
      <c r="E79" s="12">
        <f t="shared" ref="E79:I80" si="37">E71</f>
        <v>1378</v>
      </c>
      <c r="F79" s="12">
        <f t="shared" si="37"/>
        <v>1460</v>
      </c>
      <c r="G79" s="12">
        <f t="shared" si="37"/>
        <v>1343</v>
      </c>
      <c r="H79" s="12">
        <f t="shared" si="37"/>
        <v>1491</v>
      </c>
      <c r="I79" s="12">
        <f t="shared" si="37"/>
        <v>2593</v>
      </c>
      <c r="J79" s="12">
        <f t="shared" ref="J79:N80" si="38">J$74*J76/1000</f>
        <v>3770</v>
      </c>
      <c r="K79" s="12">
        <f t="shared" si="38"/>
        <v>3596</v>
      </c>
      <c r="L79" s="12">
        <f t="shared" si="38"/>
        <v>4248</v>
      </c>
      <c r="M79" s="12">
        <f t="shared" si="38"/>
        <v>4815.9999999999991</v>
      </c>
      <c r="N79" s="12">
        <f t="shared" si="38"/>
        <v>5299.9999999999991</v>
      </c>
      <c r="O79" s="12"/>
      <c r="P79" s="12"/>
    </row>
    <row r="80" spans="2:16" ht="15" customHeight="1" x14ac:dyDescent="0.25">
      <c r="C80" s="1" t="str">
        <f>C72</f>
        <v>Selling, general and administrative</v>
      </c>
      <c r="E80" s="12">
        <f t="shared" si="37"/>
        <v>2477</v>
      </c>
      <c r="F80" s="12">
        <f t="shared" si="37"/>
        <v>2835</v>
      </c>
      <c r="G80" s="12">
        <f t="shared" si="37"/>
        <v>2646</v>
      </c>
      <c r="H80" s="12">
        <f t="shared" si="37"/>
        <v>3145</v>
      </c>
      <c r="I80" s="12">
        <f t="shared" si="37"/>
        <v>4517</v>
      </c>
      <c r="J80" s="12">
        <f t="shared" si="38"/>
        <v>6235</v>
      </c>
      <c r="K80" s="12">
        <f t="shared" si="38"/>
        <v>6061</v>
      </c>
      <c r="L80" s="12">
        <f t="shared" si="38"/>
        <v>7307.9999999999991</v>
      </c>
      <c r="M80" s="12">
        <f t="shared" si="38"/>
        <v>8470.9999999999982</v>
      </c>
      <c r="N80" s="12">
        <f t="shared" si="38"/>
        <v>9549.9999999999982</v>
      </c>
      <c r="O80" s="12"/>
      <c r="P80" s="12"/>
    </row>
    <row r="81" spans="2:16" ht="15" customHeight="1" x14ac:dyDescent="0.25">
      <c r="E81" s="12"/>
      <c r="F81" s="12"/>
      <c r="G81" s="12"/>
      <c r="H81" s="12"/>
      <c r="I81" s="12"/>
      <c r="J81" s="12"/>
      <c r="K81" s="12"/>
      <c r="L81" s="12"/>
      <c r="M81" s="12"/>
      <c r="N81" s="12"/>
      <c r="O81" s="12"/>
      <c r="P81" s="12"/>
    </row>
    <row r="82" spans="2:16" ht="15" customHeight="1" x14ac:dyDescent="0.25">
      <c r="E82" s="12"/>
      <c r="F82" s="12"/>
      <c r="G82" s="12"/>
      <c r="H82" s="12"/>
      <c r="I82" s="12"/>
      <c r="J82" s="12"/>
      <c r="K82" s="12"/>
      <c r="L82" s="12"/>
      <c r="M82" s="12"/>
      <c r="N82" s="12"/>
      <c r="O82" s="12"/>
      <c r="P82" s="12"/>
    </row>
    <row r="83" spans="2:16" ht="15" customHeight="1" x14ac:dyDescent="0.25">
      <c r="E83" s="12"/>
      <c r="F83" s="12"/>
      <c r="G83" s="12"/>
      <c r="H83" s="12"/>
      <c r="I83" s="12"/>
      <c r="J83" s="12"/>
      <c r="K83" s="12"/>
      <c r="L83" s="12"/>
      <c r="M83" s="12"/>
      <c r="N83" s="12"/>
      <c r="O83" s="12"/>
      <c r="P83" s="12"/>
    </row>
    <row r="84" spans="2:16" ht="6" customHeight="1" x14ac:dyDescent="0.25"/>
    <row r="85" spans="2:16" ht="20" customHeight="1" x14ac:dyDescent="0.25">
      <c r="B85" s="2" t="str">
        <f>'Cover Page'!$C$18</f>
        <v>Tesla, Inc.</v>
      </c>
      <c r="C85" s="3"/>
      <c r="D85" s="3"/>
      <c r="E85" s="3"/>
      <c r="F85" s="3"/>
      <c r="G85" s="3"/>
      <c r="H85" s="3"/>
      <c r="I85" s="3"/>
      <c r="J85" s="3"/>
      <c r="K85" s="3"/>
      <c r="L85" s="3"/>
      <c r="M85" s="3"/>
      <c r="N85" s="3"/>
    </row>
    <row r="86" spans="2:16" ht="15" customHeight="1" x14ac:dyDescent="0.25">
      <c r="B86" s="4" t="s">
        <v>447</v>
      </c>
      <c r="C86" s="4"/>
      <c r="D86" s="4"/>
      <c r="E86" s="4"/>
      <c r="F86" s="4"/>
      <c r="G86" s="4"/>
      <c r="H86" s="4"/>
      <c r="I86" s="4"/>
      <c r="J86" s="4"/>
      <c r="K86" s="4"/>
      <c r="L86" s="4"/>
      <c r="M86" s="4"/>
      <c r="N86" s="4"/>
    </row>
    <row r="87" spans="2:16" ht="6" customHeight="1" thickBot="1" x14ac:dyDescent="0.3">
      <c r="B87" s="5"/>
      <c r="C87" s="5"/>
      <c r="D87" s="5"/>
      <c r="E87" s="5"/>
      <c r="F87" s="5"/>
      <c r="G87" s="5"/>
      <c r="H87" s="5"/>
      <c r="I87" s="5"/>
      <c r="J87" s="5"/>
      <c r="K87" s="5"/>
      <c r="L87" s="5"/>
      <c r="M87" s="5"/>
      <c r="N87" s="5"/>
    </row>
    <row r="88" spans="2:16" ht="15" customHeight="1" x14ac:dyDescent="0.25">
      <c r="B88" s="117" t="str">
        <f>Scenarios!$B$5</f>
        <v>$ MM's ( unless otherwise specified )</v>
      </c>
      <c r="C88" s="117"/>
      <c r="D88" s="117"/>
      <c r="E88" s="117"/>
      <c r="F88" s="117"/>
      <c r="G88" s="117"/>
      <c r="H88" s="117"/>
      <c r="I88" s="117"/>
      <c r="J88" s="117"/>
      <c r="K88" s="117"/>
      <c r="L88" s="117"/>
      <c r="M88" s="117"/>
      <c r="N88" s="121" t="str">
        <f>Scenarios!$N$5</f>
        <v>Based on: Base Case Senario</v>
      </c>
    </row>
    <row r="89" spans="2:16" ht="6" customHeight="1" x14ac:dyDescent="0.25"/>
    <row r="90" spans="2:16" ht="15" customHeight="1" x14ac:dyDescent="0.25">
      <c r="E90" s="6" t="s">
        <v>7</v>
      </c>
      <c r="F90" s="7"/>
      <c r="G90" s="7"/>
      <c r="H90" s="7"/>
      <c r="I90" s="7"/>
      <c r="J90" s="8" t="s">
        <v>6</v>
      </c>
      <c r="K90" s="9"/>
      <c r="L90" s="9"/>
      <c r="M90" s="9"/>
      <c r="N90" s="9"/>
    </row>
    <row r="91" spans="2:16" ht="15" customHeight="1" x14ac:dyDescent="0.25">
      <c r="E91" s="10">
        <f t="shared" ref="E91" si="39">F91-1</f>
        <v>2017</v>
      </c>
      <c r="F91" s="10">
        <f t="shared" ref="F91" si="40">G91-1</f>
        <v>2018</v>
      </c>
      <c r="G91" s="10">
        <f t="shared" ref="G91" si="41">H91-1</f>
        <v>2019</v>
      </c>
      <c r="H91" s="10">
        <f t="shared" ref="H91" si="42">I91-1</f>
        <v>2020</v>
      </c>
      <c r="I91" s="10">
        <f t="shared" ref="I91" si="43">J91-1</f>
        <v>2021</v>
      </c>
      <c r="J91" s="11">
        <v>2022</v>
      </c>
      <c r="K91" s="11">
        <f>J91+1</f>
        <v>2023</v>
      </c>
      <c r="L91" s="11">
        <f t="shared" ref="L91" si="44">K91+1</f>
        <v>2024</v>
      </c>
      <c r="M91" s="11">
        <f t="shared" ref="M91" si="45">L91+1</f>
        <v>2025</v>
      </c>
      <c r="N91" s="11">
        <f t="shared" ref="N91" si="46">M91+1</f>
        <v>2026</v>
      </c>
    </row>
    <row r="92" spans="2:16" ht="15" customHeight="1" x14ac:dyDescent="0.25">
      <c r="E92" s="12"/>
      <c r="F92" s="12"/>
      <c r="G92" s="12"/>
      <c r="H92" s="12"/>
      <c r="I92" s="12"/>
      <c r="J92" s="12"/>
      <c r="K92" s="12"/>
      <c r="L92" s="12"/>
      <c r="M92" s="12"/>
      <c r="N92" s="12"/>
      <c r="O92" s="12"/>
      <c r="P92" s="12"/>
    </row>
    <row r="93" spans="2:16" ht="15" customHeight="1" x14ac:dyDescent="0.25">
      <c r="C93" s="122" t="s">
        <v>445</v>
      </c>
      <c r="D93" s="105"/>
      <c r="E93" s="107">
        <f t="shared" ref="E93:N93" si="47">IF(MOD(E91,4)=0,366,365)</f>
        <v>365</v>
      </c>
      <c r="F93" s="107">
        <f t="shared" si="47"/>
        <v>365</v>
      </c>
      <c r="G93" s="107">
        <f t="shared" si="47"/>
        <v>365</v>
      </c>
      <c r="H93" s="107">
        <f t="shared" si="47"/>
        <v>366</v>
      </c>
      <c r="I93" s="107">
        <f t="shared" si="47"/>
        <v>365</v>
      </c>
      <c r="J93" s="107">
        <f t="shared" si="47"/>
        <v>365</v>
      </c>
      <c r="K93" s="107">
        <f t="shared" si="47"/>
        <v>365</v>
      </c>
      <c r="L93" s="107">
        <f t="shared" si="47"/>
        <v>366</v>
      </c>
      <c r="M93" s="107">
        <f t="shared" si="47"/>
        <v>365</v>
      </c>
      <c r="N93" s="108">
        <f t="shared" si="47"/>
        <v>365</v>
      </c>
      <c r="O93" s="12"/>
      <c r="P93" s="12"/>
    </row>
    <row r="94" spans="2:16" ht="15" customHeight="1" x14ac:dyDescent="0.25">
      <c r="C94" s="26" t="s">
        <v>10</v>
      </c>
      <c r="E94" s="12">
        <f t="shared" ref="E94:N94" si="48">E27</f>
        <v>11759</v>
      </c>
      <c r="F94" s="12">
        <f t="shared" si="48"/>
        <v>21461</v>
      </c>
      <c r="G94" s="12">
        <f t="shared" si="48"/>
        <v>24578</v>
      </c>
      <c r="H94" s="12">
        <f t="shared" si="48"/>
        <v>31536</v>
      </c>
      <c r="I94" s="12">
        <f t="shared" si="48"/>
        <v>53823</v>
      </c>
      <c r="J94" s="12">
        <f t="shared" si="48"/>
        <v>83951.349999999991</v>
      </c>
      <c r="K94" s="12">
        <f t="shared" si="48"/>
        <v>87519.865000000005</v>
      </c>
      <c r="L94" s="12">
        <f t="shared" si="48"/>
        <v>111861.5187</v>
      </c>
      <c r="M94" s="12">
        <f t="shared" si="48"/>
        <v>139716.447942</v>
      </c>
      <c r="N94" s="110">
        <f t="shared" si="48"/>
        <v>172374.17742948001</v>
      </c>
      <c r="O94" s="12"/>
      <c r="P94" s="12"/>
    </row>
    <row r="95" spans="2:16" ht="15" customHeight="1" x14ac:dyDescent="0.25">
      <c r="C95" s="26" t="s">
        <v>446</v>
      </c>
      <c r="E95" s="12">
        <f t="shared" ref="E95:N95" si="49">E58</f>
        <v>9536</v>
      </c>
      <c r="F95" s="12">
        <f t="shared" si="49"/>
        <v>17419</v>
      </c>
      <c r="G95" s="12">
        <f t="shared" si="49"/>
        <v>20509</v>
      </c>
      <c r="H95" s="12">
        <f t="shared" si="49"/>
        <v>24906</v>
      </c>
      <c r="I95" s="12">
        <f t="shared" si="49"/>
        <v>40217</v>
      </c>
      <c r="J95" s="12">
        <f t="shared" si="49"/>
        <v>61441.579999999994</v>
      </c>
      <c r="K95" s="12">
        <f t="shared" si="49"/>
        <v>64715.817800000004</v>
      </c>
      <c r="L95" s="12">
        <f t="shared" si="49"/>
        <v>76272.952688000005</v>
      </c>
      <c r="M95" s="12">
        <f t="shared" si="49"/>
        <v>91252.848532479984</v>
      </c>
      <c r="N95" s="110">
        <f t="shared" si="49"/>
        <v>106862.4376603008</v>
      </c>
      <c r="O95" s="12"/>
      <c r="P95" s="12"/>
    </row>
    <row r="96" spans="2:16" ht="15" customHeight="1" x14ac:dyDescent="0.25">
      <c r="C96" s="114" t="str">
        <f t="shared" ref="C96:N96" si="50">C80</f>
        <v>Selling, general and administrative</v>
      </c>
      <c r="D96" s="138"/>
      <c r="E96" s="139">
        <f t="shared" si="50"/>
        <v>2477</v>
      </c>
      <c r="F96" s="139">
        <f t="shared" si="50"/>
        <v>2835</v>
      </c>
      <c r="G96" s="139">
        <f t="shared" si="50"/>
        <v>2646</v>
      </c>
      <c r="H96" s="139">
        <f t="shared" si="50"/>
        <v>3145</v>
      </c>
      <c r="I96" s="139">
        <f t="shared" si="50"/>
        <v>4517</v>
      </c>
      <c r="J96" s="139">
        <f t="shared" si="50"/>
        <v>6235</v>
      </c>
      <c r="K96" s="139">
        <f t="shared" si="50"/>
        <v>6061</v>
      </c>
      <c r="L96" s="139">
        <f t="shared" si="50"/>
        <v>7307.9999999999991</v>
      </c>
      <c r="M96" s="139">
        <f t="shared" si="50"/>
        <v>8470.9999999999982</v>
      </c>
      <c r="N96" s="140">
        <f t="shared" si="50"/>
        <v>9549.9999999999982</v>
      </c>
      <c r="O96" s="12"/>
      <c r="P96" s="12"/>
    </row>
    <row r="97" spans="2:16" ht="6" customHeight="1" x14ac:dyDescent="0.25">
      <c r="E97" s="12"/>
      <c r="F97" s="12"/>
      <c r="G97" s="12"/>
      <c r="H97" s="12"/>
      <c r="I97" s="12"/>
      <c r="J97" s="12"/>
      <c r="K97" s="12"/>
      <c r="L97" s="12"/>
      <c r="M97" s="12"/>
      <c r="N97" s="12"/>
      <c r="O97" s="12"/>
      <c r="P97" s="12"/>
    </row>
    <row r="98" spans="2:16" ht="15" customHeight="1" x14ac:dyDescent="0.25">
      <c r="B98" s="30" t="s">
        <v>450</v>
      </c>
      <c r="E98" s="12"/>
      <c r="F98" s="12"/>
      <c r="G98" s="12"/>
      <c r="H98" s="12"/>
      <c r="I98" s="12"/>
      <c r="J98" s="12"/>
      <c r="K98" s="12"/>
      <c r="L98" s="12"/>
      <c r="M98" s="12"/>
      <c r="N98" s="12"/>
      <c r="O98" s="12"/>
      <c r="P98" s="12"/>
    </row>
    <row r="99" spans="2:16" ht="6" customHeight="1" x14ac:dyDescent="0.25">
      <c r="E99" s="12"/>
      <c r="F99" s="12"/>
      <c r="G99" s="12"/>
      <c r="H99" s="12"/>
      <c r="I99" s="12"/>
      <c r="J99" s="12"/>
      <c r="K99" s="12"/>
      <c r="L99" s="12"/>
      <c r="M99" s="12"/>
      <c r="N99" s="12"/>
      <c r="O99" s="12"/>
      <c r="P99" s="12"/>
    </row>
    <row r="100" spans="2:16" ht="15" customHeight="1" x14ac:dyDescent="0.25">
      <c r="C100" s="19" t="s">
        <v>449</v>
      </c>
      <c r="E100" s="12"/>
      <c r="F100" s="12"/>
      <c r="G100" s="12"/>
      <c r="H100" s="12"/>
      <c r="I100" s="12"/>
      <c r="J100" s="12"/>
      <c r="K100" s="12"/>
      <c r="L100" s="12"/>
      <c r="M100" s="12"/>
      <c r="N100" s="12"/>
      <c r="O100" s="12"/>
      <c r="P100" s="12"/>
    </row>
    <row r="101" spans="2:16" ht="15" customHeight="1" x14ac:dyDescent="0.25">
      <c r="C101" s="13" t="str">
        <f>'Financial Statements'!C63</f>
        <v>Accounts receivable, net</v>
      </c>
      <c r="E101" s="143">
        <f>E118*E93/E94</f>
        <v>15.997454290330811</v>
      </c>
      <c r="F101" s="143">
        <f t="shared" ref="F101:I101" si="51">F118*F93/F94</f>
        <v>16.140207818834163</v>
      </c>
      <c r="G101" s="143">
        <f t="shared" si="51"/>
        <v>19.662299617544146</v>
      </c>
      <c r="H101" s="143">
        <f t="shared" si="51"/>
        <v>21.888508371385083</v>
      </c>
      <c r="I101" s="143">
        <f t="shared" si="51"/>
        <v>12.972985526633595</v>
      </c>
      <c r="J101" s="148">
        <f>Assumptions!$M9</f>
        <v>13.5</v>
      </c>
      <c r="K101" s="148">
        <f>Assumptions!$M9</f>
        <v>13.5</v>
      </c>
      <c r="L101" s="148">
        <f>Assumptions!$O9</f>
        <v>13</v>
      </c>
      <c r="M101" s="148">
        <f>Assumptions!$O9</f>
        <v>13</v>
      </c>
      <c r="N101" s="148">
        <f>Assumptions!$O9</f>
        <v>13</v>
      </c>
      <c r="O101" s="12"/>
      <c r="P101" s="12"/>
    </row>
    <row r="102" spans="2:16" ht="15" customHeight="1" x14ac:dyDescent="0.25">
      <c r="C102" s="13" t="str">
        <f>'Financial Statements'!C64</f>
        <v>Inventory</v>
      </c>
      <c r="E102" s="143">
        <f>E119*E$93/E$95</f>
        <v>86.639157403523484</v>
      </c>
      <c r="F102" s="143">
        <f t="shared" ref="F102:I102" si="52">F119*F$93/F$95</f>
        <v>65.230208393133935</v>
      </c>
      <c r="G102" s="143">
        <f t="shared" si="52"/>
        <v>63.215173826125117</v>
      </c>
      <c r="H102" s="143">
        <f t="shared" si="52"/>
        <v>60.265237292218742</v>
      </c>
      <c r="I102" s="143">
        <f t="shared" si="52"/>
        <v>52.249173235199045</v>
      </c>
      <c r="J102" s="148">
        <f>Assumptions!$M10</f>
        <v>53</v>
      </c>
      <c r="K102" s="148">
        <f>Assumptions!$M10</f>
        <v>53</v>
      </c>
      <c r="L102" s="148">
        <f>Assumptions!$O10</f>
        <v>50</v>
      </c>
      <c r="M102" s="148">
        <f>Assumptions!$O10</f>
        <v>50</v>
      </c>
      <c r="N102" s="148">
        <f>Assumptions!$O10</f>
        <v>50</v>
      </c>
      <c r="O102" s="12"/>
      <c r="P102" s="12"/>
    </row>
    <row r="103" spans="2:16" ht="15" customHeight="1" x14ac:dyDescent="0.25">
      <c r="C103" s="13" t="str">
        <f>'Financial Statements'!C65</f>
        <v>Prepaid expenses and other current assets</v>
      </c>
      <c r="E103" s="143">
        <f>E120*E$93/E$96</f>
        <v>39.545104965684295</v>
      </c>
      <c r="F103" s="143">
        <f t="shared" ref="F103:I103" si="53">F120*F$93/F$96</f>
        <v>47.12169312169312</v>
      </c>
      <c r="G103" s="143">
        <f t="shared" si="53"/>
        <v>61.247165532879819</v>
      </c>
      <c r="H103" s="143">
        <f t="shared" si="53"/>
        <v>96.475039745627981</v>
      </c>
      <c r="I103" s="143">
        <f t="shared" si="53"/>
        <v>93.330750498118221</v>
      </c>
      <c r="J103" s="148">
        <f>Assumptions!$M11</f>
        <v>93</v>
      </c>
      <c r="K103" s="148">
        <f>Assumptions!$M11</f>
        <v>93</v>
      </c>
      <c r="L103" s="148">
        <f>Assumptions!$O11</f>
        <v>90</v>
      </c>
      <c r="M103" s="148">
        <f>Assumptions!$O11</f>
        <v>90</v>
      </c>
      <c r="N103" s="148">
        <f>Assumptions!$O11</f>
        <v>90</v>
      </c>
      <c r="O103" s="12"/>
      <c r="P103" s="12"/>
    </row>
    <row r="104" spans="2:16" ht="6" customHeight="1" x14ac:dyDescent="0.25">
      <c r="E104" s="143"/>
      <c r="F104" s="143"/>
      <c r="G104" s="143"/>
      <c r="H104" s="143"/>
      <c r="I104" s="143"/>
      <c r="J104" s="143"/>
      <c r="K104" s="143"/>
      <c r="L104" s="143"/>
      <c r="M104" s="143"/>
      <c r="N104" s="143"/>
      <c r="O104" s="12"/>
      <c r="P104" s="12"/>
    </row>
    <row r="105" spans="2:16" ht="15" customHeight="1" x14ac:dyDescent="0.25">
      <c r="C105" s="19" t="s">
        <v>448</v>
      </c>
      <c r="E105" s="143"/>
      <c r="F105" s="143"/>
      <c r="G105" s="143"/>
      <c r="H105" s="143"/>
      <c r="I105" s="143"/>
      <c r="J105" s="143"/>
      <c r="K105" s="143"/>
      <c r="L105" s="143"/>
      <c r="M105" s="143"/>
      <c r="N105" s="143"/>
      <c r="O105" s="12"/>
      <c r="P105" s="12"/>
    </row>
    <row r="106" spans="2:16" ht="15" customHeight="1" x14ac:dyDescent="0.25">
      <c r="C106" s="13" t="str">
        <f>'Financial Statements'!C79</f>
        <v>Accounts payable</v>
      </c>
      <c r="E106" s="143">
        <f t="shared" ref="E106:I107" si="54">E123*E$93/E$95</f>
        <v>91.489225041946312</v>
      </c>
      <c r="F106" s="143">
        <f t="shared" si="54"/>
        <v>71.348814512888225</v>
      </c>
      <c r="G106" s="143">
        <f t="shared" si="54"/>
        <v>67.112730996148031</v>
      </c>
      <c r="H106" s="143">
        <f t="shared" si="54"/>
        <v>88.920982895687786</v>
      </c>
      <c r="I106" s="143">
        <f t="shared" si="54"/>
        <v>90.984533903573123</v>
      </c>
      <c r="J106" s="148">
        <f>Assumptions!$M14</f>
        <v>92.5</v>
      </c>
      <c r="K106" s="148">
        <f>Assumptions!$M14</f>
        <v>92.5</v>
      </c>
      <c r="L106" s="148">
        <f>Assumptions!$O14</f>
        <v>93.5</v>
      </c>
      <c r="M106" s="148">
        <f>Assumptions!$O14</f>
        <v>93.5</v>
      </c>
      <c r="N106" s="148">
        <f>Assumptions!$O14</f>
        <v>93.5</v>
      </c>
      <c r="O106" s="12"/>
      <c r="P106" s="12"/>
    </row>
    <row r="107" spans="2:16" ht="15" customHeight="1" x14ac:dyDescent="0.25">
      <c r="C107" s="13" t="str">
        <f>'Financial Statements'!C80</f>
        <v>Accrued liabilities and other</v>
      </c>
      <c r="E107" s="143">
        <f t="shared" si="54"/>
        <v>100.23334049916107</v>
      </c>
      <c r="F107" s="143">
        <f t="shared" si="54"/>
        <v>54.417877030828407</v>
      </c>
      <c r="G107" s="143">
        <f t="shared" si="54"/>
        <v>53.284411721683163</v>
      </c>
      <c r="H107" s="143">
        <f t="shared" si="54"/>
        <v>52.447362081426164</v>
      </c>
      <c r="I107" s="143">
        <f t="shared" si="54"/>
        <v>48.564413059154091</v>
      </c>
      <c r="J107" s="148">
        <f>Assumptions!$M15</f>
        <v>49.5</v>
      </c>
      <c r="K107" s="148">
        <f>Assumptions!$M15</f>
        <v>49.5</v>
      </c>
      <c r="L107" s="148">
        <f>Assumptions!$O15</f>
        <v>51</v>
      </c>
      <c r="M107" s="148">
        <f>Assumptions!$O15</f>
        <v>51</v>
      </c>
      <c r="N107" s="148">
        <f>Assumptions!$O15</f>
        <v>51</v>
      </c>
      <c r="O107" s="12"/>
      <c r="P107" s="12"/>
    </row>
    <row r="108" spans="2:16" ht="15" customHeight="1" x14ac:dyDescent="0.25">
      <c r="C108" s="13" t="str">
        <f>'Ratio Analysis'!S289</f>
        <v>Operating lease right-of-use liabilities, current portion</v>
      </c>
      <c r="E108" s="144"/>
      <c r="F108" s="144"/>
      <c r="G108" s="144"/>
      <c r="H108" s="144"/>
      <c r="I108" s="144"/>
      <c r="J108" s="149"/>
      <c r="K108" s="149"/>
      <c r="L108" s="149"/>
      <c r="M108" s="149"/>
      <c r="N108" s="149"/>
      <c r="O108" s="12"/>
      <c r="P108" s="12"/>
    </row>
    <row r="109" spans="2:16" ht="15" customHeight="1" x14ac:dyDescent="0.25">
      <c r="C109" s="13" t="str">
        <f>'Financial Statements'!C81</f>
        <v>Deferred revenue</v>
      </c>
      <c r="E109" s="145">
        <f t="shared" ref="E109:I110" si="55">E126/E$94</f>
        <v>8.6338379113870226E-2</v>
      </c>
      <c r="F109" s="145">
        <f t="shared" si="55"/>
        <v>2.9355575229486043E-2</v>
      </c>
      <c r="G109" s="145">
        <f t="shared" si="55"/>
        <v>4.7318740336886649E-2</v>
      </c>
      <c r="H109" s="145">
        <f t="shared" si="55"/>
        <v>4.6232876712328765E-2</v>
      </c>
      <c r="I109" s="145">
        <f t="shared" si="55"/>
        <v>2.6884417442357356E-2</v>
      </c>
      <c r="J109" s="150">
        <f>Assumptions!$M16</f>
        <v>0.03</v>
      </c>
      <c r="K109" s="150">
        <f>Assumptions!$M16</f>
        <v>0.03</v>
      </c>
      <c r="L109" s="150">
        <f>Assumptions!$O$16</f>
        <v>4.4999999999999998E-2</v>
      </c>
      <c r="M109" s="150">
        <f>Assumptions!$O$16</f>
        <v>4.4999999999999998E-2</v>
      </c>
      <c r="N109" s="150">
        <f>Assumptions!$O$16</f>
        <v>4.4999999999999998E-2</v>
      </c>
      <c r="O109" s="12"/>
      <c r="P109" s="12"/>
    </row>
    <row r="110" spans="2:16" ht="15" customHeight="1" x14ac:dyDescent="0.25">
      <c r="C110" s="13" t="str">
        <f>'Financial Statements'!C82</f>
        <v>Customer deposits</v>
      </c>
      <c r="E110" s="145">
        <f t="shared" si="55"/>
        <v>7.2618334892422823E-2</v>
      </c>
      <c r="F110" s="145">
        <f t="shared" si="55"/>
        <v>3.6950747868226087E-2</v>
      </c>
      <c r="G110" s="145">
        <f t="shared" si="55"/>
        <v>2.9538611766620555E-2</v>
      </c>
      <c r="H110" s="145">
        <f t="shared" si="55"/>
        <v>2.3845763571790968E-2</v>
      </c>
      <c r="I110" s="145">
        <f t="shared" si="55"/>
        <v>1.7185961391969977E-2</v>
      </c>
      <c r="J110" s="150">
        <f>Assumptions!$M17</f>
        <v>2.5000000000000001E-2</v>
      </c>
      <c r="K110" s="150">
        <f>Assumptions!$M17</f>
        <v>2.5000000000000001E-2</v>
      </c>
      <c r="L110" s="150">
        <f>Assumptions!$O$17</f>
        <v>3.5000000000000003E-2</v>
      </c>
      <c r="M110" s="150">
        <f>Assumptions!$O$17</f>
        <v>3.5000000000000003E-2</v>
      </c>
      <c r="N110" s="150">
        <f>Assumptions!$O$17</f>
        <v>3.5000000000000003E-2</v>
      </c>
      <c r="O110" s="12"/>
      <c r="P110" s="12"/>
    </row>
    <row r="111" spans="2:16" ht="6" customHeight="1" x14ac:dyDescent="0.25">
      <c r="C111" s="13"/>
      <c r="J111" s="12"/>
      <c r="K111" s="12"/>
      <c r="L111" s="12"/>
      <c r="M111" s="12"/>
      <c r="N111" s="12"/>
      <c r="O111" s="12"/>
      <c r="P111" s="12"/>
    </row>
    <row r="112" spans="2:16" ht="15" customHeight="1" x14ac:dyDescent="0.25">
      <c r="C112" s="179" t="s">
        <v>553</v>
      </c>
      <c r="J112" s="12"/>
      <c r="K112" s="12"/>
      <c r="L112" s="12"/>
      <c r="M112" s="12"/>
      <c r="N112" s="12"/>
      <c r="O112" s="12"/>
      <c r="P112" s="12"/>
    </row>
    <row r="113" spans="2:16" ht="15" customHeight="1" x14ac:dyDescent="0.25">
      <c r="C113" s="13" t="s">
        <v>65</v>
      </c>
      <c r="E113" s="145">
        <f t="shared" ref="E113:I113" si="56">E130/E$94</f>
        <v>0.10016149332426226</v>
      </c>
      <c r="F113" s="145">
        <f t="shared" si="56"/>
        <v>4.6176785797493125E-2</v>
      </c>
      <c r="G113" s="145">
        <f t="shared" si="56"/>
        <v>4.9108959231833345E-2</v>
      </c>
      <c r="H113" s="145">
        <f t="shared" si="56"/>
        <v>4.0715372907153727E-2</v>
      </c>
      <c r="I113" s="145">
        <f t="shared" si="56"/>
        <v>3.8124965163591776E-2</v>
      </c>
      <c r="J113" s="150">
        <f>Assumptions!$M$19</f>
        <v>0.04</v>
      </c>
      <c r="K113" s="150">
        <f>Assumptions!$M$19</f>
        <v>0.04</v>
      </c>
      <c r="L113" s="150">
        <f>Assumptions!$O$19</f>
        <v>0.05</v>
      </c>
      <c r="M113" s="150">
        <f>Assumptions!$O$19</f>
        <v>0.05</v>
      </c>
      <c r="N113" s="150">
        <f>Assumptions!$O$19</f>
        <v>0.05</v>
      </c>
      <c r="O113" s="12"/>
      <c r="P113" s="12"/>
    </row>
    <row r="114" spans="2:16" ht="15" customHeight="1" x14ac:dyDescent="0.25">
      <c r="C114" s="13"/>
      <c r="J114" s="12"/>
      <c r="K114" s="12"/>
      <c r="L114" s="12"/>
      <c r="M114" s="12"/>
      <c r="N114" s="12"/>
      <c r="O114" s="12"/>
      <c r="P114" s="12"/>
    </row>
    <row r="115" spans="2:16" ht="15" customHeight="1" x14ac:dyDescent="0.25">
      <c r="B115" s="30" t="s">
        <v>451</v>
      </c>
      <c r="C115" s="13"/>
      <c r="J115" s="12"/>
      <c r="K115" s="12"/>
      <c r="L115" s="12"/>
      <c r="M115" s="12"/>
      <c r="N115" s="12"/>
      <c r="O115" s="12"/>
      <c r="P115" s="12"/>
    </row>
    <row r="116" spans="2:16" ht="6" customHeight="1" x14ac:dyDescent="0.25">
      <c r="E116" s="12"/>
      <c r="F116" s="12"/>
      <c r="G116" s="12"/>
      <c r="H116" s="12"/>
      <c r="I116" s="12"/>
      <c r="J116" s="12"/>
      <c r="K116" s="12"/>
      <c r="L116" s="12"/>
      <c r="M116" s="12"/>
      <c r="N116" s="12"/>
      <c r="O116" s="12"/>
      <c r="P116" s="12"/>
    </row>
    <row r="117" spans="2:16" ht="15" customHeight="1" x14ac:dyDescent="0.25">
      <c r="C117" s="19" t="s">
        <v>449</v>
      </c>
      <c r="E117" s="12"/>
      <c r="F117" s="12"/>
      <c r="G117" s="12"/>
      <c r="H117" s="12"/>
      <c r="I117" s="12"/>
      <c r="J117" s="12"/>
      <c r="K117" s="12"/>
      <c r="L117" s="12"/>
      <c r="M117" s="12"/>
      <c r="N117" s="12"/>
      <c r="O117" s="12"/>
      <c r="P117" s="12"/>
    </row>
    <row r="118" spans="2:16" ht="15" customHeight="1" x14ac:dyDescent="0.25">
      <c r="C118" s="13" t="s">
        <v>50</v>
      </c>
      <c r="E118" s="14">
        <f>'Ratio Analysis'!W104</f>
        <v>515.38099999999997</v>
      </c>
      <c r="F118" s="14">
        <f>'Ratio Analysis'!X104</f>
        <v>949</v>
      </c>
      <c r="G118" s="14">
        <f>'Ratio Analysis'!Y104</f>
        <v>1324</v>
      </c>
      <c r="H118" s="14">
        <f>'Ratio Analysis'!Z104</f>
        <v>1886</v>
      </c>
      <c r="I118" s="14">
        <f>'Ratio Analysis'!AA104</f>
        <v>1913</v>
      </c>
      <c r="J118" s="12">
        <f t="shared" ref="J118:N118" si="57">J101*J94/J93</f>
        <v>3105.0499315068491</v>
      </c>
      <c r="K118" s="12">
        <f t="shared" si="57"/>
        <v>3237.0361027397262</v>
      </c>
      <c r="L118" s="12">
        <f t="shared" si="57"/>
        <v>3973.2233418032788</v>
      </c>
      <c r="M118" s="12">
        <f t="shared" si="57"/>
        <v>4976.2022554684927</v>
      </c>
      <c r="N118" s="12">
        <f t="shared" si="57"/>
        <v>6139.3542646116166</v>
      </c>
      <c r="O118" s="12"/>
      <c r="P118" s="12"/>
    </row>
    <row r="119" spans="2:16" ht="15" customHeight="1" x14ac:dyDescent="0.25">
      <c r="C119" s="13" t="s">
        <v>51</v>
      </c>
      <c r="E119" s="14">
        <f>'Ratio Analysis'!W105</f>
        <v>2263.5369999999998</v>
      </c>
      <c r="F119" s="14">
        <f>'Ratio Analysis'!X105</f>
        <v>3113</v>
      </c>
      <c r="G119" s="14">
        <f>'Ratio Analysis'!Y105</f>
        <v>3552</v>
      </c>
      <c r="H119" s="14">
        <f>'Ratio Analysis'!Z105</f>
        <v>4101</v>
      </c>
      <c r="I119" s="14">
        <f>'Ratio Analysis'!AA105</f>
        <v>5757</v>
      </c>
      <c r="J119" s="12">
        <f t="shared" ref="J119:N119" si="58">J102*J$95/J$93</f>
        <v>8921.6540821917806</v>
      </c>
      <c r="K119" s="12">
        <f t="shared" si="58"/>
        <v>9397.0913517808222</v>
      </c>
      <c r="L119" s="12">
        <f t="shared" si="58"/>
        <v>10419.802279781421</v>
      </c>
      <c r="M119" s="12">
        <f t="shared" si="58"/>
        <v>12500.390209928764</v>
      </c>
      <c r="N119" s="12">
        <f t="shared" si="58"/>
        <v>14638.690090452164</v>
      </c>
      <c r="O119" s="12"/>
      <c r="P119" s="12"/>
    </row>
    <row r="120" spans="2:16" ht="15" customHeight="1" x14ac:dyDescent="0.25">
      <c r="C120" s="13" t="s">
        <v>52</v>
      </c>
      <c r="E120" s="14">
        <f>'Ratio Analysis'!W106</f>
        <v>268.36500000000001</v>
      </c>
      <c r="F120" s="14">
        <f>'Ratio Analysis'!X106</f>
        <v>366</v>
      </c>
      <c r="G120" s="14">
        <f>'Ratio Analysis'!Y106</f>
        <v>444</v>
      </c>
      <c r="H120" s="14">
        <f>'Ratio Analysis'!Z106</f>
        <v>829</v>
      </c>
      <c r="I120" s="14">
        <f>'Ratio Analysis'!AA106</f>
        <v>1155</v>
      </c>
      <c r="J120" s="12">
        <f t="shared" ref="J120:N120" si="59">J103*J96/J93</f>
        <v>1588.6438356164383</v>
      </c>
      <c r="K120" s="12">
        <f t="shared" si="59"/>
        <v>1544.3095890410959</v>
      </c>
      <c r="L120" s="12">
        <f t="shared" si="59"/>
        <v>1797.0491803278685</v>
      </c>
      <c r="M120" s="12">
        <f t="shared" si="59"/>
        <v>2088.739726027397</v>
      </c>
      <c r="N120" s="12">
        <f t="shared" si="59"/>
        <v>2354.794520547945</v>
      </c>
      <c r="O120" s="12"/>
      <c r="P120" s="12"/>
    </row>
    <row r="121" spans="2:16" ht="6" customHeight="1" x14ac:dyDescent="0.25">
      <c r="E121" s="12"/>
      <c r="F121" s="12"/>
      <c r="G121" s="12"/>
      <c r="H121" s="12"/>
      <c r="I121" s="12"/>
      <c r="J121" s="12"/>
      <c r="K121" s="12"/>
      <c r="L121" s="12"/>
      <c r="M121" s="12"/>
      <c r="N121" s="12"/>
      <c r="O121" s="12"/>
      <c r="P121" s="12"/>
    </row>
    <row r="122" spans="2:16" ht="15" customHeight="1" x14ac:dyDescent="0.25">
      <c r="C122" s="19" t="s">
        <v>448</v>
      </c>
      <c r="E122" s="12"/>
      <c r="F122" s="12"/>
      <c r="G122" s="12"/>
      <c r="H122" s="12"/>
      <c r="I122" s="12"/>
      <c r="J122" s="12"/>
      <c r="K122" s="12"/>
      <c r="L122" s="12"/>
      <c r="M122" s="12"/>
      <c r="N122" s="12"/>
      <c r="O122" s="12"/>
      <c r="P122" s="12"/>
    </row>
    <row r="123" spans="2:16" ht="15" customHeight="1" x14ac:dyDescent="0.25">
      <c r="C123" s="13" t="s">
        <v>63</v>
      </c>
      <c r="E123" s="14">
        <f>'Ratio Analysis'!W121</f>
        <v>2390.25</v>
      </c>
      <c r="F123" s="14">
        <f>'Ratio Analysis'!X121</f>
        <v>3405</v>
      </c>
      <c r="G123" s="14">
        <f>'Ratio Analysis'!Y121</f>
        <v>3771</v>
      </c>
      <c r="H123" s="14">
        <f>'Ratio Analysis'!Z121</f>
        <v>6051</v>
      </c>
      <c r="I123" s="14">
        <f>'Ratio Analysis'!AA121</f>
        <v>10025</v>
      </c>
      <c r="J123" s="12">
        <f t="shared" ref="J123:N124" si="60">J106*J$95/J$93</f>
        <v>15570.811369863011</v>
      </c>
      <c r="K123" s="12">
        <f t="shared" si="60"/>
        <v>16400.583963013702</v>
      </c>
      <c r="L123" s="12">
        <f t="shared" si="60"/>
        <v>19485.030263191256</v>
      </c>
      <c r="M123" s="12">
        <f t="shared" si="60"/>
        <v>23375.729692566794</v>
      </c>
      <c r="N123" s="12">
        <f t="shared" si="60"/>
        <v>27374.350469145546</v>
      </c>
      <c r="O123" s="12"/>
      <c r="P123" s="12"/>
    </row>
    <row r="124" spans="2:16" ht="15" customHeight="1" x14ac:dyDescent="0.25">
      <c r="C124" s="13" t="s">
        <v>64</v>
      </c>
      <c r="E124" s="14">
        <f>'Ratio Analysis'!W122-E125</f>
        <v>2618.6990000000001</v>
      </c>
      <c r="F124" s="14">
        <f>'Ratio Analysis'!X122-F125</f>
        <v>2597</v>
      </c>
      <c r="G124" s="14">
        <f>'Ratio Analysis'!Y122-G125</f>
        <v>2994</v>
      </c>
      <c r="H124" s="14">
        <f>'Ratio Analysis'!Z122-H125</f>
        <v>3569</v>
      </c>
      <c r="I124" s="14">
        <f>'Ratio Analysis'!AA122-I125</f>
        <v>5351</v>
      </c>
      <c r="J124" s="12">
        <f t="shared" si="60"/>
        <v>8332.4882465753417</v>
      </c>
      <c r="K124" s="12">
        <f t="shared" si="60"/>
        <v>8776.528715342467</v>
      </c>
      <c r="L124" s="12">
        <f t="shared" si="60"/>
        <v>10628.198325377049</v>
      </c>
      <c r="M124" s="12">
        <f t="shared" si="60"/>
        <v>12750.398014127341</v>
      </c>
      <c r="N124" s="12">
        <f t="shared" si="60"/>
        <v>14931.463892261207</v>
      </c>
      <c r="O124" s="12"/>
      <c r="P124" s="12"/>
    </row>
    <row r="125" spans="2:16" ht="15" customHeight="1" x14ac:dyDescent="0.25">
      <c r="C125" s="13" t="s">
        <v>230</v>
      </c>
      <c r="E125" s="14">
        <f>'Ratio Analysis'!W289</f>
        <v>0</v>
      </c>
      <c r="F125" s="14">
        <f>'Ratio Analysis'!X289</f>
        <v>0</v>
      </c>
      <c r="G125" s="14">
        <f>'Ratio Analysis'!Y289</f>
        <v>228</v>
      </c>
      <c r="H125" s="14">
        <f>'Ratio Analysis'!Z289</f>
        <v>286</v>
      </c>
      <c r="I125" s="14">
        <f>'Ratio Analysis'!AA289</f>
        <v>368</v>
      </c>
      <c r="J125" s="12">
        <f t="shared" ref="J125:N125" si="61">J298</f>
        <v>458</v>
      </c>
      <c r="K125" s="12">
        <f t="shared" si="61"/>
        <v>412</v>
      </c>
      <c r="L125" s="12">
        <f t="shared" si="61"/>
        <v>366</v>
      </c>
      <c r="M125" s="12">
        <f t="shared" si="61"/>
        <v>319</v>
      </c>
      <c r="N125" s="12">
        <f t="shared" si="61"/>
        <v>232</v>
      </c>
      <c r="O125" s="12"/>
      <c r="P125" s="12"/>
    </row>
    <row r="126" spans="2:16" ht="15" customHeight="1" x14ac:dyDescent="0.25">
      <c r="C126" s="13" t="s">
        <v>65</v>
      </c>
      <c r="E126" s="14">
        <f>'Ratio Analysis'!W123</f>
        <v>1015.253</v>
      </c>
      <c r="F126" s="14">
        <f>'Ratio Analysis'!X123</f>
        <v>630</v>
      </c>
      <c r="G126" s="14">
        <f>'Ratio Analysis'!Y123</f>
        <v>1163</v>
      </c>
      <c r="H126" s="14">
        <f>'Ratio Analysis'!Z123</f>
        <v>1458</v>
      </c>
      <c r="I126" s="14">
        <f>'Ratio Analysis'!AA123</f>
        <v>1447</v>
      </c>
      <c r="J126" s="12">
        <f t="shared" ref="J126:N127" si="62">J$94*J109</f>
        <v>2518.5404999999996</v>
      </c>
      <c r="K126" s="12">
        <f t="shared" si="62"/>
        <v>2625.5959499999999</v>
      </c>
      <c r="L126" s="12">
        <f t="shared" si="62"/>
        <v>5033.7683415000001</v>
      </c>
      <c r="M126" s="12">
        <f t="shared" si="62"/>
        <v>6287.2401573899997</v>
      </c>
      <c r="N126" s="12">
        <f t="shared" si="62"/>
        <v>7756.8379843266002</v>
      </c>
      <c r="O126" s="12"/>
      <c r="P126" s="12"/>
    </row>
    <row r="127" spans="2:16" ht="15" customHeight="1" x14ac:dyDescent="0.25">
      <c r="C127" s="13" t="s">
        <v>66</v>
      </c>
      <c r="E127" s="14">
        <f>'Ratio Analysis'!W124</f>
        <v>853.91899999999998</v>
      </c>
      <c r="F127" s="14">
        <f>'Ratio Analysis'!X124</f>
        <v>793</v>
      </c>
      <c r="G127" s="14">
        <f>'Ratio Analysis'!Y124</f>
        <v>726</v>
      </c>
      <c r="H127" s="14">
        <f>'Ratio Analysis'!Z124</f>
        <v>752</v>
      </c>
      <c r="I127" s="14">
        <f>'Ratio Analysis'!AA124</f>
        <v>925</v>
      </c>
      <c r="J127" s="12">
        <f t="shared" si="62"/>
        <v>2098.7837500000001</v>
      </c>
      <c r="K127" s="12">
        <f t="shared" si="62"/>
        <v>2187.9966250000002</v>
      </c>
      <c r="L127" s="12">
        <f t="shared" si="62"/>
        <v>3915.1531545000003</v>
      </c>
      <c r="M127" s="12">
        <f t="shared" si="62"/>
        <v>4890.0756779700005</v>
      </c>
      <c r="N127" s="12">
        <f t="shared" si="62"/>
        <v>6033.0962100318011</v>
      </c>
      <c r="O127" s="12"/>
      <c r="P127" s="12"/>
    </row>
    <row r="128" spans="2:16" ht="6" customHeight="1" x14ac:dyDescent="0.25">
      <c r="C128" s="13"/>
      <c r="E128" s="14"/>
      <c r="F128" s="14"/>
      <c r="G128" s="14"/>
      <c r="H128" s="14"/>
      <c r="I128" s="14"/>
      <c r="J128" s="12"/>
      <c r="K128" s="12"/>
      <c r="L128" s="12"/>
      <c r="M128" s="12"/>
      <c r="N128" s="12"/>
      <c r="O128" s="12"/>
      <c r="P128" s="12"/>
    </row>
    <row r="129" spans="2:16" ht="15" customHeight="1" x14ac:dyDescent="0.25">
      <c r="C129" s="179" t="s">
        <v>553</v>
      </c>
      <c r="E129" s="14"/>
      <c r="F129" s="14"/>
      <c r="G129" s="14"/>
      <c r="H129" s="14"/>
      <c r="I129" s="14"/>
      <c r="J129" s="12"/>
      <c r="K129" s="12"/>
      <c r="L129" s="12"/>
      <c r="M129" s="12"/>
      <c r="N129" s="12"/>
      <c r="O129" s="12"/>
      <c r="P129" s="12"/>
    </row>
    <row r="130" spans="2:16" ht="15" customHeight="1" x14ac:dyDescent="0.25">
      <c r="C130" s="13" t="s">
        <v>65</v>
      </c>
      <c r="E130" s="14">
        <f>'Ratio Analysis'!W128</f>
        <v>1177.799</v>
      </c>
      <c r="F130" s="14">
        <f>'Ratio Analysis'!X128</f>
        <v>991</v>
      </c>
      <c r="G130" s="14">
        <f>'Ratio Analysis'!Y128</f>
        <v>1207</v>
      </c>
      <c r="H130" s="14">
        <f>'Ratio Analysis'!Z128</f>
        <v>1284</v>
      </c>
      <c r="I130" s="14">
        <f>'Ratio Analysis'!AA128</f>
        <v>2052</v>
      </c>
      <c r="J130" s="12">
        <f>J$94*J113</f>
        <v>3358.0539999999996</v>
      </c>
      <c r="K130" s="12">
        <f>K$94*K113</f>
        <v>3500.7946000000002</v>
      </c>
      <c r="L130" s="12">
        <f>L$94*L113</f>
        <v>5593.0759350000008</v>
      </c>
      <c r="M130" s="12">
        <f>M$94*M113</f>
        <v>6985.8223971000007</v>
      </c>
      <c r="N130" s="12">
        <f>N$94*N113</f>
        <v>8618.7088714740003</v>
      </c>
    </row>
    <row r="131" spans="2:16" ht="15" customHeight="1" x14ac:dyDescent="0.25">
      <c r="C131" s="13"/>
      <c r="E131" s="14"/>
      <c r="F131" s="14"/>
      <c r="G131" s="14"/>
      <c r="H131" s="14"/>
      <c r="I131" s="14"/>
      <c r="J131" s="12"/>
      <c r="K131" s="12"/>
      <c r="L131" s="12"/>
      <c r="M131" s="12"/>
      <c r="N131" s="12"/>
      <c r="O131" s="12"/>
      <c r="P131" s="12"/>
    </row>
    <row r="132" spans="2:16" ht="15" customHeight="1" x14ac:dyDescent="0.25">
      <c r="E132" s="12"/>
      <c r="F132" s="12"/>
      <c r="G132" s="12"/>
      <c r="H132" s="12"/>
      <c r="I132" s="12"/>
      <c r="J132" s="12"/>
      <c r="K132" s="12"/>
      <c r="L132" s="12"/>
      <c r="M132" s="12"/>
      <c r="N132" s="12"/>
      <c r="O132" s="12"/>
      <c r="P132" s="12"/>
    </row>
    <row r="133" spans="2:16" ht="15" customHeight="1" x14ac:dyDescent="0.25">
      <c r="E133" s="12"/>
      <c r="F133" s="12"/>
      <c r="G133" s="12"/>
      <c r="H133" s="12"/>
      <c r="I133" s="12"/>
      <c r="J133" s="12"/>
      <c r="K133" s="12"/>
      <c r="L133" s="12"/>
      <c r="M133" s="12"/>
      <c r="N133" s="12"/>
      <c r="O133" s="12"/>
      <c r="P133" s="12"/>
    </row>
    <row r="134" spans="2:16" ht="6" customHeight="1" x14ac:dyDescent="0.25"/>
    <row r="135" spans="2:16" ht="20" customHeight="1" x14ac:dyDescent="0.25">
      <c r="B135" s="2" t="str">
        <f>'Cover Page'!$C$18</f>
        <v>Tesla, Inc.</v>
      </c>
      <c r="C135" s="3"/>
      <c r="D135" s="3"/>
      <c r="E135" s="3"/>
      <c r="F135" s="3"/>
      <c r="G135" s="3"/>
      <c r="H135" s="3"/>
      <c r="I135" s="3"/>
      <c r="J135" s="3"/>
      <c r="K135" s="3"/>
      <c r="L135" s="3"/>
      <c r="M135" s="3"/>
      <c r="N135" s="3"/>
    </row>
    <row r="136" spans="2:16" ht="15" customHeight="1" x14ac:dyDescent="0.25">
      <c r="B136" s="4" t="s">
        <v>464</v>
      </c>
      <c r="C136" s="4"/>
      <c r="D136" s="4"/>
      <c r="E136" s="4"/>
      <c r="F136" s="4"/>
      <c r="G136" s="4"/>
      <c r="H136" s="4"/>
      <c r="I136" s="4"/>
      <c r="J136" s="4"/>
      <c r="K136" s="4"/>
      <c r="L136" s="4"/>
      <c r="M136" s="4"/>
      <c r="N136" s="4"/>
    </row>
    <row r="137" spans="2:16" ht="6" customHeight="1" thickBot="1" x14ac:dyDescent="0.3">
      <c r="B137" s="5"/>
      <c r="C137" s="5"/>
      <c r="D137" s="5"/>
      <c r="E137" s="5"/>
      <c r="F137" s="5"/>
      <c r="G137" s="5"/>
      <c r="H137" s="5"/>
      <c r="I137" s="5"/>
      <c r="J137" s="5"/>
      <c r="K137" s="5"/>
      <c r="L137" s="5"/>
      <c r="M137" s="5"/>
      <c r="N137" s="5"/>
    </row>
    <row r="138" spans="2:16" ht="15" customHeight="1" x14ac:dyDescent="0.25">
      <c r="B138" s="117" t="str">
        <f>Scenarios!$B$5</f>
        <v>$ MM's ( unless otherwise specified )</v>
      </c>
      <c r="C138" s="117"/>
      <c r="D138" s="117"/>
      <c r="E138" s="117"/>
      <c r="F138" s="117"/>
      <c r="G138" s="117"/>
      <c r="H138" s="117"/>
      <c r="I138" s="117"/>
      <c r="J138" s="117"/>
      <c r="K138" s="117"/>
      <c r="L138" s="117"/>
      <c r="M138" s="117"/>
      <c r="N138" s="121" t="str">
        <f>Scenarios!$N$5</f>
        <v>Based on: Base Case Senario</v>
      </c>
    </row>
    <row r="139" spans="2:16" ht="6" customHeight="1" x14ac:dyDescent="0.25"/>
    <row r="140" spans="2:16" ht="15" customHeight="1" x14ac:dyDescent="0.25">
      <c r="E140" s="6" t="s">
        <v>7</v>
      </c>
      <c r="F140" s="7"/>
      <c r="G140" s="7"/>
      <c r="H140" s="7"/>
      <c r="I140" s="7"/>
      <c r="J140" s="8" t="s">
        <v>6</v>
      </c>
      <c r="K140" s="9"/>
      <c r="L140" s="9"/>
      <c r="M140" s="9"/>
      <c r="N140" s="9"/>
    </row>
    <row r="141" spans="2:16" ht="15" customHeight="1" x14ac:dyDescent="0.25">
      <c r="E141" s="10">
        <f t="shared" ref="E141" si="63">F141-1</f>
        <v>2017</v>
      </c>
      <c r="F141" s="10">
        <f t="shared" ref="F141" si="64">G141-1</f>
        <v>2018</v>
      </c>
      <c r="G141" s="10">
        <f t="shared" ref="G141" si="65">H141-1</f>
        <v>2019</v>
      </c>
      <c r="H141" s="10">
        <f t="shared" ref="H141" si="66">I141-1</f>
        <v>2020</v>
      </c>
      <c r="I141" s="10">
        <f t="shared" ref="I141" si="67">J141-1</f>
        <v>2021</v>
      </c>
      <c r="J141" s="11">
        <v>2022</v>
      </c>
      <c r="K141" s="11">
        <f>J141+1</f>
        <v>2023</v>
      </c>
      <c r="L141" s="11">
        <f t="shared" ref="L141" si="68">K141+1</f>
        <v>2024</v>
      </c>
      <c r="M141" s="11">
        <f t="shared" ref="M141" si="69">L141+1</f>
        <v>2025</v>
      </c>
      <c r="N141" s="11">
        <f t="shared" ref="N141" si="70">M141+1</f>
        <v>2026</v>
      </c>
    </row>
    <row r="142" spans="2:16" ht="15" customHeight="1" x14ac:dyDescent="0.25">
      <c r="E142" s="12"/>
      <c r="F142" s="12"/>
      <c r="G142" s="12"/>
      <c r="H142" s="12"/>
      <c r="I142" s="12"/>
      <c r="J142" s="12"/>
      <c r="K142" s="12"/>
      <c r="L142" s="12"/>
      <c r="M142" s="12"/>
      <c r="N142" s="12"/>
      <c r="O142" s="12"/>
      <c r="P142" s="12"/>
    </row>
    <row r="143" spans="2:16" ht="15" customHeight="1" x14ac:dyDescent="0.25">
      <c r="B143" s="157"/>
      <c r="C143" s="105" t="s">
        <v>456</v>
      </c>
      <c r="D143" s="105"/>
      <c r="E143" s="106">
        <f>'Ratio Analysis'!W239</f>
        <v>0</v>
      </c>
      <c r="F143" s="106">
        <f>'Ratio Analysis'!X239</f>
        <v>-2302.3040000000005</v>
      </c>
      <c r="G143" s="106">
        <f>'Ratio Analysis'!Y239</f>
        <v>305.40000000000009</v>
      </c>
      <c r="H143" s="106">
        <f>'Ratio Analysis'!Z239</f>
        <v>684</v>
      </c>
      <c r="I143" s="106">
        <f>'Ratio Analysis'!AA239</f>
        <v>1747</v>
      </c>
      <c r="J143" s="107">
        <f t="shared" ref="J143:N143" si="71">J145*J144</f>
        <v>2170.986537092147</v>
      </c>
      <c r="K143" s="107">
        <f t="shared" si="71"/>
        <v>2170.986537092147</v>
      </c>
      <c r="L143" s="107">
        <f t="shared" si="71"/>
        <v>3180.2749661284811</v>
      </c>
      <c r="M143" s="107">
        <f t="shared" si="71"/>
        <v>3854.2374302035628</v>
      </c>
      <c r="N143" s="108">
        <f t="shared" si="71"/>
        <v>4523.1683881587896</v>
      </c>
      <c r="O143" s="12"/>
      <c r="P143" s="12"/>
    </row>
    <row r="144" spans="2:16" ht="15" customHeight="1" x14ac:dyDescent="0.25">
      <c r="B144" s="26"/>
      <c r="C144" s="1" t="str">
        <f>C22</f>
        <v>Automotive sales</v>
      </c>
      <c r="E144" s="12">
        <f t="shared" ref="E144:N144" si="72">E22</f>
        <v>8535</v>
      </c>
      <c r="F144" s="12">
        <f t="shared" si="72"/>
        <v>17632</v>
      </c>
      <c r="G144" s="12">
        <f t="shared" si="72"/>
        <v>19952</v>
      </c>
      <c r="H144" s="12">
        <f t="shared" si="72"/>
        <v>26184</v>
      </c>
      <c r="I144" s="12">
        <f t="shared" si="72"/>
        <v>45590</v>
      </c>
      <c r="J144" s="12">
        <f t="shared" si="72"/>
        <v>73391.75</v>
      </c>
      <c r="K144" s="12">
        <f t="shared" si="72"/>
        <v>73391.75</v>
      </c>
      <c r="L144" s="12">
        <f t="shared" si="72"/>
        <v>91966.5</v>
      </c>
      <c r="M144" s="12">
        <f t="shared" si="72"/>
        <v>111456</v>
      </c>
      <c r="N144" s="110">
        <f t="shared" si="72"/>
        <v>130800</v>
      </c>
      <c r="O144" s="12"/>
      <c r="P144" s="12"/>
    </row>
    <row r="145" spans="2:16" ht="15" customHeight="1" x14ac:dyDescent="0.25">
      <c r="B145" s="114"/>
      <c r="C145" s="138" t="s">
        <v>457</v>
      </c>
      <c r="D145" s="138"/>
      <c r="E145" s="152">
        <f>E143/E144</f>
        <v>0</v>
      </c>
      <c r="F145" s="152">
        <f t="shared" ref="F145:I145" si="73">F143/F144</f>
        <v>-0.13057531760435576</v>
      </c>
      <c r="G145" s="152">
        <f t="shared" si="73"/>
        <v>1.5306736166800325E-2</v>
      </c>
      <c r="H145" s="152">
        <f t="shared" si="73"/>
        <v>2.6122823098075159E-2</v>
      </c>
      <c r="I145" s="152">
        <f t="shared" si="73"/>
        <v>3.8319806975213866E-2</v>
      </c>
      <c r="J145" s="153">
        <f>Assumptions!$M$23</f>
        <v>2.9580798074608484E-2</v>
      </c>
      <c r="K145" s="153">
        <f>Assumptions!$M$23</f>
        <v>2.9580798074608484E-2</v>
      </c>
      <c r="L145" s="153">
        <f>Assumptions!$O$23</f>
        <v>3.4580798074608482E-2</v>
      </c>
      <c r="M145" s="153">
        <f>Assumptions!$O$23</f>
        <v>3.4580798074608482E-2</v>
      </c>
      <c r="N145" s="154">
        <f>Assumptions!$O$23</f>
        <v>3.4580798074608482E-2</v>
      </c>
      <c r="O145" s="12"/>
      <c r="P145" s="12"/>
    </row>
    <row r="146" spans="2:16" ht="15" customHeight="1" x14ac:dyDescent="0.25">
      <c r="E146" s="12"/>
      <c r="F146" s="12"/>
      <c r="G146" s="12"/>
      <c r="H146" s="12"/>
      <c r="I146" s="12"/>
      <c r="J146" s="12"/>
      <c r="K146" s="12"/>
      <c r="L146" s="12"/>
      <c r="M146" s="12"/>
      <c r="N146" s="12"/>
      <c r="O146" s="12"/>
      <c r="P146" s="12"/>
    </row>
    <row r="147" spans="2:16" ht="15" customHeight="1" x14ac:dyDescent="0.25">
      <c r="B147" s="19" t="s">
        <v>460</v>
      </c>
      <c r="J147" s="12"/>
      <c r="K147" s="12"/>
      <c r="L147" s="12"/>
      <c r="M147" s="12"/>
      <c r="N147" s="12"/>
      <c r="O147" s="12"/>
      <c r="P147" s="12"/>
    </row>
    <row r="148" spans="2:16" ht="15" customHeight="1" x14ac:dyDescent="0.25">
      <c r="C148" s="52" t="s">
        <v>458</v>
      </c>
      <c r="D148" s="161">
        <f>Assumptions!O30</f>
        <v>3</v>
      </c>
      <c r="E148" s="99"/>
      <c r="F148" s="99"/>
      <c r="G148" s="99"/>
      <c r="H148" s="99"/>
      <c r="I148" s="99"/>
      <c r="J148" s="12">
        <f>$J$159/$D$148</f>
        <v>1503.6666666666667</v>
      </c>
      <c r="K148" s="12">
        <f t="shared" ref="K148:L148" si="74">J148</f>
        <v>1503.6666666666667</v>
      </c>
      <c r="L148" s="12">
        <f t="shared" si="74"/>
        <v>1503.6666666666667</v>
      </c>
      <c r="M148" s="12"/>
      <c r="N148" s="12"/>
      <c r="O148" s="12"/>
      <c r="P148" s="12"/>
    </row>
    <row r="149" spans="2:16" ht="15" customHeight="1" x14ac:dyDescent="0.25">
      <c r="D149" s="47"/>
      <c r="E149" s="12"/>
      <c r="F149" s="12"/>
      <c r="G149" s="12"/>
      <c r="H149" s="12"/>
      <c r="I149" s="12"/>
      <c r="J149" s="12"/>
      <c r="K149" s="12"/>
      <c r="L149" s="12"/>
      <c r="M149" s="12"/>
      <c r="N149" s="12"/>
      <c r="O149" s="12"/>
      <c r="P149" s="12"/>
    </row>
    <row r="150" spans="2:16" ht="15" customHeight="1" x14ac:dyDescent="0.25">
      <c r="C150" s="1" t="s">
        <v>459</v>
      </c>
      <c r="D150" s="161">
        <f>Assumptions!$O$31</f>
        <v>4</v>
      </c>
      <c r="E150" s="12"/>
      <c r="F150" s="12"/>
      <c r="G150" s="12"/>
      <c r="H150" s="12"/>
      <c r="I150" s="12"/>
      <c r="J150" s="12"/>
      <c r="K150" s="12"/>
      <c r="L150" s="12"/>
      <c r="M150" s="12"/>
      <c r="N150" s="12"/>
      <c r="O150" s="12"/>
      <c r="P150" s="12"/>
    </row>
    <row r="151" spans="2:16" ht="15" customHeight="1" x14ac:dyDescent="0.25">
      <c r="C151" s="50">
        <f t="array" ref="C151:C155">TRANSPOSE(J141:N141)</f>
        <v>2022</v>
      </c>
      <c r="E151" s="99"/>
      <c r="F151" s="99"/>
      <c r="G151" s="99"/>
      <c r="H151" s="99"/>
      <c r="I151" s="99"/>
      <c r="J151" s="12">
        <f>J$160/$D$150</f>
        <v>542.74663427303676</v>
      </c>
      <c r="K151" s="12">
        <f>IF(K$141&lt;=$C151+$D$150,J151,0)</f>
        <v>542.74663427303676</v>
      </c>
      <c r="L151" s="12">
        <f>IF(L$141&lt;=$C151+$D$150,K151,0)</f>
        <v>542.74663427303676</v>
      </c>
      <c r="M151" s="12">
        <f>IF(M$141&lt;=$C151+$D$150,L151,0)</f>
        <v>542.74663427303676</v>
      </c>
      <c r="N151" s="12">
        <f>IF(N$141&lt;=$C151+$D$150,M151,0)</f>
        <v>542.74663427303676</v>
      </c>
      <c r="O151" s="12"/>
      <c r="P151" s="12"/>
    </row>
    <row r="152" spans="2:16" ht="15" customHeight="1" x14ac:dyDescent="0.25">
      <c r="C152" s="50">
        <v>2023</v>
      </c>
      <c r="E152" s="99"/>
      <c r="F152" s="99"/>
      <c r="G152" s="99"/>
      <c r="H152" s="99"/>
      <c r="I152" s="99"/>
      <c r="J152" s="99"/>
      <c r="K152" s="12">
        <f>K$160/$D$150</f>
        <v>542.74663427303676</v>
      </c>
      <c r="L152" s="12">
        <f>IF(L$141&lt;=$C152+$D$150,K152,0)</f>
        <v>542.74663427303676</v>
      </c>
      <c r="M152" s="12">
        <f>IF(M$141&lt;=$C152+$D$150,L152,0)</f>
        <v>542.74663427303676</v>
      </c>
      <c r="N152" s="12">
        <f>IF(N$141&lt;=$C152+$D$150,M152,0)</f>
        <v>542.74663427303676</v>
      </c>
      <c r="O152" s="12"/>
      <c r="P152" s="12"/>
    </row>
    <row r="153" spans="2:16" ht="15" customHeight="1" x14ac:dyDescent="0.25">
      <c r="C153" s="50">
        <v>2024</v>
      </c>
      <c r="E153" s="99"/>
      <c r="F153" s="99"/>
      <c r="G153" s="99"/>
      <c r="H153" s="99"/>
      <c r="I153" s="99"/>
      <c r="J153" s="99"/>
      <c r="K153" s="99"/>
      <c r="L153" s="12">
        <f>L$160/$D$150</f>
        <v>795.06874153212027</v>
      </c>
      <c r="M153" s="12">
        <f>IF(M$141&lt;=$C153+$D$150,L153,0)</f>
        <v>795.06874153212027</v>
      </c>
      <c r="N153" s="12">
        <f>IF(N$141&lt;=$C153+$D$150,M153,0)</f>
        <v>795.06874153212027</v>
      </c>
      <c r="O153" s="12"/>
      <c r="P153" s="12"/>
    </row>
    <row r="154" spans="2:16" ht="15" customHeight="1" x14ac:dyDescent="0.25">
      <c r="C154" s="50">
        <v>2025</v>
      </c>
      <c r="E154" s="99"/>
      <c r="F154" s="99"/>
      <c r="G154" s="99"/>
      <c r="H154" s="99"/>
      <c r="I154" s="99"/>
      <c r="J154" s="99"/>
      <c r="K154" s="99"/>
      <c r="L154" s="99"/>
      <c r="M154" s="12">
        <f>M$160/$D$150</f>
        <v>963.5593575508907</v>
      </c>
      <c r="N154" s="12">
        <f>IF(N$141&lt;=$C154+$D$150,M154,0)</f>
        <v>963.5593575508907</v>
      </c>
      <c r="O154" s="12"/>
      <c r="P154" s="12"/>
    </row>
    <row r="155" spans="2:16" ht="15" customHeight="1" x14ac:dyDescent="0.25">
      <c r="C155" s="50">
        <v>2026</v>
      </c>
      <c r="E155" s="99"/>
      <c r="F155" s="99"/>
      <c r="G155" s="99"/>
      <c r="H155" s="99"/>
      <c r="I155" s="99"/>
      <c r="J155" s="99"/>
      <c r="K155" s="99"/>
      <c r="L155" s="99"/>
      <c r="M155" s="99"/>
      <c r="N155" s="12">
        <f>N$160/$D$150</f>
        <v>1130.7920970396974</v>
      </c>
      <c r="O155" s="12"/>
      <c r="P155" s="12"/>
    </row>
    <row r="156" spans="2:16" ht="15" customHeight="1" x14ac:dyDescent="0.25">
      <c r="C156" s="15" t="s">
        <v>463</v>
      </c>
      <c r="D156" s="15"/>
      <c r="E156" s="151"/>
      <c r="F156" s="151"/>
      <c r="G156" s="151"/>
      <c r="H156" s="151"/>
      <c r="I156" s="151"/>
      <c r="J156" s="16">
        <f t="shared" ref="J156:N156" si="75">SUM(J148:J155)</f>
        <v>2046.4133009397035</v>
      </c>
      <c r="K156" s="16">
        <f t="shared" si="75"/>
        <v>2589.1599352127405</v>
      </c>
      <c r="L156" s="16">
        <f t="shared" si="75"/>
        <v>3384.2286767448609</v>
      </c>
      <c r="M156" s="16">
        <f t="shared" si="75"/>
        <v>2844.1213676290845</v>
      </c>
      <c r="N156" s="16">
        <f t="shared" si="75"/>
        <v>3974.9134646687817</v>
      </c>
      <c r="O156" s="12"/>
      <c r="P156" s="12"/>
    </row>
    <row r="157" spans="2:16" ht="15" customHeight="1" x14ac:dyDescent="0.25">
      <c r="E157" s="12"/>
      <c r="F157" s="12"/>
      <c r="G157" s="12"/>
      <c r="H157" s="12"/>
      <c r="I157" s="12"/>
      <c r="J157" s="12"/>
      <c r="K157" s="12"/>
      <c r="L157" s="12"/>
      <c r="M157" s="12"/>
      <c r="N157" s="12"/>
      <c r="O157" s="12"/>
      <c r="P157" s="12"/>
    </row>
    <row r="158" spans="2:16" ht="15" customHeight="1" x14ac:dyDescent="0.25">
      <c r="E158" s="12"/>
      <c r="F158" s="12"/>
      <c r="G158" s="12"/>
      <c r="H158" s="12"/>
      <c r="I158" s="12"/>
      <c r="J158" s="12"/>
      <c r="K158" s="12"/>
      <c r="L158" s="12"/>
      <c r="M158" s="12"/>
      <c r="N158" s="12"/>
      <c r="O158" s="12"/>
      <c r="P158" s="12"/>
    </row>
    <row r="159" spans="2:16" ht="15" customHeight="1" x14ac:dyDescent="0.25">
      <c r="C159" s="1" t="s">
        <v>217</v>
      </c>
      <c r="E159" s="99"/>
      <c r="F159" s="12">
        <f t="shared" ref="F159:I159" si="76">E162</f>
        <v>4116.6040000000003</v>
      </c>
      <c r="G159" s="12">
        <f t="shared" si="76"/>
        <v>2090</v>
      </c>
      <c r="H159" s="12">
        <f t="shared" si="76"/>
        <v>2447</v>
      </c>
      <c r="I159" s="12">
        <f t="shared" si="76"/>
        <v>3091</v>
      </c>
      <c r="J159" s="12">
        <f>I162</f>
        <v>4511</v>
      </c>
      <c r="K159" s="12">
        <f t="shared" ref="K159:N159" si="77">J162</f>
        <v>4635.5732361524433</v>
      </c>
      <c r="L159" s="12">
        <f t="shared" si="77"/>
        <v>4217.3998380318499</v>
      </c>
      <c r="M159" s="12">
        <f t="shared" si="77"/>
        <v>4013.4461274154705</v>
      </c>
      <c r="N159" s="12">
        <f t="shared" si="77"/>
        <v>5023.5621899899488</v>
      </c>
      <c r="O159" s="12"/>
      <c r="P159" s="12"/>
    </row>
    <row r="160" spans="2:16" ht="15" customHeight="1" x14ac:dyDescent="0.25">
      <c r="C160" s="65" t="s">
        <v>461</v>
      </c>
      <c r="E160" s="99"/>
      <c r="F160" s="12">
        <f>F143</f>
        <v>-2302.3040000000005</v>
      </c>
      <c r="G160" s="12">
        <f>G143</f>
        <v>305.40000000000009</v>
      </c>
      <c r="H160" s="12">
        <f>H143</f>
        <v>684</v>
      </c>
      <c r="I160" s="12">
        <f>I143</f>
        <v>1747</v>
      </c>
      <c r="J160" s="12">
        <f t="shared" ref="J160:N160" si="78">J143</f>
        <v>2170.986537092147</v>
      </c>
      <c r="K160" s="12">
        <f t="shared" si="78"/>
        <v>2170.986537092147</v>
      </c>
      <c r="L160" s="12">
        <f t="shared" si="78"/>
        <v>3180.2749661284811</v>
      </c>
      <c r="M160" s="12">
        <f t="shared" si="78"/>
        <v>3854.2374302035628</v>
      </c>
      <c r="N160" s="12">
        <f t="shared" si="78"/>
        <v>4523.1683881587896</v>
      </c>
      <c r="O160" s="12"/>
      <c r="P160" s="12"/>
    </row>
    <row r="161" spans="2:14" ht="15" customHeight="1" x14ac:dyDescent="0.25">
      <c r="C161" s="65" t="s">
        <v>462</v>
      </c>
      <c r="E161" s="99"/>
      <c r="F161" s="12">
        <f t="shared" ref="F161:I161" si="79">F162-SUM(F159:F160)</f>
        <v>275.70000000000027</v>
      </c>
      <c r="G161" s="12">
        <f t="shared" si="79"/>
        <v>51.599999999999909</v>
      </c>
      <c r="H161" s="12">
        <f t="shared" si="79"/>
        <v>-40</v>
      </c>
      <c r="I161" s="12">
        <f t="shared" si="79"/>
        <v>-327</v>
      </c>
      <c r="J161" s="12">
        <f t="shared" ref="J161:N161" si="80">-J156</f>
        <v>-2046.4133009397035</v>
      </c>
      <c r="K161" s="12">
        <f t="shared" si="80"/>
        <v>-2589.1599352127405</v>
      </c>
      <c r="L161" s="12">
        <f t="shared" si="80"/>
        <v>-3384.2286767448609</v>
      </c>
      <c r="M161" s="12">
        <f t="shared" si="80"/>
        <v>-2844.1213676290845</v>
      </c>
      <c r="N161" s="12">
        <f t="shared" si="80"/>
        <v>-3974.9134646687817</v>
      </c>
    </row>
    <row r="162" spans="2:14" ht="20" customHeight="1" thickBot="1" x14ac:dyDescent="0.3">
      <c r="C162" s="17" t="s">
        <v>218</v>
      </c>
      <c r="D162" s="17"/>
      <c r="E162" s="159">
        <f>'Ratio Analysis'!W242</f>
        <v>4116.6040000000003</v>
      </c>
      <c r="F162" s="159">
        <f>'Ratio Analysis'!X242</f>
        <v>2090</v>
      </c>
      <c r="G162" s="159">
        <f>'Ratio Analysis'!Y242</f>
        <v>2447</v>
      </c>
      <c r="H162" s="159">
        <f>'Ratio Analysis'!Z242</f>
        <v>3091</v>
      </c>
      <c r="I162" s="159">
        <f>'Ratio Analysis'!AA242</f>
        <v>4511</v>
      </c>
      <c r="J162" s="18">
        <f t="shared" ref="J162:N162" si="81">SUM(J159:J161)</f>
        <v>4635.5732361524433</v>
      </c>
      <c r="K162" s="18">
        <f t="shared" si="81"/>
        <v>4217.3998380318499</v>
      </c>
      <c r="L162" s="18">
        <f t="shared" si="81"/>
        <v>4013.4461274154705</v>
      </c>
      <c r="M162" s="18">
        <f t="shared" si="81"/>
        <v>5023.5621899899488</v>
      </c>
      <c r="N162" s="18">
        <f t="shared" si="81"/>
        <v>5571.8171134799559</v>
      </c>
    </row>
    <row r="163" spans="2:14" ht="17" thickTop="1" x14ac:dyDescent="0.25">
      <c r="E163" s="12"/>
      <c r="F163" s="12"/>
      <c r="G163" s="12"/>
      <c r="H163" s="12"/>
      <c r="I163" s="12"/>
      <c r="J163" s="12"/>
      <c r="K163" s="12"/>
      <c r="L163" s="12"/>
      <c r="M163" s="12"/>
      <c r="N163" s="12"/>
    </row>
    <row r="164" spans="2:14" ht="16" x14ac:dyDescent="0.25">
      <c r="E164" s="12"/>
      <c r="F164" s="12"/>
      <c r="G164" s="12"/>
      <c r="H164" s="12"/>
      <c r="I164" s="12"/>
      <c r="J164" s="12"/>
      <c r="K164" s="12"/>
      <c r="L164" s="12"/>
      <c r="M164" s="12"/>
      <c r="N164" s="12"/>
    </row>
    <row r="165" spans="2:14" ht="16" x14ac:dyDescent="0.25">
      <c r="E165" s="12"/>
      <c r="F165" s="12"/>
      <c r="G165" s="12"/>
      <c r="H165" s="12"/>
      <c r="I165" s="12"/>
      <c r="J165" s="12"/>
      <c r="K165" s="12"/>
      <c r="L165" s="12"/>
      <c r="M165" s="12"/>
      <c r="N165" s="12"/>
    </row>
    <row r="166" spans="2:14" ht="6" customHeight="1" x14ac:dyDescent="0.25"/>
    <row r="167" spans="2:14" ht="20" customHeight="1" x14ac:dyDescent="0.25">
      <c r="B167" s="2" t="str">
        <f>'Cover Page'!$C$18</f>
        <v>Tesla, Inc.</v>
      </c>
      <c r="C167" s="3"/>
      <c r="D167" s="3"/>
      <c r="E167" s="3"/>
      <c r="F167" s="3"/>
      <c r="G167" s="3"/>
      <c r="H167" s="3"/>
      <c r="I167" s="3"/>
      <c r="J167" s="3"/>
      <c r="K167" s="3"/>
      <c r="L167" s="3"/>
      <c r="M167" s="3"/>
      <c r="N167" s="3"/>
    </row>
    <row r="168" spans="2:14" ht="15" customHeight="1" x14ac:dyDescent="0.25">
      <c r="B168" s="4" t="s">
        <v>469</v>
      </c>
      <c r="C168" s="4"/>
      <c r="D168" s="4"/>
      <c r="E168" s="4"/>
      <c r="F168" s="4"/>
      <c r="G168" s="4"/>
      <c r="H168" s="4"/>
      <c r="I168" s="4"/>
      <c r="J168" s="4"/>
      <c r="K168" s="4"/>
      <c r="L168" s="4"/>
      <c r="M168" s="4"/>
      <c r="N168" s="4"/>
    </row>
    <row r="169" spans="2:14" ht="6" customHeight="1" thickBot="1" x14ac:dyDescent="0.3">
      <c r="B169" s="5"/>
      <c r="C169" s="5"/>
      <c r="D169" s="5"/>
      <c r="E169" s="5"/>
      <c r="F169" s="5"/>
      <c r="G169" s="5"/>
      <c r="H169" s="5"/>
      <c r="I169" s="5"/>
      <c r="J169" s="5"/>
      <c r="K169" s="5"/>
      <c r="L169" s="5"/>
      <c r="M169" s="5"/>
      <c r="N169" s="5"/>
    </row>
    <row r="170" spans="2:14" ht="15" customHeight="1" x14ac:dyDescent="0.25">
      <c r="B170" s="117" t="str">
        <f>Scenarios!$B$5</f>
        <v>$ MM's ( unless otherwise specified )</v>
      </c>
      <c r="C170" s="117"/>
      <c r="D170" s="117"/>
      <c r="E170" s="117"/>
      <c r="F170" s="117"/>
      <c r="G170" s="117"/>
      <c r="H170" s="117"/>
      <c r="I170" s="117"/>
      <c r="J170" s="117"/>
      <c r="K170" s="117"/>
      <c r="L170" s="117"/>
      <c r="M170" s="117"/>
      <c r="N170" s="121" t="str">
        <f>Scenarios!$N$5</f>
        <v>Based on: Base Case Senario</v>
      </c>
    </row>
    <row r="171" spans="2:14" ht="6" customHeight="1" x14ac:dyDescent="0.25"/>
    <row r="172" spans="2:14" ht="15" customHeight="1" x14ac:dyDescent="0.25">
      <c r="E172" s="6" t="s">
        <v>7</v>
      </c>
      <c r="F172" s="7"/>
      <c r="G172" s="7"/>
      <c r="H172" s="7"/>
      <c r="I172" s="7"/>
      <c r="J172" s="8" t="s">
        <v>6</v>
      </c>
      <c r="K172" s="9"/>
      <c r="L172" s="9"/>
      <c r="M172" s="9"/>
      <c r="N172" s="9"/>
    </row>
    <row r="173" spans="2:14" ht="15" customHeight="1" x14ac:dyDescent="0.25">
      <c r="E173" s="10">
        <f t="shared" ref="E173" si="82">F173-1</f>
        <v>2017</v>
      </c>
      <c r="F173" s="10">
        <f t="shared" ref="F173" si="83">G173-1</f>
        <v>2018</v>
      </c>
      <c r="G173" s="10">
        <f t="shared" ref="G173" si="84">H173-1</f>
        <v>2019</v>
      </c>
      <c r="H173" s="10">
        <f t="shared" ref="H173" si="85">I173-1</f>
        <v>2020</v>
      </c>
      <c r="I173" s="10">
        <f t="shared" ref="I173" si="86">J173-1</f>
        <v>2021</v>
      </c>
      <c r="J173" s="11">
        <v>2022</v>
      </c>
      <c r="K173" s="11">
        <f>J173+1</f>
        <v>2023</v>
      </c>
      <c r="L173" s="11">
        <f t="shared" ref="L173" si="87">K173+1</f>
        <v>2024</v>
      </c>
      <c r="M173" s="11">
        <f t="shared" ref="M173" si="88">L173+1</f>
        <v>2025</v>
      </c>
      <c r="N173" s="11">
        <f t="shared" ref="N173" si="89">M173+1</f>
        <v>2026</v>
      </c>
    </row>
    <row r="174" spans="2:14" ht="16" x14ac:dyDescent="0.25">
      <c r="E174" s="12"/>
      <c r="F174" s="12"/>
      <c r="G174" s="12"/>
      <c r="H174" s="12"/>
      <c r="I174" s="12"/>
      <c r="J174" s="12"/>
      <c r="K174" s="12"/>
      <c r="L174" s="12"/>
      <c r="M174" s="12"/>
      <c r="N174" s="12"/>
    </row>
    <row r="175" spans="2:14" ht="16" x14ac:dyDescent="0.25">
      <c r="B175" s="157"/>
      <c r="C175" s="105" t="s">
        <v>456</v>
      </c>
      <c r="D175" s="105"/>
      <c r="E175" s="135"/>
      <c r="F175" s="107">
        <f t="shared" ref="F175:I175" si="90">F194</f>
        <v>445.31400000000031</v>
      </c>
      <c r="G175" s="107">
        <f t="shared" si="90"/>
        <v>224</v>
      </c>
      <c r="H175" s="107">
        <f t="shared" si="90"/>
        <v>48</v>
      </c>
      <c r="I175" s="107">
        <f t="shared" si="90"/>
        <v>25</v>
      </c>
      <c r="J175" s="107">
        <f t="shared" ref="J175:N175" si="91">J178*J177</f>
        <v>59.527199999999993</v>
      </c>
      <c r="K175" s="107">
        <f t="shared" si="91"/>
        <v>80.956991999999971</v>
      </c>
      <c r="L175" s="107">
        <f t="shared" si="91"/>
        <v>130.61061375999995</v>
      </c>
      <c r="M175" s="107">
        <f t="shared" si="91"/>
        <v>158.03884264959996</v>
      </c>
      <c r="N175" s="108">
        <f t="shared" si="91"/>
        <v>191.22699960601594</v>
      </c>
    </row>
    <row r="176" spans="2:14" ht="16" x14ac:dyDescent="0.25">
      <c r="B176" s="111"/>
      <c r="C176" s="1" t="s">
        <v>490</v>
      </c>
      <c r="E176" s="128"/>
      <c r="F176" s="14">
        <f>'Ratio Analysis'!X191</f>
        <v>0</v>
      </c>
      <c r="G176" s="14">
        <f>'Ratio Analysis'!Y191</f>
        <v>30</v>
      </c>
      <c r="H176" s="14">
        <f>'Ratio Analysis'!Z191</f>
        <v>29</v>
      </c>
      <c r="I176" s="14">
        <f>'Ratio Analysis'!AA191</f>
        <v>27</v>
      </c>
      <c r="J176" s="12">
        <f t="shared" ref="J176:N176" si="92">J253</f>
        <v>23.625</v>
      </c>
      <c r="K176" s="12">
        <f t="shared" si="92"/>
        <v>20.25</v>
      </c>
      <c r="L176" s="12">
        <f t="shared" si="92"/>
        <v>16.875</v>
      </c>
      <c r="M176" s="12">
        <f t="shared" si="92"/>
        <v>13.5</v>
      </c>
      <c r="N176" s="110">
        <f t="shared" si="92"/>
        <v>10.125</v>
      </c>
    </row>
    <row r="177" spans="2:14" ht="16" x14ac:dyDescent="0.25">
      <c r="B177" s="26"/>
      <c r="C177" s="1" t="str">
        <f>C56</f>
        <v>Energy generation and storage</v>
      </c>
      <c r="E177" s="99"/>
      <c r="F177" s="12">
        <f t="shared" ref="F177:N177" si="93">F56</f>
        <v>1365</v>
      </c>
      <c r="G177" s="12">
        <f t="shared" si="93"/>
        <v>1341</v>
      </c>
      <c r="H177" s="12">
        <f t="shared" si="93"/>
        <v>1976</v>
      </c>
      <c r="I177" s="12">
        <f t="shared" si="93"/>
        <v>2918</v>
      </c>
      <c r="J177" s="12">
        <f t="shared" si="93"/>
        <v>3968.4799999999996</v>
      </c>
      <c r="K177" s="12">
        <f t="shared" si="93"/>
        <v>5397.1327999999985</v>
      </c>
      <c r="L177" s="12">
        <f t="shared" si="93"/>
        <v>6530.530687999998</v>
      </c>
      <c r="M177" s="12">
        <f t="shared" si="93"/>
        <v>7901.9421324799978</v>
      </c>
      <c r="N177" s="110">
        <f t="shared" si="93"/>
        <v>9561.3499803007962</v>
      </c>
    </row>
    <row r="178" spans="2:14" ht="16" x14ac:dyDescent="0.25">
      <c r="B178" s="114"/>
      <c r="C178" s="138" t="s">
        <v>457</v>
      </c>
      <c r="D178" s="138"/>
      <c r="E178" s="176"/>
      <c r="F178" s="152">
        <f t="shared" ref="F178:I178" si="94">F175/F177</f>
        <v>0.32623736263736286</v>
      </c>
      <c r="G178" s="152">
        <f t="shared" si="94"/>
        <v>0.16703952274422074</v>
      </c>
      <c r="H178" s="152">
        <f t="shared" si="94"/>
        <v>2.4291497975708502E-2</v>
      </c>
      <c r="I178" s="152">
        <f t="shared" si="94"/>
        <v>8.5675119945167917E-3</v>
      </c>
      <c r="J178" s="153">
        <f>Assumptions!$M$24</f>
        <v>1.4999999999999999E-2</v>
      </c>
      <c r="K178" s="153">
        <f>Assumptions!$M$24</f>
        <v>1.4999999999999999E-2</v>
      </c>
      <c r="L178" s="153">
        <f>Assumptions!$O$24</f>
        <v>0.02</v>
      </c>
      <c r="M178" s="153">
        <f>Assumptions!$O$24</f>
        <v>0.02</v>
      </c>
      <c r="N178" s="154">
        <f>Assumptions!$O$24</f>
        <v>0.02</v>
      </c>
    </row>
    <row r="179" spans="2:14" ht="16" x14ac:dyDescent="0.25">
      <c r="E179" s="12"/>
      <c r="F179" s="12"/>
      <c r="G179" s="12"/>
      <c r="H179" s="12"/>
      <c r="I179" s="12"/>
      <c r="J179" s="12"/>
      <c r="K179" s="12"/>
      <c r="L179" s="12"/>
      <c r="M179" s="12"/>
      <c r="N179" s="12"/>
    </row>
    <row r="180" spans="2:14" ht="16" x14ac:dyDescent="0.25">
      <c r="B180" s="19" t="s">
        <v>470</v>
      </c>
      <c r="E180" s="12"/>
      <c r="F180" s="12"/>
      <c r="G180" s="12"/>
      <c r="H180" s="12"/>
      <c r="I180" s="12"/>
      <c r="J180" s="12"/>
      <c r="K180" s="12"/>
      <c r="L180" s="12"/>
      <c r="M180" s="12"/>
      <c r="N180" s="12"/>
    </row>
    <row r="181" spans="2:14" ht="16" x14ac:dyDescent="0.25">
      <c r="C181" s="52" t="s">
        <v>458</v>
      </c>
      <c r="D181" s="161">
        <f>Assumptions!O33</f>
        <v>20</v>
      </c>
      <c r="E181" s="99"/>
      <c r="F181" s="99"/>
      <c r="G181" s="99"/>
      <c r="H181" s="99"/>
      <c r="I181" s="99"/>
      <c r="J181" s="12">
        <f>$J$192/$D$181</f>
        <v>284.95</v>
      </c>
      <c r="K181" s="12">
        <f t="shared" ref="K181:N181" si="95">J181</f>
        <v>284.95</v>
      </c>
      <c r="L181" s="12">
        <f t="shared" si="95"/>
        <v>284.95</v>
      </c>
      <c r="M181" s="12">
        <f t="shared" si="95"/>
        <v>284.95</v>
      </c>
      <c r="N181" s="12">
        <f t="shared" si="95"/>
        <v>284.95</v>
      </c>
    </row>
    <row r="182" spans="2:14" ht="16" x14ac:dyDescent="0.25">
      <c r="D182" s="47"/>
      <c r="E182" s="12"/>
      <c r="F182" s="12"/>
      <c r="G182" s="12"/>
      <c r="H182" s="12"/>
      <c r="I182" s="12"/>
      <c r="J182" s="12"/>
      <c r="K182" s="12"/>
      <c r="L182" s="12"/>
      <c r="M182" s="12"/>
      <c r="N182" s="12"/>
    </row>
    <row r="183" spans="2:14" ht="16" x14ac:dyDescent="0.25">
      <c r="C183" s="1" t="s">
        <v>459</v>
      </c>
      <c r="D183" s="161">
        <f>Assumptions!$O$34</f>
        <v>35</v>
      </c>
      <c r="E183" s="12"/>
      <c r="F183" s="12"/>
      <c r="G183" s="12"/>
      <c r="H183" s="12"/>
      <c r="I183" s="12"/>
      <c r="J183" s="12"/>
      <c r="K183" s="12"/>
      <c r="L183" s="12"/>
      <c r="M183" s="12"/>
      <c r="N183" s="12"/>
    </row>
    <row r="184" spans="2:14" ht="16" x14ac:dyDescent="0.25">
      <c r="C184" s="50">
        <f t="array" ref="C184:C188">TRANSPOSE(J173:N173)</f>
        <v>2022</v>
      </c>
      <c r="E184" s="99"/>
      <c r="F184" s="99"/>
      <c r="G184" s="99"/>
      <c r="H184" s="99"/>
      <c r="I184" s="99"/>
      <c r="J184" s="12">
        <f>J$194/$D$183</f>
        <v>1.7007771428571428</v>
      </c>
      <c r="K184" s="12">
        <f>IF(K$173&lt;=$C184+$D$183,J184,0)</f>
        <v>1.7007771428571428</v>
      </c>
      <c r="L184" s="12">
        <f>IF(L$173&lt;=$C184+$D$183,K184,0)</f>
        <v>1.7007771428571428</v>
      </c>
      <c r="M184" s="12">
        <f>IF(M$173&lt;=$C184+$D$183,L184,0)</f>
        <v>1.7007771428571428</v>
      </c>
      <c r="N184" s="12">
        <f>IF(N$173&lt;=$C184+$D$183,M184,0)</f>
        <v>1.7007771428571428</v>
      </c>
    </row>
    <row r="185" spans="2:14" ht="16" x14ac:dyDescent="0.25">
      <c r="C185" s="50">
        <v>2023</v>
      </c>
      <c r="E185" s="99"/>
      <c r="F185" s="99"/>
      <c r="G185" s="99"/>
      <c r="H185" s="99"/>
      <c r="I185" s="99"/>
      <c r="J185" s="99"/>
      <c r="K185" s="12">
        <f>K$194/$D$183</f>
        <v>2.3130569142857134</v>
      </c>
      <c r="L185" s="12">
        <f>IF(L$173&lt;=$C185+$D$183,K185,0)</f>
        <v>2.3130569142857134</v>
      </c>
      <c r="M185" s="12">
        <f>IF(M$173&lt;=$C185+$D$183,L185,0)</f>
        <v>2.3130569142857134</v>
      </c>
      <c r="N185" s="12">
        <f>IF(N$173&lt;=$C185+$D$183,M185,0)</f>
        <v>2.3130569142857134</v>
      </c>
    </row>
    <row r="186" spans="2:14" ht="16" x14ac:dyDescent="0.25">
      <c r="C186" s="50">
        <v>2024</v>
      </c>
      <c r="E186" s="99"/>
      <c r="F186" s="99"/>
      <c r="G186" s="99"/>
      <c r="H186" s="99"/>
      <c r="I186" s="99"/>
      <c r="J186" s="99"/>
      <c r="K186" s="99"/>
      <c r="L186" s="12">
        <f>L$194/$D$183</f>
        <v>3.7317318217142841</v>
      </c>
      <c r="M186" s="12">
        <f>IF(M$173&lt;=$C186+$D$183,L186,0)</f>
        <v>3.7317318217142841</v>
      </c>
      <c r="N186" s="12">
        <f>IF(N$173&lt;=$C186+$D$183,M186,0)</f>
        <v>3.7317318217142841</v>
      </c>
    </row>
    <row r="187" spans="2:14" ht="16" x14ac:dyDescent="0.25">
      <c r="C187" s="50">
        <v>2025</v>
      </c>
      <c r="E187" s="99"/>
      <c r="F187" s="99"/>
      <c r="G187" s="99"/>
      <c r="H187" s="99"/>
      <c r="I187" s="99"/>
      <c r="J187" s="99"/>
      <c r="K187" s="99"/>
      <c r="L187" s="99"/>
      <c r="M187" s="12">
        <f>M$194/$D$183</f>
        <v>4.5153955042742844</v>
      </c>
      <c r="N187" s="12">
        <f>IF(N$173&lt;=$C187+$D$183,M187,0)</f>
        <v>4.5153955042742844</v>
      </c>
    </row>
    <row r="188" spans="2:14" ht="16" x14ac:dyDescent="0.25">
      <c r="C188" s="50">
        <v>2026</v>
      </c>
      <c r="E188" s="99"/>
      <c r="F188" s="99"/>
      <c r="G188" s="99"/>
      <c r="H188" s="99"/>
      <c r="I188" s="99"/>
      <c r="J188" s="99"/>
      <c r="K188" s="99"/>
      <c r="L188" s="99"/>
      <c r="M188" s="99"/>
      <c r="N188" s="12">
        <f>N$194/$D$183</f>
        <v>5.4636285601718839</v>
      </c>
    </row>
    <row r="189" spans="2:14" ht="20" customHeight="1" x14ac:dyDescent="0.25">
      <c r="C189" s="15" t="s">
        <v>463</v>
      </c>
      <c r="D189" s="15"/>
      <c r="E189" s="151"/>
      <c r="F189" s="151"/>
      <c r="G189" s="151"/>
      <c r="H189" s="151"/>
      <c r="I189" s="151"/>
      <c r="J189" s="16">
        <f t="shared" ref="J189:N189" si="96">SUM(J181:J188)</f>
        <v>286.65077714285712</v>
      </c>
      <c r="K189" s="16">
        <f t="shared" si="96"/>
        <v>288.96383405714283</v>
      </c>
      <c r="L189" s="16">
        <f t="shared" si="96"/>
        <v>292.69556587885711</v>
      </c>
      <c r="M189" s="16">
        <f t="shared" si="96"/>
        <v>297.21096138313141</v>
      </c>
      <c r="N189" s="16">
        <f t="shared" si="96"/>
        <v>302.67458994330332</v>
      </c>
    </row>
    <row r="190" spans="2:14" ht="16" x14ac:dyDescent="0.25">
      <c r="C190" s="50"/>
      <c r="E190" s="12"/>
      <c r="F190" s="12"/>
      <c r="G190" s="12"/>
      <c r="H190" s="12"/>
      <c r="I190" s="12"/>
      <c r="J190" s="12"/>
      <c r="K190" s="12"/>
      <c r="L190" s="12"/>
      <c r="M190" s="12"/>
      <c r="N190" s="12"/>
    </row>
    <row r="191" spans="2:14" ht="16" x14ac:dyDescent="0.25">
      <c r="C191" s="50"/>
      <c r="E191" s="12"/>
      <c r="F191" s="12"/>
      <c r="G191" s="12"/>
      <c r="H191" s="12"/>
      <c r="I191" s="12"/>
      <c r="J191" s="12"/>
      <c r="K191" s="12"/>
      <c r="L191" s="12"/>
      <c r="M191" s="12"/>
      <c r="N191" s="12"/>
    </row>
    <row r="192" spans="2:14" ht="16" x14ac:dyDescent="0.25">
      <c r="C192" s="1" t="s">
        <v>217</v>
      </c>
      <c r="E192" s="99"/>
      <c r="F192" s="12">
        <f>E196</f>
        <v>5864.576</v>
      </c>
      <c r="G192" s="12">
        <f t="shared" ref="G192:I192" si="97">F196</f>
        <v>6034</v>
      </c>
      <c r="H192" s="12">
        <f t="shared" si="97"/>
        <v>6061</v>
      </c>
      <c r="I192" s="12">
        <f t="shared" si="97"/>
        <v>5906</v>
      </c>
      <c r="J192" s="12">
        <f>I196-I193</f>
        <v>5699</v>
      </c>
      <c r="K192" s="12">
        <f t="shared" ref="K192:N192" si="98">J196-J193</f>
        <v>5471.8764228571436</v>
      </c>
      <c r="L192" s="12">
        <f t="shared" si="98"/>
        <v>5263.8695808000011</v>
      </c>
      <c r="M192" s="12">
        <f t="shared" si="98"/>
        <v>5101.7846286811437</v>
      </c>
      <c r="N192" s="12">
        <f t="shared" si="98"/>
        <v>4962.6125099476121</v>
      </c>
    </row>
    <row r="193" spans="2:14" ht="16" x14ac:dyDescent="0.25">
      <c r="C193" s="65" t="s">
        <v>538</v>
      </c>
      <c r="E193" s="99"/>
      <c r="F193" s="12">
        <f t="shared" ref="F193:N193" si="99">F176</f>
        <v>0</v>
      </c>
      <c r="G193" s="12">
        <f t="shared" si="99"/>
        <v>30</v>
      </c>
      <c r="H193" s="12">
        <f t="shared" si="99"/>
        <v>29</v>
      </c>
      <c r="I193" s="12">
        <f t="shared" si="99"/>
        <v>27</v>
      </c>
      <c r="J193" s="12">
        <f t="shared" si="99"/>
        <v>23.625</v>
      </c>
      <c r="K193" s="12">
        <f t="shared" si="99"/>
        <v>20.25</v>
      </c>
      <c r="L193" s="12">
        <f t="shared" si="99"/>
        <v>16.875</v>
      </c>
      <c r="M193" s="12">
        <f t="shared" si="99"/>
        <v>13.5</v>
      </c>
      <c r="N193" s="12">
        <f t="shared" si="99"/>
        <v>10.125</v>
      </c>
    </row>
    <row r="194" spans="2:14" ht="16" x14ac:dyDescent="0.25">
      <c r="C194" s="65" t="s">
        <v>543</v>
      </c>
      <c r="E194" s="99"/>
      <c r="F194" s="12">
        <f t="shared" ref="F194:I194" si="100">F196-SUM(F195,F192:F193)</f>
        <v>445.31400000000031</v>
      </c>
      <c r="G194" s="12">
        <f t="shared" si="100"/>
        <v>224</v>
      </c>
      <c r="H194" s="12">
        <f t="shared" si="100"/>
        <v>48</v>
      </c>
      <c r="I194" s="12">
        <f t="shared" si="100"/>
        <v>25</v>
      </c>
      <c r="J194" s="12">
        <f t="shared" ref="J194:N194" si="101">J175</f>
        <v>59.527199999999993</v>
      </c>
      <c r="K194" s="12">
        <f t="shared" si="101"/>
        <v>80.956991999999971</v>
      </c>
      <c r="L194" s="12">
        <f t="shared" si="101"/>
        <v>130.61061375999995</v>
      </c>
      <c r="M194" s="12">
        <f t="shared" si="101"/>
        <v>158.03884264959996</v>
      </c>
      <c r="N194" s="12">
        <f t="shared" si="101"/>
        <v>191.22699960601594</v>
      </c>
    </row>
    <row r="195" spans="2:14" ht="16" x14ac:dyDescent="0.25">
      <c r="C195" s="65" t="s">
        <v>540</v>
      </c>
      <c r="E195" s="99"/>
      <c r="F195" s="14">
        <f>'Ratio Analysis'!X166</f>
        <v>-275.89</v>
      </c>
      <c r="G195" s="14">
        <f>'Ratio Analysis'!Y166</f>
        <v>-227</v>
      </c>
      <c r="H195" s="14">
        <f>'Ratio Analysis'!Z166</f>
        <v>-232</v>
      </c>
      <c r="I195" s="14">
        <f>'Ratio Analysis'!AA166</f>
        <v>-232</v>
      </c>
      <c r="J195" s="12">
        <f t="shared" ref="J195:N195" si="102">-J189</f>
        <v>-286.65077714285712</v>
      </c>
      <c r="K195" s="12">
        <f t="shared" si="102"/>
        <v>-288.96383405714283</v>
      </c>
      <c r="L195" s="12">
        <f t="shared" si="102"/>
        <v>-292.69556587885711</v>
      </c>
      <c r="M195" s="12">
        <f t="shared" si="102"/>
        <v>-297.21096138313141</v>
      </c>
      <c r="N195" s="12">
        <f t="shared" si="102"/>
        <v>-302.67458994330332</v>
      </c>
    </row>
    <row r="196" spans="2:14" ht="20" customHeight="1" x14ac:dyDescent="0.25">
      <c r="C196" s="15" t="s">
        <v>218</v>
      </c>
      <c r="D196" s="22"/>
      <c r="E196" s="158">
        <f>'Ratio Analysis'!W$162</f>
        <v>5864.576</v>
      </c>
      <c r="F196" s="158">
        <f>'Ratio Analysis'!X$162</f>
        <v>6034</v>
      </c>
      <c r="G196" s="158">
        <f>'Ratio Analysis'!Y$162</f>
        <v>6061</v>
      </c>
      <c r="H196" s="158">
        <f>'Ratio Analysis'!Z$162</f>
        <v>5906</v>
      </c>
      <c r="I196" s="158">
        <f>'Ratio Analysis'!AA$162</f>
        <v>5726</v>
      </c>
      <c r="J196" s="16">
        <f t="shared" ref="J196:N196" si="103">SUM(J192:J195)</f>
        <v>5495.5014228571436</v>
      </c>
      <c r="K196" s="16">
        <f t="shared" si="103"/>
        <v>5284.1195808000011</v>
      </c>
      <c r="L196" s="16">
        <f t="shared" si="103"/>
        <v>5118.6596286811437</v>
      </c>
      <c r="M196" s="16">
        <f t="shared" si="103"/>
        <v>4976.1125099476121</v>
      </c>
      <c r="N196" s="16">
        <f t="shared" si="103"/>
        <v>4861.2899196103244</v>
      </c>
    </row>
    <row r="197" spans="2:14" ht="16" x14ac:dyDescent="0.25">
      <c r="C197" s="1" t="str">
        <f>'Ratio Analysis'!S163</f>
        <v>Solar energy systems under construction</v>
      </c>
      <c r="E197" s="12">
        <f>'Ratio Analysis'!W163</f>
        <v>243.84700000000001</v>
      </c>
      <c r="F197" s="12">
        <f>'Ratio Analysis'!X163</f>
        <v>68</v>
      </c>
      <c r="G197" s="12">
        <f>'Ratio Analysis'!Y163</f>
        <v>18</v>
      </c>
      <c r="H197" s="12">
        <f>'Ratio Analysis'!Z163</f>
        <v>28</v>
      </c>
      <c r="I197" s="12">
        <f>'Ratio Analysis'!AA163</f>
        <v>18</v>
      </c>
      <c r="J197" s="12">
        <f t="shared" ref="J197:N198" si="104">I197</f>
        <v>18</v>
      </c>
      <c r="K197" s="12">
        <f t="shared" si="104"/>
        <v>18</v>
      </c>
      <c r="L197" s="12">
        <f t="shared" si="104"/>
        <v>18</v>
      </c>
      <c r="M197" s="12">
        <f t="shared" si="104"/>
        <v>18</v>
      </c>
      <c r="N197" s="12">
        <f t="shared" si="104"/>
        <v>18</v>
      </c>
    </row>
    <row r="198" spans="2:14" ht="16" x14ac:dyDescent="0.25">
      <c r="C198" s="1" t="str">
        <f>'Ratio Analysis'!S164</f>
        <v>Solar energy systems pending interconnection</v>
      </c>
      <c r="E198" s="12">
        <f>'Ratio Analysis'!W164</f>
        <v>239.06700000000001</v>
      </c>
      <c r="F198" s="12">
        <f>'Ratio Analysis'!X164</f>
        <v>169</v>
      </c>
      <c r="G198" s="12">
        <f>'Ratio Analysis'!Y164</f>
        <v>59</v>
      </c>
      <c r="H198" s="12">
        <f>'Ratio Analysis'!Z164</f>
        <v>45</v>
      </c>
      <c r="I198" s="12">
        <f>'Ratio Analysis'!AA164</f>
        <v>21</v>
      </c>
      <c r="J198" s="12">
        <f t="shared" si="104"/>
        <v>21</v>
      </c>
      <c r="K198" s="12">
        <f t="shared" si="104"/>
        <v>21</v>
      </c>
      <c r="L198" s="12">
        <f t="shared" si="104"/>
        <v>21</v>
      </c>
      <c r="M198" s="12">
        <f t="shared" si="104"/>
        <v>21</v>
      </c>
      <c r="N198" s="12">
        <f t="shared" si="104"/>
        <v>21</v>
      </c>
    </row>
    <row r="199" spans="2:14" ht="20" customHeight="1" thickBot="1" x14ac:dyDescent="0.3">
      <c r="C199" s="17" t="s">
        <v>87</v>
      </c>
      <c r="D199" s="17"/>
      <c r="E199" s="18">
        <f t="shared" ref="E199:N199" si="105">SUM(E196:E198)</f>
        <v>6347.49</v>
      </c>
      <c r="F199" s="18">
        <f t="shared" si="105"/>
        <v>6271</v>
      </c>
      <c r="G199" s="18">
        <f t="shared" si="105"/>
        <v>6138</v>
      </c>
      <c r="H199" s="18">
        <f t="shared" si="105"/>
        <v>5979</v>
      </c>
      <c r="I199" s="18">
        <f t="shared" si="105"/>
        <v>5765</v>
      </c>
      <c r="J199" s="18">
        <f t="shared" si="105"/>
        <v>5534.5014228571436</v>
      </c>
      <c r="K199" s="18">
        <f t="shared" si="105"/>
        <v>5323.1195808000011</v>
      </c>
      <c r="L199" s="18">
        <f t="shared" si="105"/>
        <v>5157.6596286811437</v>
      </c>
      <c r="M199" s="18">
        <f t="shared" si="105"/>
        <v>5015.1125099476121</v>
      </c>
      <c r="N199" s="18">
        <f t="shared" si="105"/>
        <v>4900.2899196103244</v>
      </c>
    </row>
    <row r="200" spans="2:14" ht="17" thickTop="1" x14ac:dyDescent="0.25">
      <c r="E200" s="12"/>
      <c r="F200" s="12"/>
      <c r="G200" s="12"/>
      <c r="H200" s="12"/>
      <c r="I200" s="12"/>
      <c r="J200" s="12"/>
      <c r="K200" s="12"/>
      <c r="L200" s="12"/>
      <c r="M200" s="12"/>
      <c r="N200" s="12"/>
    </row>
    <row r="201" spans="2:14" ht="16" x14ac:dyDescent="0.25">
      <c r="E201" s="12"/>
      <c r="F201" s="12"/>
      <c r="G201" s="12"/>
      <c r="H201" s="12"/>
      <c r="I201" s="12"/>
      <c r="J201" s="12"/>
      <c r="K201" s="12"/>
      <c r="L201" s="12"/>
      <c r="M201" s="12"/>
      <c r="N201" s="12"/>
    </row>
    <row r="202" spans="2:14" ht="16" x14ac:dyDescent="0.25">
      <c r="E202" s="12"/>
      <c r="F202" s="12"/>
      <c r="G202" s="12"/>
      <c r="H202" s="12"/>
      <c r="I202" s="12"/>
      <c r="J202" s="12"/>
      <c r="K202" s="12"/>
      <c r="L202" s="12"/>
      <c r="M202" s="12"/>
      <c r="N202" s="12"/>
    </row>
    <row r="203" spans="2:14" ht="6" customHeight="1" x14ac:dyDescent="0.25"/>
    <row r="204" spans="2:14" ht="20" customHeight="1" x14ac:dyDescent="0.25">
      <c r="B204" s="2" t="str">
        <f>'Cover Page'!$C$18</f>
        <v>Tesla, Inc.</v>
      </c>
      <c r="C204" s="3"/>
      <c r="D204" s="3"/>
      <c r="E204" s="3"/>
      <c r="F204" s="3"/>
      <c r="G204" s="3"/>
      <c r="H204" s="3"/>
      <c r="I204" s="3"/>
      <c r="J204" s="3"/>
      <c r="K204" s="3"/>
      <c r="L204" s="3"/>
      <c r="M204" s="3"/>
      <c r="N204" s="3"/>
    </row>
    <row r="205" spans="2:14" ht="15" customHeight="1" x14ac:dyDescent="0.25">
      <c r="B205" s="4" t="s">
        <v>452</v>
      </c>
      <c r="C205" s="4"/>
      <c r="D205" s="4"/>
      <c r="E205" s="4"/>
      <c r="F205" s="4"/>
      <c r="G205" s="4"/>
      <c r="H205" s="4"/>
      <c r="I205" s="4"/>
      <c r="J205" s="4"/>
      <c r="K205" s="4"/>
      <c r="L205" s="4"/>
      <c r="M205" s="4"/>
      <c r="N205" s="4"/>
    </row>
    <row r="206" spans="2:14" ht="6" customHeight="1" thickBot="1" x14ac:dyDescent="0.3">
      <c r="B206" s="5"/>
      <c r="C206" s="5"/>
      <c r="D206" s="5"/>
      <c r="E206" s="5"/>
      <c r="F206" s="5"/>
      <c r="G206" s="5"/>
      <c r="H206" s="5"/>
      <c r="I206" s="5"/>
      <c r="J206" s="5"/>
      <c r="K206" s="5"/>
      <c r="L206" s="5"/>
      <c r="M206" s="5"/>
      <c r="N206" s="5"/>
    </row>
    <row r="207" spans="2:14" ht="15" customHeight="1" x14ac:dyDescent="0.25">
      <c r="B207" s="117" t="str">
        <f>Scenarios!$B$5</f>
        <v>$ MM's ( unless otherwise specified )</v>
      </c>
      <c r="C207" s="117"/>
      <c r="D207" s="117"/>
      <c r="E207" s="117"/>
      <c r="F207" s="117"/>
      <c r="G207" s="117"/>
      <c r="H207" s="117"/>
      <c r="I207" s="117"/>
      <c r="J207" s="117"/>
      <c r="K207" s="117"/>
      <c r="L207" s="117"/>
      <c r="M207" s="117"/>
      <c r="N207" s="121" t="str">
        <f>Scenarios!$N$5</f>
        <v>Based on: Base Case Senario</v>
      </c>
    </row>
    <row r="208" spans="2:14" ht="6" customHeight="1" x14ac:dyDescent="0.25"/>
    <row r="209" spans="2:14" ht="15" customHeight="1" x14ac:dyDescent="0.25">
      <c r="E209" s="6" t="s">
        <v>7</v>
      </c>
      <c r="F209" s="7"/>
      <c r="G209" s="7"/>
      <c r="H209" s="7"/>
      <c r="I209" s="7"/>
      <c r="J209" s="8" t="s">
        <v>6</v>
      </c>
      <c r="K209" s="9"/>
      <c r="L209" s="9"/>
      <c r="M209" s="9"/>
      <c r="N209" s="9"/>
    </row>
    <row r="210" spans="2:14" ht="15" customHeight="1" x14ac:dyDescent="0.25">
      <c r="E210" s="10">
        <f t="shared" ref="E210" si="106">F210-1</f>
        <v>2017</v>
      </c>
      <c r="F210" s="10">
        <f t="shared" ref="F210" si="107">G210-1</f>
        <v>2018</v>
      </c>
      <c r="G210" s="10">
        <f t="shared" ref="G210" si="108">H210-1</f>
        <v>2019</v>
      </c>
      <c r="H210" s="10">
        <f t="shared" ref="H210" si="109">I210-1</f>
        <v>2020</v>
      </c>
      <c r="I210" s="10">
        <f t="shared" ref="I210" si="110">J210-1</f>
        <v>2021</v>
      </c>
      <c r="J210" s="11">
        <v>2022</v>
      </c>
      <c r="K210" s="11">
        <f>J210+1</f>
        <v>2023</v>
      </c>
      <c r="L210" s="11">
        <f t="shared" ref="L210" si="111">K210+1</f>
        <v>2024</v>
      </c>
      <c r="M210" s="11">
        <f t="shared" ref="M210" si="112">L210+1</f>
        <v>2025</v>
      </c>
      <c r="N210" s="11">
        <f t="shared" ref="N210" si="113">M210+1</f>
        <v>2026</v>
      </c>
    </row>
    <row r="211" spans="2:14" ht="16" x14ac:dyDescent="0.25">
      <c r="E211" s="12"/>
      <c r="F211" s="12"/>
      <c r="G211" s="12"/>
      <c r="H211" s="12"/>
      <c r="I211" s="12"/>
      <c r="J211" s="12"/>
      <c r="K211" s="12"/>
      <c r="L211" s="12"/>
      <c r="M211" s="12"/>
      <c r="N211" s="12"/>
    </row>
    <row r="212" spans="2:14" ht="16" x14ac:dyDescent="0.25">
      <c r="B212" s="157"/>
      <c r="C212" s="105" t="s">
        <v>542</v>
      </c>
      <c r="D212" s="105"/>
      <c r="E212" s="107">
        <f t="shared" ref="E212:I212" si="114">E231</f>
        <v>0</v>
      </c>
      <c r="F212" s="107">
        <f t="shared" si="114"/>
        <v>2277.6840000000011</v>
      </c>
      <c r="G212" s="107">
        <f t="shared" si="114"/>
        <v>-1499</v>
      </c>
      <c r="H212" s="107">
        <f t="shared" si="114"/>
        <v>2269</v>
      </c>
      <c r="I212" s="107">
        <f t="shared" si="114"/>
        <v>6215</v>
      </c>
      <c r="J212" s="107">
        <f t="shared" ref="J212:N212" si="115">J215*J214</f>
        <v>5985.02</v>
      </c>
      <c r="K212" s="107">
        <f t="shared" si="115"/>
        <v>5985.02</v>
      </c>
      <c r="L212" s="107">
        <f t="shared" si="115"/>
        <v>7969.77</v>
      </c>
      <c r="M212" s="107">
        <f t="shared" si="115"/>
        <v>9632.7525000000005</v>
      </c>
      <c r="N212" s="108">
        <f t="shared" si="115"/>
        <v>11306.0625</v>
      </c>
    </row>
    <row r="213" spans="2:14" ht="16" x14ac:dyDescent="0.25">
      <c r="B213" s="111"/>
      <c r="C213" s="1" t="s">
        <v>490</v>
      </c>
      <c r="E213" s="14">
        <f>'Ratio Analysis'!W192</f>
        <v>0</v>
      </c>
      <c r="F213" s="14">
        <f>'Ratio Analysis'!X192</f>
        <v>0</v>
      </c>
      <c r="G213" s="14">
        <f>'Ratio Analysis'!Y192</f>
        <v>1600</v>
      </c>
      <c r="H213" s="14">
        <f>'Ratio Analysis'!Z192</f>
        <v>1465</v>
      </c>
      <c r="I213" s="14">
        <f>'Ratio Analysis'!AA192</f>
        <v>1536</v>
      </c>
      <c r="J213" s="12">
        <f t="shared" ref="J213:N213" si="116">J259</f>
        <v>1344</v>
      </c>
      <c r="K213" s="12">
        <f t="shared" si="116"/>
        <v>1152</v>
      </c>
      <c r="L213" s="12">
        <f t="shared" si="116"/>
        <v>960</v>
      </c>
      <c r="M213" s="12">
        <f t="shared" si="116"/>
        <v>768</v>
      </c>
      <c r="N213" s="110">
        <f t="shared" si="116"/>
        <v>576</v>
      </c>
    </row>
    <row r="214" spans="2:14" ht="16" x14ac:dyDescent="0.25">
      <c r="B214" s="26"/>
      <c r="C214" s="1" t="str">
        <f>C24</f>
        <v>Total automotive revenues</v>
      </c>
      <c r="E214" s="12">
        <f t="shared" ref="E214:N214" si="117">E24</f>
        <v>9642</v>
      </c>
      <c r="F214" s="12">
        <f t="shared" si="117"/>
        <v>18515</v>
      </c>
      <c r="G214" s="12">
        <f t="shared" si="117"/>
        <v>20821</v>
      </c>
      <c r="H214" s="12">
        <f t="shared" si="117"/>
        <v>27236</v>
      </c>
      <c r="I214" s="12">
        <f t="shared" si="117"/>
        <v>47232</v>
      </c>
      <c r="J214" s="12">
        <f t="shared" si="117"/>
        <v>74812.75</v>
      </c>
      <c r="K214" s="12">
        <f t="shared" si="117"/>
        <v>74812.75</v>
      </c>
      <c r="L214" s="12">
        <f t="shared" si="117"/>
        <v>93762</v>
      </c>
      <c r="M214" s="12">
        <f t="shared" si="117"/>
        <v>113326.5</v>
      </c>
      <c r="N214" s="110">
        <f t="shared" si="117"/>
        <v>133012.5</v>
      </c>
    </row>
    <row r="215" spans="2:14" ht="16" x14ac:dyDescent="0.25">
      <c r="B215" s="114"/>
      <c r="C215" s="138" t="s">
        <v>457</v>
      </c>
      <c r="D215" s="138"/>
      <c r="E215" s="152">
        <f>E212/E214</f>
        <v>0</v>
      </c>
      <c r="F215" s="152">
        <f t="shared" ref="F215:I215" si="118">F212/F214</f>
        <v>0.12301830947880103</v>
      </c>
      <c r="G215" s="152">
        <f t="shared" si="118"/>
        <v>-7.1994620815522783E-2</v>
      </c>
      <c r="H215" s="152">
        <f t="shared" si="118"/>
        <v>8.3308855925980321E-2</v>
      </c>
      <c r="I215" s="152">
        <f t="shared" si="118"/>
        <v>0.13158451897018969</v>
      </c>
      <c r="J215" s="153">
        <f>Assumptions!$M$25</f>
        <v>0.08</v>
      </c>
      <c r="K215" s="153">
        <f>Assumptions!$M$25</f>
        <v>0.08</v>
      </c>
      <c r="L215" s="153">
        <f>Assumptions!$O$25</f>
        <v>8.5000000000000006E-2</v>
      </c>
      <c r="M215" s="153">
        <f>Assumptions!$O$25</f>
        <v>8.5000000000000006E-2</v>
      </c>
      <c r="N215" s="154">
        <f>Assumptions!$O$25</f>
        <v>8.5000000000000006E-2</v>
      </c>
    </row>
    <row r="216" spans="2:14" ht="16" x14ac:dyDescent="0.25">
      <c r="E216" s="12"/>
      <c r="F216" s="12"/>
      <c r="G216" s="12"/>
      <c r="H216" s="12"/>
      <c r="I216" s="12"/>
      <c r="J216" s="12"/>
      <c r="K216" s="12"/>
      <c r="L216" s="12"/>
      <c r="M216" s="12"/>
      <c r="N216" s="12"/>
    </row>
    <row r="217" spans="2:14" ht="16" x14ac:dyDescent="0.25">
      <c r="C217" s="19" t="s">
        <v>474</v>
      </c>
      <c r="E217" s="12"/>
      <c r="F217" s="12"/>
      <c r="G217" s="12"/>
      <c r="H217" s="12"/>
      <c r="I217" s="12"/>
      <c r="J217" s="12"/>
      <c r="K217" s="12"/>
      <c r="L217" s="12"/>
      <c r="M217" s="12"/>
      <c r="N217" s="12"/>
    </row>
    <row r="218" spans="2:14" ht="16" x14ac:dyDescent="0.25">
      <c r="C218" s="52" t="s">
        <v>458</v>
      </c>
      <c r="D218" s="161">
        <f>Assumptions!$O$36</f>
        <v>15</v>
      </c>
      <c r="E218" s="99"/>
      <c r="F218" s="99"/>
      <c r="G218" s="99"/>
      <c r="H218" s="99"/>
      <c r="I218" s="99"/>
      <c r="J218" s="12">
        <f>$J$229/$D$218</f>
        <v>1156.5333333333333</v>
      </c>
      <c r="K218" s="12">
        <f t="shared" ref="K218:N218" si="119">J218</f>
        <v>1156.5333333333333</v>
      </c>
      <c r="L218" s="12">
        <f t="shared" si="119"/>
        <v>1156.5333333333333</v>
      </c>
      <c r="M218" s="12">
        <f t="shared" si="119"/>
        <v>1156.5333333333333</v>
      </c>
      <c r="N218" s="12">
        <f t="shared" si="119"/>
        <v>1156.5333333333333</v>
      </c>
    </row>
    <row r="219" spans="2:14" ht="16" x14ac:dyDescent="0.25">
      <c r="D219" s="47"/>
      <c r="E219" s="12"/>
      <c r="F219" s="12"/>
      <c r="G219" s="12"/>
      <c r="H219" s="12"/>
      <c r="I219" s="12"/>
      <c r="J219" s="12"/>
      <c r="K219" s="12"/>
      <c r="L219" s="12"/>
      <c r="M219" s="12"/>
      <c r="N219" s="12"/>
    </row>
    <row r="220" spans="2:14" ht="16" x14ac:dyDescent="0.25">
      <c r="C220" s="1" t="s">
        <v>459</v>
      </c>
      <c r="D220" s="161">
        <f>Assumptions!$O$37</f>
        <v>30</v>
      </c>
      <c r="E220" s="12"/>
      <c r="F220" s="12"/>
      <c r="G220" s="12"/>
      <c r="H220" s="12"/>
      <c r="I220" s="12"/>
      <c r="J220" s="12"/>
      <c r="K220" s="12"/>
      <c r="L220" s="12"/>
      <c r="M220" s="12"/>
      <c r="N220" s="12"/>
    </row>
    <row r="221" spans="2:14" ht="16" x14ac:dyDescent="0.25">
      <c r="C221" s="50">
        <f t="array" ref="C221:C225">TRANSPOSE(J210:N210)</f>
        <v>2022</v>
      </c>
      <c r="E221" s="99"/>
      <c r="F221" s="99"/>
      <c r="G221" s="99"/>
      <c r="H221" s="99"/>
      <c r="I221" s="99"/>
      <c r="J221" s="12">
        <f>J$231/$D$220</f>
        <v>199.50066666666669</v>
      </c>
      <c r="K221" s="12">
        <f>IF(K$210&lt;=$C221+$D$220,J221,0)</f>
        <v>199.50066666666669</v>
      </c>
      <c r="L221" s="12">
        <f>IF(L$210&lt;=$C221+$D$220,K221,0)</f>
        <v>199.50066666666669</v>
      </c>
      <c r="M221" s="12">
        <f>IF(M$210&lt;=$C221+$D$220,L221,0)</f>
        <v>199.50066666666669</v>
      </c>
      <c r="N221" s="12">
        <f>IF(N$210&lt;=$C221+$D$220,M221,0)</f>
        <v>199.50066666666669</v>
      </c>
    </row>
    <row r="222" spans="2:14" ht="16" x14ac:dyDescent="0.25">
      <c r="C222" s="50">
        <v>2023</v>
      </c>
      <c r="E222" s="99"/>
      <c r="F222" s="99"/>
      <c r="G222" s="99"/>
      <c r="H222" s="99"/>
      <c r="I222" s="99"/>
      <c r="J222" s="99"/>
      <c r="K222" s="12">
        <f>K$231/$D$220</f>
        <v>199.50066666666669</v>
      </c>
      <c r="L222" s="12">
        <f>IF(L$210&lt;=$C222+$D$220,K222,0)</f>
        <v>199.50066666666669</v>
      </c>
      <c r="M222" s="12">
        <f>IF(M$210&lt;=$C222+$D$220,L222,0)</f>
        <v>199.50066666666669</v>
      </c>
      <c r="N222" s="12">
        <f>IF(N$210&lt;=$C222+$D$220,M222,0)</f>
        <v>199.50066666666669</v>
      </c>
    </row>
    <row r="223" spans="2:14" ht="16" x14ac:dyDescent="0.25">
      <c r="C223" s="50">
        <v>2024</v>
      </c>
      <c r="E223" s="99"/>
      <c r="F223" s="99"/>
      <c r="G223" s="99"/>
      <c r="H223" s="99"/>
      <c r="I223" s="99"/>
      <c r="J223" s="99"/>
      <c r="K223" s="99"/>
      <c r="L223" s="12">
        <f>L$231/$D$220</f>
        <v>265.65899999999999</v>
      </c>
      <c r="M223" s="12">
        <f>IF(M$210&lt;=$C223+$D$220,L223,0)</f>
        <v>265.65899999999999</v>
      </c>
      <c r="N223" s="12">
        <f>IF(N$210&lt;=$C223+$D$220,M223,0)</f>
        <v>265.65899999999999</v>
      </c>
    </row>
    <row r="224" spans="2:14" ht="16" x14ac:dyDescent="0.25">
      <c r="C224" s="50">
        <v>2025</v>
      </c>
      <c r="E224" s="99"/>
      <c r="F224" s="99"/>
      <c r="G224" s="99"/>
      <c r="H224" s="99"/>
      <c r="I224" s="99"/>
      <c r="J224" s="99"/>
      <c r="K224" s="99"/>
      <c r="L224" s="99"/>
      <c r="M224" s="12">
        <f>M$231/$D$220</f>
        <v>321.09174999999999</v>
      </c>
      <c r="N224" s="12">
        <f>IF(N$210&lt;=$C224+$D$220,M224,0)</f>
        <v>321.09174999999999</v>
      </c>
    </row>
    <row r="225" spans="2:15" ht="16" x14ac:dyDescent="0.25">
      <c r="C225" s="50">
        <v>2026</v>
      </c>
      <c r="E225" s="99"/>
      <c r="F225" s="99"/>
      <c r="G225" s="99"/>
      <c r="H225" s="99"/>
      <c r="I225" s="99"/>
      <c r="J225" s="99"/>
      <c r="K225" s="99"/>
      <c r="L225" s="99"/>
      <c r="M225" s="99"/>
      <c r="N225" s="12">
        <f>N$231/$D$220</f>
        <v>376.86874999999998</v>
      </c>
    </row>
    <row r="226" spans="2:15" ht="20" customHeight="1" x14ac:dyDescent="0.25">
      <c r="C226" s="15" t="s">
        <v>463</v>
      </c>
      <c r="D226" s="15"/>
      <c r="E226" s="151"/>
      <c r="F226" s="151"/>
      <c r="G226" s="151"/>
      <c r="H226" s="151"/>
      <c r="I226" s="151"/>
      <c r="J226" s="16">
        <f t="shared" ref="J226:N226" si="120">SUM(J218:J225)</f>
        <v>1356.0340000000001</v>
      </c>
      <c r="K226" s="16">
        <f t="shared" si="120"/>
        <v>1555.5346666666669</v>
      </c>
      <c r="L226" s="16">
        <f t="shared" si="120"/>
        <v>1821.193666666667</v>
      </c>
      <c r="M226" s="16">
        <f t="shared" si="120"/>
        <v>2142.2854166666671</v>
      </c>
      <c r="N226" s="16">
        <f t="shared" si="120"/>
        <v>2519.1541666666672</v>
      </c>
    </row>
    <row r="227" spans="2:15" ht="16" x14ac:dyDescent="0.25">
      <c r="C227" s="50"/>
      <c r="E227" s="12"/>
      <c r="F227" s="12"/>
      <c r="G227" s="12"/>
      <c r="H227" s="12"/>
      <c r="I227" s="12"/>
      <c r="J227" s="12"/>
      <c r="K227" s="12"/>
      <c r="L227" s="12"/>
      <c r="M227" s="12"/>
      <c r="N227" s="12"/>
    </row>
    <row r="228" spans="2:15" ht="16" x14ac:dyDescent="0.25">
      <c r="E228" s="12"/>
      <c r="F228" s="12"/>
      <c r="G228" s="12"/>
      <c r="H228" s="12"/>
      <c r="I228" s="12"/>
      <c r="J228" s="12"/>
      <c r="K228" s="12"/>
      <c r="L228" s="12"/>
      <c r="M228" s="12"/>
      <c r="N228" s="12"/>
    </row>
    <row r="229" spans="2:15" ht="16" x14ac:dyDescent="0.25">
      <c r="C229" s="1" t="s">
        <v>217</v>
      </c>
      <c r="E229" s="99"/>
      <c r="F229" s="12">
        <f t="shared" ref="F229:I229" si="121">E233</f>
        <v>10027.521999999999</v>
      </c>
      <c r="G229" s="12">
        <f t="shared" si="121"/>
        <v>11330</v>
      </c>
      <c r="H229" s="12">
        <f t="shared" si="121"/>
        <v>10396</v>
      </c>
      <c r="I229" s="12">
        <f t="shared" si="121"/>
        <v>12747</v>
      </c>
      <c r="J229" s="12">
        <f>I233-I230</f>
        <v>17348</v>
      </c>
      <c r="K229" s="12">
        <f t="shared" ref="K229:N229" si="122">J233-J230</f>
        <v>21976.986000000001</v>
      </c>
      <c r="L229" s="12">
        <f t="shared" si="122"/>
        <v>26406.471333333335</v>
      </c>
      <c r="M229" s="12">
        <f t="shared" si="122"/>
        <v>32555.047666666673</v>
      </c>
      <c r="N229" s="12">
        <f t="shared" si="122"/>
        <v>40045.514750000009</v>
      </c>
    </row>
    <row r="230" spans="2:15" ht="16" x14ac:dyDescent="0.25">
      <c r="C230" s="65" t="s">
        <v>538</v>
      </c>
      <c r="E230" s="99"/>
      <c r="F230" s="12">
        <f t="shared" ref="F230:N230" si="123">F213</f>
        <v>0</v>
      </c>
      <c r="G230" s="12">
        <f t="shared" si="123"/>
        <v>1600</v>
      </c>
      <c r="H230" s="12">
        <f t="shared" si="123"/>
        <v>1465</v>
      </c>
      <c r="I230" s="12">
        <f t="shared" si="123"/>
        <v>1536</v>
      </c>
      <c r="J230" s="12">
        <f t="shared" ref="J230" si="124">J213</f>
        <v>1344</v>
      </c>
      <c r="K230" s="12">
        <f t="shared" si="123"/>
        <v>1152</v>
      </c>
      <c r="L230" s="12">
        <f t="shared" si="123"/>
        <v>960</v>
      </c>
      <c r="M230" s="12">
        <f t="shared" si="123"/>
        <v>768</v>
      </c>
      <c r="N230" s="12">
        <f t="shared" si="123"/>
        <v>576</v>
      </c>
    </row>
    <row r="231" spans="2:15" ht="16" x14ac:dyDescent="0.25">
      <c r="C231" s="65" t="s">
        <v>541</v>
      </c>
      <c r="E231" s="99"/>
      <c r="F231" s="12">
        <f t="shared" ref="F231:I231" si="125">F233-SUM(F232,F229:F230)</f>
        <v>2277.6840000000011</v>
      </c>
      <c r="G231" s="12">
        <f t="shared" si="125"/>
        <v>-1499</v>
      </c>
      <c r="H231" s="12">
        <f t="shared" si="125"/>
        <v>2269</v>
      </c>
      <c r="I231" s="12">
        <f t="shared" si="125"/>
        <v>6215</v>
      </c>
      <c r="J231" s="12">
        <f>J212</f>
        <v>5985.02</v>
      </c>
      <c r="K231" s="12">
        <f>K212</f>
        <v>5985.02</v>
      </c>
      <c r="L231" s="12">
        <f>L212</f>
        <v>7969.77</v>
      </c>
      <c r="M231" s="12">
        <f>M212</f>
        <v>9632.7525000000005</v>
      </c>
      <c r="N231" s="12">
        <f>N212</f>
        <v>11306.0625</v>
      </c>
    </row>
    <row r="232" spans="2:15" ht="16" x14ac:dyDescent="0.25">
      <c r="C232" s="65" t="s">
        <v>540</v>
      </c>
      <c r="E232" s="99"/>
      <c r="F232" s="14">
        <f>'Ratio Analysis'!X179</f>
        <v>-975.2059999999999</v>
      </c>
      <c r="G232" s="14">
        <f>'Ratio Analysis'!Y179</f>
        <v>-1035</v>
      </c>
      <c r="H232" s="14">
        <f>'Ratio Analysis'!Z179</f>
        <v>-1383</v>
      </c>
      <c r="I232" s="14">
        <f>'Ratio Analysis'!AA179</f>
        <v>-1614</v>
      </c>
      <c r="J232" s="12">
        <f>-J226</f>
        <v>-1356.0340000000001</v>
      </c>
      <c r="K232" s="12">
        <f>-K226</f>
        <v>-1555.5346666666669</v>
      </c>
      <c r="L232" s="12">
        <f>-L226</f>
        <v>-1821.193666666667</v>
      </c>
      <c r="M232" s="12">
        <f>-M226</f>
        <v>-2142.2854166666671</v>
      </c>
      <c r="N232" s="12">
        <f>-N226</f>
        <v>-2519.1541666666672</v>
      </c>
    </row>
    <row r="233" spans="2:15" ht="20" customHeight="1" thickBot="1" x14ac:dyDescent="0.3">
      <c r="C233" s="17" t="s">
        <v>218</v>
      </c>
      <c r="D233" s="17"/>
      <c r="E233" s="159">
        <f>'Ratio Analysis'!W177</f>
        <v>10027.521999999999</v>
      </c>
      <c r="F233" s="159">
        <f>'Ratio Analysis'!X177</f>
        <v>11330</v>
      </c>
      <c r="G233" s="159">
        <f>'Ratio Analysis'!Y177</f>
        <v>10396</v>
      </c>
      <c r="H233" s="159">
        <f>'Ratio Analysis'!Z177</f>
        <v>12747</v>
      </c>
      <c r="I233" s="159">
        <f>'Ratio Analysis'!AA177</f>
        <v>18884</v>
      </c>
      <c r="J233" s="18">
        <f>SUM(J229:J232)</f>
        <v>23320.986000000001</v>
      </c>
      <c r="K233" s="18">
        <f>SUM(K229:K232)</f>
        <v>27558.471333333335</v>
      </c>
      <c r="L233" s="18">
        <f>SUM(L229:L232)</f>
        <v>33515.047666666673</v>
      </c>
      <c r="M233" s="18">
        <f>SUM(M229:M232)</f>
        <v>40813.514750000009</v>
      </c>
      <c r="N233" s="18">
        <f>SUM(N229:N232)</f>
        <v>49408.423083333342</v>
      </c>
      <c r="O233" s="12"/>
    </row>
    <row r="234" spans="2:15" ht="17" thickTop="1" x14ac:dyDescent="0.25">
      <c r="E234" s="12"/>
      <c r="F234" s="12"/>
      <c r="G234" s="12"/>
      <c r="H234" s="12"/>
      <c r="I234" s="12"/>
      <c r="J234" s="12"/>
      <c r="K234" s="12"/>
      <c r="L234" s="12"/>
      <c r="M234" s="12"/>
      <c r="N234" s="12"/>
    </row>
    <row r="235" spans="2:15" ht="16" x14ac:dyDescent="0.25">
      <c r="E235" s="12"/>
      <c r="F235" s="12"/>
      <c r="G235" s="12"/>
      <c r="H235" s="12"/>
      <c r="I235" s="12"/>
      <c r="J235" s="12"/>
      <c r="K235" s="12"/>
      <c r="L235" s="12"/>
      <c r="M235" s="12"/>
      <c r="N235" s="12"/>
    </row>
    <row r="236" spans="2:15" ht="16" x14ac:dyDescent="0.25">
      <c r="E236" s="12"/>
      <c r="F236" s="12"/>
      <c r="G236" s="12"/>
      <c r="H236" s="12"/>
      <c r="I236" s="12"/>
      <c r="J236" s="12"/>
      <c r="K236" s="12"/>
      <c r="L236" s="12"/>
      <c r="M236" s="12"/>
      <c r="N236" s="12"/>
    </row>
    <row r="237" spans="2:15" ht="6" customHeight="1" x14ac:dyDescent="0.25"/>
    <row r="238" spans="2:15" ht="20" customHeight="1" x14ac:dyDescent="0.25">
      <c r="B238" s="2" t="str">
        <f>'Cover Page'!$C$18</f>
        <v>Tesla, Inc.</v>
      </c>
      <c r="C238" s="3"/>
      <c r="D238" s="3"/>
      <c r="E238" s="3"/>
      <c r="F238" s="3"/>
      <c r="G238" s="3"/>
      <c r="H238" s="3"/>
      <c r="I238" s="3"/>
      <c r="J238" s="3"/>
      <c r="K238" s="3"/>
      <c r="L238" s="3"/>
      <c r="M238" s="3"/>
      <c r="N238" s="3"/>
    </row>
    <row r="239" spans="2:15" ht="15" customHeight="1" x14ac:dyDescent="0.25">
      <c r="B239" s="4" t="s">
        <v>490</v>
      </c>
      <c r="C239" s="4"/>
      <c r="D239" s="4"/>
      <c r="E239" s="4"/>
      <c r="F239" s="4"/>
      <c r="G239" s="4"/>
      <c r="H239" s="4"/>
      <c r="I239" s="4"/>
      <c r="J239" s="4"/>
      <c r="K239" s="4"/>
      <c r="L239" s="4"/>
      <c r="M239" s="4"/>
      <c r="N239" s="4"/>
    </row>
    <row r="240" spans="2:15" ht="6" customHeight="1" thickBot="1" x14ac:dyDescent="0.3">
      <c r="B240" s="5"/>
      <c r="C240" s="5"/>
      <c r="D240" s="5"/>
      <c r="E240" s="5"/>
      <c r="F240" s="5"/>
      <c r="G240" s="5"/>
      <c r="H240" s="5"/>
      <c r="I240" s="5"/>
      <c r="J240" s="5"/>
      <c r="K240" s="5"/>
      <c r="L240" s="5"/>
      <c r="M240" s="5"/>
      <c r="N240" s="5"/>
    </row>
    <row r="241" spans="2:15" ht="15" customHeight="1" x14ac:dyDescent="0.25">
      <c r="B241" s="117" t="str">
        <f>Scenarios!$B$5</f>
        <v>$ MM's ( unless otherwise specified )</v>
      </c>
      <c r="C241" s="117"/>
      <c r="D241" s="117"/>
      <c r="E241" s="117"/>
      <c r="F241" s="117"/>
      <c r="G241" s="117"/>
      <c r="H241" s="117"/>
      <c r="I241" s="117"/>
      <c r="J241" s="117"/>
      <c r="K241" s="117"/>
      <c r="L241" s="117"/>
      <c r="M241" s="117"/>
      <c r="N241" s="121" t="str">
        <f>Scenarios!$N$5</f>
        <v>Based on: Base Case Senario</v>
      </c>
    </row>
    <row r="242" spans="2:15" ht="6" customHeight="1" x14ac:dyDescent="0.25"/>
    <row r="243" spans="2:15" ht="15" customHeight="1" x14ac:dyDescent="0.25">
      <c r="E243" s="6" t="s">
        <v>7</v>
      </c>
      <c r="F243" s="7"/>
      <c r="G243" s="7"/>
      <c r="H243" s="7"/>
      <c r="I243" s="7"/>
      <c r="J243" s="8" t="s">
        <v>6</v>
      </c>
      <c r="K243" s="9"/>
      <c r="L243" s="9"/>
      <c r="M243" s="9"/>
      <c r="N243" s="9"/>
    </row>
    <row r="244" spans="2:15" ht="15" customHeight="1" x14ac:dyDescent="0.25">
      <c r="E244" s="10">
        <f t="shared" ref="E244" si="126">F244-1</f>
        <v>2017</v>
      </c>
      <c r="F244" s="10">
        <f t="shared" ref="F244" si="127">G244-1</f>
        <v>2018</v>
      </c>
      <c r="G244" s="10">
        <f t="shared" ref="G244" si="128">H244-1</f>
        <v>2019</v>
      </c>
      <c r="H244" s="10">
        <f t="shared" ref="H244" si="129">I244-1</f>
        <v>2020</v>
      </c>
      <c r="I244" s="10">
        <f t="shared" ref="I244" si="130">J244-1</f>
        <v>2021</v>
      </c>
      <c r="J244" s="11">
        <v>2022</v>
      </c>
      <c r="K244" s="11">
        <f>J244+1</f>
        <v>2023</v>
      </c>
      <c r="L244" s="11">
        <f t="shared" ref="L244" si="131">K244+1</f>
        <v>2024</v>
      </c>
      <c r="M244" s="11">
        <f t="shared" ref="M244" si="132">L244+1</f>
        <v>2025</v>
      </c>
      <c r="N244" s="11">
        <f t="shared" ref="N244" si="133">M244+1</f>
        <v>2026</v>
      </c>
    </row>
    <row r="245" spans="2:15" ht="16" x14ac:dyDescent="0.25">
      <c r="E245" s="12"/>
      <c r="F245" s="12"/>
      <c r="G245" s="12"/>
      <c r="H245" s="12"/>
      <c r="I245" s="12"/>
      <c r="J245" s="12"/>
      <c r="K245" s="12"/>
      <c r="L245" s="12"/>
      <c r="M245" s="12"/>
      <c r="N245" s="12"/>
    </row>
    <row r="246" spans="2:15" ht="16" x14ac:dyDescent="0.25">
      <c r="C246" s="122" t="str">
        <f>'Ratio Analysis'!S191</f>
        <v>Solar energy systems, net</v>
      </c>
      <c r="D246" s="105"/>
      <c r="E246" s="106">
        <f>'Ratio Analysis'!W191</f>
        <v>0</v>
      </c>
      <c r="F246" s="106">
        <f>'Ratio Analysis'!X191</f>
        <v>0</v>
      </c>
      <c r="G246" s="106">
        <f>'Ratio Analysis'!Y191</f>
        <v>30</v>
      </c>
      <c r="H246" s="106">
        <f>'Ratio Analysis'!Z191</f>
        <v>29</v>
      </c>
      <c r="I246" s="106">
        <f>'Ratio Analysis'!AA191</f>
        <v>27</v>
      </c>
      <c r="J246" s="135"/>
      <c r="K246" s="135"/>
      <c r="L246" s="135"/>
      <c r="M246" s="135"/>
      <c r="N246" s="136"/>
    </row>
    <row r="247" spans="2:15" ht="16" x14ac:dyDescent="0.25">
      <c r="C247" s="114" t="str">
        <f>'Ratio Analysis'!S192</f>
        <v>Property, plant and equipment, net</v>
      </c>
      <c r="D247" s="138"/>
      <c r="E247" s="162">
        <f>'Ratio Analysis'!W192</f>
        <v>0</v>
      </c>
      <c r="F247" s="162">
        <f>'Ratio Analysis'!X192</f>
        <v>0</v>
      </c>
      <c r="G247" s="162">
        <f>'Ratio Analysis'!Y192</f>
        <v>1600</v>
      </c>
      <c r="H247" s="162">
        <f>'Ratio Analysis'!Z192</f>
        <v>1465</v>
      </c>
      <c r="I247" s="162">
        <f>'Ratio Analysis'!AA192</f>
        <v>1536</v>
      </c>
      <c r="J247" s="169"/>
      <c r="K247" s="169"/>
      <c r="L247" s="169"/>
      <c r="M247" s="169"/>
      <c r="N247" s="170"/>
    </row>
    <row r="248" spans="2:15" ht="16" x14ac:dyDescent="0.25">
      <c r="E248" s="12"/>
      <c r="F248" s="12"/>
      <c r="G248" s="12"/>
      <c r="H248" s="12"/>
      <c r="I248" s="12"/>
      <c r="J248" s="12"/>
      <c r="K248" s="12"/>
      <c r="L248" s="12"/>
      <c r="M248" s="12"/>
      <c r="N248" s="12"/>
    </row>
    <row r="249" spans="2:15" ht="16" x14ac:dyDescent="0.25">
      <c r="C249" s="19" t="str">
        <f>C246</f>
        <v>Solar energy systems, net</v>
      </c>
      <c r="E249" s="12"/>
      <c r="F249" s="12"/>
      <c r="G249" s="12"/>
      <c r="H249" s="12"/>
      <c r="I249" s="12"/>
      <c r="J249" s="12"/>
      <c r="K249" s="12"/>
      <c r="L249" s="12"/>
      <c r="M249" s="12"/>
      <c r="N249" s="12"/>
    </row>
    <row r="250" spans="2:15" ht="16" x14ac:dyDescent="0.25">
      <c r="E250" s="12"/>
      <c r="F250" s="12"/>
      <c r="G250" s="12"/>
      <c r="H250" s="12"/>
      <c r="I250" s="12"/>
      <c r="J250" s="12"/>
      <c r="K250" s="12"/>
      <c r="L250" s="12"/>
      <c r="M250" s="12"/>
      <c r="N250" s="12"/>
    </row>
    <row r="251" spans="2:15" ht="16" x14ac:dyDescent="0.25">
      <c r="C251" s="1" t="s">
        <v>217</v>
      </c>
      <c r="E251" s="99"/>
      <c r="F251" s="12">
        <f>E253</f>
        <v>0</v>
      </c>
      <c r="G251" s="12">
        <f t="shared" ref="G251:N251" si="134">F253</f>
        <v>0</v>
      </c>
      <c r="H251" s="12">
        <f t="shared" si="134"/>
        <v>30</v>
      </c>
      <c r="I251" s="12">
        <f t="shared" si="134"/>
        <v>29</v>
      </c>
      <c r="J251" s="12">
        <f t="shared" si="134"/>
        <v>27</v>
      </c>
      <c r="K251" s="12">
        <f t="shared" si="134"/>
        <v>23.625</v>
      </c>
      <c r="L251" s="12">
        <f t="shared" si="134"/>
        <v>20.25</v>
      </c>
      <c r="M251" s="12">
        <f t="shared" si="134"/>
        <v>16.875</v>
      </c>
      <c r="N251" s="12">
        <f t="shared" si="134"/>
        <v>13.5</v>
      </c>
    </row>
    <row r="252" spans="2:15" ht="16" x14ac:dyDescent="0.25">
      <c r="C252" s="65" t="s">
        <v>480</v>
      </c>
      <c r="D252" s="161">
        <f>Assumptions!$O$41</f>
        <v>8</v>
      </c>
      <c r="E252" s="99"/>
      <c r="F252" s="12">
        <f t="shared" ref="F252:I252" si="135">F253-F251</f>
        <v>0</v>
      </c>
      <c r="G252" s="12">
        <f t="shared" si="135"/>
        <v>30</v>
      </c>
      <c r="H252" s="12">
        <f t="shared" si="135"/>
        <v>-1</v>
      </c>
      <c r="I252" s="12">
        <f t="shared" si="135"/>
        <v>-2</v>
      </c>
      <c r="J252" s="12">
        <f>-$J$251/$D$252</f>
        <v>-3.375</v>
      </c>
      <c r="K252" s="12">
        <f t="shared" ref="K252:N252" si="136">-$J$251/$D$252</f>
        <v>-3.375</v>
      </c>
      <c r="L252" s="12">
        <f t="shared" si="136"/>
        <v>-3.375</v>
      </c>
      <c r="M252" s="12">
        <f t="shared" si="136"/>
        <v>-3.375</v>
      </c>
      <c r="N252" s="12">
        <f t="shared" si="136"/>
        <v>-3.375</v>
      </c>
    </row>
    <row r="253" spans="2:15" ht="20" customHeight="1" x14ac:dyDescent="0.25">
      <c r="C253" s="15" t="s">
        <v>218</v>
      </c>
      <c r="D253" s="177"/>
      <c r="E253" s="16">
        <f>E246</f>
        <v>0</v>
      </c>
      <c r="F253" s="16">
        <f t="shared" ref="F253:I253" si="137">F246</f>
        <v>0</v>
      </c>
      <c r="G253" s="16">
        <f t="shared" si="137"/>
        <v>30</v>
      </c>
      <c r="H253" s="16">
        <f t="shared" si="137"/>
        <v>29</v>
      </c>
      <c r="I253" s="16">
        <f t="shared" si="137"/>
        <v>27</v>
      </c>
      <c r="J253" s="16">
        <f t="shared" ref="J253:N253" si="138">SUM(J251:J252)</f>
        <v>23.625</v>
      </c>
      <c r="K253" s="16">
        <f t="shared" si="138"/>
        <v>20.25</v>
      </c>
      <c r="L253" s="16">
        <f t="shared" si="138"/>
        <v>16.875</v>
      </c>
      <c r="M253" s="16">
        <f t="shared" si="138"/>
        <v>13.5</v>
      </c>
      <c r="N253" s="16">
        <f t="shared" si="138"/>
        <v>10.125</v>
      </c>
      <c r="O253" s="12"/>
    </row>
    <row r="254" spans="2:15" ht="16" x14ac:dyDescent="0.25">
      <c r="D254" s="47"/>
      <c r="E254" s="12"/>
      <c r="F254" s="12"/>
      <c r="G254" s="12"/>
      <c r="H254" s="12"/>
      <c r="I254" s="12"/>
      <c r="J254" s="12"/>
      <c r="K254" s="12"/>
      <c r="L254" s="12"/>
      <c r="M254" s="12"/>
      <c r="N254" s="12"/>
    </row>
    <row r="255" spans="2:15" ht="16" x14ac:dyDescent="0.25">
      <c r="C255" s="19" t="str">
        <f>C247</f>
        <v>Property, plant and equipment, net</v>
      </c>
      <c r="D255" s="47"/>
      <c r="E255" s="12"/>
      <c r="F255" s="12"/>
      <c r="G255" s="12"/>
      <c r="H255" s="12"/>
      <c r="I255" s="12"/>
      <c r="J255" s="12"/>
      <c r="K255" s="12"/>
      <c r="L255" s="12"/>
      <c r="M255" s="12"/>
      <c r="N255" s="12"/>
    </row>
    <row r="256" spans="2:15" ht="16" x14ac:dyDescent="0.25">
      <c r="D256" s="47"/>
      <c r="E256" s="12"/>
      <c r="F256" s="12"/>
      <c r="G256" s="12"/>
      <c r="H256" s="12"/>
      <c r="I256" s="12"/>
      <c r="J256" s="12"/>
      <c r="K256" s="12"/>
      <c r="L256" s="12"/>
      <c r="M256" s="12"/>
      <c r="N256" s="12"/>
    </row>
    <row r="257" spans="2:14" ht="16" x14ac:dyDescent="0.25">
      <c r="C257" s="1" t="s">
        <v>217</v>
      </c>
      <c r="D257" s="47"/>
      <c r="E257" s="99"/>
      <c r="F257" s="12">
        <f>E259</f>
        <v>0</v>
      </c>
      <c r="G257" s="12">
        <f t="shared" ref="G257:N257" si="139">F259</f>
        <v>0</v>
      </c>
      <c r="H257" s="12">
        <f t="shared" si="139"/>
        <v>1600</v>
      </c>
      <c r="I257" s="12">
        <f t="shared" si="139"/>
        <v>1465</v>
      </c>
      <c r="J257" s="12">
        <f t="shared" si="139"/>
        <v>1536</v>
      </c>
      <c r="K257" s="12">
        <f t="shared" si="139"/>
        <v>1344</v>
      </c>
      <c r="L257" s="12">
        <f t="shared" si="139"/>
        <v>1152</v>
      </c>
      <c r="M257" s="12">
        <f t="shared" si="139"/>
        <v>960</v>
      </c>
      <c r="N257" s="12">
        <f t="shared" si="139"/>
        <v>768</v>
      </c>
    </row>
    <row r="258" spans="2:14" ht="16" x14ac:dyDescent="0.25">
      <c r="C258" s="65" t="s">
        <v>480</v>
      </c>
      <c r="D258" s="161">
        <f>Assumptions!$O$41</f>
        <v>8</v>
      </c>
      <c r="E258" s="99"/>
      <c r="F258" s="12">
        <f t="shared" ref="F258" si="140">F259-F257</f>
        <v>0</v>
      </c>
      <c r="G258" s="12">
        <f t="shared" ref="G258" si="141">G259-G257</f>
        <v>1600</v>
      </c>
      <c r="H258" s="12">
        <f t="shared" ref="H258" si="142">H259-H257</f>
        <v>-135</v>
      </c>
      <c r="I258" s="12">
        <f t="shared" ref="I258" si="143">I259-I257</f>
        <v>71</v>
      </c>
      <c r="J258" s="12">
        <f t="shared" ref="J258:N258" si="144">-$J$257/$D$258</f>
        <v>-192</v>
      </c>
      <c r="K258" s="12">
        <f t="shared" si="144"/>
        <v>-192</v>
      </c>
      <c r="L258" s="12">
        <f t="shared" si="144"/>
        <v>-192</v>
      </c>
      <c r="M258" s="12">
        <f t="shared" si="144"/>
        <v>-192</v>
      </c>
      <c r="N258" s="12">
        <f t="shared" si="144"/>
        <v>-192</v>
      </c>
    </row>
    <row r="259" spans="2:14" ht="16" x14ac:dyDescent="0.25">
      <c r="C259" s="15" t="s">
        <v>218</v>
      </c>
      <c r="D259" s="15"/>
      <c r="E259" s="16">
        <f t="shared" ref="E259:I259" si="145">E247</f>
        <v>0</v>
      </c>
      <c r="F259" s="16">
        <f t="shared" si="145"/>
        <v>0</v>
      </c>
      <c r="G259" s="16">
        <f t="shared" si="145"/>
        <v>1600</v>
      </c>
      <c r="H259" s="16">
        <f t="shared" si="145"/>
        <v>1465</v>
      </c>
      <c r="I259" s="16">
        <f t="shared" si="145"/>
        <v>1536</v>
      </c>
      <c r="J259" s="16">
        <f t="shared" ref="J259" si="146">SUM(J257:J258)</f>
        <v>1344</v>
      </c>
      <c r="K259" s="16">
        <f t="shared" ref="K259" si="147">SUM(K257:K258)</f>
        <v>1152</v>
      </c>
      <c r="L259" s="16">
        <f t="shared" ref="L259" si="148">SUM(L257:L258)</f>
        <v>960</v>
      </c>
      <c r="M259" s="16">
        <f t="shared" ref="M259" si="149">SUM(M257:M258)</f>
        <v>768</v>
      </c>
      <c r="N259" s="16">
        <f t="shared" ref="N259" si="150">SUM(N257:N258)</f>
        <v>576</v>
      </c>
    </row>
    <row r="260" spans="2:14" ht="16" x14ac:dyDescent="0.25">
      <c r="E260" s="12"/>
      <c r="F260" s="12"/>
      <c r="G260" s="12"/>
      <c r="H260" s="12"/>
      <c r="I260" s="12"/>
      <c r="J260" s="12"/>
      <c r="K260" s="12"/>
      <c r="L260" s="12"/>
      <c r="M260" s="12"/>
      <c r="N260" s="12"/>
    </row>
    <row r="261" spans="2:14" ht="16" x14ac:dyDescent="0.25">
      <c r="E261" s="12"/>
      <c r="F261" s="12"/>
      <c r="G261" s="12"/>
      <c r="H261" s="12"/>
      <c r="I261" s="12"/>
      <c r="J261" s="12"/>
      <c r="K261" s="12"/>
      <c r="L261" s="12"/>
      <c r="M261" s="12"/>
      <c r="N261" s="12"/>
    </row>
    <row r="262" spans="2:14" ht="16" x14ac:dyDescent="0.25">
      <c r="E262" s="12"/>
      <c r="F262" s="12"/>
      <c r="G262" s="12"/>
      <c r="H262" s="12"/>
      <c r="I262" s="12"/>
      <c r="J262" s="12"/>
      <c r="K262" s="12"/>
      <c r="L262" s="12"/>
      <c r="M262" s="12"/>
      <c r="N262" s="12"/>
    </row>
    <row r="263" spans="2:14" ht="6" customHeight="1" x14ac:dyDescent="0.25"/>
    <row r="264" spans="2:14" ht="20" customHeight="1" x14ac:dyDescent="0.25">
      <c r="B264" s="2" t="str">
        <f>'Cover Page'!$C$18</f>
        <v>Tesla, Inc.</v>
      </c>
      <c r="C264" s="3"/>
      <c r="D264" s="3"/>
      <c r="E264" s="3"/>
      <c r="F264" s="3"/>
      <c r="G264" s="3"/>
      <c r="H264" s="3"/>
      <c r="I264" s="3"/>
      <c r="J264" s="3"/>
      <c r="K264" s="3"/>
      <c r="L264" s="3"/>
      <c r="M264" s="3"/>
      <c r="N264" s="3"/>
    </row>
    <row r="265" spans="2:14" ht="15" customHeight="1" x14ac:dyDescent="0.25">
      <c r="B265" s="4" t="s">
        <v>55</v>
      </c>
      <c r="C265" s="4"/>
      <c r="D265" s="4"/>
      <c r="E265" s="4"/>
      <c r="F265" s="4"/>
      <c r="G265" s="4"/>
      <c r="H265" s="4"/>
      <c r="I265" s="4"/>
      <c r="J265" s="4"/>
      <c r="K265" s="4"/>
      <c r="L265" s="4"/>
      <c r="M265" s="4"/>
      <c r="N265" s="4"/>
    </row>
    <row r="266" spans="2:14" ht="6" customHeight="1" thickBot="1" x14ac:dyDescent="0.3">
      <c r="B266" s="5"/>
      <c r="C266" s="5"/>
      <c r="D266" s="5"/>
      <c r="E266" s="5"/>
      <c r="F266" s="5"/>
      <c r="G266" s="5"/>
      <c r="H266" s="5"/>
      <c r="I266" s="5"/>
      <c r="J266" s="5"/>
      <c r="K266" s="5"/>
      <c r="L266" s="5"/>
      <c r="M266" s="5"/>
      <c r="N266" s="5"/>
    </row>
    <row r="267" spans="2:14" ht="15" customHeight="1" x14ac:dyDescent="0.25">
      <c r="B267" s="117" t="str">
        <f>Scenarios!$B$5</f>
        <v>$ MM's ( unless otherwise specified )</v>
      </c>
      <c r="C267" s="117"/>
      <c r="D267" s="117"/>
      <c r="E267" s="117"/>
      <c r="F267" s="117"/>
      <c r="G267" s="117"/>
      <c r="H267" s="117"/>
      <c r="I267" s="117"/>
      <c r="J267" s="117"/>
      <c r="K267" s="117"/>
      <c r="L267" s="117"/>
      <c r="M267" s="117"/>
      <c r="N267" s="121" t="str">
        <f>Scenarios!$N$5</f>
        <v>Based on: Base Case Senario</v>
      </c>
    </row>
    <row r="268" spans="2:14" ht="6" customHeight="1" x14ac:dyDescent="0.25"/>
    <row r="269" spans="2:14" ht="15" customHeight="1" x14ac:dyDescent="0.25">
      <c r="E269" s="6" t="s">
        <v>7</v>
      </c>
      <c r="F269" s="7"/>
      <c r="G269" s="7"/>
      <c r="H269" s="7"/>
      <c r="I269" s="7"/>
      <c r="J269" s="8" t="s">
        <v>6</v>
      </c>
      <c r="K269" s="9"/>
      <c r="L269" s="9"/>
      <c r="M269" s="9"/>
      <c r="N269" s="9"/>
    </row>
    <row r="270" spans="2:14" ht="15" customHeight="1" x14ac:dyDescent="0.25">
      <c r="E270" s="10">
        <f t="shared" ref="E270" si="151">F270-1</f>
        <v>2017</v>
      </c>
      <c r="F270" s="10">
        <f t="shared" ref="F270" si="152">G270-1</f>
        <v>2018</v>
      </c>
      <c r="G270" s="10">
        <f t="shared" ref="G270" si="153">H270-1</f>
        <v>2019</v>
      </c>
      <c r="H270" s="10">
        <f t="shared" ref="H270" si="154">I270-1</f>
        <v>2020</v>
      </c>
      <c r="I270" s="10">
        <f t="shared" ref="I270" si="155">J270-1</f>
        <v>2021</v>
      </c>
      <c r="J270" s="11">
        <v>2022</v>
      </c>
      <c r="K270" s="11">
        <f>J270+1</f>
        <v>2023</v>
      </c>
      <c r="L270" s="11">
        <f t="shared" ref="L270" si="156">K270+1</f>
        <v>2024</v>
      </c>
      <c r="M270" s="11">
        <f t="shared" ref="M270" si="157">L270+1</f>
        <v>2025</v>
      </c>
      <c r="N270" s="11">
        <f t="shared" ref="N270" si="158">M270+1</f>
        <v>2026</v>
      </c>
    </row>
    <row r="271" spans="2:14" ht="16" x14ac:dyDescent="0.25">
      <c r="E271" s="12"/>
      <c r="F271" s="12"/>
      <c r="G271" s="12"/>
      <c r="H271" s="12"/>
      <c r="I271" s="12"/>
      <c r="J271" s="12"/>
      <c r="K271" s="12"/>
      <c r="L271" s="12"/>
      <c r="M271" s="12"/>
      <c r="N271" s="12"/>
    </row>
    <row r="272" spans="2:14" ht="16" x14ac:dyDescent="0.25">
      <c r="B272" s="157"/>
      <c r="C272" s="105" t="s">
        <v>456</v>
      </c>
      <c r="D272" s="105"/>
      <c r="E272" s="106">
        <f>'Ratio Analysis'!W219</f>
        <v>0</v>
      </c>
      <c r="F272" s="106">
        <f>'Ratio Analysis'!X219</f>
        <v>0</v>
      </c>
      <c r="G272" s="106">
        <f>'Ratio Analysis'!Y219</f>
        <v>616</v>
      </c>
      <c r="H272" s="106">
        <f>'Ratio Analysis'!Z219</f>
        <v>188</v>
      </c>
      <c r="I272" s="106">
        <f>'Ratio Analysis'!AA219</f>
        <v>486</v>
      </c>
      <c r="J272" s="107">
        <f t="shared" ref="J272:N272" si="159">J274*J273</f>
        <v>798.7405399999999</v>
      </c>
      <c r="K272" s="107">
        <f t="shared" si="159"/>
        <v>841.30563140000004</v>
      </c>
      <c r="L272" s="107">
        <f t="shared" si="159"/>
        <v>1144.09429032</v>
      </c>
      <c r="M272" s="107">
        <f t="shared" si="159"/>
        <v>1368.7927279871997</v>
      </c>
      <c r="N272" s="108">
        <f t="shared" si="159"/>
        <v>1602.9365649045119</v>
      </c>
    </row>
    <row r="273" spans="2:14" ht="16" x14ac:dyDescent="0.25">
      <c r="B273" s="26"/>
      <c r="C273" s="1" t="str">
        <f>C58</f>
        <v>Cost of revenue</v>
      </c>
      <c r="E273" s="12">
        <f t="shared" ref="E273:N273" si="160">E58</f>
        <v>9536</v>
      </c>
      <c r="F273" s="12">
        <f t="shared" si="160"/>
        <v>17419</v>
      </c>
      <c r="G273" s="12">
        <f t="shared" si="160"/>
        <v>20509</v>
      </c>
      <c r="H273" s="12">
        <f t="shared" si="160"/>
        <v>24906</v>
      </c>
      <c r="I273" s="12">
        <f t="shared" si="160"/>
        <v>40217</v>
      </c>
      <c r="J273" s="12">
        <f t="shared" si="160"/>
        <v>61441.579999999994</v>
      </c>
      <c r="K273" s="12">
        <f t="shared" si="160"/>
        <v>64715.817800000004</v>
      </c>
      <c r="L273" s="12">
        <f t="shared" si="160"/>
        <v>76272.952688000005</v>
      </c>
      <c r="M273" s="12">
        <f t="shared" si="160"/>
        <v>91252.848532479984</v>
      </c>
      <c r="N273" s="110">
        <f t="shared" si="160"/>
        <v>106862.4376603008</v>
      </c>
    </row>
    <row r="274" spans="2:14" ht="16" x14ac:dyDescent="0.25">
      <c r="B274" s="114"/>
      <c r="C274" s="138" t="s">
        <v>457</v>
      </c>
      <c r="D274" s="138"/>
      <c r="E274" s="152">
        <f>E272/E273</f>
        <v>0</v>
      </c>
      <c r="F274" s="152">
        <f t="shared" ref="F274:I274" si="161">F272/F273</f>
        <v>0</v>
      </c>
      <c r="G274" s="152">
        <f t="shared" si="161"/>
        <v>3.0035594129406602E-2</v>
      </c>
      <c r="H274" s="152">
        <f t="shared" si="161"/>
        <v>7.548381916004176E-3</v>
      </c>
      <c r="I274" s="152">
        <f t="shared" si="161"/>
        <v>1.2084441902677972E-2</v>
      </c>
      <c r="J274" s="153">
        <f>Assumptions!$M$26</f>
        <v>1.2999999999999999E-2</v>
      </c>
      <c r="K274" s="153">
        <f>Assumptions!$M$26</f>
        <v>1.2999999999999999E-2</v>
      </c>
      <c r="L274" s="153">
        <f>Assumptions!$O$26</f>
        <v>1.4999999999999999E-2</v>
      </c>
      <c r="M274" s="153">
        <f>Assumptions!$O$26</f>
        <v>1.4999999999999999E-2</v>
      </c>
      <c r="N274" s="154">
        <f>Assumptions!$O$26</f>
        <v>1.4999999999999999E-2</v>
      </c>
    </row>
    <row r="275" spans="2:14" ht="16" x14ac:dyDescent="0.25">
      <c r="E275" s="12"/>
      <c r="F275" s="12"/>
      <c r="G275" s="12"/>
      <c r="H275" s="12"/>
      <c r="I275" s="12"/>
      <c r="J275" s="12"/>
      <c r="K275" s="12"/>
      <c r="L275" s="12"/>
      <c r="M275" s="12"/>
      <c r="N275" s="12"/>
    </row>
    <row r="276" spans="2:14" ht="16" x14ac:dyDescent="0.25">
      <c r="C276" s="19" t="s">
        <v>479</v>
      </c>
      <c r="E276" s="12"/>
      <c r="F276" s="12"/>
      <c r="G276" s="12"/>
      <c r="H276" s="12"/>
      <c r="I276" s="12"/>
      <c r="J276" s="12"/>
      <c r="K276" s="12"/>
      <c r="L276" s="12"/>
      <c r="M276" s="12"/>
      <c r="N276" s="12"/>
    </row>
    <row r="277" spans="2:14" ht="16" x14ac:dyDescent="0.25">
      <c r="C277" s="1" t="s">
        <v>458</v>
      </c>
      <c r="D277" s="148">
        <f>Assumptions!$O$39</f>
        <v>6</v>
      </c>
      <c r="E277" s="12"/>
      <c r="F277" s="12"/>
      <c r="G277" s="12"/>
      <c r="H277" s="12"/>
      <c r="I277" s="12"/>
      <c r="J277" s="12">
        <f>$J$288/$D$277</f>
        <v>336</v>
      </c>
      <c r="K277" s="12">
        <f t="shared" ref="K277:N277" si="162">J277</f>
        <v>336</v>
      </c>
      <c r="L277" s="12">
        <f t="shared" si="162"/>
        <v>336</v>
      </c>
      <c r="M277" s="12">
        <f t="shared" si="162"/>
        <v>336</v>
      </c>
      <c r="N277" s="12">
        <f t="shared" si="162"/>
        <v>336</v>
      </c>
    </row>
    <row r="278" spans="2:14" ht="16" x14ac:dyDescent="0.25">
      <c r="E278" s="12"/>
      <c r="F278" s="12"/>
      <c r="G278" s="12"/>
      <c r="H278" s="12"/>
      <c r="I278" s="12"/>
      <c r="J278" s="12"/>
      <c r="K278" s="12"/>
      <c r="L278" s="12"/>
      <c r="M278" s="12"/>
      <c r="N278" s="12"/>
    </row>
    <row r="279" spans="2:14" ht="16" x14ac:dyDescent="0.25">
      <c r="C279" s="1" t="s">
        <v>459</v>
      </c>
      <c r="D279" s="148">
        <f>Assumptions!O40</f>
        <v>12</v>
      </c>
      <c r="E279" s="12"/>
      <c r="F279" s="12"/>
      <c r="G279" s="12"/>
      <c r="H279" s="12"/>
      <c r="I279" s="12"/>
      <c r="J279" s="12"/>
      <c r="K279" s="12"/>
      <c r="L279" s="12"/>
      <c r="M279" s="12"/>
      <c r="N279" s="12"/>
    </row>
    <row r="280" spans="2:14" ht="16" x14ac:dyDescent="0.25">
      <c r="C280" s="50">
        <f t="array" ref="C280:C284">TRANSPOSE($J$270:$N$270)</f>
        <v>2022</v>
      </c>
      <c r="E280" s="99"/>
      <c r="F280" s="99"/>
      <c r="G280" s="99"/>
      <c r="H280" s="99"/>
      <c r="I280" s="99"/>
      <c r="J280" s="12">
        <f>J$289/$D$279</f>
        <v>66.561711666666653</v>
      </c>
      <c r="K280" s="12">
        <f>IF(K$270&lt;=$C280+$D$279,J280,0)</f>
        <v>66.561711666666653</v>
      </c>
      <c r="L280" s="12">
        <f t="shared" ref="L280:N283" si="163">IF(L$270&lt;=$C280+$D$279,K280,0)</f>
        <v>66.561711666666653</v>
      </c>
      <c r="M280" s="12">
        <f t="shared" si="163"/>
        <v>66.561711666666653</v>
      </c>
      <c r="N280" s="12">
        <f t="shared" si="163"/>
        <v>66.561711666666653</v>
      </c>
    </row>
    <row r="281" spans="2:14" ht="16" x14ac:dyDescent="0.25">
      <c r="C281" s="50">
        <v>2023</v>
      </c>
      <c r="E281" s="99"/>
      <c r="F281" s="99"/>
      <c r="G281" s="99"/>
      <c r="H281" s="99"/>
      <c r="I281" s="99"/>
      <c r="J281" s="99"/>
      <c r="K281" s="12">
        <f>K$289/$D$279</f>
        <v>70.108802616666665</v>
      </c>
      <c r="L281" s="12">
        <f t="shared" si="163"/>
        <v>70.108802616666665</v>
      </c>
      <c r="M281" s="12">
        <f t="shared" si="163"/>
        <v>70.108802616666665</v>
      </c>
      <c r="N281" s="12">
        <f t="shared" si="163"/>
        <v>70.108802616666665</v>
      </c>
    </row>
    <row r="282" spans="2:14" ht="16" x14ac:dyDescent="0.25">
      <c r="C282" s="50">
        <v>2024</v>
      </c>
      <c r="E282" s="99"/>
      <c r="F282" s="99"/>
      <c r="G282" s="99"/>
      <c r="H282" s="99"/>
      <c r="I282" s="99"/>
      <c r="J282" s="99"/>
      <c r="K282" s="99"/>
      <c r="L282" s="12">
        <f>L$289/$D$279</f>
        <v>95.341190859999998</v>
      </c>
      <c r="M282" s="12">
        <f t="shared" si="163"/>
        <v>95.341190859999998</v>
      </c>
      <c r="N282" s="12">
        <f t="shared" si="163"/>
        <v>95.341190859999998</v>
      </c>
    </row>
    <row r="283" spans="2:14" ht="16" x14ac:dyDescent="0.25">
      <c r="C283" s="50">
        <v>2025</v>
      </c>
      <c r="E283" s="99"/>
      <c r="F283" s="99"/>
      <c r="G283" s="99"/>
      <c r="H283" s="99"/>
      <c r="I283" s="99"/>
      <c r="J283" s="99"/>
      <c r="K283" s="99"/>
      <c r="L283" s="99"/>
      <c r="M283" s="12">
        <f>M$289/$D$279</f>
        <v>114.06606066559998</v>
      </c>
      <c r="N283" s="12">
        <f t="shared" si="163"/>
        <v>114.06606066559998</v>
      </c>
    </row>
    <row r="284" spans="2:14" ht="16" x14ac:dyDescent="0.25">
      <c r="C284" s="50">
        <v>2026</v>
      </c>
      <c r="E284" s="99"/>
      <c r="F284" s="99"/>
      <c r="G284" s="99"/>
      <c r="H284" s="99"/>
      <c r="I284" s="99"/>
      <c r="J284" s="99"/>
      <c r="K284" s="99"/>
      <c r="L284" s="99"/>
      <c r="M284" s="99"/>
      <c r="N284" s="12">
        <f>N$289/$D$279</f>
        <v>133.57804707537599</v>
      </c>
    </row>
    <row r="285" spans="2:14" ht="20" customHeight="1" x14ac:dyDescent="0.25">
      <c r="C285" s="15" t="s">
        <v>482</v>
      </c>
      <c r="D285" s="15"/>
      <c r="E285" s="151"/>
      <c r="F285" s="151"/>
      <c r="G285" s="151"/>
      <c r="H285" s="151"/>
      <c r="I285" s="151"/>
      <c r="J285" s="16">
        <f t="shared" ref="J285:N285" si="164">SUM(J277:J284)</f>
        <v>402.56171166666667</v>
      </c>
      <c r="K285" s="16">
        <f t="shared" si="164"/>
        <v>472.67051428333332</v>
      </c>
      <c r="L285" s="16">
        <f t="shared" si="164"/>
        <v>568.0117051433333</v>
      </c>
      <c r="M285" s="16">
        <f t="shared" si="164"/>
        <v>682.07776580893324</v>
      </c>
      <c r="N285" s="16">
        <f t="shared" si="164"/>
        <v>815.65581288430917</v>
      </c>
    </row>
    <row r="286" spans="2:14" ht="16" x14ac:dyDescent="0.25">
      <c r="E286" s="12"/>
      <c r="F286" s="12"/>
      <c r="G286" s="12"/>
      <c r="H286" s="12"/>
      <c r="I286" s="12"/>
      <c r="J286" s="12"/>
      <c r="K286" s="12"/>
      <c r="L286" s="12"/>
      <c r="M286" s="12"/>
      <c r="N286" s="12"/>
    </row>
    <row r="287" spans="2:14" ht="16" x14ac:dyDescent="0.25">
      <c r="E287" s="12"/>
      <c r="F287" s="12"/>
      <c r="G287" s="12"/>
      <c r="H287" s="12"/>
      <c r="I287" s="12"/>
      <c r="J287" s="12"/>
      <c r="K287" s="12"/>
      <c r="L287" s="12"/>
      <c r="M287" s="12"/>
      <c r="N287" s="12"/>
    </row>
    <row r="288" spans="2:14" ht="16" x14ac:dyDescent="0.25">
      <c r="C288" s="1" t="s">
        <v>217</v>
      </c>
      <c r="E288" s="99"/>
      <c r="F288" s="99"/>
      <c r="G288" s="99"/>
      <c r="H288" s="12">
        <f>G292</f>
        <v>1218</v>
      </c>
      <c r="I288" s="12">
        <f>H292</f>
        <v>1558</v>
      </c>
      <c r="J288" s="12">
        <f>I292</f>
        <v>2016</v>
      </c>
      <c r="K288" s="12">
        <f t="shared" ref="K288:N288" si="165">J292</f>
        <v>2412.1788283333331</v>
      </c>
      <c r="L288" s="12">
        <f t="shared" si="165"/>
        <v>2780.8139454499997</v>
      </c>
      <c r="M288" s="12">
        <f t="shared" si="165"/>
        <v>3356.8965306266664</v>
      </c>
      <c r="N288" s="12">
        <f t="shared" si="165"/>
        <v>4043.6114928049324</v>
      </c>
    </row>
    <row r="289" spans="2:14" ht="16" x14ac:dyDescent="0.25">
      <c r="C289" s="65" t="s">
        <v>461</v>
      </c>
      <c r="E289" s="99"/>
      <c r="F289" s="14">
        <f>'Ratio Analysis'!X219</f>
        <v>0</v>
      </c>
      <c r="G289" s="14">
        <f>'Ratio Analysis'!Y219</f>
        <v>616</v>
      </c>
      <c r="H289" s="14">
        <f>'Ratio Analysis'!Z219</f>
        <v>188</v>
      </c>
      <c r="I289" s="14">
        <f>'Ratio Analysis'!AA219</f>
        <v>486</v>
      </c>
      <c r="J289" s="12">
        <f t="shared" ref="J289:N289" si="166">J272</f>
        <v>798.7405399999999</v>
      </c>
      <c r="K289" s="12">
        <f t="shared" si="166"/>
        <v>841.30563140000004</v>
      </c>
      <c r="L289" s="12">
        <f t="shared" si="166"/>
        <v>1144.09429032</v>
      </c>
      <c r="M289" s="12">
        <f t="shared" si="166"/>
        <v>1368.7927279871997</v>
      </c>
      <c r="N289" s="12">
        <f t="shared" si="166"/>
        <v>1602.9365649045119</v>
      </c>
    </row>
    <row r="290" spans="2:14" ht="16" x14ac:dyDescent="0.25">
      <c r="C290" s="65" t="s">
        <v>481</v>
      </c>
      <c r="E290" s="99"/>
      <c r="F290" s="99"/>
      <c r="G290" s="128"/>
      <c r="H290" s="14">
        <f t="shared" ref="H290:I290" si="167">H292-H291-H289-H288</f>
        <v>603</v>
      </c>
      <c r="I290" s="14">
        <f t="shared" si="167"/>
        <v>599</v>
      </c>
      <c r="J290" s="99"/>
      <c r="K290" s="99"/>
      <c r="L290" s="99"/>
      <c r="M290" s="99"/>
      <c r="N290" s="99"/>
    </row>
    <row r="291" spans="2:14" ht="16" x14ac:dyDescent="0.25">
      <c r="C291" s="65" t="s">
        <v>480</v>
      </c>
      <c r="E291" s="99"/>
      <c r="F291" s="14">
        <f>-'Ratio Analysis'!X201</f>
        <v>0</v>
      </c>
      <c r="G291" s="14">
        <f>-'Ratio Analysis'!Y201</f>
        <v>-426</v>
      </c>
      <c r="H291" s="14">
        <f>-'Ratio Analysis'!Z201</f>
        <v>-451</v>
      </c>
      <c r="I291" s="14">
        <f>-'Ratio Analysis'!AA201</f>
        <v>-627</v>
      </c>
      <c r="J291" s="12">
        <f t="shared" ref="J291:N291" si="168">-J285</f>
        <v>-402.56171166666667</v>
      </c>
      <c r="K291" s="12">
        <f t="shared" si="168"/>
        <v>-472.67051428333332</v>
      </c>
      <c r="L291" s="12">
        <f t="shared" si="168"/>
        <v>-568.0117051433333</v>
      </c>
      <c r="M291" s="12">
        <f t="shared" si="168"/>
        <v>-682.07776580893324</v>
      </c>
      <c r="N291" s="12">
        <f t="shared" si="168"/>
        <v>-815.65581288430917</v>
      </c>
    </row>
    <row r="292" spans="2:14" ht="20" customHeight="1" thickBot="1" x14ac:dyDescent="0.3">
      <c r="C292" s="17" t="s">
        <v>218</v>
      </c>
      <c r="D292" s="17"/>
      <c r="E292" s="159">
        <f>'Ratio Analysis'!W183</f>
        <v>0</v>
      </c>
      <c r="F292" s="159">
        <f>'Ratio Analysis'!X183</f>
        <v>0</v>
      </c>
      <c r="G292" s="159">
        <f>'Ratio Analysis'!Y183</f>
        <v>1218</v>
      </c>
      <c r="H292" s="159">
        <f>'Ratio Analysis'!Z183</f>
        <v>1558</v>
      </c>
      <c r="I292" s="159">
        <f>'Ratio Analysis'!AA183</f>
        <v>2016</v>
      </c>
      <c r="J292" s="18">
        <f t="shared" ref="J292:N292" si="169">SUM(J288:J291)</f>
        <v>2412.1788283333331</v>
      </c>
      <c r="K292" s="18">
        <f t="shared" si="169"/>
        <v>2780.8139454499997</v>
      </c>
      <c r="L292" s="18">
        <f t="shared" si="169"/>
        <v>3356.8965306266664</v>
      </c>
      <c r="M292" s="18">
        <f t="shared" si="169"/>
        <v>4043.6114928049324</v>
      </c>
      <c r="N292" s="18">
        <f t="shared" si="169"/>
        <v>4830.8922448251351</v>
      </c>
    </row>
    <row r="293" spans="2:14" ht="17" thickTop="1" x14ac:dyDescent="0.25">
      <c r="E293" s="12"/>
      <c r="F293" s="12"/>
      <c r="G293" s="12"/>
      <c r="H293" s="12"/>
      <c r="I293" s="12"/>
      <c r="J293" s="12"/>
      <c r="K293" s="12"/>
      <c r="L293" s="12"/>
      <c r="M293" s="12"/>
      <c r="N293" s="12"/>
    </row>
    <row r="294" spans="2:14" ht="16" x14ac:dyDescent="0.25">
      <c r="B294" s="105"/>
      <c r="C294" s="105"/>
      <c r="D294" s="105"/>
      <c r="E294" s="107"/>
      <c r="F294" s="107"/>
      <c r="G294" s="107"/>
      <c r="H294" s="107"/>
      <c r="I294" s="107"/>
      <c r="J294" s="107"/>
      <c r="K294" s="107"/>
      <c r="L294" s="107"/>
      <c r="M294" s="107"/>
      <c r="N294" s="107"/>
    </row>
    <row r="295" spans="2:14" ht="16" x14ac:dyDescent="0.25">
      <c r="B295" s="30" t="s">
        <v>483</v>
      </c>
      <c r="E295" s="12"/>
      <c r="F295" s="12"/>
      <c r="G295" s="12"/>
      <c r="H295" s="12"/>
      <c r="I295" s="12"/>
      <c r="J295" s="12"/>
      <c r="K295" s="12"/>
      <c r="L295" s="12"/>
      <c r="M295" s="12"/>
      <c r="N295" s="12"/>
    </row>
    <row r="296" spans="2:14" ht="16" x14ac:dyDescent="0.25">
      <c r="E296" s="12"/>
      <c r="F296" s="12"/>
      <c r="G296" s="12"/>
      <c r="H296" s="12"/>
      <c r="I296" s="12"/>
      <c r="J296" s="12"/>
      <c r="K296" s="12"/>
      <c r="L296" s="12"/>
      <c r="M296" s="12"/>
      <c r="N296" s="12"/>
    </row>
    <row r="297" spans="2:14" ht="16" x14ac:dyDescent="0.25">
      <c r="B297" s="122"/>
      <c r="C297" s="105" t="s">
        <v>487</v>
      </c>
      <c r="D297" s="105"/>
      <c r="E297" s="106">
        <f>'Ratio Analysis'!W187</f>
        <v>0</v>
      </c>
      <c r="F297" s="106">
        <f>'Ratio Analysis'!X187</f>
        <v>0</v>
      </c>
      <c r="G297" s="106">
        <f>'Ratio Analysis'!Y187</f>
        <v>1184</v>
      </c>
      <c r="H297" s="106">
        <f>'Ratio Analysis'!Z187</f>
        <v>1540</v>
      </c>
      <c r="I297" s="106">
        <f>'Ratio Analysis'!AA187</f>
        <v>2039</v>
      </c>
      <c r="J297" s="164"/>
      <c r="K297" s="164"/>
      <c r="L297" s="164"/>
      <c r="M297" s="164"/>
      <c r="N297" s="165"/>
    </row>
    <row r="298" spans="2:14" ht="16" x14ac:dyDescent="0.25">
      <c r="B298" s="114"/>
      <c r="C298" s="138" t="s">
        <v>488</v>
      </c>
      <c r="D298" s="138"/>
      <c r="E298" s="162">
        <f>'Ratio Analysis'!W185</f>
        <v>0</v>
      </c>
      <c r="F298" s="162">
        <f>'Ratio Analysis'!X185</f>
        <v>0</v>
      </c>
      <c r="G298" s="162">
        <f>'Ratio Analysis'!Y185</f>
        <v>228</v>
      </c>
      <c r="H298" s="162">
        <f>'Ratio Analysis'!Z185</f>
        <v>286</v>
      </c>
      <c r="I298" s="162">
        <f>'Ratio Analysis'!AA185</f>
        <v>368</v>
      </c>
      <c r="J298" s="162">
        <f t="array" ref="J298:N298">TRANSPOSE('Ratio Analysis'!X224:X228)</f>
        <v>458</v>
      </c>
      <c r="K298" s="162">
        <v>412</v>
      </c>
      <c r="L298" s="162">
        <v>366</v>
      </c>
      <c r="M298" s="162">
        <v>319</v>
      </c>
      <c r="N298" s="163">
        <v>232</v>
      </c>
    </row>
    <row r="299" spans="2:14" ht="16" x14ac:dyDescent="0.25">
      <c r="E299" s="12"/>
      <c r="F299" s="12"/>
      <c r="G299" s="12"/>
      <c r="H299" s="12"/>
      <c r="I299" s="12"/>
      <c r="J299" s="12"/>
      <c r="K299" s="12"/>
      <c r="L299" s="12"/>
      <c r="M299" s="12"/>
      <c r="N299" s="12"/>
    </row>
    <row r="300" spans="2:14" ht="16" x14ac:dyDescent="0.25">
      <c r="C300" s="1" t="s">
        <v>203</v>
      </c>
      <c r="E300" s="99"/>
      <c r="F300" s="99"/>
      <c r="G300" s="99"/>
      <c r="H300" s="99"/>
      <c r="I300" s="99"/>
      <c r="J300" s="12">
        <f t="shared" ref="J300:N300" si="170">I305</f>
        <v>1671</v>
      </c>
      <c r="K300" s="12">
        <f t="shared" si="170"/>
        <v>1609.1788283333331</v>
      </c>
      <c r="L300" s="12">
        <f t="shared" si="170"/>
        <v>1565.8139454499997</v>
      </c>
      <c r="M300" s="12">
        <f t="shared" si="170"/>
        <v>1775.8965306266666</v>
      </c>
      <c r="N300" s="12">
        <f t="shared" si="170"/>
        <v>2143.6114928049333</v>
      </c>
    </row>
    <row r="301" spans="2:14" ht="16" x14ac:dyDescent="0.25">
      <c r="C301" s="65" t="s">
        <v>484</v>
      </c>
      <c r="E301" s="99"/>
      <c r="F301" s="99"/>
      <c r="G301" s="99"/>
      <c r="H301" s="99"/>
      <c r="I301" s="99"/>
      <c r="J301" s="12">
        <f t="shared" ref="J301:N301" si="171">-J298</f>
        <v>-458</v>
      </c>
      <c r="K301" s="12">
        <f t="shared" si="171"/>
        <v>-412</v>
      </c>
      <c r="L301" s="12">
        <f t="shared" si="171"/>
        <v>-366</v>
      </c>
      <c r="M301" s="12">
        <f t="shared" si="171"/>
        <v>-319</v>
      </c>
      <c r="N301" s="12">
        <f t="shared" si="171"/>
        <v>-232</v>
      </c>
    </row>
    <row r="302" spans="2:14" ht="16" x14ac:dyDescent="0.25">
      <c r="C302" s="22" t="s">
        <v>205</v>
      </c>
      <c r="D302" s="22"/>
      <c r="E302" s="166"/>
      <c r="F302" s="166"/>
      <c r="G302" s="166"/>
      <c r="H302" s="166"/>
      <c r="I302" s="166"/>
      <c r="J302" s="60">
        <f t="shared" ref="J302:N302" si="172">SUM(J300:J301)</f>
        <v>1213</v>
      </c>
      <c r="K302" s="60">
        <f t="shared" si="172"/>
        <v>1197.1788283333331</v>
      </c>
      <c r="L302" s="60">
        <f t="shared" si="172"/>
        <v>1199.8139454499997</v>
      </c>
      <c r="M302" s="60">
        <f t="shared" si="172"/>
        <v>1456.8965306266666</v>
      </c>
      <c r="N302" s="60">
        <f t="shared" si="172"/>
        <v>1911.6114928049333</v>
      </c>
    </row>
    <row r="303" spans="2:14" ht="16" x14ac:dyDescent="0.25">
      <c r="C303" s="65" t="s">
        <v>461</v>
      </c>
      <c r="E303" s="99"/>
      <c r="F303" s="99"/>
      <c r="G303" s="99"/>
      <c r="H303" s="99"/>
      <c r="I303" s="99"/>
      <c r="J303" s="12">
        <f t="shared" ref="J303:N303" si="173">J289</f>
        <v>798.7405399999999</v>
      </c>
      <c r="K303" s="12">
        <f t="shared" si="173"/>
        <v>841.30563140000004</v>
      </c>
      <c r="L303" s="12">
        <f t="shared" si="173"/>
        <v>1144.09429032</v>
      </c>
      <c r="M303" s="12">
        <f t="shared" si="173"/>
        <v>1368.7927279871997</v>
      </c>
      <c r="N303" s="12">
        <f t="shared" si="173"/>
        <v>1602.9365649045119</v>
      </c>
    </row>
    <row r="304" spans="2:14" ht="16" x14ac:dyDescent="0.25">
      <c r="C304" s="65" t="s">
        <v>485</v>
      </c>
      <c r="E304" s="99"/>
      <c r="F304" s="99"/>
      <c r="G304" s="99"/>
      <c r="H304" s="99"/>
      <c r="I304" s="99"/>
      <c r="J304" s="12">
        <f t="shared" ref="J304:N304" si="174">J291</f>
        <v>-402.56171166666667</v>
      </c>
      <c r="K304" s="12">
        <f t="shared" si="174"/>
        <v>-472.67051428333332</v>
      </c>
      <c r="L304" s="12">
        <f t="shared" si="174"/>
        <v>-568.0117051433333</v>
      </c>
      <c r="M304" s="12">
        <f t="shared" si="174"/>
        <v>-682.07776580893324</v>
      </c>
      <c r="N304" s="12">
        <f t="shared" si="174"/>
        <v>-815.65581288430917</v>
      </c>
    </row>
    <row r="305" spans="2:14" ht="20" customHeight="1" thickBot="1" x14ac:dyDescent="0.3">
      <c r="C305" s="27" t="s">
        <v>486</v>
      </c>
      <c r="D305" s="27"/>
      <c r="E305" s="28">
        <f t="shared" ref="E305:I305" si="175">E297-E298</f>
        <v>0</v>
      </c>
      <c r="F305" s="28">
        <f t="shared" si="175"/>
        <v>0</v>
      </c>
      <c r="G305" s="28">
        <f t="shared" si="175"/>
        <v>956</v>
      </c>
      <c r="H305" s="28">
        <f t="shared" si="175"/>
        <v>1254</v>
      </c>
      <c r="I305" s="28">
        <f t="shared" si="175"/>
        <v>1671</v>
      </c>
      <c r="J305" s="28">
        <f t="shared" ref="J305:N305" si="176">SUM(J302:J304)</f>
        <v>1609.1788283333331</v>
      </c>
      <c r="K305" s="28">
        <f t="shared" si="176"/>
        <v>1565.8139454499997</v>
      </c>
      <c r="L305" s="28">
        <f t="shared" si="176"/>
        <v>1775.8965306266666</v>
      </c>
      <c r="M305" s="28">
        <f t="shared" si="176"/>
        <v>2143.6114928049333</v>
      </c>
      <c r="N305" s="28">
        <f t="shared" si="176"/>
        <v>2698.892244825136</v>
      </c>
    </row>
    <row r="306" spans="2:14" ht="17" thickTop="1" x14ac:dyDescent="0.25">
      <c r="E306" s="12"/>
      <c r="F306" s="12"/>
      <c r="G306" s="12"/>
      <c r="H306" s="12"/>
      <c r="I306" s="12"/>
      <c r="J306" s="12"/>
      <c r="K306" s="12"/>
      <c r="L306" s="12"/>
      <c r="M306" s="12"/>
      <c r="N306" s="12"/>
    </row>
    <row r="307" spans="2:14" ht="16" x14ac:dyDescent="0.25">
      <c r="C307" s="1" t="s">
        <v>489</v>
      </c>
      <c r="D307" s="167">
        <f>Assumptions!$O$28</f>
        <v>0.05</v>
      </c>
      <c r="E307" s="99"/>
      <c r="F307" s="99"/>
      <c r="G307" s="99"/>
      <c r="H307" s="99"/>
      <c r="I307" s="99"/>
      <c r="J307" s="12">
        <f t="shared" ref="J307:N307" si="177">J300*$D$307</f>
        <v>83.550000000000011</v>
      </c>
      <c r="K307" s="12">
        <f t="shared" si="177"/>
        <v>80.458941416666661</v>
      </c>
      <c r="L307" s="12">
        <f t="shared" si="177"/>
        <v>78.290697272499983</v>
      </c>
      <c r="M307" s="12">
        <f t="shared" si="177"/>
        <v>88.794826531333342</v>
      </c>
      <c r="N307" s="12">
        <f t="shared" si="177"/>
        <v>107.18057464024668</v>
      </c>
    </row>
    <row r="308" spans="2:14" ht="16" x14ac:dyDescent="0.25">
      <c r="C308" s="1" t="s">
        <v>492</v>
      </c>
      <c r="D308" s="168" t="s">
        <v>493</v>
      </c>
      <c r="E308" s="99"/>
      <c r="F308" s="99"/>
      <c r="G308" s="99"/>
      <c r="H308" s="99"/>
      <c r="I308" s="99"/>
      <c r="J308" s="12">
        <f t="shared" ref="J308:N308" si="178">-J304+J307</f>
        <v>486.11171166666668</v>
      </c>
      <c r="K308" s="12">
        <f t="shared" si="178"/>
        <v>553.12945569999999</v>
      </c>
      <c r="L308" s="12">
        <f t="shared" si="178"/>
        <v>646.30240241583328</v>
      </c>
      <c r="M308" s="12">
        <f t="shared" si="178"/>
        <v>770.87259234026658</v>
      </c>
      <c r="N308" s="12">
        <f t="shared" si="178"/>
        <v>922.8363875245559</v>
      </c>
    </row>
    <row r="309" spans="2:14" ht="16" x14ac:dyDescent="0.25">
      <c r="E309" s="12"/>
      <c r="F309" s="12"/>
      <c r="G309" s="12"/>
      <c r="H309" s="12"/>
      <c r="I309" s="12"/>
      <c r="J309" s="12"/>
      <c r="K309" s="12"/>
      <c r="L309" s="12"/>
      <c r="M309" s="12"/>
      <c r="N309" s="12"/>
    </row>
    <row r="310" spans="2:14" ht="16" x14ac:dyDescent="0.25">
      <c r="E310" s="12"/>
      <c r="F310" s="12"/>
      <c r="G310" s="12"/>
      <c r="H310" s="12"/>
      <c r="I310" s="12"/>
      <c r="J310" s="12"/>
      <c r="K310" s="12"/>
      <c r="L310" s="12"/>
      <c r="M310" s="12"/>
      <c r="N310" s="12"/>
    </row>
    <row r="311" spans="2:14" ht="16" x14ac:dyDescent="0.25">
      <c r="E311" s="12"/>
      <c r="F311" s="12"/>
      <c r="G311" s="12"/>
      <c r="H311" s="12"/>
      <c r="I311" s="12"/>
      <c r="J311" s="12"/>
      <c r="K311" s="12"/>
      <c r="L311" s="12"/>
      <c r="M311" s="12"/>
      <c r="N311" s="12"/>
    </row>
    <row r="312" spans="2:14" ht="6" customHeight="1" x14ac:dyDescent="0.25"/>
    <row r="313" spans="2:14" ht="20" customHeight="1" x14ac:dyDescent="0.25">
      <c r="B313" s="2" t="str">
        <f>'Cover Page'!$C$18</f>
        <v>Tesla, Inc.</v>
      </c>
      <c r="C313" s="3"/>
      <c r="D313" s="3"/>
      <c r="E313" s="3"/>
      <c r="F313" s="3"/>
      <c r="G313" s="3"/>
      <c r="H313" s="3"/>
      <c r="I313" s="3"/>
      <c r="J313" s="3"/>
      <c r="K313" s="3"/>
      <c r="L313" s="3"/>
      <c r="M313" s="3"/>
      <c r="N313" s="3"/>
    </row>
    <row r="314" spans="2:14" ht="15" customHeight="1" x14ac:dyDescent="0.25">
      <c r="B314" s="4" t="s">
        <v>494</v>
      </c>
      <c r="C314" s="4"/>
      <c r="D314" s="4"/>
      <c r="E314" s="4"/>
      <c r="F314" s="4"/>
      <c r="G314" s="4"/>
      <c r="H314" s="4"/>
      <c r="I314" s="4"/>
      <c r="J314" s="4"/>
      <c r="K314" s="4"/>
      <c r="L314" s="4"/>
      <c r="M314" s="4"/>
      <c r="N314" s="4"/>
    </row>
    <row r="315" spans="2:14" ht="6" customHeight="1" thickBot="1" x14ac:dyDescent="0.3">
      <c r="B315" s="5"/>
      <c r="C315" s="5"/>
      <c r="D315" s="5"/>
      <c r="E315" s="5"/>
      <c r="F315" s="5"/>
      <c r="G315" s="5"/>
      <c r="H315" s="5"/>
      <c r="I315" s="5"/>
      <c r="J315" s="5"/>
      <c r="K315" s="5"/>
      <c r="L315" s="5"/>
      <c r="M315" s="5"/>
      <c r="N315" s="5"/>
    </row>
    <row r="316" spans="2:14" ht="15" customHeight="1" x14ac:dyDescent="0.25">
      <c r="B316" s="117" t="str">
        <f>Scenarios!$B$5</f>
        <v>$ MM's ( unless otherwise specified )</v>
      </c>
      <c r="C316" s="117"/>
      <c r="D316" s="117"/>
      <c r="E316" s="117"/>
      <c r="F316" s="117"/>
      <c r="G316" s="117"/>
      <c r="H316" s="117"/>
      <c r="I316" s="117"/>
      <c r="J316" s="117"/>
      <c r="K316" s="117"/>
      <c r="L316" s="117"/>
      <c r="M316" s="117"/>
      <c r="N316" s="121" t="str">
        <f>Scenarios!$N$5</f>
        <v>Based on: Base Case Senario</v>
      </c>
    </row>
    <row r="317" spans="2:14" ht="6" customHeight="1" x14ac:dyDescent="0.25"/>
    <row r="318" spans="2:14" ht="15" customHeight="1" x14ac:dyDescent="0.25">
      <c r="E318" s="6" t="s">
        <v>7</v>
      </c>
      <c r="F318" s="7"/>
      <c r="G318" s="7"/>
      <c r="H318" s="7"/>
      <c r="I318" s="7"/>
      <c r="J318" s="8" t="s">
        <v>6</v>
      </c>
      <c r="K318" s="9"/>
      <c r="L318" s="9"/>
      <c r="M318" s="9"/>
      <c r="N318" s="9"/>
    </row>
    <row r="319" spans="2:14" ht="15" customHeight="1" x14ac:dyDescent="0.25">
      <c r="E319" s="10">
        <f t="shared" ref="E319" si="179">F319-1</f>
        <v>2017</v>
      </c>
      <c r="F319" s="10">
        <f t="shared" ref="F319" si="180">G319-1</f>
        <v>2018</v>
      </c>
      <c r="G319" s="10">
        <f t="shared" ref="G319" si="181">H319-1</f>
        <v>2019</v>
      </c>
      <c r="H319" s="10">
        <f t="shared" ref="H319" si="182">I319-1</f>
        <v>2020</v>
      </c>
      <c r="I319" s="10">
        <f t="shared" ref="I319" si="183">J319-1</f>
        <v>2021</v>
      </c>
      <c r="J319" s="11">
        <v>2022</v>
      </c>
      <c r="K319" s="11">
        <f>J319+1</f>
        <v>2023</v>
      </c>
      <c r="L319" s="11">
        <f t="shared" ref="L319" si="184">K319+1</f>
        <v>2024</v>
      </c>
      <c r="M319" s="11">
        <f t="shared" ref="M319" si="185">L319+1</f>
        <v>2025</v>
      </c>
      <c r="N319" s="11">
        <f t="shared" ref="N319" si="186">M319+1</f>
        <v>2026</v>
      </c>
    </row>
    <row r="320" spans="2:14" ht="16" x14ac:dyDescent="0.25">
      <c r="E320" s="12"/>
      <c r="F320" s="12"/>
      <c r="G320" s="12"/>
      <c r="H320" s="12"/>
      <c r="I320" s="12"/>
      <c r="J320" s="12"/>
      <c r="K320" s="12"/>
      <c r="L320" s="12"/>
      <c r="M320" s="12"/>
      <c r="N320" s="12"/>
    </row>
    <row r="321" spans="2:14" ht="16" x14ac:dyDescent="0.25">
      <c r="B321" s="122"/>
      <c r="C321" s="105" t="s">
        <v>307</v>
      </c>
      <c r="D321" s="105"/>
      <c r="E321" s="106">
        <f>'Ratio Analysis'!W330-'Ratio Analysis'!W322</f>
        <v>4752.1920000000009</v>
      </c>
      <c r="F321" s="106">
        <f>'Ratio Analysis'!X330-'Ratio Analysis'!X322</f>
        <v>3039</v>
      </c>
      <c r="G321" s="106">
        <f>'Ratio Analysis'!Y330-'Ratio Analysis'!Y322</f>
        <v>1735</v>
      </c>
      <c r="H321" s="106">
        <f>'Ratio Analysis'!Z330-'Ratio Analysis'!Z322</f>
        <v>2076</v>
      </c>
      <c r="I321" s="106">
        <f>'Ratio Analysis'!AA330-'Ratio Analysis'!AA322</f>
        <v>1875</v>
      </c>
      <c r="J321" s="135"/>
      <c r="K321" s="135"/>
      <c r="L321" s="135"/>
      <c r="M321" s="135"/>
      <c r="N321" s="136"/>
    </row>
    <row r="322" spans="2:14" ht="16" x14ac:dyDescent="0.25">
      <c r="B322" s="114"/>
      <c r="C322" s="138" t="s">
        <v>495</v>
      </c>
      <c r="D322" s="138"/>
      <c r="E322" s="139">
        <f>E305</f>
        <v>0</v>
      </c>
      <c r="F322" s="139">
        <f>F305</f>
        <v>0</v>
      </c>
      <c r="G322" s="139">
        <f>G305</f>
        <v>956</v>
      </c>
      <c r="H322" s="139">
        <f>H305</f>
        <v>1254</v>
      </c>
      <c r="I322" s="139">
        <f>I305</f>
        <v>1671</v>
      </c>
      <c r="J322" s="169"/>
      <c r="K322" s="169"/>
      <c r="L322" s="169"/>
      <c r="M322" s="169"/>
      <c r="N322" s="170"/>
    </row>
    <row r="323" spans="2:14" ht="16" x14ac:dyDescent="0.25">
      <c r="E323" s="12"/>
      <c r="F323" s="12"/>
      <c r="G323" s="12"/>
      <c r="H323" s="12"/>
      <c r="I323" s="12"/>
      <c r="J323" s="12"/>
      <c r="K323" s="12"/>
      <c r="L323" s="12"/>
      <c r="M323" s="12"/>
      <c r="N323" s="12"/>
    </row>
    <row r="324" spans="2:14" ht="16" x14ac:dyDescent="0.25">
      <c r="C324" s="19" t="s">
        <v>494</v>
      </c>
      <c r="E324" s="12"/>
      <c r="F324" s="12"/>
      <c r="G324" s="12"/>
      <c r="H324" s="12"/>
      <c r="I324" s="12"/>
      <c r="J324" s="12"/>
      <c r="K324" s="12"/>
      <c r="L324" s="12"/>
      <c r="M324" s="12"/>
      <c r="N324" s="12"/>
    </row>
    <row r="325" spans="2:14" ht="16" x14ac:dyDescent="0.25">
      <c r="E325" s="12"/>
      <c r="F325" s="12"/>
      <c r="G325" s="12"/>
      <c r="H325" s="12"/>
      <c r="I325" s="12"/>
      <c r="J325" s="12"/>
      <c r="K325" s="12"/>
      <c r="L325" s="12"/>
      <c r="M325" s="12"/>
      <c r="N325" s="12"/>
    </row>
    <row r="326" spans="2:14" ht="16" x14ac:dyDescent="0.25">
      <c r="C326" s="13" t="str">
        <f>C321</f>
        <v>Other noncurrent liabilities</v>
      </c>
      <c r="E326" s="12">
        <f t="shared" ref="E326:I327" si="187">E321</f>
        <v>4752.1920000000009</v>
      </c>
      <c r="F326" s="12">
        <f t="shared" si="187"/>
        <v>3039</v>
      </c>
      <c r="G326" s="12">
        <f t="shared" si="187"/>
        <v>1735</v>
      </c>
      <c r="H326" s="12">
        <f t="shared" si="187"/>
        <v>2076</v>
      </c>
      <c r="I326" s="12">
        <f t="shared" si="187"/>
        <v>1875</v>
      </c>
      <c r="J326" s="12">
        <f t="shared" ref="J326:N326" si="188">I326</f>
        <v>1875</v>
      </c>
      <c r="K326" s="12">
        <f t="shared" si="188"/>
        <v>1875</v>
      </c>
      <c r="L326" s="12">
        <f t="shared" si="188"/>
        <v>1875</v>
      </c>
      <c r="M326" s="12">
        <f t="shared" si="188"/>
        <v>1875</v>
      </c>
      <c r="N326" s="12">
        <f t="shared" si="188"/>
        <v>1875</v>
      </c>
    </row>
    <row r="327" spans="2:14" ht="16" x14ac:dyDescent="0.25">
      <c r="C327" s="13" t="str">
        <f>C322</f>
        <v>Operating Lease Liability (Long-Term)</v>
      </c>
      <c r="E327" s="12">
        <f t="shared" si="187"/>
        <v>0</v>
      </c>
      <c r="F327" s="12">
        <f t="shared" si="187"/>
        <v>0</v>
      </c>
      <c r="G327" s="12">
        <f t="shared" si="187"/>
        <v>956</v>
      </c>
      <c r="H327" s="12">
        <f t="shared" si="187"/>
        <v>1254</v>
      </c>
      <c r="I327" s="12">
        <f t="shared" si="187"/>
        <v>1671</v>
      </c>
      <c r="J327" s="12">
        <f t="shared" ref="J327:N327" si="189">J305</f>
        <v>1609.1788283333331</v>
      </c>
      <c r="K327" s="12">
        <f t="shared" si="189"/>
        <v>1565.8139454499997</v>
      </c>
      <c r="L327" s="12">
        <f t="shared" si="189"/>
        <v>1775.8965306266666</v>
      </c>
      <c r="M327" s="12">
        <f t="shared" si="189"/>
        <v>2143.6114928049333</v>
      </c>
      <c r="N327" s="12">
        <f t="shared" si="189"/>
        <v>2698.892244825136</v>
      </c>
    </row>
    <row r="328" spans="2:14" ht="20" customHeight="1" x14ac:dyDescent="0.25">
      <c r="C328" s="15" t="str">
        <f>C324</f>
        <v>Other Long term Liabilities</v>
      </c>
      <c r="D328" s="15"/>
      <c r="E328" s="16">
        <f t="shared" ref="E328:N328" si="190">SUM(E326:E327)</f>
        <v>4752.1920000000009</v>
      </c>
      <c r="F328" s="16">
        <f t="shared" si="190"/>
        <v>3039</v>
      </c>
      <c r="G328" s="16">
        <f t="shared" si="190"/>
        <v>2691</v>
      </c>
      <c r="H328" s="16">
        <f t="shared" si="190"/>
        <v>3330</v>
      </c>
      <c r="I328" s="16">
        <f t="shared" si="190"/>
        <v>3546</v>
      </c>
      <c r="J328" s="16">
        <f t="shared" si="190"/>
        <v>3484.1788283333331</v>
      </c>
      <c r="K328" s="16">
        <f t="shared" si="190"/>
        <v>3440.8139454499997</v>
      </c>
      <c r="L328" s="16">
        <f t="shared" si="190"/>
        <v>3650.8965306266664</v>
      </c>
      <c r="M328" s="16">
        <f t="shared" si="190"/>
        <v>4018.6114928049333</v>
      </c>
      <c r="N328" s="16">
        <f t="shared" si="190"/>
        <v>4573.892244825136</v>
      </c>
    </row>
    <row r="329" spans="2:14" ht="16" x14ac:dyDescent="0.25">
      <c r="E329" s="12"/>
      <c r="F329" s="12"/>
      <c r="G329" s="12"/>
      <c r="H329" s="12"/>
      <c r="I329" s="12"/>
      <c r="J329" s="12"/>
      <c r="K329" s="12"/>
      <c r="L329" s="12"/>
      <c r="M329" s="12"/>
      <c r="N329" s="12"/>
    </row>
    <row r="330" spans="2:14" ht="16" x14ac:dyDescent="0.25">
      <c r="E330" s="12"/>
      <c r="F330" s="12"/>
      <c r="G330" s="12"/>
      <c r="H330" s="12"/>
      <c r="I330" s="12"/>
      <c r="J330" s="12"/>
      <c r="K330" s="12"/>
      <c r="L330" s="12"/>
      <c r="M330" s="12"/>
      <c r="N330" s="12"/>
    </row>
    <row r="331" spans="2:14" ht="16" x14ac:dyDescent="0.25">
      <c r="E331" s="12"/>
      <c r="F331" s="12"/>
      <c r="G331" s="12"/>
      <c r="H331" s="12"/>
      <c r="I331" s="12"/>
      <c r="J331" s="12"/>
      <c r="K331" s="12"/>
      <c r="L331" s="12"/>
      <c r="M331" s="12"/>
      <c r="N331" s="12"/>
    </row>
    <row r="332" spans="2:14" ht="6" customHeight="1" x14ac:dyDescent="0.25"/>
    <row r="333" spans="2:14" ht="20" customHeight="1" x14ac:dyDescent="0.25">
      <c r="B333" s="2" t="str">
        <f>'Cover Page'!$C$18</f>
        <v>Tesla, Inc.</v>
      </c>
      <c r="C333" s="3"/>
      <c r="D333" s="3"/>
      <c r="E333" s="3"/>
      <c r="F333" s="3"/>
      <c r="G333" s="3"/>
      <c r="H333" s="3"/>
      <c r="I333" s="3"/>
      <c r="J333" s="3"/>
      <c r="K333" s="3"/>
      <c r="L333" s="3"/>
      <c r="M333" s="3"/>
      <c r="N333" s="3"/>
    </row>
    <row r="334" spans="2:14" ht="15" customHeight="1" x14ac:dyDescent="0.25">
      <c r="B334" s="4" t="s">
        <v>496</v>
      </c>
      <c r="C334" s="4"/>
      <c r="D334" s="4"/>
      <c r="E334" s="4"/>
      <c r="F334" s="4"/>
      <c r="G334" s="4"/>
      <c r="H334" s="4"/>
      <c r="I334" s="4"/>
      <c r="J334" s="4"/>
      <c r="K334" s="4"/>
      <c r="L334" s="4"/>
      <c r="M334" s="4"/>
      <c r="N334" s="4"/>
    </row>
    <row r="335" spans="2:14" ht="6" customHeight="1" thickBot="1" x14ac:dyDescent="0.3">
      <c r="B335" s="5"/>
      <c r="C335" s="5"/>
      <c r="D335" s="5"/>
      <c r="E335" s="5"/>
      <c r="F335" s="5"/>
      <c r="G335" s="5"/>
      <c r="H335" s="5"/>
      <c r="I335" s="5"/>
      <c r="J335" s="5"/>
      <c r="K335" s="5"/>
      <c r="L335" s="5"/>
      <c r="M335" s="5"/>
      <c r="N335" s="5"/>
    </row>
    <row r="336" spans="2:14" ht="15" customHeight="1" x14ac:dyDescent="0.25">
      <c r="B336" s="117" t="str">
        <f>Scenarios!$B$5</f>
        <v>$ MM's ( unless otherwise specified )</v>
      </c>
      <c r="C336" s="117"/>
      <c r="D336" s="117"/>
      <c r="E336" s="117"/>
      <c r="F336" s="117"/>
      <c r="G336" s="117"/>
      <c r="H336" s="117"/>
      <c r="I336" s="117"/>
      <c r="J336" s="117"/>
      <c r="K336" s="117"/>
      <c r="L336" s="117"/>
      <c r="M336" s="117"/>
      <c r="N336" s="121" t="str">
        <f>Scenarios!$N$5</f>
        <v>Based on: Base Case Senario</v>
      </c>
    </row>
    <row r="337" spans="3:14" ht="6" customHeight="1" x14ac:dyDescent="0.25"/>
    <row r="338" spans="3:14" ht="15" customHeight="1" x14ac:dyDescent="0.25">
      <c r="E338" s="6" t="s">
        <v>7</v>
      </c>
      <c r="F338" s="7"/>
      <c r="G338" s="7"/>
      <c r="H338" s="7"/>
      <c r="I338" s="7"/>
      <c r="J338" s="8" t="s">
        <v>6</v>
      </c>
      <c r="K338" s="9"/>
      <c r="L338" s="9"/>
      <c r="M338" s="9"/>
      <c r="N338" s="9"/>
    </row>
    <row r="339" spans="3:14" ht="15" customHeight="1" x14ac:dyDescent="0.25">
      <c r="E339" s="10">
        <f t="shared" ref="E339" si="191">F339-1</f>
        <v>2017</v>
      </c>
      <c r="F339" s="10">
        <f t="shared" ref="F339" si="192">G339-1</f>
        <v>2018</v>
      </c>
      <c r="G339" s="10">
        <f t="shared" ref="G339" si="193">H339-1</f>
        <v>2019</v>
      </c>
      <c r="H339" s="10">
        <f t="shared" ref="H339" si="194">I339-1</f>
        <v>2020</v>
      </c>
      <c r="I339" s="10">
        <f t="shared" ref="I339" si="195">J339-1</f>
        <v>2021</v>
      </c>
      <c r="J339" s="11">
        <v>2022</v>
      </c>
      <c r="K339" s="11">
        <f>J339+1</f>
        <v>2023</v>
      </c>
      <c r="L339" s="11">
        <f t="shared" ref="L339" si="196">K339+1</f>
        <v>2024</v>
      </c>
      <c r="M339" s="11">
        <f t="shared" ref="M339" si="197">L339+1</f>
        <v>2025</v>
      </c>
      <c r="N339" s="11">
        <f t="shared" ref="N339" si="198">M339+1</f>
        <v>2026</v>
      </c>
    </row>
    <row r="340" spans="3:14" ht="16" x14ac:dyDescent="0.25">
      <c r="E340" s="12"/>
      <c r="F340" s="12"/>
      <c r="G340" s="12"/>
      <c r="H340" s="12"/>
      <c r="I340" s="12"/>
      <c r="J340" s="12"/>
      <c r="K340" s="12"/>
      <c r="L340" s="12"/>
      <c r="M340" s="12"/>
      <c r="N340" s="12"/>
    </row>
    <row r="341" spans="3:14" ht="16" x14ac:dyDescent="0.25">
      <c r="C341" s="122" t="str">
        <f>'Ratio Analysis'!S112</f>
        <v>Digital assets, net</v>
      </c>
      <c r="D341" s="105"/>
      <c r="E341" s="106">
        <f>'Ratio Analysis'!W112</f>
        <v>0</v>
      </c>
      <c r="F341" s="106">
        <f>'Ratio Analysis'!X112</f>
        <v>0</v>
      </c>
      <c r="G341" s="106">
        <f>'Ratio Analysis'!Y112</f>
        <v>0</v>
      </c>
      <c r="H341" s="106">
        <f>'Ratio Analysis'!Z112</f>
        <v>0</v>
      </c>
      <c r="I341" s="106">
        <f>'Ratio Analysis'!AA112</f>
        <v>1260</v>
      </c>
      <c r="J341" s="135"/>
      <c r="K341" s="135"/>
      <c r="L341" s="135"/>
      <c r="M341" s="135"/>
      <c r="N341" s="136"/>
    </row>
    <row r="342" spans="3:14" ht="16" x14ac:dyDescent="0.25">
      <c r="C342" s="26" t="s">
        <v>501</v>
      </c>
      <c r="E342" s="128"/>
      <c r="F342" s="128"/>
      <c r="G342" s="128"/>
      <c r="H342" s="128"/>
      <c r="I342" s="128"/>
      <c r="J342" s="12">
        <f>Assumptions!$M$46</f>
        <v>23</v>
      </c>
      <c r="K342" s="12">
        <f>Assumptions!O46</f>
        <v>25</v>
      </c>
      <c r="L342" s="12">
        <f t="shared" ref="L342" si="199">K342</f>
        <v>25</v>
      </c>
      <c r="M342" s="12"/>
      <c r="N342" s="110"/>
    </row>
    <row r="343" spans="3:14" ht="16" x14ac:dyDescent="0.25">
      <c r="C343" s="114" t="s">
        <v>497</v>
      </c>
      <c r="D343" s="138"/>
      <c r="E343" s="169"/>
      <c r="F343" s="169"/>
      <c r="G343" s="169"/>
      <c r="H343" s="169"/>
      <c r="I343" s="169"/>
      <c r="J343" s="171">
        <f>Assumptions!$M$45</f>
        <v>0.92001763668430336</v>
      </c>
      <c r="K343" s="171">
        <f>Assumptions!O45</f>
        <v>0.25</v>
      </c>
      <c r="L343" s="171">
        <f t="shared" ref="L343" si="200">K343</f>
        <v>0.25</v>
      </c>
      <c r="M343" s="171"/>
      <c r="N343" s="172"/>
    </row>
    <row r="344" spans="3:14" ht="16" x14ac:dyDescent="0.25">
      <c r="E344" s="12"/>
      <c r="F344" s="12"/>
      <c r="G344" s="12"/>
      <c r="H344" s="12"/>
      <c r="I344" s="12"/>
      <c r="J344" s="12"/>
      <c r="K344" s="12"/>
      <c r="L344" s="12"/>
      <c r="M344" s="12"/>
      <c r="N344" s="12"/>
    </row>
    <row r="345" spans="3:14" ht="16" x14ac:dyDescent="0.25">
      <c r="C345" s="1" t="s">
        <v>217</v>
      </c>
      <c r="E345" s="99"/>
      <c r="F345" s="12">
        <f t="shared" ref="F345:N345" si="201">E348</f>
        <v>0</v>
      </c>
      <c r="G345" s="12">
        <f t="shared" si="201"/>
        <v>0</v>
      </c>
      <c r="H345" s="12">
        <f t="shared" si="201"/>
        <v>0</v>
      </c>
      <c r="I345" s="12">
        <f t="shared" si="201"/>
        <v>0</v>
      </c>
      <c r="J345" s="12">
        <f t="shared" si="201"/>
        <v>1260</v>
      </c>
      <c r="K345" s="12">
        <f t="shared" si="201"/>
        <v>77.777777777777828</v>
      </c>
      <c r="L345" s="12">
        <f t="shared" si="201"/>
        <v>33.333333333333371</v>
      </c>
      <c r="M345" s="12">
        <f t="shared" si="201"/>
        <v>2.8421709430404007E-14</v>
      </c>
      <c r="N345" s="12">
        <f t="shared" si="201"/>
        <v>2.8421709430404007E-14</v>
      </c>
    </row>
    <row r="346" spans="3:14" ht="16" x14ac:dyDescent="0.25">
      <c r="C346" s="65" t="s">
        <v>499</v>
      </c>
      <c r="E346" s="99"/>
      <c r="F346" s="99"/>
      <c r="G346" s="99"/>
      <c r="H346" s="99"/>
      <c r="I346" s="99"/>
      <c r="J346" s="12">
        <f>-J345*J343</f>
        <v>-1159.2222222222222</v>
      </c>
      <c r="K346" s="12">
        <f t="shared" ref="K346:N346" si="202">-K345*K343</f>
        <v>-19.444444444444457</v>
      </c>
      <c r="L346" s="12">
        <f t="shared" si="202"/>
        <v>-8.3333333333333428</v>
      </c>
      <c r="M346" s="12">
        <f t="shared" si="202"/>
        <v>0</v>
      </c>
      <c r="N346" s="12">
        <f t="shared" si="202"/>
        <v>0</v>
      </c>
    </row>
    <row r="347" spans="3:14" ht="16" x14ac:dyDescent="0.25">
      <c r="C347" s="65" t="s">
        <v>500</v>
      </c>
      <c r="E347" s="99"/>
      <c r="F347" s="99"/>
      <c r="G347" s="99"/>
      <c r="H347" s="99"/>
      <c r="I347" s="99"/>
      <c r="J347" s="12">
        <f>-J342</f>
        <v>-23</v>
      </c>
      <c r="K347" s="12">
        <f t="shared" ref="K347:N347" si="203">-K342</f>
        <v>-25</v>
      </c>
      <c r="L347" s="12">
        <f t="shared" si="203"/>
        <v>-25</v>
      </c>
      <c r="M347" s="12">
        <f t="shared" si="203"/>
        <v>0</v>
      </c>
      <c r="N347" s="12">
        <f t="shared" si="203"/>
        <v>0</v>
      </c>
    </row>
    <row r="348" spans="3:14" ht="20" customHeight="1" x14ac:dyDescent="0.25">
      <c r="C348" s="15" t="s">
        <v>218</v>
      </c>
      <c r="D348" s="15"/>
      <c r="E348" s="16">
        <f>E341</f>
        <v>0</v>
      </c>
      <c r="F348" s="16">
        <f>F341</f>
        <v>0</v>
      </c>
      <c r="G348" s="16">
        <f>G341</f>
        <v>0</v>
      </c>
      <c r="H348" s="16">
        <f>H341</f>
        <v>0</v>
      </c>
      <c r="I348" s="16">
        <f>I341</f>
        <v>1260</v>
      </c>
      <c r="J348" s="16">
        <f t="shared" ref="J348:N348" si="204">SUM(J345:J347)</f>
        <v>77.777777777777828</v>
      </c>
      <c r="K348" s="16">
        <f t="shared" si="204"/>
        <v>33.333333333333371</v>
      </c>
      <c r="L348" s="16">
        <f t="shared" si="204"/>
        <v>2.8421709430404007E-14</v>
      </c>
      <c r="M348" s="16">
        <f t="shared" si="204"/>
        <v>2.8421709430404007E-14</v>
      </c>
      <c r="N348" s="16">
        <f t="shared" si="204"/>
        <v>2.8421709430404007E-14</v>
      </c>
    </row>
    <row r="349" spans="3:14" ht="16" x14ac:dyDescent="0.25">
      <c r="E349" s="12"/>
      <c r="F349" s="12"/>
      <c r="G349" s="12"/>
      <c r="H349" s="12"/>
      <c r="I349" s="12"/>
      <c r="J349" s="12"/>
      <c r="K349" s="12"/>
      <c r="L349" s="12"/>
      <c r="M349" s="12"/>
      <c r="N349" s="12"/>
    </row>
    <row r="350" spans="3:14" ht="16" x14ac:dyDescent="0.25">
      <c r="E350" s="12"/>
      <c r="F350" s="12"/>
      <c r="G350" s="12"/>
      <c r="H350" s="12"/>
      <c r="I350" s="12"/>
      <c r="J350" s="12"/>
      <c r="K350" s="12"/>
      <c r="L350" s="12"/>
      <c r="M350" s="12"/>
      <c r="N350" s="12"/>
    </row>
    <row r="351" spans="3:14" ht="16" x14ac:dyDescent="0.25">
      <c r="E351" s="12"/>
      <c r="F351" s="12"/>
      <c r="G351" s="12"/>
      <c r="H351" s="12"/>
      <c r="I351" s="12"/>
      <c r="J351" s="12"/>
      <c r="K351" s="12"/>
      <c r="L351" s="12"/>
      <c r="M351" s="12"/>
      <c r="N351" s="12"/>
    </row>
    <row r="352" spans="3:14" ht="6" customHeight="1" x14ac:dyDescent="0.25"/>
    <row r="353" spans="2:14" ht="20" customHeight="1" x14ac:dyDescent="0.25">
      <c r="B353" s="2" t="str">
        <f>'Cover Page'!$C$18</f>
        <v>Tesla, Inc.</v>
      </c>
      <c r="C353" s="3"/>
      <c r="D353" s="3"/>
      <c r="E353" s="3"/>
      <c r="F353" s="3"/>
      <c r="G353" s="3"/>
      <c r="H353" s="3"/>
      <c r="I353" s="3"/>
      <c r="J353" s="3"/>
      <c r="K353" s="3"/>
      <c r="L353" s="3"/>
      <c r="M353" s="3"/>
      <c r="N353" s="3"/>
    </row>
    <row r="354" spans="2:14" ht="15" customHeight="1" x14ac:dyDescent="0.25">
      <c r="B354" s="4" t="s">
        <v>504</v>
      </c>
      <c r="C354" s="4"/>
      <c r="D354" s="4"/>
      <c r="E354" s="4"/>
      <c r="F354" s="4"/>
      <c r="G354" s="4"/>
      <c r="H354" s="4"/>
      <c r="I354" s="4"/>
      <c r="J354" s="4"/>
      <c r="K354" s="4"/>
      <c r="L354" s="4"/>
      <c r="M354" s="4"/>
      <c r="N354" s="4"/>
    </row>
    <row r="355" spans="2:14" ht="6" customHeight="1" thickBot="1" x14ac:dyDescent="0.3">
      <c r="B355" s="5"/>
      <c r="C355" s="5"/>
      <c r="D355" s="5"/>
      <c r="E355" s="5"/>
      <c r="F355" s="5"/>
      <c r="G355" s="5"/>
      <c r="H355" s="5"/>
      <c r="I355" s="5"/>
      <c r="J355" s="5"/>
      <c r="K355" s="5"/>
      <c r="L355" s="5"/>
      <c r="M355" s="5"/>
      <c r="N355" s="5"/>
    </row>
    <row r="356" spans="2:14" ht="15" customHeight="1" x14ac:dyDescent="0.25">
      <c r="B356" s="117" t="str">
        <f>Scenarios!$B$5</f>
        <v>$ MM's ( unless otherwise specified )</v>
      </c>
      <c r="C356" s="117"/>
      <c r="D356" s="117"/>
      <c r="E356" s="117"/>
      <c r="F356" s="117"/>
      <c r="G356" s="117"/>
      <c r="H356" s="117"/>
      <c r="I356" s="117"/>
      <c r="J356" s="117"/>
      <c r="K356" s="117"/>
      <c r="L356" s="117"/>
      <c r="M356" s="117"/>
      <c r="N356" s="121" t="str">
        <f>Scenarios!$N$5</f>
        <v>Based on: Base Case Senario</v>
      </c>
    </row>
    <row r="357" spans="2:14" ht="6" customHeight="1" x14ac:dyDescent="0.25"/>
    <row r="358" spans="2:14" ht="15" customHeight="1" x14ac:dyDescent="0.25">
      <c r="E358" s="6" t="s">
        <v>7</v>
      </c>
      <c r="F358" s="7"/>
      <c r="G358" s="7"/>
      <c r="H358" s="7"/>
      <c r="I358" s="7"/>
      <c r="J358" s="8" t="s">
        <v>6</v>
      </c>
      <c r="K358" s="9"/>
      <c r="L358" s="9"/>
      <c r="M358" s="9"/>
      <c r="N358" s="9"/>
    </row>
    <row r="359" spans="2:14" ht="15" customHeight="1" x14ac:dyDescent="0.25">
      <c r="E359" s="10">
        <f t="shared" ref="E359" si="205">F359-1</f>
        <v>2017</v>
      </c>
      <c r="F359" s="10">
        <f t="shared" ref="F359" si="206">G359-1</f>
        <v>2018</v>
      </c>
      <c r="G359" s="10">
        <f t="shared" ref="G359" si="207">H359-1</f>
        <v>2019</v>
      </c>
      <c r="H359" s="10">
        <f t="shared" ref="H359" si="208">I359-1</f>
        <v>2020</v>
      </c>
      <c r="I359" s="10">
        <f t="shared" ref="I359" si="209">J359-1</f>
        <v>2021</v>
      </c>
      <c r="J359" s="11">
        <v>2022</v>
      </c>
      <c r="K359" s="11">
        <f>J359+1</f>
        <v>2023</v>
      </c>
      <c r="L359" s="11">
        <f t="shared" ref="L359" si="210">K359+1</f>
        <v>2024</v>
      </c>
      <c r="M359" s="11">
        <f t="shared" ref="M359" si="211">L359+1</f>
        <v>2025</v>
      </c>
      <c r="N359" s="11">
        <f t="shared" ref="N359" si="212">M359+1</f>
        <v>2026</v>
      </c>
    </row>
    <row r="360" spans="2:14" ht="16" x14ac:dyDescent="0.25">
      <c r="E360" s="12"/>
      <c r="F360" s="12"/>
      <c r="G360" s="12"/>
      <c r="H360" s="12"/>
      <c r="I360" s="12"/>
      <c r="J360" s="12"/>
      <c r="K360" s="12"/>
      <c r="L360" s="12"/>
      <c r="M360" s="12"/>
      <c r="N360" s="12"/>
    </row>
    <row r="361" spans="2:14" ht="16" x14ac:dyDescent="0.25">
      <c r="B361" s="122"/>
      <c r="C361" s="105" t="s">
        <v>205</v>
      </c>
      <c r="D361" s="105"/>
      <c r="E361" s="106">
        <f>'Ratio Analysis'!W262+'Ratio Analysis'!W264</f>
        <v>401.50199999999995</v>
      </c>
      <c r="F361" s="106">
        <f>'Ratio Analysis'!X262+'Ratio Analysis'!X264</f>
        <v>348</v>
      </c>
      <c r="G361" s="106">
        <f>'Ratio Analysis'!Y262+'Ratio Analysis'!Y264</f>
        <v>383</v>
      </c>
      <c r="H361" s="106">
        <f>'Ratio Analysis'!Z262+'Ratio Analysis'!Z264</f>
        <v>364</v>
      </c>
      <c r="I361" s="106">
        <f>'Ratio Analysis'!AA262+'Ratio Analysis'!AA264</f>
        <v>308</v>
      </c>
      <c r="J361" s="135"/>
      <c r="K361" s="135"/>
      <c r="L361" s="135"/>
      <c r="M361" s="135"/>
      <c r="N361" s="136"/>
    </row>
    <row r="362" spans="2:14" ht="16" x14ac:dyDescent="0.25">
      <c r="B362" s="114"/>
      <c r="C362" s="138" t="s">
        <v>237</v>
      </c>
      <c r="D362" s="138"/>
      <c r="E362" s="162">
        <f>'Ratio Analysis'!W264</f>
        <v>40</v>
      </c>
      <c r="F362" s="162">
        <f>'Ratio Analysis'!X264</f>
        <v>66</v>
      </c>
      <c r="G362" s="162">
        <f>'Ratio Analysis'!Y264</f>
        <v>44</v>
      </c>
      <c r="H362" s="162">
        <f>'Ratio Analysis'!Z264</f>
        <v>51</v>
      </c>
      <c r="I362" s="162">
        <f>'Ratio Analysis'!AA264</f>
        <v>51</v>
      </c>
      <c r="J362" s="139">
        <f t="array" ref="J362:N362">TRANSPOSE('Ratio Analysis'!AA268:AA272)</f>
        <v>49</v>
      </c>
      <c r="K362" s="139">
        <v>43</v>
      </c>
      <c r="L362" s="139">
        <v>28</v>
      </c>
      <c r="M362" s="139">
        <v>28</v>
      </c>
      <c r="N362" s="140">
        <v>28</v>
      </c>
    </row>
    <row r="363" spans="2:14" ht="16" x14ac:dyDescent="0.25">
      <c r="E363" s="12"/>
      <c r="F363" s="12"/>
      <c r="G363" s="12"/>
      <c r="H363" s="12"/>
      <c r="I363" s="12"/>
      <c r="J363" s="12"/>
      <c r="K363" s="12"/>
      <c r="L363" s="12"/>
      <c r="M363" s="12"/>
      <c r="N363" s="12"/>
    </row>
    <row r="364" spans="2:14" ht="16" x14ac:dyDescent="0.25">
      <c r="C364" s="19" t="s">
        <v>505</v>
      </c>
      <c r="E364" s="12"/>
      <c r="F364" s="12"/>
      <c r="G364" s="12"/>
      <c r="H364" s="12"/>
      <c r="I364" s="12"/>
      <c r="J364" s="12"/>
      <c r="K364" s="12"/>
      <c r="L364" s="12"/>
      <c r="M364" s="12"/>
      <c r="N364" s="12"/>
    </row>
    <row r="365" spans="2:14" ht="16" x14ac:dyDescent="0.25">
      <c r="E365" s="12"/>
      <c r="F365" s="12"/>
      <c r="G365" s="12"/>
      <c r="H365" s="12"/>
      <c r="I365" s="12"/>
      <c r="J365" s="12"/>
      <c r="K365" s="12"/>
      <c r="L365" s="12"/>
      <c r="M365" s="12"/>
      <c r="N365" s="12"/>
    </row>
    <row r="366" spans="2:14" ht="16" x14ac:dyDescent="0.25">
      <c r="C366" s="13" t="str">
        <f>C361</f>
        <v>Gross Closing Balance</v>
      </c>
      <c r="E366" s="12">
        <f t="shared" ref="E366:I366" si="213">E361</f>
        <v>401.50199999999995</v>
      </c>
      <c r="F366" s="12">
        <f t="shared" si="213"/>
        <v>348</v>
      </c>
      <c r="G366" s="12">
        <f t="shared" si="213"/>
        <v>383</v>
      </c>
      <c r="H366" s="12">
        <f t="shared" si="213"/>
        <v>364</v>
      </c>
      <c r="I366" s="12">
        <f t="shared" si="213"/>
        <v>308</v>
      </c>
      <c r="J366" s="12">
        <f t="shared" ref="J366:N366" si="214">I368</f>
        <v>257</v>
      </c>
      <c r="K366" s="12">
        <f t="shared" si="214"/>
        <v>208</v>
      </c>
      <c r="L366" s="12">
        <f t="shared" si="214"/>
        <v>165</v>
      </c>
      <c r="M366" s="12">
        <f t="shared" si="214"/>
        <v>137</v>
      </c>
      <c r="N366" s="12">
        <f t="shared" si="214"/>
        <v>109</v>
      </c>
    </row>
    <row r="367" spans="2:14" ht="16" x14ac:dyDescent="0.25">
      <c r="C367" s="68" t="s">
        <v>506</v>
      </c>
      <c r="E367" s="12">
        <f t="shared" ref="E367:N367" si="215">-E362</f>
        <v>-40</v>
      </c>
      <c r="F367" s="12">
        <f t="shared" si="215"/>
        <v>-66</v>
      </c>
      <c r="G367" s="12">
        <f t="shared" si="215"/>
        <v>-44</v>
      </c>
      <c r="H367" s="12">
        <f t="shared" si="215"/>
        <v>-51</v>
      </c>
      <c r="I367" s="12">
        <f t="shared" si="215"/>
        <v>-51</v>
      </c>
      <c r="J367" s="12">
        <f t="shared" si="215"/>
        <v>-49</v>
      </c>
      <c r="K367" s="12">
        <f t="shared" si="215"/>
        <v>-43</v>
      </c>
      <c r="L367" s="12">
        <f t="shared" si="215"/>
        <v>-28</v>
      </c>
      <c r="M367" s="12">
        <f t="shared" si="215"/>
        <v>-28</v>
      </c>
      <c r="N367" s="12">
        <f t="shared" si="215"/>
        <v>-28</v>
      </c>
    </row>
    <row r="368" spans="2:14" ht="20" customHeight="1" x14ac:dyDescent="0.25">
      <c r="C368" s="15" t="s">
        <v>507</v>
      </c>
      <c r="D368" s="15"/>
      <c r="E368" s="16">
        <f t="shared" ref="E368:N368" si="216">SUM(E366:E367)</f>
        <v>361.50199999999995</v>
      </c>
      <c r="F368" s="16">
        <f t="shared" si="216"/>
        <v>282</v>
      </c>
      <c r="G368" s="16">
        <f t="shared" si="216"/>
        <v>339</v>
      </c>
      <c r="H368" s="16">
        <f t="shared" si="216"/>
        <v>313</v>
      </c>
      <c r="I368" s="16">
        <f t="shared" si="216"/>
        <v>257</v>
      </c>
      <c r="J368" s="16">
        <f t="shared" si="216"/>
        <v>208</v>
      </c>
      <c r="K368" s="16">
        <f t="shared" si="216"/>
        <v>165</v>
      </c>
      <c r="L368" s="16">
        <f t="shared" si="216"/>
        <v>137</v>
      </c>
      <c r="M368" s="16">
        <f t="shared" si="216"/>
        <v>109</v>
      </c>
      <c r="N368" s="16">
        <f t="shared" si="216"/>
        <v>81</v>
      </c>
    </row>
    <row r="369" spans="2:14" ht="16" x14ac:dyDescent="0.25">
      <c r="E369" s="12"/>
      <c r="F369" s="12"/>
      <c r="G369" s="12"/>
      <c r="H369" s="12"/>
      <c r="I369" s="12"/>
      <c r="J369" s="12"/>
      <c r="K369" s="12"/>
      <c r="L369" s="12"/>
      <c r="M369" s="12"/>
      <c r="N369" s="12"/>
    </row>
    <row r="370" spans="2:14" ht="16" x14ac:dyDescent="0.25">
      <c r="E370" s="12"/>
      <c r="F370" s="12"/>
      <c r="G370" s="12"/>
      <c r="H370" s="12"/>
      <c r="I370" s="12"/>
      <c r="J370" s="12"/>
      <c r="K370" s="12"/>
      <c r="L370" s="12"/>
      <c r="M370" s="12"/>
      <c r="N370" s="12"/>
    </row>
    <row r="371" spans="2:14" ht="16" x14ac:dyDescent="0.25">
      <c r="E371" s="12"/>
      <c r="F371" s="12"/>
      <c r="G371" s="12"/>
      <c r="H371" s="12"/>
      <c r="I371" s="12"/>
      <c r="J371" s="12"/>
      <c r="K371" s="12"/>
      <c r="L371" s="12"/>
      <c r="M371" s="12"/>
      <c r="N371" s="12"/>
    </row>
    <row r="372" spans="2:14" ht="6" customHeight="1" x14ac:dyDescent="0.25"/>
    <row r="373" spans="2:14" ht="20" customHeight="1" x14ac:dyDescent="0.25">
      <c r="B373" s="2" t="str">
        <f>'Cover Page'!$C$18</f>
        <v>Tesla, Inc.</v>
      </c>
      <c r="C373" s="3"/>
      <c r="D373" s="3"/>
      <c r="E373" s="3"/>
      <c r="F373" s="3"/>
      <c r="G373" s="3"/>
      <c r="H373" s="3"/>
      <c r="I373" s="3"/>
      <c r="J373" s="3"/>
      <c r="K373" s="3"/>
      <c r="L373" s="3"/>
      <c r="M373" s="3"/>
      <c r="N373" s="3"/>
    </row>
    <row r="374" spans="2:14" ht="15" customHeight="1" x14ac:dyDescent="0.25">
      <c r="B374" s="4" t="s">
        <v>512</v>
      </c>
      <c r="C374" s="4"/>
      <c r="D374" s="4"/>
      <c r="E374" s="4"/>
      <c r="F374" s="4"/>
      <c r="G374" s="4"/>
      <c r="H374" s="4"/>
      <c r="I374" s="4"/>
      <c r="J374" s="4"/>
      <c r="K374" s="4"/>
      <c r="L374" s="4"/>
      <c r="M374" s="4"/>
      <c r="N374" s="4"/>
    </row>
    <row r="375" spans="2:14" ht="6" customHeight="1" thickBot="1" x14ac:dyDescent="0.3">
      <c r="B375" s="5"/>
      <c r="C375" s="5"/>
      <c r="D375" s="5"/>
      <c r="E375" s="5"/>
      <c r="F375" s="5"/>
      <c r="G375" s="5"/>
      <c r="H375" s="5"/>
      <c r="I375" s="5"/>
      <c r="J375" s="5"/>
      <c r="K375" s="5"/>
      <c r="L375" s="5"/>
      <c r="M375" s="5"/>
      <c r="N375" s="5"/>
    </row>
    <row r="376" spans="2:14" ht="15" customHeight="1" x14ac:dyDescent="0.25">
      <c r="B376" s="117" t="str">
        <f>Scenarios!$B$5</f>
        <v>$ MM's ( unless otherwise specified )</v>
      </c>
      <c r="C376" s="117"/>
      <c r="D376" s="117"/>
      <c r="E376" s="117"/>
      <c r="F376" s="117"/>
      <c r="G376" s="117"/>
      <c r="H376" s="117"/>
      <c r="I376" s="117"/>
      <c r="J376" s="117"/>
      <c r="K376" s="117"/>
      <c r="L376" s="117"/>
      <c r="M376" s="117"/>
      <c r="N376" s="121" t="str">
        <f>Scenarios!$N$5</f>
        <v>Based on: Base Case Senario</v>
      </c>
    </row>
    <row r="377" spans="2:14" ht="6" customHeight="1" x14ac:dyDescent="0.25"/>
    <row r="378" spans="2:14" ht="15" customHeight="1" x14ac:dyDescent="0.25">
      <c r="E378" s="6" t="s">
        <v>7</v>
      </c>
      <c r="F378" s="7"/>
      <c r="G378" s="7"/>
      <c r="H378" s="7"/>
      <c r="I378" s="7"/>
      <c r="J378" s="8" t="s">
        <v>6</v>
      </c>
      <c r="K378" s="9"/>
      <c r="L378" s="9"/>
      <c r="M378" s="9"/>
      <c r="N378" s="9"/>
    </row>
    <row r="379" spans="2:14" ht="15" customHeight="1" x14ac:dyDescent="0.25">
      <c r="E379" s="10">
        <f t="shared" ref="E379" si="217">F379-1</f>
        <v>2017</v>
      </c>
      <c r="F379" s="10">
        <f t="shared" ref="F379" si="218">G379-1</f>
        <v>2018</v>
      </c>
      <c r="G379" s="10">
        <f t="shared" ref="G379" si="219">H379-1</f>
        <v>2019</v>
      </c>
      <c r="H379" s="10">
        <f t="shared" ref="H379" si="220">I379-1</f>
        <v>2020</v>
      </c>
      <c r="I379" s="10">
        <f t="shared" ref="I379" si="221">J379-1</f>
        <v>2021</v>
      </c>
      <c r="J379" s="11">
        <v>2022</v>
      </c>
      <c r="K379" s="11">
        <f>J379+1</f>
        <v>2023</v>
      </c>
      <c r="L379" s="11">
        <f t="shared" ref="L379" si="222">K379+1</f>
        <v>2024</v>
      </c>
      <c r="M379" s="11">
        <f t="shared" ref="M379" si="223">L379+1</f>
        <v>2025</v>
      </c>
      <c r="N379" s="11">
        <f t="shared" ref="N379" si="224">M379+1</f>
        <v>2026</v>
      </c>
    </row>
    <row r="380" spans="2:14" ht="16" x14ac:dyDescent="0.25">
      <c r="E380" s="12"/>
      <c r="F380" s="12"/>
      <c r="G380" s="12"/>
      <c r="H380" s="12"/>
      <c r="I380" s="12"/>
      <c r="J380" s="12"/>
      <c r="K380" s="12"/>
      <c r="L380" s="12"/>
      <c r="M380" s="12"/>
      <c r="N380" s="12"/>
    </row>
    <row r="381" spans="2:14" ht="16" x14ac:dyDescent="0.25">
      <c r="B381" s="122"/>
      <c r="C381" s="105" t="s">
        <v>205</v>
      </c>
      <c r="D381" s="105"/>
      <c r="E381" s="106">
        <f>'Ratio Analysis'!W278</f>
        <v>0</v>
      </c>
      <c r="F381" s="106">
        <f>'Ratio Analysis'!X278</f>
        <v>60.237000000000002</v>
      </c>
      <c r="G381" s="106">
        <f>'Ratio Analysis'!Y278</f>
        <v>68</v>
      </c>
      <c r="H381" s="106">
        <f>'Ratio Analysis'!Z278</f>
        <v>198</v>
      </c>
      <c r="I381" s="106">
        <f>'Ratio Analysis'!AA278</f>
        <v>207</v>
      </c>
      <c r="J381" s="135"/>
      <c r="K381" s="135"/>
      <c r="L381" s="135"/>
      <c r="M381" s="135"/>
      <c r="N381" s="136"/>
    </row>
    <row r="382" spans="2:14" ht="16" x14ac:dyDescent="0.25">
      <c r="B382" s="114"/>
      <c r="C382" s="138" t="s">
        <v>511</v>
      </c>
      <c r="D382" s="138"/>
      <c r="E382" s="162">
        <f>'Ratio Analysis'!W279</f>
        <v>0</v>
      </c>
      <c r="F382" s="162">
        <f>'Ratio Analysis'!X279</f>
        <v>7.7629999999999981</v>
      </c>
      <c r="G382" s="162">
        <f>'Ratio Analysis'!Y279</f>
        <v>130</v>
      </c>
      <c r="H382" s="162">
        <f>'Ratio Analysis'!Z279</f>
        <v>9</v>
      </c>
      <c r="I382" s="162">
        <f>'Ratio Analysis'!AA279</f>
        <v>-7</v>
      </c>
      <c r="J382" s="162">
        <f>Assumptions!M48</f>
        <v>4</v>
      </c>
      <c r="K382" s="162">
        <f>Assumptions!$O$48</f>
        <v>0</v>
      </c>
      <c r="L382" s="162">
        <f>Assumptions!$O$48</f>
        <v>0</v>
      </c>
      <c r="M382" s="139"/>
      <c r="N382" s="140"/>
    </row>
    <row r="383" spans="2:14" ht="16" x14ac:dyDescent="0.25">
      <c r="E383" s="12"/>
      <c r="F383" s="12"/>
      <c r="G383" s="12"/>
      <c r="H383" s="12"/>
      <c r="I383" s="12"/>
      <c r="J383" s="12"/>
      <c r="K383" s="12"/>
      <c r="L383" s="12"/>
      <c r="M383" s="12"/>
      <c r="N383" s="12"/>
    </row>
    <row r="384" spans="2:14" ht="16" x14ac:dyDescent="0.25">
      <c r="C384" s="19" t="s">
        <v>509</v>
      </c>
      <c r="E384" s="12"/>
      <c r="F384" s="12"/>
      <c r="G384" s="12"/>
      <c r="H384" s="12"/>
      <c r="I384" s="12"/>
      <c r="J384" s="12"/>
      <c r="K384" s="12"/>
      <c r="L384" s="12"/>
      <c r="M384" s="12"/>
      <c r="N384" s="12"/>
    </row>
    <row r="385" spans="2:14" ht="16" x14ac:dyDescent="0.25">
      <c r="E385" s="12"/>
      <c r="F385" s="12"/>
      <c r="G385" s="12"/>
      <c r="H385" s="12"/>
      <c r="I385" s="12"/>
      <c r="J385" s="12"/>
      <c r="K385" s="12"/>
      <c r="L385" s="12"/>
      <c r="M385" s="12"/>
      <c r="N385" s="12"/>
    </row>
    <row r="386" spans="2:14" ht="16" x14ac:dyDescent="0.25">
      <c r="C386" s="1" t="str">
        <f>C381</f>
        <v>Gross Closing Balance</v>
      </c>
      <c r="E386" s="99"/>
      <c r="F386" s="12">
        <f t="shared" ref="F386:I386" si="225">F381</f>
        <v>60.237000000000002</v>
      </c>
      <c r="G386" s="12">
        <f t="shared" si="225"/>
        <v>68</v>
      </c>
      <c r="H386" s="12">
        <f t="shared" si="225"/>
        <v>198</v>
      </c>
      <c r="I386" s="12">
        <f t="shared" si="225"/>
        <v>207</v>
      </c>
      <c r="J386" s="12">
        <f t="shared" ref="J386:N386" si="226">I388</f>
        <v>200</v>
      </c>
      <c r="K386" s="12">
        <f t="shared" si="226"/>
        <v>204</v>
      </c>
      <c r="L386" s="12">
        <f t="shared" si="226"/>
        <v>204</v>
      </c>
      <c r="M386" s="12">
        <f t="shared" si="226"/>
        <v>204</v>
      </c>
      <c r="N386" s="12">
        <f t="shared" si="226"/>
        <v>204</v>
      </c>
    </row>
    <row r="387" spans="2:14" ht="16" x14ac:dyDescent="0.25">
      <c r="C387" s="65" t="s">
        <v>500</v>
      </c>
      <c r="E387" s="99"/>
      <c r="F387" s="12">
        <f t="shared" ref="F387:N387" si="227">F382</f>
        <v>7.7629999999999981</v>
      </c>
      <c r="G387" s="12">
        <f t="shared" si="227"/>
        <v>130</v>
      </c>
      <c r="H387" s="12">
        <f t="shared" si="227"/>
        <v>9</v>
      </c>
      <c r="I387" s="12">
        <f t="shared" si="227"/>
        <v>-7</v>
      </c>
      <c r="J387" s="12">
        <f t="shared" si="227"/>
        <v>4</v>
      </c>
      <c r="K387" s="12">
        <f t="shared" si="227"/>
        <v>0</v>
      </c>
      <c r="L387" s="12">
        <f t="shared" si="227"/>
        <v>0</v>
      </c>
      <c r="M387" s="12">
        <f t="shared" si="227"/>
        <v>0</v>
      </c>
      <c r="N387" s="12">
        <f t="shared" si="227"/>
        <v>0</v>
      </c>
    </row>
    <row r="388" spans="2:14" ht="20" customHeight="1" x14ac:dyDescent="0.25">
      <c r="C388" s="15" t="s">
        <v>513</v>
      </c>
      <c r="D388" s="15"/>
      <c r="E388" s="16">
        <f>F386</f>
        <v>60.237000000000002</v>
      </c>
      <c r="F388" s="16">
        <f t="shared" ref="F388:N388" si="228">F386+F387</f>
        <v>68</v>
      </c>
      <c r="G388" s="16">
        <f t="shared" si="228"/>
        <v>198</v>
      </c>
      <c r="H388" s="16">
        <f t="shared" si="228"/>
        <v>207</v>
      </c>
      <c r="I388" s="16">
        <f t="shared" si="228"/>
        <v>200</v>
      </c>
      <c r="J388" s="16">
        <f t="shared" si="228"/>
        <v>204</v>
      </c>
      <c r="K388" s="16">
        <f t="shared" si="228"/>
        <v>204</v>
      </c>
      <c r="L388" s="16">
        <f t="shared" si="228"/>
        <v>204</v>
      </c>
      <c r="M388" s="16">
        <f t="shared" si="228"/>
        <v>204</v>
      </c>
      <c r="N388" s="16">
        <f t="shared" si="228"/>
        <v>204</v>
      </c>
    </row>
    <row r="389" spans="2:14" ht="16" x14ac:dyDescent="0.25">
      <c r="E389" s="12"/>
      <c r="F389" s="12"/>
      <c r="G389" s="12"/>
      <c r="H389" s="12"/>
      <c r="I389" s="12"/>
      <c r="J389" s="12"/>
      <c r="K389" s="12"/>
      <c r="L389" s="12"/>
      <c r="M389" s="12"/>
      <c r="N389" s="12"/>
    </row>
    <row r="390" spans="2:14" ht="16" x14ac:dyDescent="0.25">
      <c r="E390" s="12"/>
      <c r="F390" s="12"/>
      <c r="G390" s="12"/>
      <c r="H390" s="12"/>
      <c r="I390" s="12"/>
      <c r="J390" s="12"/>
      <c r="K390" s="12"/>
      <c r="L390" s="12"/>
      <c r="M390" s="12"/>
      <c r="N390" s="12"/>
    </row>
    <row r="391" spans="2:14" ht="16" x14ac:dyDescent="0.25">
      <c r="E391" s="12"/>
      <c r="F391" s="12"/>
      <c r="G391" s="12"/>
      <c r="H391" s="12"/>
      <c r="I391" s="12"/>
      <c r="J391" s="12"/>
      <c r="K391" s="12"/>
      <c r="L391" s="12"/>
      <c r="M391" s="12"/>
      <c r="N391" s="12"/>
    </row>
    <row r="392" spans="2:14" ht="6" customHeight="1" x14ac:dyDescent="0.25"/>
    <row r="393" spans="2:14" ht="20" customHeight="1" x14ac:dyDescent="0.25">
      <c r="B393" s="2" t="str">
        <f>'Cover Page'!$C$18</f>
        <v>Tesla, Inc.</v>
      </c>
      <c r="C393" s="3"/>
      <c r="D393" s="3"/>
      <c r="E393" s="3"/>
      <c r="F393" s="3"/>
      <c r="G393" s="3"/>
      <c r="H393" s="3"/>
      <c r="I393" s="3"/>
      <c r="J393" s="3"/>
      <c r="K393" s="3"/>
      <c r="L393" s="3"/>
      <c r="M393" s="3"/>
      <c r="N393" s="3"/>
    </row>
    <row r="394" spans="2:14" ht="15" customHeight="1" x14ac:dyDescent="0.25">
      <c r="B394" s="4" t="s">
        <v>516</v>
      </c>
      <c r="C394" s="4"/>
      <c r="D394" s="4"/>
      <c r="E394" s="4"/>
      <c r="F394" s="4"/>
      <c r="G394" s="4"/>
      <c r="H394" s="4"/>
      <c r="I394" s="4"/>
      <c r="J394" s="4"/>
      <c r="K394" s="4"/>
      <c r="L394" s="4"/>
      <c r="M394" s="4"/>
      <c r="N394" s="4"/>
    </row>
    <row r="395" spans="2:14" ht="6" customHeight="1" thickBot="1" x14ac:dyDescent="0.3">
      <c r="B395" s="5"/>
      <c r="C395" s="5"/>
      <c r="D395" s="5"/>
      <c r="E395" s="5"/>
      <c r="F395" s="5"/>
      <c r="G395" s="5"/>
      <c r="H395" s="5"/>
      <c r="I395" s="5"/>
      <c r="J395" s="5"/>
      <c r="K395" s="5"/>
      <c r="L395" s="5"/>
      <c r="M395" s="5"/>
      <c r="N395" s="5"/>
    </row>
    <row r="396" spans="2:14" ht="15" customHeight="1" x14ac:dyDescent="0.25">
      <c r="B396" s="117" t="str">
        <f>Scenarios!$B$5</f>
        <v>$ MM's ( unless otherwise specified )</v>
      </c>
      <c r="C396" s="117"/>
      <c r="D396" s="117"/>
      <c r="E396" s="117"/>
      <c r="F396" s="117"/>
      <c r="G396" s="117"/>
      <c r="H396" s="117"/>
      <c r="I396" s="117"/>
      <c r="J396" s="117"/>
      <c r="K396" s="117"/>
      <c r="L396" s="117"/>
      <c r="M396" s="117"/>
      <c r="N396" s="121" t="str">
        <f>Scenarios!$N$5</f>
        <v>Based on: Base Case Senario</v>
      </c>
    </row>
    <row r="397" spans="2:14" ht="6" customHeight="1" x14ac:dyDescent="0.25"/>
    <row r="398" spans="2:14" ht="15" customHeight="1" x14ac:dyDescent="0.25">
      <c r="E398" s="6" t="s">
        <v>7</v>
      </c>
      <c r="F398" s="7"/>
      <c r="G398" s="7"/>
      <c r="H398" s="7"/>
      <c r="I398" s="7"/>
      <c r="J398" s="8" t="s">
        <v>6</v>
      </c>
      <c r="K398" s="9"/>
      <c r="L398" s="9"/>
      <c r="M398" s="9"/>
      <c r="N398" s="9"/>
    </row>
    <row r="399" spans="2:14" ht="15" customHeight="1" x14ac:dyDescent="0.25">
      <c r="E399" s="10">
        <f t="shared" ref="E399" si="229">F399-1</f>
        <v>2017</v>
      </c>
      <c r="F399" s="10">
        <f t="shared" ref="F399" si="230">G399-1</f>
        <v>2018</v>
      </c>
      <c r="G399" s="10">
        <f t="shared" ref="G399" si="231">H399-1</f>
        <v>2019</v>
      </c>
      <c r="H399" s="10">
        <f t="shared" ref="H399" si="232">I399-1</f>
        <v>2020</v>
      </c>
      <c r="I399" s="10">
        <f t="shared" ref="I399" si="233">J399-1</f>
        <v>2021</v>
      </c>
      <c r="J399" s="11">
        <v>2022</v>
      </c>
      <c r="K399" s="11">
        <f>J399+1</f>
        <v>2023</v>
      </c>
      <c r="L399" s="11">
        <f t="shared" ref="L399" si="234">K399+1</f>
        <v>2024</v>
      </c>
      <c r="M399" s="11">
        <f t="shared" ref="M399" si="235">L399+1</f>
        <v>2025</v>
      </c>
      <c r="N399" s="11">
        <f t="shared" ref="N399" si="236">M399+1</f>
        <v>2026</v>
      </c>
    </row>
    <row r="400" spans="2:14" ht="16" x14ac:dyDescent="0.25">
      <c r="E400" s="12"/>
      <c r="F400" s="12"/>
      <c r="G400" s="12"/>
      <c r="H400" s="12"/>
      <c r="I400" s="12"/>
      <c r="J400" s="12"/>
      <c r="K400" s="12"/>
      <c r="L400" s="12"/>
      <c r="M400" s="12"/>
      <c r="N400" s="12"/>
    </row>
    <row r="401" spans="2:14" ht="16" x14ac:dyDescent="0.25">
      <c r="B401" s="122"/>
      <c r="C401" s="105" t="s">
        <v>59</v>
      </c>
      <c r="D401" s="105"/>
      <c r="E401" s="106">
        <f>'Ratio Analysis'!W115</f>
        <v>729.77499999999998</v>
      </c>
      <c r="F401" s="106">
        <f>'Ratio Analysis'!X115</f>
        <v>994</v>
      </c>
      <c r="G401" s="106">
        <f>'Ratio Analysis'!Y115</f>
        <v>1470</v>
      </c>
      <c r="H401" s="106">
        <f>'Ratio Analysis'!Z115</f>
        <v>1536</v>
      </c>
      <c r="I401" s="106">
        <f>'Ratio Analysis'!AA115</f>
        <v>2138</v>
      </c>
      <c r="J401" s="135"/>
      <c r="K401" s="135"/>
      <c r="L401" s="135"/>
      <c r="M401" s="135"/>
      <c r="N401" s="136"/>
    </row>
    <row r="402" spans="2:14" ht="16" x14ac:dyDescent="0.25">
      <c r="B402" s="114"/>
      <c r="C402" s="138" t="s">
        <v>517</v>
      </c>
      <c r="D402" s="138"/>
      <c r="E402" s="169"/>
      <c r="F402" s="169"/>
      <c r="G402" s="169"/>
      <c r="H402" s="169"/>
      <c r="I402" s="169"/>
      <c r="J402" s="162">
        <f>Assumptions!$F$61</f>
        <v>814</v>
      </c>
      <c r="K402" s="162">
        <f>Assumptions!$H$61</f>
        <v>0</v>
      </c>
      <c r="L402" s="162">
        <f>Assumptions!$H$61</f>
        <v>0</v>
      </c>
      <c r="M402" s="162">
        <f>Assumptions!$H$61</f>
        <v>0</v>
      </c>
      <c r="N402" s="163">
        <f>Assumptions!$H$61</f>
        <v>0</v>
      </c>
    </row>
    <row r="403" spans="2:14" ht="16" x14ac:dyDescent="0.25">
      <c r="E403" s="12"/>
      <c r="F403" s="12"/>
      <c r="G403" s="12"/>
      <c r="H403" s="12"/>
      <c r="I403" s="12"/>
      <c r="J403" s="12"/>
      <c r="K403" s="12"/>
      <c r="L403" s="12"/>
      <c r="M403" s="12"/>
      <c r="N403" s="12"/>
    </row>
    <row r="404" spans="2:14" ht="16" x14ac:dyDescent="0.25">
      <c r="B404" s="19" t="str">
        <f>C401</f>
        <v>Other non-current assets</v>
      </c>
      <c r="E404" s="12"/>
      <c r="F404" s="12"/>
      <c r="G404" s="12"/>
      <c r="H404" s="12"/>
      <c r="I404" s="12"/>
      <c r="J404" s="12"/>
      <c r="K404" s="12"/>
      <c r="L404" s="12"/>
      <c r="M404" s="12"/>
      <c r="N404" s="12"/>
    </row>
    <row r="405" spans="2:14" ht="16" x14ac:dyDescent="0.25">
      <c r="E405" s="12"/>
      <c r="F405" s="12"/>
      <c r="G405" s="12"/>
      <c r="H405" s="12"/>
      <c r="I405" s="12"/>
      <c r="J405" s="12"/>
      <c r="K405" s="12"/>
      <c r="L405" s="12"/>
      <c r="M405" s="12"/>
      <c r="N405" s="12"/>
    </row>
    <row r="406" spans="2:14" ht="16" x14ac:dyDescent="0.25">
      <c r="C406" s="1" t="s">
        <v>205</v>
      </c>
      <c r="E406" s="99"/>
      <c r="F406" s="12">
        <f>E408</f>
        <v>729.77499999999998</v>
      </c>
      <c r="G406" s="12">
        <f t="shared" ref="G406:N406" si="237">F408</f>
        <v>994</v>
      </c>
      <c r="H406" s="12">
        <f t="shared" si="237"/>
        <v>1470</v>
      </c>
      <c r="I406" s="12">
        <f t="shared" si="237"/>
        <v>1536</v>
      </c>
      <c r="J406" s="12">
        <f t="shared" si="237"/>
        <v>2138</v>
      </c>
      <c r="K406" s="12">
        <f t="shared" si="237"/>
        <v>2952</v>
      </c>
      <c r="L406" s="12">
        <f t="shared" si="237"/>
        <v>2952</v>
      </c>
      <c r="M406" s="12">
        <f t="shared" si="237"/>
        <v>2952</v>
      </c>
      <c r="N406" s="12">
        <f t="shared" si="237"/>
        <v>2952</v>
      </c>
    </row>
    <row r="407" spans="2:14" ht="16" x14ac:dyDescent="0.25">
      <c r="C407" s="65" t="s">
        <v>521</v>
      </c>
      <c r="E407" s="99"/>
      <c r="F407" s="12">
        <f t="shared" ref="F407:I407" si="238">F408-F406</f>
        <v>264.22500000000002</v>
      </c>
      <c r="G407" s="12">
        <f t="shared" si="238"/>
        <v>476</v>
      </c>
      <c r="H407" s="12">
        <f t="shared" si="238"/>
        <v>66</v>
      </c>
      <c r="I407" s="12">
        <f t="shared" si="238"/>
        <v>602</v>
      </c>
      <c r="J407" s="12">
        <f>J402</f>
        <v>814</v>
      </c>
      <c r="K407" s="12">
        <f t="shared" ref="K407:N407" si="239">K402</f>
        <v>0</v>
      </c>
      <c r="L407" s="12">
        <f t="shared" si="239"/>
        <v>0</v>
      </c>
      <c r="M407" s="12">
        <f t="shared" si="239"/>
        <v>0</v>
      </c>
      <c r="N407" s="12">
        <f t="shared" si="239"/>
        <v>0</v>
      </c>
    </row>
    <row r="408" spans="2:14" ht="20" customHeight="1" x14ac:dyDescent="0.25">
      <c r="C408" s="15" t="s">
        <v>218</v>
      </c>
      <c r="D408" s="15"/>
      <c r="E408" s="16">
        <f>E401</f>
        <v>729.77499999999998</v>
      </c>
      <c r="F408" s="16">
        <f t="shared" ref="F408:I408" si="240">F401</f>
        <v>994</v>
      </c>
      <c r="G408" s="16">
        <f t="shared" si="240"/>
        <v>1470</v>
      </c>
      <c r="H408" s="16">
        <f t="shared" si="240"/>
        <v>1536</v>
      </c>
      <c r="I408" s="16">
        <f t="shared" si="240"/>
        <v>2138</v>
      </c>
      <c r="J408" s="16">
        <f t="shared" ref="J408:N408" si="241">SUM(J406:J407)</f>
        <v>2952</v>
      </c>
      <c r="K408" s="16">
        <f t="shared" si="241"/>
        <v>2952</v>
      </c>
      <c r="L408" s="16">
        <f t="shared" si="241"/>
        <v>2952</v>
      </c>
      <c r="M408" s="16">
        <f t="shared" si="241"/>
        <v>2952</v>
      </c>
      <c r="N408" s="16">
        <f t="shared" si="241"/>
        <v>2952</v>
      </c>
    </row>
    <row r="409" spans="2:14" ht="16" x14ac:dyDescent="0.25">
      <c r="E409" s="12"/>
      <c r="F409" s="12"/>
      <c r="G409" s="12"/>
      <c r="H409" s="12"/>
      <c r="I409" s="12"/>
      <c r="J409" s="12"/>
      <c r="K409" s="12"/>
      <c r="L409" s="12"/>
      <c r="M409" s="12"/>
      <c r="N409" s="12"/>
    </row>
    <row r="410" spans="2:14" ht="16" x14ac:dyDescent="0.25">
      <c r="E410" s="12"/>
      <c r="F410" s="12"/>
      <c r="G410" s="12"/>
      <c r="H410" s="12"/>
      <c r="I410" s="12"/>
      <c r="J410" s="12"/>
      <c r="K410" s="12"/>
      <c r="L410" s="12"/>
      <c r="M410" s="12"/>
      <c r="N410" s="12"/>
    </row>
    <row r="411" spans="2:14" ht="16" x14ac:dyDescent="0.25">
      <c r="E411" s="12"/>
      <c r="F411" s="12"/>
      <c r="G411" s="12"/>
      <c r="H411" s="12"/>
      <c r="I411" s="12"/>
      <c r="J411" s="12"/>
      <c r="K411" s="12"/>
      <c r="L411" s="12"/>
      <c r="M411" s="12"/>
      <c r="N411" s="12"/>
    </row>
    <row r="412" spans="2:14" ht="6" customHeight="1" x14ac:dyDescent="0.25"/>
    <row r="413" spans="2:14" ht="20" customHeight="1" x14ac:dyDescent="0.25">
      <c r="B413" s="2" t="str">
        <f>'Cover Page'!$C$18</f>
        <v>Tesla, Inc.</v>
      </c>
      <c r="C413" s="3"/>
      <c r="D413" s="3"/>
      <c r="E413" s="3"/>
      <c r="F413" s="3"/>
      <c r="G413" s="3"/>
      <c r="H413" s="3"/>
      <c r="I413" s="3"/>
      <c r="J413" s="3"/>
      <c r="K413" s="3"/>
      <c r="L413" s="3"/>
      <c r="M413" s="3"/>
      <c r="N413" s="3"/>
    </row>
    <row r="414" spans="2:14" ht="15" customHeight="1" x14ac:dyDescent="0.25">
      <c r="B414" s="4" t="s">
        <v>534</v>
      </c>
      <c r="C414" s="4"/>
      <c r="D414" s="4"/>
      <c r="E414" s="4"/>
      <c r="F414" s="4"/>
      <c r="G414" s="4"/>
      <c r="H414" s="4"/>
      <c r="I414" s="4"/>
      <c r="J414" s="4"/>
      <c r="K414" s="4"/>
      <c r="L414" s="4"/>
      <c r="M414" s="4"/>
      <c r="N414" s="4"/>
    </row>
    <row r="415" spans="2:14" ht="6" customHeight="1" thickBot="1" x14ac:dyDescent="0.3">
      <c r="B415" s="5"/>
      <c r="C415" s="5"/>
      <c r="D415" s="5"/>
      <c r="E415" s="5"/>
      <c r="F415" s="5"/>
      <c r="G415" s="5"/>
      <c r="H415" s="5"/>
      <c r="I415" s="5"/>
      <c r="J415" s="5"/>
      <c r="K415" s="5"/>
      <c r="L415" s="5"/>
      <c r="M415" s="5"/>
      <c r="N415" s="5"/>
    </row>
    <row r="416" spans="2:14" ht="15" customHeight="1" x14ac:dyDescent="0.25">
      <c r="B416" s="117" t="str">
        <f>Scenarios!$B$5</f>
        <v>$ MM's ( unless otherwise specified )</v>
      </c>
      <c r="C416" s="117"/>
      <c r="D416" s="117"/>
      <c r="E416" s="117"/>
      <c r="F416" s="117"/>
      <c r="G416" s="117"/>
      <c r="H416" s="117"/>
      <c r="I416" s="117"/>
      <c r="J416" s="117"/>
      <c r="K416" s="117"/>
      <c r="L416" s="117"/>
      <c r="M416" s="117"/>
      <c r="N416" s="121" t="str">
        <f>Scenarios!$N$5</f>
        <v>Based on: Base Case Senario</v>
      </c>
    </row>
    <row r="417" spans="2:14" ht="6" customHeight="1" x14ac:dyDescent="0.25"/>
    <row r="418" spans="2:14" ht="15" customHeight="1" x14ac:dyDescent="0.25">
      <c r="E418" s="6" t="s">
        <v>7</v>
      </c>
      <c r="F418" s="7"/>
      <c r="G418" s="7"/>
      <c r="H418" s="7"/>
      <c r="I418" s="7"/>
      <c r="J418" s="8" t="s">
        <v>6</v>
      </c>
      <c r="K418" s="9"/>
      <c r="L418" s="9"/>
      <c r="M418" s="9"/>
      <c r="N418" s="9"/>
    </row>
    <row r="419" spans="2:14" ht="15" customHeight="1" x14ac:dyDescent="0.25">
      <c r="E419" s="10">
        <f t="shared" ref="E419" si="242">F419-1</f>
        <v>2017</v>
      </c>
      <c r="F419" s="10">
        <f t="shared" ref="F419" si="243">G419-1</f>
        <v>2018</v>
      </c>
      <c r="G419" s="10">
        <f t="shared" ref="G419" si="244">H419-1</f>
        <v>2019</v>
      </c>
      <c r="H419" s="10">
        <f t="shared" ref="H419" si="245">I419-1</f>
        <v>2020</v>
      </c>
      <c r="I419" s="10">
        <f t="shared" ref="I419" si="246">J419-1</f>
        <v>2021</v>
      </c>
      <c r="J419" s="11">
        <v>2022</v>
      </c>
      <c r="K419" s="11">
        <f>J419+1</f>
        <v>2023</v>
      </c>
      <c r="L419" s="11">
        <f t="shared" ref="L419" si="247">K419+1</f>
        <v>2024</v>
      </c>
      <c r="M419" s="11">
        <f t="shared" ref="M419" si="248">L419+1</f>
        <v>2025</v>
      </c>
      <c r="N419" s="11">
        <f t="shared" ref="N419" si="249">M419+1</f>
        <v>2026</v>
      </c>
    </row>
    <row r="420" spans="2:14" ht="16" x14ac:dyDescent="0.25">
      <c r="E420" s="12"/>
      <c r="F420" s="12"/>
      <c r="G420" s="12"/>
      <c r="H420" s="12"/>
      <c r="I420" s="12"/>
      <c r="J420" s="12"/>
      <c r="K420" s="12"/>
      <c r="L420" s="12"/>
      <c r="M420" s="12"/>
      <c r="N420" s="12"/>
    </row>
    <row r="421" spans="2:14" ht="16" x14ac:dyDescent="0.25">
      <c r="B421" s="122"/>
      <c r="C421" s="105" t="s">
        <v>292</v>
      </c>
      <c r="D421" s="105"/>
      <c r="E421" s="106">
        <f>'Ratio Analysis'!W299</f>
        <v>350.565</v>
      </c>
      <c r="F421" s="106">
        <f>'Ratio Analysis'!X299</f>
        <v>1455</v>
      </c>
      <c r="G421" s="106">
        <f>'Ratio Analysis'!Y299</f>
        <v>253</v>
      </c>
      <c r="H421" s="106">
        <f>'Ratio Analysis'!Z299</f>
        <v>709</v>
      </c>
      <c r="I421" s="106">
        <f>'Ratio Analysis'!AA299</f>
        <v>30</v>
      </c>
      <c r="J421" s="106">
        <f>-Assumptions!M61</f>
        <v>-29</v>
      </c>
      <c r="K421" s="135"/>
      <c r="L421" s="135"/>
      <c r="M421" s="135"/>
      <c r="N421" s="136"/>
    </row>
    <row r="422" spans="2:14" ht="16" x14ac:dyDescent="0.25">
      <c r="B422" s="26"/>
      <c r="C422" s="1" t="s">
        <v>293</v>
      </c>
      <c r="E422" s="14">
        <f>'Ratio Analysis'!W300</f>
        <v>449.28399999999999</v>
      </c>
      <c r="F422" s="14">
        <f>'Ratio Analysis'!X300</f>
        <v>767</v>
      </c>
      <c r="G422" s="14">
        <f>'Ratio Analysis'!Y300</f>
        <v>1146</v>
      </c>
      <c r="H422" s="14">
        <f>'Ratio Analysis'!Z300</f>
        <v>1049</v>
      </c>
      <c r="I422" s="14">
        <f>'Ratio Analysis'!AA300</f>
        <v>1058</v>
      </c>
      <c r="J422" s="14">
        <f>-SUM(Assumptions!M62:M63)</f>
        <v>-3</v>
      </c>
      <c r="K422" s="99"/>
      <c r="L422" s="99"/>
      <c r="M422" s="99"/>
      <c r="N422" s="137"/>
    </row>
    <row r="423" spans="2:14" ht="16" x14ac:dyDescent="0.25">
      <c r="B423" s="114"/>
      <c r="C423" s="138" t="s">
        <v>490</v>
      </c>
      <c r="D423" s="138"/>
      <c r="E423" s="162">
        <f>'Ratio Analysis'!W302</f>
        <v>-3.2999999999999399</v>
      </c>
      <c r="F423" s="162">
        <f>'Ratio Analysis'!X302</f>
        <v>345.99999999999994</v>
      </c>
      <c r="G423" s="162">
        <f>'Ratio Analysis'!Y302</f>
        <v>386</v>
      </c>
      <c r="H423" s="162">
        <f>'Ratio Analysis'!Z302</f>
        <v>374</v>
      </c>
      <c r="I423" s="162">
        <f>'Ratio Analysis'!AA302</f>
        <v>501</v>
      </c>
      <c r="J423" s="162">
        <f>-Assumptions!M65</f>
        <v>-26</v>
      </c>
      <c r="K423" s="169"/>
      <c r="L423" s="169"/>
      <c r="M423" s="169"/>
      <c r="N423" s="170"/>
    </row>
    <row r="424" spans="2:14" ht="16" x14ac:dyDescent="0.25">
      <c r="E424" s="12"/>
      <c r="F424" s="12"/>
      <c r="G424" s="12"/>
      <c r="H424" s="12"/>
      <c r="I424" s="12"/>
      <c r="J424" s="12"/>
      <c r="K424" s="12"/>
      <c r="L424" s="12"/>
      <c r="M424" s="12"/>
      <c r="N424" s="12"/>
    </row>
    <row r="425" spans="2:14" ht="16" x14ac:dyDescent="0.25">
      <c r="B425" s="19" t="s">
        <v>488</v>
      </c>
      <c r="E425" s="12"/>
      <c r="F425" s="12"/>
      <c r="G425" s="12"/>
      <c r="H425" s="12"/>
      <c r="I425" s="12"/>
      <c r="J425" s="12"/>
      <c r="K425" s="12"/>
      <c r="L425" s="12"/>
      <c r="M425" s="12"/>
      <c r="N425" s="12"/>
    </row>
    <row r="426" spans="2:14" ht="16" x14ac:dyDescent="0.25">
      <c r="E426" s="12"/>
      <c r="F426" s="12"/>
      <c r="G426" s="12"/>
      <c r="H426" s="12"/>
      <c r="I426" s="12"/>
      <c r="J426" s="12"/>
      <c r="K426" s="12"/>
      <c r="L426" s="12"/>
      <c r="M426" s="12"/>
      <c r="N426" s="12"/>
    </row>
    <row r="427" spans="2:14" ht="16" x14ac:dyDescent="0.25">
      <c r="C427" s="1" t="s">
        <v>535</v>
      </c>
      <c r="E427" s="99"/>
      <c r="F427" s="99"/>
      <c r="G427" s="99"/>
      <c r="H427" s="99"/>
      <c r="I427" s="99"/>
      <c r="J427" s="12">
        <f t="shared" ref="J427:N427" si="250">I429</f>
        <v>1088</v>
      </c>
      <c r="K427" s="12">
        <f t="shared" si="250"/>
        <v>1056</v>
      </c>
      <c r="L427" s="12">
        <f t="shared" si="250"/>
        <v>1015.3846153846154</v>
      </c>
      <c r="M427" s="12">
        <f t="shared" si="250"/>
        <v>974.76923076923072</v>
      </c>
      <c r="N427" s="12">
        <f t="shared" si="250"/>
        <v>934.15384615384608</v>
      </c>
    </row>
    <row r="428" spans="2:14" ht="16" x14ac:dyDescent="0.25">
      <c r="C428" s="65" t="s">
        <v>480</v>
      </c>
      <c r="D428" s="175">
        <f>Assumptions!$M$70</f>
        <v>26</v>
      </c>
      <c r="E428" s="99"/>
      <c r="F428" s="99"/>
      <c r="G428" s="99"/>
      <c r="H428" s="99"/>
      <c r="I428" s="99"/>
      <c r="J428" s="12">
        <f>SUM(J421:J422)</f>
        <v>-32</v>
      </c>
      <c r="K428" s="12">
        <f>-K427/$D$428</f>
        <v>-40.615384615384613</v>
      </c>
      <c r="L428" s="12">
        <f>IF($K$427+SUM($K$428:K428)&gt;-K428,K428,0)</f>
        <v>-40.615384615384613</v>
      </c>
      <c r="M428" s="12">
        <f>IF($K$427+SUM($K$428:L428)&gt;-L428,L428,0)</f>
        <v>-40.615384615384613</v>
      </c>
      <c r="N428" s="12">
        <f>IF($K$427+SUM($K$428:M428)&gt;-M428,M428,0)</f>
        <v>-40.615384615384613</v>
      </c>
    </row>
    <row r="429" spans="2:14" ht="20" customHeight="1" x14ac:dyDescent="0.25">
      <c r="C429" s="15" t="s">
        <v>536</v>
      </c>
      <c r="D429" s="15"/>
      <c r="E429" s="16">
        <f>E421+E422</f>
        <v>799.84899999999993</v>
      </c>
      <c r="F429" s="16">
        <f t="shared" ref="F429:I429" si="251">F421+F422</f>
        <v>2222</v>
      </c>
      <c r="G429" s="16">
        <f t="shared" si="251"/>
        <v>1399</v>
      </c>
      <c r="H429" s="16">
        <f t="shared" si="251"/>
        <v>1758</v>
      </c>
      <c r="I429" s="16">
        <f t="shared" si="251"/>
        <v>1088</v>
      </c>
      <c r="J429" s="16">
        <f t="shared" ref="J429:N429" si="252">SUM(J427:J428)</f>
        <v>1056</v>
      </c>
      <c r="K429" s="16">
        <f t="shared" si="252"/>
        <v>1015.3846153846154</v>
      </c>
      <c r="L429" s="16">
        <f t="shared" si="252"/>
        <v>974.76923076923072</v>
      </c>
      <c r="M429" s="16">
        <f t="shared" si="252"/>
        <v>934.15384615384608</v>
      </c>
      <c r="N429" s="16">
        <f t="shared" si="252"/>
        <v>893.53846153846143</v>
      </c>
    </row>
    <row r="430" spans="2:14" ht="6" customHeight="1" x14ac:dyDescent="0.25">
      <c r="C430" s="30"/>
      <c r="D430" s="30"/>
      <c r="E430" s="181"/>
      <c r="F430" s="87"/>
      <c r="G430" s="87"/>
      <c r="H430" s="87"/>
      <c r="I430" s="87"/>
      <c r="J430" s="87"/>
      <c r="K430" s="87"/>
      <c r="L430" s="87"/>
      <c r="M430" s="87"/>
      <c r="N430" s="87"/>
    </row>
    <row r="431" spans="2:14" ht="15" customHeight="1" x14ac:dyDescent="0.25">
      <c r="C431" s="30" t="s">
        <v>564</v>
      </c>
      <c r="D431" s="167">
        <f>Assumptions!$M$67</f>
        <v>5.0935238095238089E-2</v>
      </c>
      <c r="E431" s="182"/>
      <c r="F431" s="182"/>
      <c r="G431" s="182"/>
      <c r="H431" s="182"/>
      <c r="I431" s="182"/>
      <c r="J431" s="87">
        <f t="shared" ref="J431:N431" si="253">J427*$D$431</f>
        <v>55.417539047619044</v>
      </c>
      <c r="K431" s="87">
        <f t="shared" si="253"/>
        <v>53.787611428571424</v>
      </c>
      <c r="L431" s="87">
        <f t="shared" si="253"/>
        <v>51.718857142857132</v>
      </c>
      <c r="M431" s="87">
        <f t="shared" si="253"/>
        <v>49.650102857142848</v>
      </c>
      <c r="N431" s="87">
        <f t="shared" si="253"/>
        <v>47.581348571428563</v>
      </c>
    </row>
    <row r="432" spans="2:14" ht="6" customHeight="1" x14ac:dyDescent="0.25">
      <c r="E432" s="12"/>
      <c r="F432" s="12"/>
      <c r="G432" s="12"/>
      <c r="H432" s="12"/>
      <c r="I432" s="12"/>
      <c r="J432" s="12"/>
      <c r="K432" s="12"/>
      <c r="L432" s="12"/>
      <c r="M432" s="12"/>
      <c r="N432" s="12"/>
    </row>
    <row r="433" spans="2:14" ht="16" x14ac:dyDescent="0.25">
      <c r="B433" s="19" t="s">
        <v>490</v>
      </c>
      <c r="E433" s="12"/>
      <c r="F433" s="12"/>
      <c r="G433" s="12"/>
      <c r="H433" s="12"/>
      <c r="I433" s="12"/>
      <c r="J433" s="12"/>
      <c r="K433" s="12"/>
      <c r="L433" s="12"/>
      <c r="M433" s="12"/>
      <c r="N433" s="12"/>
    </row>
    <row r="434" spans="2:14" ht="16" x14ac:dyDescent="0.25">
      <c r="E434" s="12"/>
      <c r="F434" s="12"/>
      <c r="G434" s="12"/>
      <c r="H434" s="12"/>
      <c r="I434" s="12"/>
      <c r="J434" s="12"/>
      <c r="K434" s="12"/>
      <c r="L434" s="12"/>
      <c r="M434" s="12"/>
      <c r="N434" s="12"/>
    </row>
    <row r="435" spans="2:14" ht="16" x14ac:dyDescent="0.25">
      <c r="C435" s="1" t="s">
        <v>535</v>
      </c>
      <c r="E435" s="100"/>
      <c r="F435" s="100"/>
      <c r="G435" s="100"/>
      <c r="H435" s="100"/>
      <c r="I435" s="100"/>
      <c r="J435" s="12">
        <f>I437</f>
        <v>501</v>
      </c>
      <c r="K435" s="12">
        <f t="shared" ref="K435:N435" si="254">J437</f>
        <v>475</v>
      </c>
      <c r="L435" s="12">
        <f t="shared" si="254"/>
        <v>356.25</v>
      </c>
      <c r="M435" s="12">
        <f t="shared" si="254"/>
        <v>237.5</v>
      </c>
      <c r="N435" s="12">
        <f t="shared" si="254"/>
        <v>118.75</v>
      </c>
    </row>
    <row r="436" spans="2:14" ht="16" x14ac:dyDescent="0.25">
      <c r="C436" s="65" t="s">
        <v>480</v>
      </c>
      <c r="D436" s="175">
        <f>Assumptions!$M$69</f>
        <v>4</v>
      </c>
      <c r="E436" s="99"/>
      <c r="F436" s="99"/>
      <c r="G436" s="99"/>
      <c r="H436" s="99"/>
      <c r="I436" s="99"/>
      <c r="J436" s="12">
        <f>J423</f>
        <v>-26</v>
      </c>
      <c r="K436" s="12">
        <f>-$K$435/$D$436</f>
        <v>-118.75</v>
      </c>
      <c r="L436" s="12">
        <f>IF($K$435+SUM($K$436:K436)&gt;=-K436,K436,0)</f>
        <v>-118.75</v>
      </c>
      <c r="M436" s="12">
        <f>IF($K$435+SUM($K$436:L436)&gt;=-L436,L436,0)</f>
        <v>-118.75</v>
      </c>
      <c r="N436" s="12">
        <f>IF($K$435+SUM($K$436:M436)&gt;=-M436,M436,0)</f>
        <v>-118.75</v>
      </c>
    </row>
    <row r="437" spans="2:14" ht="16" x14ac:dyDescent="0.25">
      <c r="C437" s="89" t="s">
        <v>205</v>
      </c>
      <c r="D437" s="178"/>
      <c r="E437" s="60">
        <f>E423</f>
        <v>-3.2999999999999399</v>
      </c>
      <c r="F437" s="60">
        <f>F423</f>
        <v>345.99999999999994</v>
      </c>
      <c r="G437" s="60">
        <f>G423</f>
        <v>386</v>
      </c>
      <c r="H437" s="60">
        <f>H423</f>
        <v>374</v>
      </c>
      <c r="I437" s="60">
        <f>I423</f>
        <v>501</v>
      </c>
      <c r="J437" s="16">
        <f>SUM(J435:J436)</f>
        <v>475</v>
      </c>
      <c r="K437" s="16">
        <f t="shared" ref="K437:N437" si="255">SUM(K435:K436)</f>
        <v>356.25</v>
      </c>
      <c r="L437" s="16">
        <f t="shared" si="255"/>
        <v>237.5</v>
      </c>
      <c r="M437" s="16">
        <f t="shared" si="255"/>
        <v>118.75</v>
      </c>
      <c r="N437" s="16">
        <f t="shared" si="255"/>
        <v>0</v>
      </c>
    </row>
    <row r="438" spans="2:14" ht="6" customHeight="1" x14ac:dyDescent="0.25">
      <c r="E438" s="12"/>
      <c r="F438" s="12"/>
      <c r="G438" s="12"/>
      <c r="H438" s="12"/>
      <c r="I438" s="12"/>
      <c r="J438" s="12"/>
      <c r="K438" s="12"/>
      <c r="L438" s="12"/>
      <c r="M438" s="12"/>
      <c r="N438" s="12"/>
    </row>
    <row r="439" spans="2:14" ht="16" x14ac:dyDescent="0.25">
      <c r="C439" s="30" t="s">
        <v>564</v>
      </c>
      <c r="D439" s="167">
        <f>Assumptions!$M$68</f>
        <v>5.7999999999999996E-2</v>
      </c>
      <c r="E439" s="99"/>
      <c r="F439" s="99"/>
      <c r="G439" s="99"/>
      <c r="H439" s="99"/>
      <c r="I439" s="99"/>
      <c r="J439" s="12">
        <f t="shared" ref="J439:N439" si="256">J435*$D$439</f>
        <v>29.057999999999996</v>
      </c>
      <c r="K439" s="12">
        <f t="shared" si="256"/>
        <v>27.549999999999997</v>
      </c>
      <c r="L439" s="12">
        <f t="shared" si="256"/>
        <v>20.662499999999998</v>
      </c>
      <c r="M439" s="12">
        <f t="shared" si="256"/>
        <v>13.774999999999999</v>
      </c>
      <c r="N439" s="12">
        <f t="shared" si="256"/>
        <v>6.8874999999999993</v>
      </c>
    </row>
    <row r="440" spans="2:14" ht="6" customHeight="1" x14ac:dyDescent="0.25">
      <c r="E440" s="12"/>
      <c r="F440" s="12"/>
      <c r="G440" s="12"/>
      <c r="H440" s="12"/>
      <c r="I440" s="12"/>
      <c r="J440" s="12"/>
      <c r="K440" s="12"/>
      <c r="L440" s="12"/>
      <c r="M440" s="12"/>
      <c r="N440" s="12"/>
    </row>
    <row r="441" spans="2:14" ht="20" customHeight="1" x14ac:dyDescent="0.25">
      <c r="C441" s="30" t="s">
        <v>488</v>
      </c>
      <c r="D441" s="30"/>
      <c r="E441" s="87">
        <f t="shared" ref="E441:N441" si="257">E437+E429</f>
        <v>796.54899999999998</v>
      </c>
      <c r="F441" s="87">
        <f t="shared" si="257"/>
        <v>2568</v>
      </c>
      <c r="G441" s="87">
        <f t="shared" si="257"/>
        <v>1785</v>
      </c>
      <c r="H441" s="87">
        <f t="shared" si="257"/>
        <v>2132</v>
      </c>
      <c r="I441" s="87">
        <f t="shared" si="257"/>
        <v>1589</v>
      </c>
      <c r="J441" s="87">
        <f t="shared" si="257"/>
        <v>1531</v>
      </c>
      <c r="K441" s="87">
        <f t="shared" si="257"/>
        <v>1371.6346153846152</v>
      </c>
      <c r="L441" s="87">
        <f t="shared" si="257"/>
        <v>1212.2692307692307</v>
      </c>
      <c r="M441" s="87">
        <f t="shared" si="257"/>
        <v>1052.9038461538462</v>
      </c>
      <c r="N441" s="87">
        <f t="shared" si="257"/>
        <v>893.53846153846143</v>
      </c>
    </row>
    <row r="442" spans="2:14" ht="16" x14ac:dyDescent="0.25">
      <c r="C442" s="1" t="s">
        <v>546</v>
      </c>
      <c r="E442" s="99"/>
      <c r="F442" s="99"/>
      <c r="G442" s="99"/>
      <c r="H442" s="99"/>
      <c r="I442" s="99"/>
      <c r="J442" s="12">
        <f>-J428-J436</f>
        <v>58</v>
      </c>
      <c r="K442" s="12">
        <f t="shared" ref="K442:N442" si="258">-K428-K436</f>
        <v>159.36538461538461</v>
      </c>
      <c r="L442" s="12">
        <f t="shared" si="258"/>
        <v>159.36538461538461</v>
      </c>
      <c r="M442" s="12">
        <f t="shared" si="258"/>
        <v>159.36538461538461</v>
      </c>
      <c r="N442" s="12">
        <f t="shared" si="258"/>
        <v>159.36538461538461</v>
      </c>
    </row>
    <row r="443" spans="2:14" ht="16" x14ac:dyDescent="0.25">
      <c r="C443" s="1" t="s">
        <v>565</v>
      </c>
      <c r="E443" s="99"/>
      <c r="F443" s="99"/>
      <c r="G443" s="99"/>
      <c r="H443" s="99"/>
      <c r="I443" s="99"/>
      <c r="J443" s="12">
        <f t="shared" ref="J443:N443" si="259">J431+J439</f>
        <v>84.475539047619037</v>
      </c>
      <c r="K443" s="12">
        <f t="shared" si="259"/>
        <v>81.337611428571421</v>
      </c>
      <c r="L443" s="12">
        <f t="shared" si="259"/>
        <v>72.381357142857127</v>
      </c>
      <c r="M443" s="12">
        <f t="shared" si="259"/>
        <v>63.425102857142846</v>
      </c>
      <c r="N443" s="12">
        <f t="shared" si="259"/>
        <v>54.468848571428566</v>
      </c>
    </row>
    <row r="444" spans="2:14" ht="16" x14ac:dyDescent="0.25">
      <c r="E444" s="12"/>
      <c r="F444" s="12"/>
      <c r="G444" s="12"/>
      <c r="H444" s="12"/>
      <c r="I444" s="12"/>
      <c r="J444" s="12"/>
      <c r="K444" s="12"/>
      <c r="L444" s="12"/>
      <c r="M444" s="12"/>
      <c r="N444" s="12"/>
    </row>
    <row r="445" spans="2:14" ht="16" x14ac:dyDescent="0.25">
      <c r="E445" s="12"/>
      <c r="F445" s="12"/>
      <c r="G445" s="12"/>
      <c r="H445" s="12"/>
      <c r="I445" s="12"/>
      <c r="J445" s="12"/>
      <c r="K445" s="12"/>
      <c r="L445" s="12"/>
      <c r="M445" s="12"/>
      <c r="N445" s="12"/>
    </row>
    <row r="446" spans="2:14" ht="6" customHeight="1" x14ac:dyDescent="0.25"/>
    <row r="447" spans="2:14" ht="20" customHeight="1" x14ac:dyDescent="0.25">
      <c r="B447" s="2" t="str">
        <f>'Cover Page'!$C$18</f>
        <v>Tesla, Inc.</v>
      </c>
      <c r="C447" s="3"/>
      <c r="D447" s="3"/>
      <c r="E447" s="3"/>
      <c r="F447" s="3"/>
      <c r="G447" s="3"/>
      <c r="H447" s="3"/>
      <c r="I447" s="3"/>
      <c r="J447" s="3"/>
      <c r="K447" s="3"/>
      <c r="L447" s="3"/>
      <c r="M447" s="3"/>
      <c r="N447" s="3"/>
    </row>
    <row r="448" spans="2:14" ht="15" customHeight="1" x14ac:dyDescent="0.25">
      <c r="B448" s="4" t="s">
        <v>547</v>
      </c>
      <c r="C448" s="4"/>
      <c r="D448" s="4"/>
      <c r="E448" s="4"/>
      <c r="F448" s="4"/>
      <c r="G448" s="4"/>
      <c r="H448" s="4"/>
      <c r="I448" s="4"/>
      <c r="J448" s="4"/>
      <c r="K448" s="4"/>
      <c r="L448" s="4"/>
      <c r="M448" s="4"/>
      <c r="N448" s="4"/>
    </row>
    <row r="449" spans="2:14" ht="6" customHeight="1" thickBot="1" x14ac:dyDescent="0.3">
      <c r="B449" s="5"/>
      <c r="C449" s="5"/>
      <c r="D449" s="5"/>
      <c r="E449" s="5"/>
      <c r="F449" s="5"/>
      <c r="G449" s="5"/>
      <c r="H449" s="5"/>
      <c r="I449" s="5"/>
      <c r="J449" s="5"/>
      <c r="K449" s="5"/>
      <c r="L449" s="5"/>
      <c r="M449" s="5"/>
      <c r="N449" s="5"/>
    </row>
    <row r="450" spans="2:14" ht="15" customHeight="1" x14ac:dyDescent="0.25">
      <c r="B450" s="117" t="str">
        <f>Scenarios!$B$5</f>
        <v>$ MM's ( unless otherwise specified )</v>
      </c>
      <c r="C450" s="117"/>
      <c r="D450" s="117"/>
      <c r="E450" s="117"/>
      <c r="F450" s="117"/>
      <c r="G450" s="117"/>
      <c r="H450" s="117"/>
      <c r="I450" s="117"/>
      <c r="J450" s="117"/>
      <c r="K450" s="117"/>
      <c r="L450" s="117"/>
      <c r="M450" s="117"/>
      <c r="N450" s="121" t="str">
        <f>Scenarios!$N$5</f>
        <v>Based on: Base Case Senario</v>
      </c>
    </row>
    <row r="451" spans="2:14" ht="6" customHeight="1" x14ac:dyDescent="0.25"/>
    <row r="452" spans="2:14" ht="15" customHeight="1" x14ac:dyDescent="0.25">
      <c r="E452" s="6" t="s">
        <v>7</v>
      </c>
      <c r="F452" s="7"/>
      <c r="G452" s="7"/>
      <c r="H452" s="7"/>
      <c r="I452" s="7"/>
      <c r="J452" s="8" t="s">
        <v>6</v>
      </c>
      <c r="K452" s="9"/>
      <c r="L452" s="9"/>
      <c r="M452" s="9"/>
      <c r="N452" s="9"/>
    </row>
    <row r="453" spans="2:14" ht="15" customHeight="1" x14ac:dyDescent="0.25">
      <c r="E453" s="10">
        <f t="shared" ref="E453" si="260">F453-1</f>
        <v>2017</v>
      </c>
      <c r="F453" s="10">
        <f t="shared" ref="F453" si="261">G453-1</f>
        <v>2018</v>
      </c>
      <c r="G453" s="10">
        <f t="shared" ref="G453" si="262">H453-1</f>
        <v>2019</v>
      </c>
      <c r="H453" s="10">
        <f t="shared" ref="H453" si="263">I453-1</f>
        <v>2020</v>
      </c>
      <c r="I453" s="10">
        <f t="shared" ref="I453" si="264">J453-1</f>
        <v>2021</v>
      </c>
      <c r="J453" s="11">
        <v>2022</v>
      </c>
      <c r="K453" s="11">
        <f>J453+1</f>
        <v>2023</v>
      </c>
      <c r="L453" s="11">
        <f t="shared" ref="L453" si="265">K453+1</f>
        <v>2024</v>
      </c>
      <c r="M453" s="11">
        <f t="shared" ref="M453" si="266">L453+1</f>
        <v>2025</v>
      </c>
      <c r="N453" s="11">
        <f t="shared" ref="N453" si="267">M453+1</f>
        <v>2026</v>
      </c>
    </row>
    <row r="454" spans="2:14" ht="16" x14ac:dyDescent="0.25">
      <c r="E454" s="12"/>
      <c r="F454" s="12"/>
      <c r="G454" s="12"/>
      <c r="H454" s="12"/>
      <c r="I454" s="12"/>
      <c r="J454" s="12"/>
      <c r="K454" s="12"/>
      <c r="L454" s="12"/>
      <c r="M454" s="12"/>
      <c r="N454" s="12"/>
    </row>
    <row r="455" spans="2:14" ht="16" x14ac:dyDescent="0.25">
      <c r="B455" s="122"/>
      <c r="C455" s="105" t="s">
        <v>292</v>
      </c>
      <c r="D455" s="105"/>
      <c r="E455" s="106">
        <f>'Ratio Analysis'!W310</f>
        <v>6404.8109999999997</v>
      </c>
      <c r="F455" s="106">
        <f>'Ratio Analysis'!X310</f>
        <v>5626</v>
      </c>
      <c r="G455" s="106">
        <f>'Ratio Analysis'!Y310</f>
        <v>7010</v>
      </c>
      <c r="H455" s="106">
        <f>'Ratio Analysis'!Z310</f>
        <v>4951</v>
      </c>
      <c r="I455" s="106">
        <f>'Ratio Analysis'!AA310</f>
        <v>1346</v>
      </c>
      <c r="J455" s="106">
        <f>-Assumptions!$O$61</f>
        <v>-1294</v>
      </c>
      <c r="K455" s="135"/>
      <c r="L455" s="135"/>
      <c r="M455" s="135"/>
      <c r="N455" s="136"/>
    </row>
    <row r="456" spans="2:14" ht="16" x14ac:dyDescent="0.25">
      <c r="B456" s="26"/>
      <c r="C456" s="1" t="s">
        <v>293</v>
      </c>
      <c r="E456" s="14">
        <f>'Ratio Analysis'!W311</f>
        <v>2424.174</v>
      </c>
      <c r="F456" s="14">
        <f>'Ratio Analysis'!X311</f>
        <v>2785</v>
      </c>
      <c r="G456" s="14">
        <f>'Ratio Analysis'!Y311</f>
        <v>3392</v>
      </c>
      <c r="H456" s="14">
        <f>'Ratio Analysis'!Z311</f>
        <v>3511</v>
      </c>
      <c r="I456" s="14">
        <f>'Ratio Analysis'!AA311</f>
        <v>2908</v>
      </c>
      <c r="J456" s="14">
        <f>-SUM(Assumptions!O62:O63)</f>
        <v>-917</v>
      </c>
      <c r="K456" s="99"/>
      <c r="L456" s="99"/>
      <c r="M456" s="99"/>
      <c r="N456" s="137"/>
    </row>
    <row r="457" spans="2:14" ht="16" x14ac:dyDescent="0.25">
      <c r="B457" s="114"/>
      <c r="C457" s="138" t="s">
        <v>490</v>
      </c>
      <c r="D457" s="138"/>
      <c r="E457" s="162">
        <f>'Ratio Analysis'!W313</f>
        <v>589.33400000000199</v>
      </c>
      <c r="F457" s="162">
        <f>'Ratio Analysis'!X313</f>
        <v>992.99999999999943</v>
      </c>
      <c r="G457" s="162">
        <f>'Ratio Analysis'!Y313</f>
        <v>1232</v>
      </c>
      <c r="H457" s="162">
        <f>'Ratio Analysis'!Z313</f>
        <v>1094</v>
      </c>
      <c r="I457" s="162">
        <f>'Ratio Analysis'!AA313</f>
        <v>991</v>
      </c>
      <c r="J457" s="162">
        <f>-Assumptions!$O$65</f>
        <v>-188</v>
      </c>
      <c r="K457" s="169"/>
      <c r="L457" s="169"/>
      <c r="M457" s="169"/>
      <c r="N457" s="170"/>
    </row>
    <row r="458" spans="2:14" ht="16" x14ac:dyDescent="0.25">
      <c r="E458" s="12"/>
      <c r="F458" s="12"/>
      <c r="G458" s="12"/>
      <c r="H458" s="12"/>
      <c r="I458" s="12"/>
      <c r="J458" s="12"/>
      <c r="K458" s="12"/>
      <c r="L458" s="12"/>
      <c r="M458" s="12"/>
      <c r="N458" s="12"/>
    </row>
    <row r="459" spans="2:14" ht="16" x14ac:dyDescent="0.25">
      <c r="B459" s="19" t="s">
        <v>548</v>
      </c>
      <c r="E459" s="12"/>
      <c r="F459" s="12"/>
      <c r="G459" s="12"/>
      <c r="H459" s="12"/>
      <c r="I459" s="12"/>
      <c r="J459" s="12"/>
      <c r="K459" s="12"/>
      <c r="L459" s="12"/>
      <c r="M459" s="12"/>
      <c r="N459" s="12"/>
    </row>
    <row r="460" spans="2:14" ht="16" x14ac:dyDescent="0.25">
      <c r="E460" s="12"/>
      <c r="F460" s="12"/>
      <c r="G460" s="12"/>
      <c r="H460" s="12"/>
      <c r="I460" s="12"/>
      <c r="J460" s="12"/>
      <c r="K460" s="12"/>
      <c r="L460" s="12"/>
      <c r="M460" s="12"/>
      <c r="N460" s="12"/>
    </row>
    <row r="461" spans="2:14" ht="16" x14ac:dyDescent="0.25">
      <c r="C461" s="1" t="s">
        <v>203</v>
      </c>
      <c r="E461" s="99"/>
      <c r="F461" s="99"/>
      <c r="G461" s="99"/>
      <c r="H461" s="99"/>
      <c r="I461" s="99"/>
      <c r="J461" s="12">
        <f t="shared" ref="J461:N461" si="268">I463</f>
        <v>991</v>
      </c>
      <c r="K461" s="12">
        <f t="shared" si="268"/>
        <v>803</v>
      </c>
      <c r="L461" s="12">
        <f t="shared" si="268"/>
        <v>702.625</v>
      </c>
      <c r="M461" s="12">
        <f t="shared" si="268"/>
        <v>602.25</v>
      </c>
      <c r="N461" s="12">
        <f t="shared" si="268"/>
        <v>501.875</v>
      </c>
    </row>
    <row r="462" spans="2:14" ht="16" x14ac:dyDescent="0.25">
      <c r="C462" s="65" t="s">
        <v>480</v>
      </c>
      <c r="D462" s="148">
        <f>Assumptions!$O$69</f>
        <v>8</v>
      </c>
      <c r="E462" s="99"/>
      <c r="F462" s="99"/>
      <c r="G462" s="99"/>
      <c r="H462" s="99"/>
      <c r="I462" s="99"/>
      <c r="J462" s="12">
        <f>J457</f>
        <v>-188</v>
      </c>
      <c r="K462" s="12">
        <f>-$K$461/$D$462</f>
        <v>-100.375</v>
      </c>
      <c r="L462" s="12">
        <f>IF($K$461+SUM($K$462:K462)&gt;=-K462,K462,0)</f>
        <v>-100.375</v>
      </c>
      <c r="M462" s="12">
        <f>IF($K$461+SUM($K$462:L462)&gt;=-L462,L462,0)</f>
        <v>-100.375</v>
      </c>
      <c r="N462" s="12">
        <f>IF($K$461+SUM($K$462:M462)&gt;=-M462,M462,0)</f>
        <v>-100.375</v>
      </c>
    </row>
    <row r="463" spans="2:14" ht="20" customHeight="1" x14ac:dyDescent="0.25">
      <c r="C463" s="15" t="s">
        <v>205</v>
      </c>
      <c r="D463" s="15"/>
      <c r="E463" s="16">
        <f t="shared" ref="E463:I463" si="269">E457</f>
        <v>589.33400000000199</v>
      </c>
      <c r="F463" s="16">
        <f t="shared" si="269"/>
        <v>992.99999999999943</v>
      </c>
      <c r="G463" s="16">
        <f t="shared" si="269"/>
        <v>1232</v>
      </c>
      <c r="H463" s="16">
        <f t="shared" si="269"/>
        <v>1094</v>
      </c>
      <c r="I463" s="16">
        <f t="shared" si="269"/>
        <v>991</v>
      </c>
      <c r="J463" s="16">
        <f t="shared" ref="J463:N463" si="270">SUM(J461:J462)</f>
        <v>803</v>
      </c>
      <c r="K463" s="16">
        <f t="shared" si="270"/>
        <v>702.625</v>
      </c>
      <c r="L463" s="16">
        <f t="shared" si="270"/>
        <v>602.25</v>
      </c>
      <c r="M463" s="16">
        <f t="shared" si="270"/>
        <v>501.875</v>
      </c>
      <c r="N463" s="16">
        <f t="shared" si="270"/>
        <v>401.5</v>
      </c>
    </row>
    <row r="464" spans="2:14" ht="6" customHeight="1" x14ac:dyDescent="0.25">
      <c r="C464" s="30"/>
      <c r="D464" s="30"/>
      <c r="E464" s="87"/>
      <c r="F464" s="87"/>
      <c r="G464" s="87"/>
      <c r="H464" s="87"/>
      <c r="I464" s="87"/>
      <c r="J464" s="87"/>
      <c r="K464" s="87"/>
      <c r="L464" s="87"/>
      <c r="M464" s="87"/>
      <c r="N464" s="87"/>
    </row>
    <row r="465" spans="3:14" ht="15" customHeight="1" x14ac:dyDescent="0.25">
      <c r="C465" s="30" t="s">
        <v>564</v>
      </c>
      <c r="D465" s="167">
        <f>Assumptions!$O$68</f>
        <v>5.7999999999999996E-2</v>
      </c>
      <c r="E465" s="182"/>
      <c r="F465" s="182"/>
      <c r="G465" s="182"/>
      <c r="H465" s="182"/>
      <c r="I465" s="182"/>
      <c r="J465" s="87">
        <f t="shared" ref="J465:N465" si="271">J461*$D$465</f>
        <v>57.477999999999994</v>
      </c>
      <c r="K465" s="87">
        <f t="shared" si="271"/>
        <v>46.573999999999998</v>
      </c>
      <c r="L465" s="87">
        <f t="shared" si="271"/>
        <v>40.752249999999997</v>
      </c>
      <c r="M465" s="87">
        <f t="shared" si="271"/>
        <v>34.930499999999995</v>
      </c>
      <c r="N465" s="87">
        <f t="shared" si="271"/>
        <v>29.108749999999997</v>
      </c>
    </row>
    <row r="466" spans="3:14" ht="6" customHeight="1" x14ac:dyDescent="0.25">
      <c r="E466" s="12"/>
      <c r="F466" s="12"/>
      <c r="G466" s="12"/>
      <c r="H466" s="12"/>
      <c r="I466" s="12"/>
      <c r="J466" s="12"/>
      <c r="K466" s="12"/>
      <c r="L466" s="12"/>
      <c r="M466" s="12"/>
      <c r="N466" s="12"/>
    </row>
    <row r="467" spans="3:14" ht="16" x14ac:dyDescent="0.25">
      <c r="C467" s="19" t="s">
        <v>294</v>
      </c>
      <c r="E467" s="12"/>
      <c r="F467" s="12"/>
      <c r="G467" s="12"/>
      <c r="H467" s="12"/>
      <c r="I467" s="12"/>
      <c r="J467" s="12"/>
      <c r="K467" s="12"/>
      <c r="L467" s="12"/>
      <c r="M467" s="12"/>
      <c r="N467" s="12"/>
    </row>
    <row r="468" spans="3:14" ht="16" x14ac:dyDescent="0.25">
      <c r="E468" s="12"/>
      <c r="F468" s="12"/>
      <c r="G468" s="12"/>
      <c r="H468" s="12"/>
      <c r="I468" s="12"/>
      <c r="J468" s="12"/>
      <c r="K468" s="12"/>
      <c r="L468" s="12"/>
      <c r="M468" s="12"/>
      <c r="N468" s="12"/>
    </row>
    <row r="469" spans="3:14" ht="16" x14ac:dyDescent="0.25">
      <c r="C469" s="1" t="s">
        <v>203</v>
      </c>
      <c r="E469" s="99"/>
      <c r="F469" s="99"/>
      <c r="G469" s="99"/>
      <c r="H469" s="99"/>
      <c r="I469" s="99"/>
      <c r="J469" s="12">
        <f t="shared" ref="J469:N469" si="272">I471</f>
        <v>4254</v>
      </c>
      <c r="K469" s="12">
        <f t="shared" si="272"/>
        <v>2043</v>
      </c>
      <c r="L469" s="12">
        <f t="shared" si="272"/>
        <v>1964.4230769230769</v>
      </c>
      <c r="M469" s="12">
        <f t="shared" si="272"/>
        <v>1885.8461538461538</v>
      </c>
      <c r="N469" s="12">
        <f t="shared" si="272"/>
        <v>1807.2692307692307</v>
      </c>
    </row>
    <row r="470" spans="3:14" ht="16" x14ac:dyDescent="0.25">
      <c r="C470" s="65" t="s">
        <v>549</v>
      </c>
      <c r="D470" s="148">
        <f>Assumptions!$O$70</f>
        <v>26</v>
      </c>
      <c r="E470" s="99"/>
      <c r="F470" s="99"/>
      <c r="G470" s="99"/>
      <c r="H470" s="99"/>
      <c r="I470" s="99"/>
      <c r="J470" s="12">
        <f>SUM(J455:J456)</f>
        <v>-2211</v>
      </c>
      <c r="K470" s="12">
        <f>-$K$469/$D$470</f>
        <v>-78.57692307692308</v>
      </c>
      <c r="L470" s="12">
        <f>IF($K$469+SUM($K$470:K470)&gt;=-K470,K470,0)</f>
        <v>-78.57692307692308</v>
      </c>
      <c r="M470" s="12">
        <f>IF($K$469+SUM($K$470:L470)&gt;=-L470,L470,0)</f>
        <v>-78.57692307692308</v>
      </c>
      <c r="N470" s="12">
        <f>IF($K$469+SUM($K$470:M470)&gt;=-M470,M470,0)</f>
        <v>-78.57692307692308</v>
      </c>
    </row>
    <row r="471" spans="3:14" ht="16" x14ac:dyDescent="0.25">
      <c r="C471" s="15" t="s">
        <v>205</v>
      </c>
      <c r="D471" s="15"/>
      <c r="E471" s="16">
        <f t="shared" ref="E471:I471" si="273">E455+E456</f>
        <v>8828.9850000000006</v>
      </c>
      <c r="F471" s="16">
        <f t="shared" si="273"/>
        <v>8411</v>
      </c>
      <c r="G471" s="16">
        <f t="shared" si="273"/>
        <v>10402</v>
      </c>
      <c r="H471" s="16">
        <f t="shared" si="273"/>
        <v>8462</v>
      </c>
      <c r="I471" s="16">
        <f t="shared" si="273"/>
        <v>4254</v>
      </c>
      <c r="J471" s="16">
        <f t="shared" ref="J471" si="274">SUM(J469:J470)</f>
        <v>2043</v>
      </c>
      <c r="K471" s="16">
        <f t="shared" ref="K471" si="275">SUM(K469:K470)</f>
        <v>1964.4230769230769</v>
      </c>
      <c r="L471" s="16">
        <f t="shared" ref="L471" si="276">SUM(L469:L470)</f>
        <v>1885.8461538461538</v>
      </c>
      <c r="M471" s="16">
        <f t="shared" ref="M471" si="277">SUM(M469:M470)</f>
        <v>1807.2692307692307</v>
      </c>
      <c r="N471" s="16">
        <f t="shared" ref="N471" si="278">SUM(N469:N470)</f>
        <v>1728.6923076923076</v>
      </c>
    </row>
    <row r="472" spans="3:14" ht="16" x14ac:dyDescent="0.25">
      <c r="E472" s="12"/>
      <c r="F472" s="12"/>
      <c r="G472" s="12"/>
      <c r="H472" s="12"/>
      <c r="I472" s="12"/>
      <c r="J472" s="12"/>
      <c r="K472" s="12"/>
      <c r="L472" s="12"/>
      <c r="M472" s="12"/>
      <c r="N472" s="12"/>
    </row>
    <row r="473" spans="3:14" ht="20" customHeight="1" thickBot="1" x14ac:dyDescent="0.3">
      <c r="C473" s="17" t="s">
        <v>547</v>
      </c>
      <c r="D473" s="17"/>
      <c r="E473" s="18">
        <f t="shared" ref="E473:N473" si="279">E471+E463</f>
        <v>9418.3190000000031</v>
      </c>
      <c r="F473" s="18">
        <f t="shared" si="279"/>
        <v>9404</v>
      </c>
      <c r="G473" s="18">
        <f t="shared" si="279"/>
        <v>11634</v>
      </c>
      <c r="H473" s="18">
        <f t="shared" si="279"/>
        <v>9556</v>
      </c>
      <c r="I473" s="18">
        <f t="shared" si="279"/>
        <v>5245</v>
      </c>
      <c r="J473" s="18">
        <f t="shared" si="279"/>
        <v>2846</v>
      </c>
      <c r="K473" s="18">
        <f t="shared" si="279"/>
        <v>2667.0480769230771</v>
      </c>
      <c r="L473" s="18">
        <f t="shared" si="279"/>
        <v>2488.0961538461538</v>
      </c>
      <c r="M473" s="18">
        <f t="shared" si="279"/>
        <v>2309.1442307692305</v>
      </c>
      <c r="N473" s="18">
        <f t="shared" si="279"/>
        <v>2130.1923076923076</v>
      </c>
    </row>
    <row r="474" spans="3:14" ht="6" customHeight="1" thickTop="1" x14ac:dyDescent="0.25">
      <c r="C474" s="30"/>
      <c r="D474" s="30"/>
      <c r="E474" s="87"/>
      <c r="F474" s="87"/>
      <c r="G474" s="87"/>
      <c r="H474" s="87"/>
      <c r="I474" s="87"/>
      <c r="J474" s="87"/>
      <c r="K474" s="87"/>
      <c r="L474" s="87"/>
      <c r="M474" s="87"/>
      <c r="N474" s="87"/>
    </row>
    <row r="475" spans="3:14" ht="15" customHeight="1" x14ac:dyDescent="0.25">
      <c r="C475" s="30" t="s">
        <v>564</v>
      </c>
      <c r="D475" s="167">
        <f>Assumptions!$O$67</f>
        <v>5.5333181818181809E-2</v>
      </c>
      <c r="E475" s="182"/>
      <c r="F475" s="182"/>
      <c r="G475" s="182"/>
      <c r="H475" s="182"/>
      <c r="I475" s="182"/>
      <c r="J475" s="87">
        <f t="shared" ref="J475:N475" si="280">J469*$D$475</f>
        <v>235.38735545454543</v>
      </c>
      <c r="K475" s="87">
        <f t="shared" si="280"/>
        <v>113.04569045454544</v>
      </c>
      <c r="L475" s="87">
        <f t="shared" si="280"/>
        <v>108.69777928321676</v>
      </c>
      <c r="M475" s="87">
        <f t="shared" si="280"/>
        <v>104.3498681118881</v>
      </c>
      <c r="N475" s="87">
        <f t="shared" si="280"/>
        <v>100.00195694055942</v>
      </c>
    </row>
    <row r="476" spans="3:14" ht="6" customHeight="1" x14ac:dyDescent="0.25">
      <c r="C476" s="30"/>
      <c r="D476" s="30"/>
      <c r="E476" s="87"/>
      <c r="F476" s="87"/>
      <c r="G476" s="87"/>
      <c r="H476" s="87"/>
      <c r="I476" s="87"/>
      <c r="J476" s="87"/>
      <c r="K476" s="87"/>
      <c r="L476" s="87"/>
      <c r="M476" s="87"/>
      <c r="N476" s="87"/>
    </row>
    <row r="477" spans="3:14" ht="15" customHeight="1" x14ac:dyDescent="0.25">
      <c r="C477" s="30"/>
      <c r="D477" s="30"/>
      <c r="E477" s="87"/>
      <c r="F477" s="87"/>
      <c r="G477" s="87"/>
      <c r="H477" s="87"/>
      <c r="I477" s="87"/>
      <c r="J477" s="87"/>
      <c r="K477" s="87"/>
      <c r="L477" s="87"/>
      <c r="M477" s="87"/>
      <c r="N477" s="87"/>
    </row>
    <row r="478" spans="3:14" ht="16" x14ac:dyDescent="0.25">
      <c r="C478" s="1" t="s">
        <v>550</v>
      </c>
      <c r="E478" s="99"/>
      <c r="F478" s="99"/>
      <c r="G478" s="99"/>
      <c r="H478" s="99"/>
      <c r="I478" s="99"/>
      <c r="J478" s="12">
        <f>-J462</f>
        <v>188</v>
      </c>
      <c r="K478" s="12">
        <f>-K462</f>
        <v>100.375</v>
      </c>
      <c r="L478" s="12">
        <f>-L462</f>
        <v>100.375</v>
      </c>
      <c r="M478" s="12">
        <f>-M462</f>
        <v>100.375</v>
      </c>
      <c r="N478" s="12">
        <f>-N462</f>
        <v>100.375</v>
      </c>
    </row>
    <row r="479" spans="3:14" ht="16" x14ac:dyDescent="0.25">
      <c r="C479" s="1" t="s">
        <v>551</v>
      </c>
      <c r="E479" s="99"/>
      <c r="F479" s="99"/>
      <c r="G479" s="99"/>
      <c r="H479" s="99"/>
      <c r="I479" s="99"/>
      <c r="J479" s="12">
        <f>J442+J478</f>
        <v>246</v>
      </c>
      <c r="K479" s="12">
        <f>K442+K478</f>
        <v>259.74038461538464</v>
      </c>
      <c r="L479" s="12">
        <f>L442+L478</f>
        <v>259.74038461538464</v>
      </c>
      <c r="M479" s="12">
        <f>M442+M478</f>
        <v>259.74038461538464</v>
      </c>
      <c r="N479" s="12">
        <f>N442+N478</f>
        <v>259.74038461538464</v>
      </c>
    </row>
    <row r="480" spans="3:14" ht="16" x14ac:dyDescent="0.25">
      <c r="C480" s="1" t="s">
        <v>566</v>
      </c>
      <c r="E480" s="99"/>
      <c r="F480" s="99"/>
      <c r="G480" s="99"/>
      <c r="H480" s="99"/>
      <c r="I480" s="99"/>
      <c r="J480" s="12">
        <f t="shared" ref="J480:N480" si="281">J475+J465</f>
        <v>292.86535545454541</v>
      </c>
      <c r="K480" s="12">
        <f t="shared" si="281"/>
        <v>159.61969045454543</v>
      </c>
      <c r="L480" s="12">
        <f t="shared" si="281"/>
        <v>149.45002928321676</v>
      </c>
      <c r="M480" s="12">
        <f t="shared" si="281"/>
        <v>139.28036811188809</v>
      </c>
      <c r="N480" s="12">
        <f t="shared" si="281"/>
        <v>129.11070694055942</v>
      </c>
    </row>
    <row r="481" spans="2:14" ht="16" x14ac:dyDescent="0.25">
      <c r="E481" s="99"/>
      <c r="F481" s="99"/>
      <c r="G481" s="99"/>
      <c r="H481" s="99"/>
      <c r="I481" s="99"/>
      <c r="J481" s="12"/>
      <c r="K481" s="12"/>
      <c r="L481" s="12"/>
      <c r="M481" s="12"/>
      <c r="N481" s="12"/>
    </row>
    <row r="482" spans="2:14" ht="16" x14ac:dyDescent="0.25">
      <c r="E482" s="12"/>
      <c r="F482" s="12"/>
      <c r="G482" s="12"/>
      <c r="H482" s="12"/>
      <c r="I482" s="12"/>
      <c r="J482" s="12"/>
      <c r="K482" s="12"/>
      <c r="L482" s="12"/>
      <c r="M482" s="12"/>
      <c r="N482" s="12"/>
    </row>
    <row r="483" spans="2:14" ht="16" x14ac:dyDescent="0.25">
      <c r="E483" s="12"/>
      <c r="F483" s="12"/>
      <c r="G483" s="12"/>
      <c r="H483" s="12"/>
      <c r="I483" s="12"/>
      <c r="J483" s="12"/>
      <c r="K483" s="12"/>
      <c r="L483" s="12"/>
      <c r="M483" s="12"/>
      <c r="N483" s="12"/>
    </row>
    <row r="484" spans="2:14" ht="6" customHeight="1" x14ac:dyDescent="0.25"/>
    <row r="485" spans="2:14" ht="20" customHeight="1" x14ac:dyDescent="0.25">
      <c r="B485" s="2" t="str">
        <f>'Cover Page'!$C$18</f>
        <v>Tesla, Inc.</v>
      </c>
      <c r="C485" s="3"/>
      <c r="D485" s="3"/>
      <c r="E485" s="3"/>
      <c r="F485" s="3"/>
      <c r="G485" s="3"/>
      <c r="H485" s="3"/>
      <c r="I485" s="3"/>
      <c r="J485" s="3"/>
      <c r="K485" s="3"/>
      <c r="L485" s="3"/>
      <c r="M485" s="3"/>
      <c r="N485" s="3"/>
    </row>
    <row r="486" spans="2:14" ht="15" customHeight="1" x14ac:dyDescent="0.25">
      <c r="B486" s="4" t="s">
        <v>586</v>
      </c>
      <c r="C486" s="4"/>
      <c r="D486" s="4"/>
      <c r="E486" s="4"/>
      <c r="F486" s="4"/>
      <c r="G486" s="4"/>
      <c r="H486" s="4"/>
      <c r="I486" s="4"/>
      <c r="J486" s="4"/>
      <c r="K486" s="4"/>
      <c r="L486" s="4"/>
      <c r="M486" s="4"/>
      <c r="N486" s="4"/>
    </row>
    <row r="487" spans="2:14" ht="6" customHeight="1" thickBot="1" x14ac:dyDescent="0.3">
      <c r="B487" s="5"/>
      <c r="C487" s="5"/>
      <c r="D487" s="5"/>
      <c r="E487" s="5"/>
      <c r="F487" s="5"/>
      <c r="G487" s="5"/>
      <c r="H487" s="5"/>
      <c r="I487" s="5"/>
      <c r="J487" s="5"/>
      <c r="K487" s="5"/>
      <c r="L487" s="5"/>
      <c r="M487" s="5"/>
      <c r="N487" s="5"/>
    </row>
    <row r="488" spans="2:14" ht="15" customHeight="1" x14ac:dyDescent="0.25">
      <c r="B488" s="117" t="str">
        <f>Scenarios!$B$5</f>
        <v>$ MM's ( unless otherwise specified )</v>
      </c>
      <c r="C488" s="117"/>
      <c r="D488" s="117"/>
      <c r="E488" s="117"/>
      <c r="F488" s="117"/>
      <c r="G488" s="117"/>
      <c r="H488" s="117"/>
      <c r="I488" s="117"/>
      <c r="J488" s="117"/>
      <c r="K488" s="117"/>
      <c r="L488" s="117"/>
      <c r="M488" s="117"/>
      <c r="N488" s="121" t="str">
        <f>Scenarios!$N$5</f>
        <v>Based on: Base Case Senario</v>
      </c>
    </row>
    <row r="489" spans="2:14" ht="6" customHeight="1" x14ac:dyDescent="0.25"/>
    <row r="490" spans="2:14" ht="15" customHeight="1" x14ac:dyDescent="0.25">
      <c r="E490" s="6" t="s">
        <v>7</v>
      </c>
      <c r="F490" s="7"/>
      <c r="G490" s="7"/>
      <c r="H490" s="7"/>
      <c r="I490" s="7"/>
      <c r="J490" s="8" t="s">
        <v>6</v>
      </c>
      <c r="K490" s="9"/>
      <c r="L490" s="9"/>
      <c r="M490" s="9"/>
      <c r="N490" s="9"/>
    </row>
    <row r="491" spans="2:14" ht="15" customHeight="1" x14ac:dyDescent="0.25">
      <c r="E491" s="10">
        <f t="shared" ref="E491" si="282">F491-1</f>
        <v>2017</v>
      </c>
      <c r="F491" s="10">
        <f t="shared" ref="F491" si="283">G491-1</f>
        <v>2018</v>
      </c>
      <c r="G491" s="10">
        <f t="shared" ref="G491" si="284">H491-1</f>
        <v>2019</v>
      </c>
      <c r="H491" s="10">
        <f t="shared" ref="H491" si="285">I491-1</f>
        <v>2020</v>
      </c>
      <c r="I491" s="10">
        <f t="shared" ref="I491" si="286">J491-1</f>
        <v>2021</v>
      </c>
      <c r="J491" s="11">
        <v>2022</v>
      </c>
      <c r="K491" s="11">
        <f>J491+1</f>
        <v>2023</v>
      </c>
      <c r="L491" s="11">
        <f t="shared" ref="L491" si="287">K491+1</f>
        <v>2024</v>
      </c>
      <c r="M491" s="11">
        <f t="shared" ref="M491" si="288">L491+1</f>
        <v>2025</v>
      </c>
      <c r="N491" s="11">
        <f t="shared" ref="N491" si="289">M491+1</f>
        <v>2026</v>
      </c>
    </row>
    <row r="492" spans="2:14" ht="16" x14ac:dyDescent="0.25">
      <c r="E492" s="12"/>
      <c r="F492" s="12"/>
      <c r="G492" s="12"/>
      <c r="H492" s="12"/>
      <c r="I492" s="12"/>
      <c r="J492" s="12"/>
      <c r="K492" s="12"/>
      <c r="L492" s="12"/>
      <c r="M492" s="12"/>
      <c r="N492" s="12"/>
    </row>
    <row r="493" spans="2:14" ht="16" x14ac:dyDescent="0.25">
      <c r="B493" s="122"/>
      <c r="C493" s="105" t="s">
        <v>567</v>
      </c>
      <c r="D493" s="105"/>
      <c r="E493" s="106">
        <f>'Ratio Analysis'!W141</f>
        <v>-4974.299</v>
      </c>
      <c r="F493" s="106">
        <f>'Ratio Analysis'!X141</f>
        <v>-5318</v>
      </c>
      <c r="G493" s="106">
        <f>'Ratio Analysis'!Y141</f>
        <v>-6083</v>
      </c>
      <c r="H493" s="106">
        <f>'Ratio Analysis'!Z141</f>
        <v>-5399</v>
      </c>
      <c r="I493" s="106">
        <f>'Ratio Analysis'!AA141</f>
        <v>331</v>
      </c>
      <c r="J493" s="135"/>
      <c r="K493" s="135"/>
      <c r="L493" s="135"/>
      <c r="M493" s="135"/>
      <c r="N493" s="136"/>
    </row>
    <row r="494" spans="2:14" ht="16" x14ac:dyDescent="0.25">
      <c r="B494" s="26"/>
      <c r="C494" s="1" t="str">
        <f>'Ratio Analysis'!$S$139</f>
        <v>Additional paid-in capital</v>
      </c>
      <c r="E494" s="14">
        <f>'Ratio Analysis'!W139</f>
        <v>9178.0239999999994</v>
      </c>
      <c r="F494" s="14">
        <f>'Ratio Analysis'!X139</f>
        <v>10249</v>
      </c>
      <c r="G494" s="14">
        <f>'Ratio Analysis'!Y139</f>
        <v>12736</v>
      </c>
      <c r="H494" s="14">
        <f>'Ratio Analysis'!Z139</f>
        <v>27260</v>
      </c>
      <c r="I494" s="14">
        <f>'Ratio Analysis'!AA139</f>
        <v>29803</v>
      </c>
      <c r="J494" s="99"/>
      <c r="K494" s="99"/>
      <c r="L494" s="99"/>
      <c r="M494" s="99"/>
      <c r="N494" s="137"/>
    </row>
    <row r="495" spans="2:14" ht="16" x14ac:dyDescent="0.25">
      <c r="B495" s="26"/>
      <c r="C495" s="1" t="str">
        <f>'Ratio Analysis'!$S$143</f>
        <v>Noncontrolling interests in subsidiaries</v>
      </c>
      <c r="E495" s="14">
        <f>'Ratio Analysis'!W143</f>
        <v>997.346</v>
      </c>
      <c r="F495" s="14">
        <f>'Ratio Analysis'!X143</f>
        <v>834</v>
      </c>
      <c r="G495" s="14">
        <f>'Ratio Analysis'!Y143</f>
        <v>849</v>
      </c>
      <c r="H495" s="14">
        <f>'Ratio Analysis'!Z143</f>
        <v>850</v>
      </c>
      <c r="I495" s="14">
        <f>'Ratio Analysis'!AA143</f>
        <v>826</v>
      </c>
      <c r="J495" s="99"/>
      <c r="K495" s="99"/>
      <c r="L495" s="99"/>
      <c r="M495" s="99"/>
      <c r="N495" s="137"/>
    </row>
    <row r="496" spans="2:14" ht="16" x14ac:dyDescent="0.25">
      <c r="B496" s="26"/>
      <c r="C496" s="1" t="s">
        <v>570</v>
      </c>
      <c r="E496" s="99"/>
      <c r="F496" s="99"/>
      <c r="G496" s="99"/>
      <c r="H496" s="99"/>
      <c r="I496" s="99"/>
      <c r="J496" s="14">
        <f>'Financial Statements'!J37</f>
        <v>10907.160760326837</v>
      </c>
      <c r="K496" s="14">
        <f>'Financial Statements'!K37</f>
        <v>11390.725926804816</v>
      </c>
      <c r="L496" s="14">
        <f>'Financial Statements'!L37</f>
        <v>20620.316881343784</v>
      </c>
      <c r="M496" s="14">
        <f>'Financial Statements'!M37</f>
        <v>30080.416750967321</v>
      </c>
      <c r="N496" s="132">
        <f>'Financial Statements'!N37</f>
        <v>43237.156914431733</v>
      </c>
    </row>
    <row r="497" spans="2:14" ht="16" x14ac:dyDescent="0.25">
      <c r="B497" s="26"/>
      <c r="C497" s="1" t="s">
        <v>572</v>
      </c>
      <c r="E497" s="99"/>
      <c r="F497" s="99"/>
      <c r="G497" s="99"/>
      <c r="H497" s="99"/>
      <c r="I497" s="99"/>
      <c r="J497" s="14">
        <f>Assumptions!D45</f>
        <v>100</v>
      </c>
      <c r="K497" s="14">
        <f>Assumptions!E45</f>
        <v>105</v>
      </c>
      <c r="L497" s="14">
        <f>Assumptions!F45</f>
        <v>110</v>
      </c>
      <c r="M497" s="14">
        <f>Assumptions!G45</f>
        <v>115</v>
      </c>
      <c r="N497" s="132">
        <f>Assumptions!H45</f>
        <v>120</v>
      </c>
    </row>
    <row r="498" spans="2:14" ht="16" x14ac:dyDescent="0.25">
      <c r="B498" s="114"/>
      <c r="C498" s="138" t="s">
        <v>552</v>
      </c>
      <c r="D498" s="138"/>
      <c r="E498" s="169"/>
      <c r="F498" s="169"/>
      <c r="G498" s="169"/>
      <c r="H498" s="169"/>
      <c r="I498" s="169"/>
      <c r="J498" s="139">
        <f t="shared" ref="J498:N498" si="290">J54</f>
        <v>913</v>
      </c>
      <c r="K498" s="139">
        <f t="shared" si="290"/>
        <v>94.333333333333329</v>
      </c>
      <c r="L498" s="139">
        <f t="shared" si="290"/>
        <v>94.333333333333329</v>
      </c>
      <c r="M498" s="139">
        <f t="shared" si="290"/>
        <v>94.333333333333329</v>
      </c>
      <c r="N498" s="140">
        <f t="shared" si="290"/>
        <v>0</v>
      </c>
    </row>
    <row r="499" spans="2:14" ht="16" x14ac:dyDescent="0.25">
      <c r="E499" s="12"/>
      <c r="F499" s="12"/>
      <c r="G499" s="12"/>
      <c r="H499" s="12"/>
      <c r="I499" s="12"/>
      <c r="J499" s="12"/>
      <c r="K499" s="12"/>
      <c r="L499" s="12"/>
      <c r="M499" s="12"/>
      <c r="N499" s="12"/>
    </row>
    <row r="500" spans="2:14" ht="16" x14ac:dyDescent="0.25">
      <c r="B500" s="19" t="s">
        <v>568</v>
      </c>
      <c r="E500" s="12"/>
      <c r="F500" s="12"/>
      <c r="G500" s="12"/>
      <c r="H500" s="12"/>
      <c r="I500" s="12"/>
      <c r="J500" s="12"/>
      <c r="K500" s="12"/>
      <c r="L500" s="12"/>
      <c r="M500" s="12"/>
      <c r="N500" s="12"/>
    </row>
    <row r="501" spans="2:14" ht="16" x14ac:dyDescent="0.25">
      <c r="E501" s="12"/>
      <c r="F501" s="12"/>
      <c r="G501" s="12"/>
      <c r="H501" s="12"/>
      <c r="I501" s="12"/>
      <c r="J501" s="12"/>
      <c r="K501" s="12"/>
      <c r="L501" s="12"/>
      <c r="M501" s="12"/>
      <c r="N501" s="12"/>
    </row>
    <row r="502" spans="2:14" ht="16" x14ac:dyDescent="0.25">
      <c r="C502" s="1" t="s">
        <v>217</v>
      </c>
      <c r="E502" s="99"/>
      <c r="F502" s="99"/>
      <c r="G502" s="99"/>
      <c r="H502" s="99"/>
      <c r="I502" s="99"/>
      <c r="J502" s="12">
        <f t="shared" ref="J502:N502" si="291">I504</f>
        <v>331</v>
      </c>
      <c r="K502" s="12">
        <f t="shared" si="291"/>
        <v>11238.160760326837</v>
      </c>
      <c r="L502" s="12">
        <f t="shared" si="291"/>
        <v>22628.886687131653</v>
      </c>
      <c r="M502" s="12">
        <f t="shared" si="291"/>
        <v>43249.203568475437</v>
      </c>
      <c r="N502" s="12">
        <f t="shared" si="291"/>
        <v>73329.620319442765</v>
      </c>
    </row>
    <row r="503" spans="2:14" ht="16" x14ac:dyDescent="0.25">
      <c r="C503" s="65" t="s">
        <v>569</v>
      </c>
      <c r="E503" s="99"/>
      <c r="F503" s="99"/>
      <c r="G503" s="99"/>
      <c r="H503" s="99"/>
      <c r="I503" s="99"/>
      <c r="J503" s="12">
        <f t="shared" ref="J503:N503" si="292">J496</f>
        <v>10907.160760326837</v>
      </c>
      <c r="K503" s="12">
        <f t="shared" si="292"/>
        <v>11390.725926804816</v>
      </c>
      <c r="L503" s="12">
        <f t="shared" si="292"/>
        <v>20620.316881343784</v>
      </c>
      <c r="M503" s="12">
        <f t="shared" si="292"/>
        <v>30080.416750967321</v>
      </c>
      <c r="N503" s="12">
        <f t="shared" si="292"/>
        <v>43237.156914431733</v>
      </c>
    </row>
    <row r="504" spans="2:14" ht="20" customHeight="1" thickBot="1" x14ac:dyDescent="0.3">
      <c r="C504" s="17" t="s">
        <v>218</v>
      </c>
      <c r="D504" s="17"/>
      <c r="E504" s="18">
        <f>E493</f>
        <v>-4974.299</v>
      </c>
      <c r="F504" s="18">
        <f>F493</f>
        <v>-5318</v>
      </c>
      <c r="G504" s="18">
        <f>G493</f>
        <v>-6083</v>
      </c>
      <c r="H504" s="18">
        <f>H493</f>
        <v>-5399</v>
      </c>
      <c r="I504" s="18">
        <f>I493</f>
        <v>331</v>
      </c>
      <c r="J504" s="18">
        <f>SUM(J502:J503)</f>
        <v>11238.160760326837</v>
      </c>
      <c r="K504" s="18">
        <f>SUM(K502:K503)</f>
        <v>22628.886687131653</v>
      </c>
      <c r="L504" s="18">
        <f>SUM(L502:L503)</f>
        <v>43249.203568475437</v>
      </c>
      <c r="M504" s="18">
        <f>SUM(M502:M503)</f>
        <v>73329.620319442765</v>
      </c>
      <c r="N504" s="18">
        <f>SUM(N502:N503)</f>
        <v>116566.7772338745</v>
      </c>
    </row>
    <row r="505" spans="2:14" ht="17" thickTop="1" x14ac:dyDescent="0.25">
      <c r="E505" s="12"/>
      <c r="F505" s="12"/>
      <c r="G505" s="12"/>
      <c r="H505" s="12"/>
      <c r="I505" s="12"/>
      <c r="J505" s="12"/>
      <c r="K505" s="12"/>
      <c r="L505" s="12"/>
      <c r="M505" s="12"/>
      <c r="N505" s="12"/>
    </row>
    <row r="506" spans="2:14" ht="16" x14ac:dyDescent="0.25">
      <c r="B506" s="19" t="s">
        <v>571</v>
      </c>
      <c r="E506" s="12"/>
      <c r="F506" s="12"/>
      <c r="G506" s="12"/>
      <c r="H506" s="12"/>
      <c r="I506" s="12"/>
      <c r="J506" s="12"/>
      <c r="K506" s="12"/>
      <c r="L506" s="12"/>
      <c r="M506" s="12"/>
      <c r="N506" s="12"/>
    </row>
    <row r="507" spans="2:14" ht="16" x14ac:dyDescent="0.25">
      <c r="E507" s="12"/>
      <c r="F507" s="12"/>
      <c r="G507" s="12"/>
      <c r="H507" s="12"/>
      <c r="I507" s="12"/>
      <c r="J507" s="12"/>
      <c r="K507" s="12"/>
      <c r="L507" s="12"/>
      <c r="M507" s="12"/>
      <c r="N507" s="12"/>
    </row>
    <row r="508" spans="2:14" ht="16" x14ac:dyDescent="0.25">
      <c r="C508" s="1" t="s">
        <v>217</v>
      </c>
      <c r="E508" s="99"/>
      <c r="F508" s="99"/>
      <c r="G508" s="99"/>
      <c r="H508" s="99"/>
      <c r="I508" s="99"/>
      <c r="J508" s="12">
        <f t="shared" ref="J508:N508" si="293">I510</f>
        <v>826</v>
      </c>
      <c r="K508" s="12">
        <f t="shared" si="293"/>
        <v>926</v>
      </c>
      <c r="L508" s="12">
        <f t="shared" si="293"/>
        <v>1031</v>
      </c>
      <c r="M508" s="12">
        <f t="shared" si="293"/>
        <v>1141</v>
      </c>
      <c r="N508" s="12">
        <f t="shared" si="293"/>
        <v>1256</v>
      </c>
    </row>
    <row r="509" spans="2:14" ht="16" x14ac:dyDescent="0.25">
      <c r="C509" s="65" t="s">
        <v>569</v>
      </c>
      <c r="E509" s="99"/>
      <c r="F509" s="99"/>
      <c r="G509" s="99"/>
      <c r="H509" s="99"/>
      <c r="I509" s="99"/>
      <c r="J509" s="12">
        <f t="shared" ref="J509:N509" si="294">J497</f>
        <v>100</v>
      </c>
      <c r="K509" s="12">
        <f t="shared" si="294"/>
        <v>105</v>
      </c>
      <c r="L509" s="12">
        <f t="shared" si="294"/>
        <v>110</v>
      </c>
      <c r="M509" s="12">
        <f t="shared" si="294"/>
        <v>115</v>
      </c>
      <c r="N509" s="12">
        <f t="shared" si="294"/>
        <v>120</v>
      </c>
    </row>
    <row r="510" spans="2:14" ht="20" customHeight="1" thickBot="1" x14ac:dyDescent="0.3">
      <c r="C510" s="17" t="s">
        <v>218</v>
      </c>
      <c r="D510" s="17"/>
      <c r="E510" s="18">
        <f>E495</f>
        <v>997.346</v>
      </c>
      <c r="F510" s="18">
        <f>F495</f>
        <v>834</v>
      </c>
      <c r="G510" s="18">
        <f>G495</f>
        <v>849</v>
      </c>
      <c r="H510" s="18">
        <f>H495</f>
        <v>850</v>
      </c>
      <c r="I510" s="18">
        <f>I495</f>
        <v>826</v>
      </c>
      <c r="J510" s="18">
        <f t="shared" ref="J510:N510" si="295">SUM(J508:J509)</f>
        <v>926</v>
      </c>
      <c r="K510" s="18">
        <f t="shared" si="295"/>
        <v>1031</v>
      </c>
      <c r="L510" s="18">
        <f t="shared" si="295"/>
        <v>1141</v>
      </c>
      <c r="M510" s="18">
        <f t="shared" si="295"/>
        <v>1256</v>
      </c>
      <c r="N510" s="18">
        <f t="shared" si="295"/>
        <v>1376</v>
      </c>
    </row>
    <row r="511" spans="2:14" ht="17" thickTop="1" x14ac:dyDescent="0.25">
      <c r="E511" s="12"/>
      <c r="F511" s="12"/>
      <c r="G511" s="12"/>
      <c r="H511" s="12"/>
      <c r="I511" s="12"/>
      <c r="J511" s="12"/>
      <c r="K511" s="12"/>
      <c r="L511" s="12"/>
      <c r="M511" s="12"/>
      <c r="N511" s="12"/>
    </row>
    <row r="512" spans="2:14" ht="16" x14ac:dyDescent="0.25">
      <c r="B512" s="19" t="s">
        <v>574</v>
      </c>
      <c r="E512" s="12"/>
      <c r="F512" s="12"/>
      <c r="G512" s="12"/>
      <c r="H512" s="12"/>
      <c r="I512" s="12"/>
      <c r="J512" s="12"/>
      <c r="K512" s="12"/>
      <c r="L512" s="12"/>
      <c r="M512" s="12"/>
      <c r="N512" s="12"/>
    </row>
    <row r="513" spans="2:14" ht="16" x14ac:dyDescent="0.25">
      <c r="E513" s="12"/>
      <c r="F513" s="12"/>
      <c r="G513" s="12"/>
      <c r="H513" s="12"/>
      <c r="I513" s="12"/>
      <c r="J513" s="12"/>
      <c r="K513" s="12"/>
      <c r="L513" s="12"/>
      <c r="M513" s="12"/>
      <c r="N513" s="12"/>
    </row>
    <row r="514" spans="2:14" ht="16" x14ac:dyDescent="0.25">
      <c r="C514" s="1" t="s">
        <v>217</v>
      </c>
      <c r="E514" s="99"/>
      <c r="F514" s="99"/>
      <c r="G514" s="99"/>
      <c r="H514" s="99"/>
      <c r="I514" s="99"/>
      <c r="J514" s="12">
        <f t="shared" ref="J514:N514" si="296">I517</f>
        <v>29803</v>
      </c>
      <c r="K514" s="12">
        <f t="shared" si="296"/>
        <v>30961</v>
      </c>
      <c r="L514" s="12">
        <f t="shared" si="296"/>
        <v>31055.333333333332</v>
      </c>
      <c r="M514" s="12">
        <f t="shared" si="296"/>
        <v>31149.666666666664</v>
      </c>
      <c r="N514" s="12">
        <f t="shared" si="296"/>
        <v>31243.999999999996</v>
      </c>
    </row>
    <row r="515" spans="2:14" ht="16" x14ac:dyDescent="0.25">
      <c r="C515" s="65" t="s">
        <v>569</v>
      </c>
      <c r="E515" s="99"/>
      <c r="F515" s="99"/>
      <c r="G515" s="99"/>
      <c r="H515" s="99"/>
      <c r="I515" s="99"/>
      <c r="J515" s="12">
        <f t="shared" ref="J515:N515" si="297">J498</f>
        <v>913</v>
      </c>
      <c r="K515" s="12">
        <f t="shared" si="297"/>
        <v>94.333333333333329</v>
      </c>
      <c r="L515" s="12">
        <f t="shared" si="297"/>
        <v>94.333333333333329</v>
      </c>
      <c r="M515" s="12">
        <f t="shared" si="297"/>
        <v>94.333333333333329</v>
      </c>
      <c r="N515" s="12">
        <f t="shared" si="297"/>
        <v>0</v>
      </c>
    </row>
    <row r="516" spans="2:14" ht="16" x14ac:dyDescent="0.25">
      <c r="C516" s="65" t="s">
        <v>576</v>
      </c>
      <c r="E516" s="99"/>
      <c r="F516" s="99"/>
      <c r="G516" s="99"/>
      <c r="H516" s="99"/>
      <c r="I516" s="99"/>
      <c r="J516" s="12">
        <f>Assumptions!$H$70</f>
        <v>245</v>
      </c>
      <c r="K516" s="12"/>
      <c r="L516" s="12"/>
      <c r="M516" s="12"/>
      <c r="N516" s="12"/>
    </row>
    <row r="517" spans="2:14" ht="17" thickBot="1" x14ac:dyDescent="0.3">
      <c r="C517" s="17" t="s">
        <v>218</v>
      </c>
      <c r="D517" s="17"/>
      <c r="E517" s="18">
        <f t="shared" ref="E517:I517" si="298">E494</f>
        <v>9178.0239999999994</v>
      </c>
      <c r="F517" s="18">
        <f t="shared" si="298"/>
        <v>10249</v>
      </c>
      <c r="G517" s="18">
        <f t="shared" si="298"/>
        <v>12736</v>
      </c>
      <c r="H517" s="18">
        <f t="shared" si="298"/>
        <v>27260</v>
      </c>
      <c r="I517" s="18">
        <f t="shared" si="298"/>
        <v>29803</v>
      </c>
      <c r="J517" s="18">
        <f t="shared" ref="J517:N517" si="299">SUM(J514:J516)</f>
        <v>30961</v>
      </c>
      <c r="K517" s="18">
        <f t="shared" si="299"/>
        <v>31055.333333333332</v>
      </c>
      <c r="L517" s="18">
        <f t="shared" si="299"/>
        <v>31149.666666666664</v>
      </c>
      <c r="M517" s="18">
        <f t="shared" si="299"/>
        <v>31243.999999999996</v>
      </c>
      <c r="N517" s="18">
        <f t="shared" si="299"/>
        <v>31243.999999999996</v>
      </c>
    </row>
    <row r="518" spans="2:14" ht="17" thickTop="1" x14ac:dyDescent="0.25">
      <c r="E518" s="12"/>
      <c r="F518" s="12"/>
      <c r="G518" s="12"/>
      <c r="H518" s="12"/>
      <c r="I518" s="12"/>
      <c r="J518" s="12"/>
      <c r="K518" s="12"/>
      <c r="L518" s="12"/>
      <c r="M518" s="12"/>
      <c r="N518" s="12"/>
    </row>
    <row r="519" spans="2:14" ht="16" x14ac:dyDescent="0.25">
      <c r="E519" s="12"/>
      <c r="F519" s="12"/>
      <c r="G519" s="12"/>
      <c r="H519" s="12"/>
      <c r="I519" s="12"/>
      <c r="J519" s="12"/>
      <c r="K519" s="12"/>
      <c r="L519" s="12"/>
      <c r="M519" s="12"/>
      <c r="N519" s="12"/>
    </row>
    <row r="520" spans="2:14" ht="16" x14ac:dyDescent="0.25">
      <c r="E520" s="12"/>
      <c r="F520" s="12"/>
      <c r="G520" s="12"/>
      <c r="H520" s="12"/>
      <c r="I520" s="12"/>
      <c r="J520" s="12"/>
      <c r="K520" s="12"/>
      <c r="L520" s="12"/>
      <c r="M520" s="12"/>
      <c r="N520" s="12"/>
    </row>
    <row r="521" spans="2:14" ht="6" customHeight="1" x14ac:dyDescent="0.25"/>
    <row r="522" spans="2:14" ht="20" customHeight="1" x14ac:dyDescent="0.25">
      <c r="B522" s="2" t="str">
        <f>'Cover Page'!$C$18</f>
        <v>Tesla, Inc.</v>
      </c>
      <c r="C522" s="3"/>
      <c r="D522" s="3"/>
      <c r="E522" s="3"/>
      <c r="F522" s="3"/>
      <c r="G522" s="3"/>
      <c r="H522" s="3"/>
      <c r="I522" s="3"/>
      <c r="J522" s="3"/>
      <c r="K522" s="3"/>
      <c r="L522" s="3"/>
      <c r="M522" s="3"/>
      <c r="N522" s="3"/>
    </row>
    <row r="523" spans="2:14" ht="15" customHeight="1" x14ac:dyDescent="0.25">
      <c r="B523" s="4" t="s">
        <v>573</v>
      </c>
      <c r="C523" s="4"/>
      <c r="D523" s="4"/>
      <c r="E523" s="4"/>
      <c r="F523" s="4"/>
      <c r="G523" s="4"/>
      <c r="H523" s="4"/>
      <c r="I523" s="4"/>
      <c r="J523" s="4"/>
      <c r="K523" s="4"/>
      <c r="L523" s="4"/>
      <c r="M523" s="4"/>
      <c r="N523" s="4"/>
    </row>
    <row r="524" spans="2:14" ht="6" customHeight="1" thickBot="1" x14ac:dyDescent="0.3">
      <c r="B524" s="5"/>
      <c r="C524" s="5"/>
      <c r="D524" s="5"/>
      <c r="E524" s="5"/>
      <c r="F524" s="5"/>
      <c r="G524" s="5"/>
      <c r="H524" s="5"/>
      <c r="I524" s="5"/>
      <c r="J524" s="5"/>
      <c r="K524" s="5"/>
      <c r="L524" s="5"/>
      <c r="M524" s="5"/>
      <c r="N524" s="5"/>
    </row>
    <row r="525" spans="2:14" ht="15" customHeight="1" x14ac:dyDescent="0.25">
      <c r="B525" s="117" t="str">
        <f>Scenarios!$B$5</f>
        <v>$ MM's ( unless otherwise specified )</v>
      </c>
      <c r="C525" s="117"/>
      <c r="D525" s="117"/>
      <c r="E525" s="117"/>
      <c r="F525" s="117"/>
      <c r="G525" s="117"/>
      <c r="H525" s="117"/>
      <c r="I525" s="117"/>
      <c r="J525" s="117"/>
      <c r="K525" s="117"/>
      <c r="L525" s="117"/>
      <c r="M525" s="117"/>
      <c r="N525" s="121" t="str">
        <f>Scenarios!$N$5</f>
        <v>Based on: Base Case Senario</v>
      </c>
    </row>
    <row r="526" spans="2:14" ht="6" customHeight="1" x14ac:dyDescent="0.25"/>
    <row r="527" spans="2:14" ht="15" customHeight="1" x14ac:dyDescent="0.25">
      <c r="E527" s="6" t="s">
        <v>7</v>
      </c>
      <c r="F527" s="7"/>
      <c r="G527" s="7"/>
      <c r="H527" s="7"/>
      <c r="I527" s="7"/>
      <c r="J527" s="8" t="s">
        <v>6</v>
      </c>
      <c r="K527" s="9"/>
      <c r="L527" s="9"/>
      <c r="M527" s="9"/>
      <c r="N527" s="9"/>
    </row>
    <row r="528" spans="2:14" ht="15" customHeight="1" x14ac:dyDescent="0.25">
      <c r="E528" s="10">
        <f t="shared" ref="E528" si="300">F528-1</f>
        <v>2017</v>
      </c>
      <c r="F528" s="10">
        <f t="shared" ref="F528" si="301">G528-1</f>
        <v>2018</v>
      </c>
      <c r="G528" s="10">
        <f t="shared" ref="G528" si="302">H528-1</f>
        <v>2019</v>
      </c>
      <c r="H528" s="10">
        <f t="shared" ref="H528" si="303">I528-1</f>
        <v>2020</v>
      </c>
      <c r="I528" s="10">
        <f t="shared" ref="I528" si="304">J528-1</f>
        <v>2021</v>
      </c>
      <c r="J528" s="11">
        <v>2022</v>
      </c>
      <c r="K528" s="11">
        <f>J528+1</f>
        <v>2023</v>
      </c>
      <c r="L528" s="11">
        <f t="shared" ref="L528" si="305">K528+1</f>
        <v>2024</v>
      </c>
      <c r="M528" s="11">
        <f t="shared" ref="M528" si="306">L528+1</f>
        <v>2025</v>
      </c>
      <c r="N528" s="11">
        <f t="shared" ref="N528" si="307">M528+1</f>
        <v>2026</v>
      </c>
    </row>
    <row r="529" spans="2:14" ht="16" x14ac:dyDescent="0.25">
      <c r="E529" s="12"/>
      <c r="F529" s="12"/>
      <c r="G529" s="12"/>
      <c r="H529" s="12"/>
      <c r="I529" s="12"/>
      <c r="J529" s="12"/>
      <c r="K529" s="12"/>
      <c r="L529" s="12"/>
      <c r="M529" s="12"/>
      <c r="N529" s="12"/>
    </row>
    <row r="530" spans="2:14" ht="16" x14ac:dyDescent="0.25">
      <c r="B530" s="122"/>
      <c r="C530" s="105" t="s">
        <v>74</v>
      </c>
      <c r="D530" s="105"/>
      <c r="E530" s="106">
        <f>'Ratio Analysis'!W133</f>
        <v>397.73399999999998</v>
      </c>
      <c r="F530" s="106">
        <f>'Ratio Analysis'!X133</f>
        <v>556</v>
      </c>
      <c r="G530" s="106">
        <f>'Ratio Analysis'!Y133</f>
        <v>643</v>
      </c>
      <c r="H530" s="106">
        <f>'Ratio Analysis'!Z133</f>
        <v>604</v>
      </c>
      <c r="I530" s="106">
        <f>'Ratio Analysis'!AA133</f>
        <v>568</v>
      </c>
      <c r="J530" s="135"/>
      <c r="K530" s="135"/>
      <c r="L530" s="135"/>
      <c r="M530" s="135"/>
      <c r="N530" s="136"/>
    </row>
    <row r="531" spans="2:14" ht="16" x14ac:dyDescent="0.25">
      <c r="B531" s="26"/>
      <c r="C531" s="1" t="s">
        <v>84</v>
      </c>
      <c r="E531" s="14">
        <f>'Ratio Analysis'!W138</f>
        <v>0.16900000000000001</v>
      </c>
      <c r="F531" s="14">
        <f>'Ratio Analysis'!X138</f>
        <v>0</v>
      </c>
      <c r="G531" s="14">
        <f>'Ratio Analysis'!Y138</f>
        <v>1</v>
      </c>
      <c r="H531" s="14">
        <f>'Ratio Analysis'!Z138</f>
        <v>1</v>
      </c>
      <c r="I531" s="14">
        <f>'Ratio Analysis'!AA138</f>
        <v>1</v>
      </c>
      <c r="J531" s="99"/>
      <c r="K531" s="99"/>
      <c r="L531" s="99"/>
      <c r="M531" s="99"/>
      <c r="N531" s="137"/>
    </row>
    <row r="532" spans="2:14" ht="16" x14ac:dyDescent="0.25">
      <c r="B532" s="114"/>
      <c r="C532" s="138" t="s">
        <v>78</v>
      </c>
      <c r="D532" s="138"/>
      <c r="E532" s="162">
        <f>'Ratio Analysis'!W140</f>
        <v>33.347999999999999</v>
      </c>
      <c r="F532" s="162">
        <f>'Ratio Analysis'!X140</f>
        <v>-8</v>
      </c>
      <c r="G532" s="162">
        <f>'Ratio Analysis'!Y140</f>
        <v>-36</v>
      </c>
      <c r="H532" s="162">
        <f>'Ratio Analysis'!Z140</f>
        <v>363</v>
      </c>
      <c r="I532" s="162">
        <f>'Ratio Analysis'!AA140</f>
        <v>54</v>
      </c>
      <c r="J532" s="169"/>
      <c r="K532" s="169"/>
      <c r="L532" s="169"/>
      <c r="M532" s="169"/>
      <c r="N532" s="170"/>
    </row>
    <row r="533" spans="2:14" ht="16" x14ac:dyDescent="0.25">
      <c r="E533" s="12"/>
      <c r="F533" s="12"/>
      <c r="G533" s="12"/>
      <c r="H533" s="12"/>
      <c r="I533" s="12"/>
      <c r="J533" s="12"/>
      <c r="K533" s="12"/>
      <c r="L533" s="12"/>
      <c r="M533" s="12"/>
      <c r="N533" s="12"/>
    </row>
    <row r="534" spans="2:14" ht="16" x14ac:dyDescent="0.25">
      <c r="C534" s="1" t="str">
        <f>C530</f>
        <v>Redeemable noncontrolling interests in subsidiaries</v>
      </c>
      <c r="E534" s="12">
        <f>E530</f>
        <v>397.73399999999998</v>
      </c>
      <c r="F534" s="12">
        <f t="shared" ref="F534:I534" si="308">F530</f>
        <v>556</v>
      </c>
      <c r="G534" s="12">
        <f t="shared" si="308"/>
        <v>643</v>
      </c>
      <c r="H534" s="12">
        <f t="shared" si="308"/>
        <v>604</v>
      </c>
      <c r="I534" s="12">
        <f t="shared" si="308"/>
        <v>568</v>
      </c>
      <c r="J534" s="12">
        <f t="shared" ref="J534:N536" si="309">I534</f>
        <v>568</v>
      </c>
      <c r="K534" s="12">
        <f t="shared" si="309"/>
        <v>568</v>
      </c>
      <c r="L534" s="12">
        <f t="shared" si="309"/>
        <v>568</v>
      </c>
      <c r="M534" s="12">
        <f t="shared" si="309"/>
        <v>568</v>
      </c>
      <c r="N534" s="12">
        <f t="shared" si="309"/>
        <v>568</v>
      </c>
    </row>
    <row r="535" spans="2:14" ht="16" x14ac:dyDescent="0.25">
      <c r="C535" s="1" t="str">
        <f>C531</f>
        <v>Common stock</v>
      </c>
      <c r="E535" s="12">
        <f>E531</f>
        <v>0.16900000000000001</v>
      </c>
      <c r="F535" s="12">
        <f t="shared" ref="F535:I535" si="310">F531</f>
        <v>0</v>
      </c>
      <c r="G535" s="12">
        <f t="shared" si="310"/>
        <v>1</v>
      </c>
      <c r="H535" s="12">
        <f t="shared" si="310"/>
        <v>1</v>
      </c>
      <c r="I535" s="12">
        <f t="shared" si="310"/>
        <v>1</v>
      </c>
      <c r="J535" s="12">
        <f t="shared" si="309"/>
        <v>1</v>
      </c>
      <c r="K535" s="12">
        <f t="shared" si="309"/>
        <v>1</v>
      </c>
      <c r="L535" s="12">
        <f t="shared" si="309"/>
        <v>1</v>
      </c>
      <c r="M535" s="12">
        <f t="shared" si="309"/>
        <v>1</v>
      </c>
      <c r="N535" s="12">
        <f t="shared" si="309"/>
        <v>1</v>
      </c>
    </row>
    <row r="536" spans="2:14" ht="16" x14ac:dyDescent="0.25">
      <c r="C536" s="1" t="str">
        <f>C532</f>
        <v>Accumulated other comprehensive income</v>
      </c>
      <c r="E536" s="12">
        <f>E532</f>
        <v>33.347999999999999</v>
      </c>
      <c r="F536" s="12">
        <f t="shared" ref="F536:I536" si="311">F532</f>
        <v>-8</v>
      </c>
      <c r="G536" s="12">
        <f t="shared" si="311"/>
        <v>-36</v>
      </c>
      <c r="H536" s="12">
        <f t="shared" si="311"/>
        <v>363</v>
      </c>
      <c r="I536" s="12">
        <f t="shared" si="311"/>
        <v>54</v>
      </c>
      <c r="J536" s="12">
        <f t="shared" si="309"/>
        <v>54</v>
      </c>
      <c r="K536" s="12">
        <f t="shared" si="309"/>
        <v>54</v>
      </c>
      <c r="L536" s="12">
        <f t="shared" si="309"/>
        <v>54</v>
      </c>
      <c r="M536" s="12">
        <f t="shared" si="309"/>
        <v>54</v>
      </c>
      <c r="N536" s="12">
        <f t="shared" si="309"/>
        <v>54</v>
      </c>
    </row>
    <row r="537" spans="2:14" ht="16" x14ac:dyDescent="0.25">
      <c r="E537" s="12"/>
      <c r="F537" s="12"/>
      <c r="G537" s="12"/>
      <c r="H537" s="12"/>
      <c r="I537" s="12"/>
      <c r="J537" s="12"/>
      <c r="K537" s="12"/>
      <c r="L537" s="12"/>
      <c r="M537" s="12"/>
      <c r="N537" s="12"/>
    </row>
    <row r="538" spans="2:14" ht="16" x14ac:dyDescent="0.25">
      <c r="E538" s="12"/>
      <c r="F538" s="12"/>
      <c r="G538" s="12"/>
      <c r="H538" s="12"/>
      <c r="I538" s="12"/>
      <c r="J538" s="12"/>
      <c r="K538" s="12"/>
      <c r="L538" s="12"/>
      <c r="M538" s="12"/>
      <c r="N538" s="12"/>
    </row>
    <row r="539" spans="2:14" ht="16" x14ac:dyDescent="0.25">
      <c r="E539" s="12"/>
      <c r="F539" s="12"/>
      <c r="G539" s="12"/>
      <c r="H539" s="12"/>
      <c r="I539" s="12"/>
      <c r="J539" s="12"/>
      <c r="K539" s="12"/>
      <c r="L539" s="12"/>
      <c r="M539" s="12"/>
      <c r="N539" s="12"/>
    </row>
    <row r="540" spans="2:14" ht="6" customHeight="1" x14ac:dyDescent="0.25"/>
    <row r="542" spans="2:14" ht="16" x14ac:dyDescent="0.25">
      <c r="C542" s="1" t="s">
        <v>577</v>
      </c>
      <c r="E542" s="14">
        <f>'Ratio Analysis'!W23</f>
        <v>-471</v>
      </c>
      <c r="F542" s="14">
        <f>'Ratio Analysis'!X23</f>
        <v>-663</v>
      </c>
      <c r="G542" s="14">
        <f>'Ratio Analysis'!Y23</f>
        <v>-685</v>
      </c>
      <c r="H542" s="14">
        <f>'Ratio Analysis'!Z23</f>
        <v>-748</v>
      </c>
      <c r="I542" s="14">
        <f>'Ratio Analysis'!AA23</f>
        <v>-371</v>
      </c>
      <c r="J542" s="12">
        <f t="shared" ref="J542:N542" si="312">J480+J443+J307</f>
        <v>460.89089450216449</v>
      </c>
      <c r="K542" s="12">
        <f t="shared" si="312"/>
        <v>321.4162432997835</v>
      </c>
      <c r="L542" s="12">
        <f t="shared" si="312"/>
        <v>300.12208369857387</v>
      </c>
      <c r="M542" s="12">
        <f t="shared" si="312"/>
        <v>291.5002975003643</v>
      </c>
      <c r="N542" s="12">
        <f t="shared" si="312"/>
        <v>290.76013015223464</v>
      </c>
    </row>
    <row r="543" spans="2:14" ht="16" x14ac:dyDescent="0.25">
      <c r="C543" s="1" t="s">
        <v>88</v>
      </c>
      <c r="E543" s="14">
        <f>'Ratio Analysis'!W102</f>
        <v>597.04499999999996</v>
      </c>
      <c r="F543" s="14">
        <f>'Ratio Analysis'!X102</f>
        <v>591</v>
      </c>
      <c r="G543" s="14">
        <f>'Ratio Analysis'!Y102</f>
        <v>515</v>
      </c>
      <c r="H543" s="14">
        <f>'Ratio Analysis'!Z102</f>
        <v>517</v>
      </c>
      <c r="I543" s="14">
        <f>'Ratio Analysis'!AA102</f>
        <v>568</v>
      </c>
      <c r="J543" s="12">
        <f t="shared" ref="J543:N543" si="313">I543</f>
        <v>568</v>
      </c>
      <c r="K543" s="12">
        <f t="shared" si="313"/>
        <v>568</v>
      </c>
      <c r="L543" s="12">
        <f t="shared" si="313"/>
        <v>568</v>
      </c>
      <c r="M543" s="12">
        <f t="shared" si="313"/>
        <v>568</v>
      </c>
      <c r="N543" s="12">
        <f t="shared" si="313"/>
        <v>568</v>
      </c>
    </row>
    <row r="544" spans="2:14" ht="16" x14ac:dyDescent="0.25">
      <c r="C544" s="1" t="s">
        <v>49</v>
      </c>
      <c r="E544" s="14">
        <f>'Ratio Analysis'!W103</f>
        <v>0</v>
      </c>
      <c r="F544" s="14">
        <f>'Ratio Analysis'!X103</f>
        <v>0</v>
      </c>
      <c r="G544" s="14">
        <f>'Ratio Analysis'!Y103</f>
        <v>0</v>
      </c>
      <c r="H544" s="14">
        <f>'Ratio Analysis'!Z103</f>
        <v>0</v>
      </c>
      <c r="I544" s="14">
        <f>'Ratio Analysis'!AA103</f>
        <v>131</v>
      </c>
      <c r="J544" s="12">
        <f t="shared" ref="J544:N544" si="314">I544</f>
        <v>131</v>
      </c>
      <c r="K544" s="12">
        <f t="shared" si="314"/>
        <v>131</v>
      </c>
      <c r="L544" s="12">
        <f t="shared" si="314"/>
        <v>131</v>
      </c>
      <c r="M544" s="12">
        <f t="shared" si="314"/>
        <v>131</v>
      </c>
      <c r="N544" s="12">
        <f t="shared" si="314"/>
        <v>131</v>
      </c>
    </row>
    <row r="545" spans="3:14" ht="16" x14ac:dyDescent="0.25">
      <c r="E545" s="14"/>
      <c r="F545" s="14"/>
      <c r="G545" s="14"/>
      <c r="H545" s="14"/>
      <c r="I545" s="14"/>
      <c r="J545" s="12"/>
      <c r="K545" s="12"/>
      <c r="L545" s="12"/>
      <c r="M545" s="12"/>
      <c r="N545" s="12"/>
    </row>
    <row r="546" spans="3:14" ht="16" x14ac:dyDescent="0.25">
      <c r="C546" s="1" t="s">
        <v>579</v>
      </c>
    </row>
    <row r="547" spans="3:14" ht="16" x14ac:dyDescent="0.25">
      <c r="D547" s="167">
        <f>Assumptions!F62</f>
        <v>0.06</v>
      </c>
      <c r="E547" s="100"/>
      <c r="F547" s="100"/>
      <c r="G547" s="100"/>
      <c r="H547" s="100"/>
      <c r="I547" s="100"/>
      <c r="J547" s="12">
        <f>SUM(J543:J544)*D547</f>
        <v>41.94</v>
      </c>
      <c r="K547" s="12"/>
      <c r="L547" s="12"/>
      <c r="M547" s="12"/>
      <c r="N547" s="12"/>
    </row>
    <row r="548" spans="3:14" ht="16" x14ac:dyDescent="0.25">
      <c r="D548" s="167">
        <f>Assumptions!$H$62</f>
        <v>0.08</v>
      </c>
      <c r="E548" s="100"/>
      <c r="F548" s="100"/>
      <c r="G548" s="100"/>
      <c r="H548" s="100"/>
      <c r="I548" s="100"/>
      <c r="J548" s="12"/>
      <c r="K548" s="12">
        <f t="shared" ref="K548:N548" si="315">SUM(K543:K544)*$D$548</f>
        <v>55.92</v>
      </c>
      <c r="L548" s="12">
        <f t="shared" si="315"/>
        <v>55.92</v>
      </c>
      <c r="M548" s="12">
        <f t="shared" si="315"/>
        <v>55.92</v>
      </c>
      <c r="N548" s="12">
        <f t="shared" si="315"/>
        <v>55.92</v>
      </c>
    </row>
    <row r="549" spans="3:14" ht="16" x14ac:dyDescent="0.25">
      <c r="C549" s="15" t="s">
        <v>578</v>
      </c>
      <c r="D549" s="15"/>
      <c r="E549" s="158">
        <f>'Ratio Analysis'!W22</f>
        <v>19</v>
      </c>
      <c r="F549" s="158">
        <f>'Ratio Analysis'!X22</f>
        <v>24</v>
      </c>
      <c r="G549" s="158">
        <f>'Ratio Analysis'!Y22</f>
        <v>44</v>
      </c>
      <c r="H549" s="158">
        <f>'Ratio Analysis'!Z22</f>
        <v>30</v>
      </c>
      <c r="I549" s="158">
        <f>'Ratio Analysis'!AA22</f>
        <v>56</v>
      </c>
      <c r="J549" s="16">
        <f t="shared" ref="J549:N549" si="316">SUM(J547:J548)</f>
        <v>41.94</v>
      </c>
      <c r="K549" s="16">
        <f t="shared" si="316"/>
        <v>55.92</v>
      </c>
      <c r="L549" s="16">
        <f t="shared" si="316"/>
        <v>55.92</v>
      </c>
      <c r="M549" s="16">
        <f t="shared" si="316"/>
        <v>55.92</v>
      </c>
      <c r="N549" s="16">
        <f t="shared" si="316"/>
        <v>55.92</v>
      </c>
    </row>
  </sheetData>
  <printOptions horizontalCentered="1"/>
  <pageMargins left="0.11811023622047245" right="0.11811023622047245" top="0.11811023622047245" bottom="0.19685039370078741" header="0.11811023622047245" footer="0.11811023622047245"/>
  <pageSetup scale="80" orientation="landscape" r:id="rId1"/>
  <headerFooter>
    <oddFooter>&amp;Lir.tesla.com&amp;CPage &amp;P of &amp;N&amp;R&amp;D  &amp;T</oddFooter>
  </headerFooter>
  <rowBreaks count="18" manualBreakCount="18">
    <brk id="30" max="16383" man="1"/>
    <brk id="61" max="16383" man="1"/>
    <brk id="83" max="16383" man="1"/>
    <brk id="133" max="16383" man="1"/>
    <brk id="165" max="16383" man="1"/>
    <brk id="202" max="16383" man="1"/>
    <brk id="236" max="16383" man="1"/>
    <brk id="262" max="16383" man="1"/>
    <brk id="311" max="16383" man="1"/>
    <brk id="331" max="14" man="1"/>
    <brk id="351" max="14" man="1"/>
    <brk id="371" max="16383" man="1"/>
    <brk id="391" max="16383" man="1"/>
    <brk id="411" max="16383" man="1"/>
    <brk id="445" max="16383" man="1"/>
    <brk id="483" max="16383" man="1"/>
    <brk id="520" max="16383" man="1"/>
    <brk id="539" max="16383" man="1"/>
  </row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5FA0D-F12E-4CE5-B616-DAA6B0D497EB}">
  <dimension ref="B1:Z200"/>
  <sheetViews>
    <sheetView showGridLines="0" zoomScaleNormal="100" workbookViewId="0"/>
  </sheetViews>
  <sheetFormatPr baseColWidth="10" defaultColWidth="9.1640625" defaultRowHeight="14" outlineLevelCol="1" x14ac:dyDescent="0.2"/>
  <cols>
    <col min="1" max="2" width="1.1640625" style="1" customWidth="1"/>
    <col min="3" max="3" width="30.6640625" style="1" customWidth="1"/>
    <col min="4" max="4" width="11.6640625" style="1" hidden="1" customWidth="1" outlineLevel="1"/>
    <col min="5" max="5" width="13.1640625" style="1" bestFit="1" customWidth="1" collapsed="1"/>
    <col min="6" max="8" width="11.6640625" style="1" customWidth="1"/>
    <col min="9" max="9" width="14.33203125" style="1" customWidth="1"/>
    <col min="10" max="10" width="14.6640625" style="1" customWidth="1"/>
    <col min="11" max="11" width="1.1640625" style="1" customWidth="1"/>
    <col min="12" max="16" width="11.6640625" style="1" customWidth="1"/>
    <col min="17" max="17" width="1.1640625" style="1" customWidth="1"/>
    <col min="18" max="18" width="9.1640625" style="1"/>
    <col min="19" max="19" width="6.6640625" style="1" customWidth="1"/>
    <col min="20" max="25" width="9.1640625" style="1"/>
    <col min="26" max="26" width="10.33203125" style="1" bestFit="1" customWidth="1"/>
    <col min="27" max="16384" width="9.1640625" style="1"/>
  </cols>
  <sheetData>
    <row r="1" spans="2:18" ht="6" customHeight="1" x14ac:dyDescent="0.2"/>
    <row r="2" spans="2:18" ht="20" customHeight="1" x14ac:dyDescent="0.25">
      <c r="B2" s="2" t="str">
        <f>'Cover Page'!$C$18</f>
        <v>Tesla, Inc.</v>
      </c>
      <c r="C2" s="3"/>
      <c r="D2" s="3"/>
      <c r="E2" s="3"/>
      <c r="F2" s="3"/>
      <c r="G2" s="3"/>
      <c r="H2" s="3"/>
      <c r="I2" s="3"/>
      <c r="J2" s="3"/>
      <c r="K2" s="3"/>
      <c r="L2" s="3"/>
      <c r="M2" s="3"/>
      <c r="N2" s="3"/>
      <c r="O2" s="3"/>
      <c r="P2" s="3"/>
    </row>
    <row r="3" spans="2:18" ht="15" customHeight="1" x14ac:dyDescent="0.2">
      <c r="B3" s="4" t="s">
        <v>587</v>
      </c>
      <c r="C3" s="4"/>
      <c r="D3" s="4"/>
      <c r="E3" s="4"/>
      <c r="F3" s="4"/>
      <c r="G3" s="4"/>
      <c r="H3" s="4"/>
      <c r="I3" s="4"/>
      <c r="J3" s="4"/>
      <c r="K3" s="4"/>
      <c r="L3" s="4"/>
      <c r="M3" s="4"/>
      <c r="N3" s="4"/>
      <c r="O3" s="4"/>
      <c r="P3" s="4"/>
    </row>
    <row r="4" spans="2:18" ht="6" customHeight="1" thickBot="1" x14ac:dyDescent="0.25">
      <c r="B4" s="5"/>
      <c r="C4" s="5"/>
      <c r="D4" s="5"/>
      <c r="E4" s="5"/>
      <c r="F4" s="5"/>
      <c r="G4" s="5"/>
      <c r="H4" s="5"/>
      <c r="I4" s="5"/>
      <c r="J4" s="5"/>
      <c r="K4" s="5"/>
      <c r="L4" s="5"/>
      <c r="M4" s="5"/>
      <c r="N4" s="5"/>
      <c r="O4" s="5"/>
      <c r="P4" s="5"/>
    </row>
    <row r="5" spans="2:18" ht="15" customHeight="1" x14ac:dyDescent="0.2">
      <c r="B5" s="117" t="str">
        <f>Scenarios!$B$5</f>
        <v>$ MM's ( unless otherwise specified )</v>
      </c>
      <c r="C5" s="117"/>
      <c r="D5" s="117"/>
      <c r="E5" s="117"/>
      <c r="F5" s="117"/>
      <c r="G5" s="117"/>
      <c r="H5" s="117"/>
      <c r="I5" s="117"/>
      <c r="J5" s="117"/>
      <c r="K5" s="117"/>
      <c r="L5" s="117"/>
      <c r="M5" s="117"/>
      <c r="N5" s="117"/>
      <c r="O5" s="117"/>
      <c r="P5" s="121" t="str">
        <f>Scenarios!$N$5</f>
        <v>Based on: Base Case Senario</v>
      </c>
    </row>
    <row r="6" spans="2:18" ht="6" customHeight="1" x14ac:dyDescent="0.2"/>
    <row r="7" spans="2:18" ht="15" customHeight="1" x14ac:dyDescent="0.2">
      <c r="F7" s="6" t="s">
        <v>7</v>
      </c>
      <c r="G7" s="7"/>
      <c r="H7" s="7"/>
      <c r="I7" s="7"/>
      <c r="J7" s="7"/>
      <c r="K7" s="7"/>
      <c r="L7" s="8" t="s">
        <v>6</v>
      </c>
      <c r="M7" s="9"/>
      <c r="N7" s="9"/>
      <c r="O7" s="9"/>
      <c r="P7" s="9"/>
    </row>
    <row r="8" spans="2:18" ht="15" customHeight="1" x14ac:dyDescent="0.2">
      <c r="F8" s="10">
        <f t="shared" ref="F8:I8" si="0">G8-1</f>
        <v>2017</v>
      </c>
      <c r="G8" s="10">
        <f t="shared" si="0"/>
        <v>2018</v>
      </c>
      <c r="H8" s="10">
        <f t="shared" si="0"/>
        <v>2019</v>
      </c>
      <c r="I8" s="10">
        <f t="shared" si="0"/>
        <v>2020</v>
      </c>
      <c r="J8" s="10">
        <f>L8-1</f>
        <v>2021</v>
      </c>
      <c r="K8" s="10"/>
      <c r="L8" s="11">
        <v>2022</v>
      </c>
      <c r="M8" s="11">
        <f>L8+1</f>
        <v>2023</v>
      </c>
      <c r="N8" s="11">
        <f t="shared" ref="N8:P8" si="1">M8+1</f>
        <v>2024</v>
      </c>
      <c r="O8" s="11">
        <f t="shared" si="1"/>
        <v>2025</v>
      </c>
      <c r="P8" s="11">
        <f t="shared" si="1"/>
        <v>2026</v>
      </c>
    </row>
    <row r="9" spans="2:18" ht="15" customHeight="1" x14ac:dyDescent="0.2"/>
    <row r="10" spans="2:18" ht="15" customHeight="1" x14ac:dyDescent="0.2">
      <c r="B10" s="59" t="s">
        <v>588</v>
      </c>
      <c r="F10" s="12"/>
      <c r="G10" s="12"/>
      <c r="H10" s="12"/>
      <c r="I10" s="12"/>
      <c r="J10" s="12"/>
      <c r="K10" s="12"/>
      <c r="L10" s="12"/>
      <c r="M10" s="12"/>
      <c r="N10" s="12"/>
      <c r="O10" s="12"/>
      <c r="P10" s="12"/>
      <c r="Q10" s="12"/>
      <c r="R10" s="12"/>
    </row>
    <row r="11" spans="2:18" ht="15" customHeight="1" x14ac:dyDescent="0.2">
      <c r="F11" s="12"/>
      <c r="G11" s="12"/>
      <c r="H11" s="12"/>
      <c r="I11" s="12"/>
      <c r="J11" s="12"/>
      <c r="K11" s="12"/>
      <c r="L11" s="12"/>
      <c r="M11" s="12"/>
      <c r="N11" s="12"/>
      <c r="O11" s="12"/>
      <c r="P11" s="12"/>
      <c r="Q11" s="12"/>
      <c r="R11" s="12"/>
    </row>
    <row r="12" spans="2:18" ht="15" customHeight="1" x14ac:dyDescent="0.2">
      <c r="C12" s="1" t="str">
        <f>'Financial Statements'!C22</f>
        <v>Operating Profit</v>
      </c>
      <c r="F12" s="14">
        <f>'Financial Statements'!E22</f>
        <v>-1632</v>
      </c>
      <c r="G12" s="14">
        <f>'Financial Statements'!F22</f>
        <v>-388</v>
      </c>
      <c r="H12" s="14">
        <f>'Financial Statements'!G22</f>
        <v>-69</v>
      </c>
      <c r="I12" s="14">
        <f>'Financial Statements'!H22</f>
        <v>1994</v>
      </c>
      <c r="J12" s="14">
        <f>'Financial Statements'!I22</f>
        <v>6523</v>
      </c>
      <c r="K12" s="14"/>
      <c r="L12" s="14">
        <f>'Financial Statements'!J22</f>
        <v>12362.769999999997</v>
      </c>
      <c r="M12" s="14">
        <f>'Financial Statements'!K22</f>
        <v>13147.047200000001</v>
      </c>
      <c r="N12" s="14">
        <f>'Financial Statements'!L22</f>
        <v>24032.566011999996</v>
      </c>
      <c r="O12" s="14">
        <f>'Financial Statements'!M22</f>
        <v>35176.599409520015</v>
      </c>
      <c r="P12" s="14">
        <f>'Financial Statements'!N22</f>
        <v>50661.739769179214</v>
      </c>
      <c r="Q12" s="12"/>
      <c r="R12" s="12"/>
    </row>
    <row r="13" spans="2:18" ht="15" customHeight="1" x14ac:dyDescent="0.2">
      <c r="C13" s="65" t="s">
        <v>589</v>
      </c>
      <c r="F13" s="14">
        <f>'Financial Statements'!E118</f>
        <v>1636</v>
      </c>
      <c r="G13" s="14">
        <f>'Financial Statements'!F118</f>
        <v>1901</v>
      </c>
      <c r="H13" s="14">
        <f>'Financial Statements'!G118</f>
        <v>2154</v>
      </c>
      <c r="I13" s="14">
        <f>'Financial Statements'!H118</f>
        <v>2322</v>
      </c>
      <c r="J13" s="14">
        <f>'Financial Statements'!I118</f>
        <v>2911</v>
      </c>
      <c r="K13" s="14"/>
      <c r="L13" s="14">
        <f>'Financial Statements'!J118</f>
        <v>3929.4730780825607</v>
      </c>
      <c r="M13" s="14">
        <f>'Financial Statements'!K118</f>
        <v>4672.0334359365497</v>
      </c>
      <c r="N13" s="14">
        <f>'Financial Statements'!L118</f>
        <v>5721.4929092903849</v>
      </c>
      <c r="O13" s="14">
        <f>'Financial Statements'!M118</f>
        <v>5506.9927456788828</v>
      </c>
      <c r="P13" s="14">
        <f>'Financial Statements'!N118</f>
        <v>7020.1172212787524</v>
      </c>
      <c r="Q13" s="12"/>
      <c r="R13" s="12"/>
    </row>
    <row r="14" spans="2:18" ht="20" customHeight="1" thickBot="1" x14ac:dyDescent="0.25">
      <c r="B14" s="17"/>
      <c r="C14" s="17" t="s">
        <v>590</v>
      </c>
      <c r="D14" s="17"/>
      <c r="E14" s="17"/>
      <c r="F14" s="18">
        <f t="shared" ref="F14:P14" si="2">SUM(F12:F13)</f>
        <v>4</v>
      </c>
      <c r="G14" s="18">
        <f t="shared" si="2"/>
        <v>1513</v>
      </c>
      <c r="H14" s="18">
        <f t="shared" si="2"/>
        <v>2085</v>
      </c>
      <c r="I14" s="18">
        <f t="shared" si="2"/>
        <v>4316</v>
      </c>
      <c r="J14" s="18">
        <f t="shared" si="2"/>
        <v>9434</v>
      </c>
      <c r="K14" s="18"/>
      <c r="L14" s="18">
        <f t="shared" si="2"/>
        <v>16292.243078082558</v>
      </c>
      <c r="M14" s="18">
        <f t="shared" si="2"/>
        <v>17819.080635936552</v>
      </c>
      <c r="N14" s="18">
        <f t="shared" si="2"/>
        <v>29754.05892129038</v>
      </c>
      <c r="O14" s="18">
        <f t="shared" si="2"/>
        <v>40683.592155198901</v>
      </c>
      <c r="P14" s="18">
        <f t="shared" si="2"/>
        <v>57681.856990457964</v>
      </c>
      <c r="Q14" s="12"/>
      <c r="R14" s="12"/>
    </row>
    <row r="15" spans="2:18" ht="15" customHeight="1" thickTop="1" x14ac:dyDescent="0.2">
      <c r="F15" s="12"/>
      <c r="G15" s="12"/>
      <c r="H15" s="12"/>
      <c r="I15" s="12"/>
      <c r="J15" s="12"/>
      <c r="K15" s="12"/>
      <c r="L15" s="12"/>
      <c r="M15" s="12"/>
      <c r="N15" s="12"/>
      <c r="O15" s="12"/>
      <c r="P15" s="12"/>
      <c r="Q15" s="12"/>
      <c r="R15" s="12"/>
    </row>
    <row r="16" spans="2:18" ht="15" customHeight="1" x14ac:dyDescent="0.2">
      <c r="B16" s="59" t="s">
        <v>591</v>
      </c>
      <c r="F16" s="12"/>
      <c r="G16" s="12"/>
      <c r="H16" s="12"/>
      <c r="I16" s="12"/>
      <c r="J16" s="12"/>
      <c r="K16" s="12"/>
      <c r="L16" s="12"/>
      <c r="M16" s="12"/>
      <c r="N16" s="12"/>
      <c r="O16" s="12"/>
      <c r="P16" s="12"/>
      <c r="Q16" s="12"/>
      <c r="R16" s="12"/>
    </row>
    <row r="17" spans="3:18" ht="15" customHeight="1" x14ac:dyDescent="0.2">
      <c r="F17" s="12"/>
      <c r="G17" s="12"/>
      <c r="H17" s="12"/>
      <c r="I17" s="12"/>
      <c r="J17" s="12"/>
      <c r="K17" s="12"/>
      <c r="L17" s="12"/>
      <c r="M17" s="12"/>
      <c r="N17" s="12"/>
      <c r="O17" s="12"/>
      <c r="P17" s="12"/>
      <c r="Q17" s="12"/>
      <c r="R17" s="12"/>
    </row>
    <row r="18" spans="3:18" ht="15" customHeight="1" x14ac:dyDescent="0.2">
      <c r="C18" s="1" t="s">
        <v>25</v>
      </c>
      <c r="F18" s="14">
        <f t="shared" ref="F18:P18" si="3">F12</f>
        <v>-1632</v>
      </c>
      <c r="G18" s="14">
        <f t="shared" si="3"/>
        <v>-388</v>
      </c>
      <c r="H18" s="14">
        <f t="shared" si="3"/>
        <v>-69</v>
      </c>
      <c r="I18" s="14">
        <f t="shared" si="3"/>
        <v>1994</v>
      </c>
      <c r="J18" s="14">
        <f t="shared" si="3"/>
        <v>6523</v>
      </c>
      <c r="K18" s="14"/>
      <c r="L18" s="14">
        <f t="shared" si="3"/>
        <v>12362.769999999997</v>
      </c>
      <c r="M18" s="14">
        <f t="shared" si="3"/>
        <v>13147.047200000001</v>
      </c>
      <c r="N18" s="14">
        <f t="shared" si="3"/>
        <v>24032.566011999996</v>
      </c>
      <c r="O18" s="14">
        <f t="shared" si="3"/>
        <v>35176.599409520015</v>
      </c>
      <c r="P18" s="14">
        <f t="shared" si="3"/>
        <v>50661.739769179214</v>
      </c>
      <c r="Q18" s="12"/>
      <c r="R18" s="12"/>
    </row>
    <row r="19" spans="3:18" ht="15" customHeight="1" x14ac:dyDescent="0.2">
      <c r="C19" s="65" t="s">
        <v>592</v>
      </c>
      <c r="D19" s="185">
        <f>Assumptions!$H$50</f>
        <v>0.15</v>
      </c>
      <c r="E19" s="185"/>
      <c r="F19" s="14">
        <f>IF(F18&gt;0,F18*$D$19,0)</f>
        <v>0</v>
      </c>
      <c r="G19" s="14">
        <f t="shared" ref="G19:P19" si="4">IF(G18&gt;0,G18*$D$19,0)</f>
        <v>0</v>
      </c>
      <c r="H19" s="14">
        <f t="shared" si="4"/>
        <v>0</v>
      </c>
      <c r="I19" s="14">
        <f t="shared" si="4"/>
        <v>299.09999999999997</v>
      </c>
      <c r="J19" s="14">
        <f t="shared" si="4"/>
        <v>978.44999999999993</v>
      </c>
      <c r="K19" s="14"/>
      <c r="L19" s="14">
        <f t="shared" si="4"/>
        <v>1854.4154999999994</v>
      </c>
      <c r="M19" s="14">
        <f t="shared" si="4"/>
        <v>1972.05708</v>
      </c>
      <c r="N19" s="14">
        <f t="shared" si="4"/>
        <v>3604.8849017999992</v>
      </c>
      <c r="O19" s="14">
        <f t="shared" si="4"/>
        <v>5276.4899114280024</v>
      </c>
      <c r="P19" s="14">
        <f t="shared" si="4"/>
        <v>7599.2609653768814</v>
      </c>
      <c r="Q19" s="12"/>
      <c r="R19" s="12"/>
    </row>
    <row r="20" spans="3:18" ht="20" customHeight="1" x14ac:dyDescent="0.2">
      <c r="C20" s="15" t="s">
        <v>593</v>
      </c>
      <c r="D20" s="15"/>
      <c r="E20" s="15"/>
      <c r="F20" s="16">
        <f t="shared" ref="F20:P20" si="5">F18-F19</f>
        <v>-1632</v>
      </c>
      <c r="G20" s="16">
        <f t="shared" si="5"/>
        <v>-388</v>
      </c>
      <c r="H20" s="16">
        <f t="shared" si="5"/>
        <v>-69</v>
      </c>
      <c r="I20" s="16">
        <f t="shared" si="5"/>
        <v>1694.9</v>
      </c>
      <c r="J20" s="16">
        <f t="shared" si="5"/>
        <v>5544.55</v>
      </c>
      <c r="K20" s="16"/>
      <c r="L20" s="16">
        <f t="shared" si="5"/>
        <v>10508.354499999998</v>
      </c>
      <c r="M20" s="16">
        <f t="shared" si="5"/>
        <v>11174.99012</v>
      </c>
      <c r="N20" s="16">
        <f t="shared" si="5"/>
        <v>20427.681110199996</v>
      </c>
      <c r="O20" s="16">
        <f t="shared" si="5"/>
        <v>29900.109498092013</v>
      </c>
      <c r="P20" s="16">
        <f t="shared" si="5"/>
        <v>43062.478803802333</v>
      </c>
      <c r="Q20" s="12"/>
      <c r="R20" s="12"/>
    </row>
    <row r="21" spans="3:18" ht="15" customHeight="1" x14ac:dyDescent="0.2">
      <c r="C21" s="65" t="s">
        <v>594</v>
      </c>
      <c r="F21" s="12"/>
      <c r="G21" s="12"/>
      <c r="H21" s="12"/>
      <c r="I21" s="12"/>
      <c r="J21" s="12"/>
      <c r="K21" s="12"/>
      <c r="L21" s="12"/>
      <c r="M21" s="12"/>
      <c r="N21" s="12"/>
      <c r="O21" s="12"/>
      <c r="P21" s="12"/>
      <c r="Q21" s="12"/>
      <c r="R21" s="12"/>
    </row>
    <row r="22" spans="3:18" ht="15" customHeight="1" x14ac:dyDescent="0.2">
      <c r="C22" s="13" t="str">
        <f>'Financial Statements'!C118</f>
        <v>Depreciation, Amortization &amp; Impairment</v>
      </c>
      <c r="F22" s="14">
        <f>'Financial Statements'!E118</f>
        <v>1636</v>
      </c>
      <c r="G22" s="14">
        <f>'Financial Statements'!F118</f>
        <v>1901</v>
      </c>
      <c r="H22" s="14">
        <f>'Financial Statements'!G118</f>
        <v>2154</v>
      </c>
      <c r="I22" s="14">
        <f>'Financial Statements'!H118</f>
        <v>2322</v>
      </c>
      <c r="J22" s="14">
        <f>'Financial Statements'!I118</f>
        <v>2911</v>
      </c>
      <c r="K22" s="14"/>
      <c r="L22" s="14">
        <f>'Financial Statements'!J118</f>
        <v>3929.4730780825607</v>
      </c>
      <c r="M22" s="14">
        <f>'Financial Statements'!K118</f>
        <v>4672.0334359365497</v>
      </c>
      <c r="N22" s="14">
        <f>'Financial Statements'!L118</f>
        <v>5721.4929092903849</v>
      </c>
      <c r="O22" s="14">
        <f>'Financial Statements'!M118</f>
        <v>5506.9927456788828</v>
      </c>
      <c r="P22" s="14">
        <f>'Financial Statements'!N118</f>
        <v>7020.1172212787524</v>
      </c>
      <c r="Q22" s="12"/>
      <c r="R22" s="12"/>
    </row>
    <row r="23" spans="3:18" ht="15" customHeight="1" x14ac:dyDescent="0.2">
      <c r="C23" s="13" t="str">
        <f>'Financial Statements'!C119</f>
        <v>Stock-based compensation</v>
      </c>
      <c r="F23" s="14">
        <f>'Financial Statements'!E119</f>
        <v>467</v>
      </c>
      <c r="G23" s="14">
        <f>'Financial Statements'!F119</f>
        <v>749</v>
      </c>
      <c r="H23" s="14">
        <f>'Financial Statements'!G119</f>
        <v>898</v>
      </c>
      <c r="I23" s="14">
        <f>'Financial Statements'!H119</f>
        <v>1734</v>
      </c>
      <c r="J23" s="14">
        <f>'Financial Statements'!I119</f>
        <v>2121</v>
      </c>
      <c r="K23" s="14"/>
      <c r="L23" s="14">
        <f>'Financial Statements'!J119</f>
        <v>913</v>
      </c>
      <c r="M23" s="14">
        <f>'Financial Statements'!K119</f>
        <v>94.333333333333329</v>
      </c>
      <c r="N23" s="14">
        <f>'Financial Statements'!L119</f>
        <v>94.333333333333329</v>
      </c>
      <c r="O23" s="14">
        <f>'Financial Statements'!M119</f>
        <v>94.333333333333329</v>
      </c>
      <c r="P23" s="14">
        <f>'Financial Statements'!N119</f>
        <v>0</v>
      </c>
      <c r="Q23" s="12"/>
      <c r="R23" s="12"/>
    </row>
    <row r="24" spans="3:18" ht="15" customHeight="1" x14ac:dyDescent="0.2">
      <c r="C24" s="13" t="str">
        <f>'Financial Statements'!C120</f>
        <v>Non-cash interest &amp; other operating activities</v>
      </c>
      <c r="F24" s="14">
        <f>'Financial Statements'!E120</f>
        <v>135</v>
      </c>
      <c r="G24" s="14">
        <f>'Financial Statements'!F120</f>
        <v>49</v>
      </c>
      <c r="H24" s="14">
        <f>'Financial Statements'!G120</f>
        <v>186</v>
      </c>
      <c r="I24" s="14">
        <f>'Financial Statements'!H120</f>
        <v>228</v>
      </c>
      <c r="J24" s="14">
        <f>'Financial Statements'!I120</f>
        <v>245</v>
      </c>
      <c r="K24" s="14"/>
      <c r="L24" s="14">
        <f>'Financial Statements'!J120</f>
        <v>-814</v>
      </c>
      <c r="M24" s="14">
        <f>'Financial Statements'!K120</f>
        <v>0</v>
      </c>
      <c r="N24" s="14">
        <f>'Financial Statements'!L120</f>
        <v>0</v>
      </c>
      <c r="O24" s="14">
        <f>'Financial Statements'!M120</f>
        <v>0</v>
      </c>
      <c r="P24" s="14">
        <f>'Financial Statements'!N120</f>
        <v>0</v>
      </c>
      <c r="Q24" s="12"/>
      <c r="R24" s="12"/>
    </row>
    <row r="25" spans="3:18" ht="15" customHeight="1" x14ac:dyDescent="0.2">
      <c r="C25" s="65" t="s">
        <v>595</v>
      </c>
      <c r="F25" s="14"/>
      <c r="G25" s="14"/>
      <c r="H25" s="14"/>
      <c r="I25" s="14"/>
      <c r="J25" s="14"/>
      <c r="K25" s="14"/>
      <c r="L25" s="14"/>
      <c r="M25" s="14"/>
      <c r="N25" s="14"/>
      <c r="O25" s="14"/>
      <c r="P25" s="14"/>
      <c r="Q25" s="12"/>
      <c r="R25" s="12"/>
    </row>
    <row r="26" spans="3:18" ht="15" customHeight="1" x14ac:dyDescent="0.2">
      <c r="C26" s="13" t="str">
        <f>'Financial Statements'!C123</f>
        <v>Accounts receivable</v>
      </c>
      <c r="F26" s="14">
        <f>'Financial Statements'!E123</f>
        <v>-25</v>
      </c>
      <c r="G26" s="14">
        <f>'Financial Statements'!F123</f>
        <v>-497</v>
      </c>
      <c r="H26" s="14">
        <f>'Financial Statements'!G123</f>
        <v>-367</v>
      </c>
      <c r="I26" s="14">
        <f>'Financial Statements'!H123</f>
        <v>-652</v>
      </c>
      <c r="J26" s="14">
        <f>'Financial Statements'!I123</f>
        <v>-130</v>
      </c>
      <c r="K26" s="14"/>
      <c r="L26" s="14">
        <f>'Financial Statements'!J123</f>
        <v>-1192.0499315068491</v>
      </c>
      <c r="M26" s="14">
        <f>'Financial Statements'!K123</f>
        <v>-131.98617123287704</v>
      </c>
      <c r="N26" s="14">
        <f>'Financial Statements'!L123</f>
        <v>-736.18723906355262</v>
      </c>
      <c r="O26" s="14">
        <f>'Financial Statements'!M123</f>
        <v>-1002.9789136652139</v>
      </c>
      <c r="P26" s="14">
        <f>'Financial Statements'!N123</f>
        <v>-1163.1520091431239</v>
      </c>
      <c r="Q26" s="12"/>
      <c r="R26" s="12"/>
    </row>
    <row r="27" spans="3:18" ht="15" customHeight="1" x14ac:dyDescent="0.2">
      <c r="C27" s="13" t="str">
        <f>'Financial Statements'!C124</f>
        <v>Inventory</v>
      </c>
      <c r="F27" s="14">
        <f>'Financial Statements'!E124</f>
        <v>-179</v>
      </c>
      <c r="G27" s="14">
        <f>'Financial Statements'!F124</f>
        <v>-1023</v>
      </c>
      <c r="H27" s="14">
        <f>'Financial Statements'!G124</f>
        <v>-429</v>
      </c>
      <c r="I27" s="14">
        <f>'Financial Statements'!H124</f>
        <v>-422</v>
      </c>
      <c r="J27" s="14">
        <f>'Financial Statements'!I124</f>
        <v>-1709</v>
      </c>
      <c r="K27" s="14"/>
      <c r="L27" s="14">
        <f>'Financial Statements'!J124</f>
        <v>-3164.6540821917806</v>
      </c>
      <c r="M27" s="14">
        <f>'Financial Statements'!K124</f>
        <v>-475.43726958904153</v>
      </c>
      <c r="N27" s="14">
        <f>'Financial Statements'!L124</f>
        <v>-1022.7109280005989</v>
      </c>
      <c r="O27" s="14">
        <f>'Financial Statements'!M124</f>
        <v>-2080.5879301473433</v>
      </c>
      <c r="P27" s="14">
        <f>'Financial Statements'!N124</f>
        <v>-2138.2998805234001</v>
      </c>
      <c r="Q27" s="12"/>
      <c r="R27" s="12"/>
    </row>
    <row r="28" spans="3:18" ht="15" customHeight="1" x14ac:dyDescent="0.2">
      <c r="C28" s="13" t="str">
        <f>'Financial Statements'!C126</f>
        <v>Prepaid expenses &amp; other current assets</v>
      </c>
      <c r="F28" s="14">
        <f>'Financial Statements'!E126</f>
        <v>-72</v>
      </c>
      <c r="G28" s="14">
        <f>'Financial Statements'!F126</f>
        <v>-82</v>
      </c>
      <c r="H28" s="14">
        <f>'Financial Statements'!G126</f>
        <v>-288</v>
      </c>
      <c r="I28" s="14">
        <f>'Financial Statements'!H126</f>
        <v>-251</v>
      </c>
      <c r="J28" s="14">
        <f>'Financial Statements'!I126</f>
        <v>-271</v>
      </c>
      <c r="K28" s="14"/>
      <c r="L28" s="14">
        <f>'Financial Statements'!J126</f>
        <v>-433.64383561643831</v>
      </c>
      <c r="M28" s="14">
        <f>'Financial Statements'!K126</f>
        <v>44.334246575342377</v>
      </c>
      <c r="N28" s="14">
        <f>'Financial Statements'!L126</f>
        <v>-252.73959128677257</v>
      </c>
      <c r="O28" s="14">
        <f>'Financial Statements'!M126</f>
        <v>-291.69054569952846</v>
      </c>
      <c r="P28" s="14">
        <f>'Financial Statements'!N126</f>
        <v>-266.05479452054806</v>
      </c>
      <c r="Q28" s="12"/>
      <c r="R28" s="12"/>
    </row>
    <row r="29" spans="3:18" ht="15" customHeight="1" x14ac:dyDescent="0.2">
      <c r="C29" s="13" t="str">
        <f>'Financial Statements'!C128</f>
        <v>Accounts payable &amp; accrued liabilities</v>
      </c>
      <c r="F29" s="14">
        <f>'Financial Statements'!E128</f>
        <v>388</v>
      </c>
      <c r="G29" s="14">
        <f>'Financial Statements'!F128</f>
        <v>1723</v>
      </c>
      <c r="H29" s="14">
        <f>'Financial Statements'!G128</f>
        <v>682</v>
      </c>
      <c r="I29" s="14">
        <f>'Financial Statements'!H128</f>
        <v>2102</v>
      </c>
      <c r="J29" s="14">
        <f>'Financial Statements'!I128</f>
        <v>4578</v>
      </c>
      <c r="K29" s="14"/>
      <c r="L29" s="14">
        <f>'Financial Statements'!J128</f>
        <v>8527.2996164383512</v>
      </c>
      <c r="M29" s="14">
        <f>'Financial Statements'!K128</f>
        <v>1273.8130619178191</v>
      </c>
      <c r="N29" s="14">
        <f>'Financial Statements'!L128</f>
        <v>4936.1159102121346</v>
      </c>
      <c r="O29" s="14">
        <f>'Financial Statements'!M128</f>
        <v>6012.899118125828</v>
      </c>
      <c r="P29" s="14">
        <f>'Financial Statements'!N128</f>
        <v>6179.6866547126192</v>
      </c>
      <c r="Q29" s="12"/>
      <c r="R29" s="12"/>
    </row>
    <row r="30" spans="3:18" ht="15" customHeight="1" x14ac:dyDescent="0.2">
      <c r="C30" s="13" t="str">
        <f>'Financial Statements'!C129</f>
        <v>Deferred revenue</v>
      </c>
      <c r="F30" s="14">
        <f>'Financial Statements'!E129</f>
        <v>469</v>
      </c>
      <c r="G30" s="14">
        <f>'Financial Statements'!F129</f>
        <v>406</v>
      </c>
      <c r="H30" s="14">
        <f>'Financial Statements'!G129</f>
        <v>801</v>
      </c>
      <c r="I30" s="14">
        <f>'Financial Statements'!H129</f>
        <v>321</v>
      </c>
      <c r="J30" s="14">
        <f>'Financial Statements'!I129</f>
        <v>793</v>
      </c>
      <c r="K30" s="14"/>
      <c r="L30" s="14">
        <f>'Financial Statements'!J129</f>
        <v>2377.5944999999992</v>
      </c>
      <c r="M30" s="14">
        <f>'Financial Statements'!K129</f>
        <v>249.79605000000083</v>
      </c>
      <c r="N30" s="14">
        <f>'Financial Statements'!L129</f>
        <v>4500.4537264999999</v>
      </c>
      <c r="O30" s="14">
        <f>'Financial Statements'!M129</f>
        <v>2646.2182779899995</v>
      </c>
      <c r="P30" s="14">
        <f>'Financial Statements'!N129</f>
        <v>3102.4843013106001</v>
      </c>
      <c r="Q30" s="12"/>
      <c r="R30" s="12"/>
    </row>
    <row r="31" spans="3:18" ht="15" customHeight="1" x14ac:dyDescent="0.2">
      <c r="C31" s="13" t="str">
        <f>'Financial Statements'!C130</f>
        <v>Customer deposits</v>
      </c>
      <c r="F31" s="14">
        <f>'Financial Statements'!E130</f>
        <v>170</v>
      </c>
      <c r="G31" s="14">
        <f>'Financial Statements'!F130</f>
        <v>-96</v>
      </c>
      <c r="H31" s="14">
        <f>'Financial Statements'!G130</f>
        <v>-58</v>
      </c>
      <c r="I31" s="14">
        <f>'Financial Statements'!H130</f>
        <v>7</v>
      </c>
      <c r="J31" s="14">
        <f>'Financial Statements'!I130</f>
        <v>186</v>
      </c>
      <c r="K31" s="14"/>
      <c r="L31" s="14">
        <f>'Financial Statements'!J130</f>
        <v>1173.7837500000001</v>
      </c>
      <c r="M31" s="14">
        <f>'Financial Statements'!K130</f>
        <v>89.212875000000167</v>
      </c>
      <c r="N31" s="14">
        <f>'Financial Statements'!L130</f>
        <v>1727.1565295</v>
      </c>
      <c r="O31" s="14">
        <f>'Financial Statements'!M130</f>
        <v>974.92252347000021</v>
      </c>
      <c r="P31" s="14">
        <f>'Financial Statements'!N130</f>
        <v>1143.0205320618006</v>
      </c>
      <c r="Q31" s="12"/>
      <c r="R31" s="12"/>
    </row>
    <row r="32" spans="3:18" ht="20" customHeight="1" x14ac:dyDescent="0.2">
      <c r="C32" s="15" t="s">
        <v>596</v>
      </c>
      <c r="D32" s="15"/>
      <c r="E32" s="15"/>
      <c r="F32" s="16">
        <f>SUM(F20:F31)</f>
        <v>1357</v>
      </c>
      <c r="G32" s="16">
        <f>SUM(G20:G31)</f>
        <v>2742</v>
      </c>
      <c r="H32" s="16">
        <f>SUM(H20:H31)</f>
        <v>3510</v>
      </c>
      <c r="I32" s="16">
        <f>SUM(I20:I31)</f>
        <v>7083.9</v>
      </c>
      <c r="J32" s="16">
        <f>SUM(J20:J31)</f>
        <v>14268.55</v>
      </c>
      <c r="K32" s="16"/>
      <c r="L32" s="16">
        <f>SUM(L20:L31)</f>
        <v>21825.157595205837</v>
      </c>
      <c r="M32" s="16">
        <f>SUM(M20:M31)</f>
        <v>16991.089681941128</v>
      </c>
      <c r="N32" s="16">
        <f>SUM(N20:N31)</f>
        <v>35395.595760684926</v>
      </c>
      <c r="O32" s="16">
        <f>SUM(O20:O31)</f>
        <v>41760.218107177978</v>
      </c>
      <c r="P32" s="16">
        <f>SUM(P20:P31)</f>
        <v>56940.280828979026</v>
      </c>
      <c r="Q32" s="12"/>
      <c r="R32" s="12"/>
    </row>
    <row r="33" spans="2:18" ht="15" customHeight="1" x14ac:dyDescent="0.2">
      <c r="C33" s="65" t="s">
        <v>597</v>
      </c>
      <c r="F33" s="14">
        <f>'Financial Statements'!E136</f>
        <v>-3415</v>
      </c>
      <c r="G33" s="14">
        <f>'Financial Statements'!F136</f>
        <v>-2101</v>
      </c>
      <c r="H33" s="14">
        <f>'Financial Statements'!G136</f>
        <v>-1327</v>
      </c>
      <c r="I33" s="14">
        <f>'Financial Statements'!H136</f>
        <v>-3157</v>
      </c>
      <c r="J33" s="14">
        <f>'Financial Statements'!I136</f>
        <v>-6482</v>
      </c>
      <c r="K33" s="14"/>
      <c r="L33" s="14">
        <f>'Financial Statements'!J136</f>
        <v>-5985.02</v>
      </c>
      <c r="M33" s="14">
        <f>'Financial Statements'!K136</f>
        <v>-5985.02</v>
      </c>
      <c r="N33" s="14">
        <f>'Financial Statements'!L136</f>
        <v>-7969.77</v>
      </c>
      <c r="O33" s="14">
        <f>'Financial Statements'!M136</f>
        <v>-9632.7525000000005</v>
      </c>
      <c r="P33" s="14">
        <f>'Financial Statements'!N136</f>
        <v>-11306.0625</v>
      </c>
      <c r="Q33" s="12"/>
      <c r="R33" s="12"/>
    </row>
    <row r="34" spans="2:18" ht="20" customHeight="1" thickBot="1" x14ac:dyDescent="0.25">
      <c r="C34" s="17" t="s">
        <v>598</v>
      </c>
      <c r="D34" s="17"/>
      <c r="E34" s="17"/>
      <c r="F34" s="18">
        <f t="shared" ref="F34:P34" si="6">F32+F33</f>
        <v>-2058</v>
      </c>
      <c r="G34" s="18">
        <f t="shared" si="6"/>
        <v>641</v>
      </c>
      <c r="H34" s="18">
        <f t="shared" si="6"/>
        <v>2183</v>
      </c>
      <c r="I34" s="18">
        <f t="shared" si="6"/>
        <v>3926.8999999999996</v>
      </c>
      <c r="J34" s="18">
        <f t="shared" si="6"/>
        <v>7786.5499999999993</v>
      </c>
      <c r="K34" s="18"/>
      <c r="L34" s="18">
        <f t="shared" si="6"/>
        <v>15840.137595205837</v>
      </c>
      <c r="M34" s="18">
        <f t="shared" si="6"/>
        <v>11006.069681941128</v>
      </c>
      <c r="N34" s="18">
        <f t="shared" si="6"/>
        <v>27425.825760684926</v>
      </c>
      <c r="O34" s="18">
        <f t="shared" si="6"/>
        <v>32127.465607177975</v>
      </c>
      <c r="P34" s="18">
        <f t="shared" si="6"/>
        <v>45634.218328979026</v>
      </c>
      <c r="Q34" s="12"/>
      <c r="R34" s="12"/>
    </row>
    <row r="35" spans="2:18" ht="15" customHeight="1" thickTop="1" x14ac:dyDescent="0.2">
      <c r="F35" s="12"/>
      <c r="G35" s="12"/>
      <c r="H35" s="12"/>
      <c r="I35" s="12"/>
      <c r="J35" s="12"/>
      <c r="K35" s="12"/>
      <c r="L35" s="12"/>
      <c r="M35" s="12"/>
      <c r="N35" s="12"/>
      <c r="O35" s="12"/>
      <c r="P35" s="12"/>
      <c r="Q35" s="12"/>
      <c r="R35" s="12"/>
    </row>
    <row r="36" spans="2:18" ht="15" customHeight="1" x14ac:dyDescent="0.2">
      <c r="F36" s="12"/>
      <c r="G36" s="12"/>
      <c r="H36" s="12"/>
      <c r="I36" s="12"/>
      <c r="J36" s="12"/>
      <c r="K36" s="12"/>
      <c r="L36" s="12"/>
      <c r="M36" s="12"/>
      <c r="N36" s="12"/>
      <c r="O36" s="12"/>
      <c r="P36" s="12"/>
      <c r="Q36" s="12"/>
      <c r="R36" s="12"/>
    </row>
    <row r="37" spans="2:18" ht="15" customHeight="1" x14ac:dyDescent="0.2">
      <c r="F37" s="12"/>
      <c r="G37" s="12"/>
      <c r="H37" s="12"/>
      <c r="I37" s="12"/>
      <c r="J37" s="12"/>
      <c r="K37" s="12"/>
      <c r="L37" s="12"/>
      <c r="M37" s="12"/>
      <c r="N37" s="12"/>
      <c r="O37" s="12"/>
      <c r="P37" s="12"/>
      <c r="Q37" s="12"/>
      <c r="R37" s="12"/>
    </row>
    <row r="38" spans="2:18" ht="6" customHeight="1" x14ac:dyDescent="0.2"/>
    <row r="39" spans="2:18" ht="20" customHeight="1" x14ac:dyDescent="0.25">
      <c r="B39" s="2" t="str">
        <f>'Cover Page'!$C$18</f>
        <v>Tesla, Inc.</v>
      </c>
      <c r="C39" s="3"/>
      <c r="D39" s="3"/>
      <c r="E39" s="3"/>
      <c r="F39" s="3"/>
      <c r="G39" s="3"/>
      <c r="H39" s="3"/>
      <c r="I39" s="3"/>
      <c r="J39" s="3"/>
      <c r="K39" s="3"/>
      <c r="L39" s="3"/>
      <c r="M39" s="3"/>
      <c r="N39" s="3"/>
      <c r="O39" s="3"/>
      <c r="P39" s="3"/>
    </row>
    <row r="40" spans="2:18" ht="15" customHeight="1" x14ac:dyDescent="0.2">
      <c r="B40" s="4" t="s">
        <v>604</v>
      </c>
      <c r="C40" s="4"/>
      <c r="D40" s="4"/>
      <c r="E40" s="4"/>
      <c r="F40" s="4"/>
      <c r="G40" s="4"/>
      <c r="H40" s="4"/>
      <c r="I40" s="4"/>
      <c r="J40" s="4"/>
      <c r="K40" s="4"/>
      <c r="L40" s="4"/>
      <c r="M40" s="4"/>
      <c r="N40" s="4"/>
      <c r="O40" s="4"/>
      <c r="P40" s="4"/>
    </row>
    <row r="41" spans="2:18" ht="6" customHeight="1" thickBot="1" x14ac:dyDescent="0.25">
      <c r="B41" s="5"/>
      <c r="C41" s="5"/>
      <c r="D41" s="5"/>
      <c r="E41" s="5"/>
      <c r="F41" s="5"/>
      <c r="G41" s="5"/>
      <c r="H41" s="5"/>
      <c r="I41" s="5"/>
      <c r="J41" s="5"/>
      <c r="K41" s="5"/>
      <c r="L41" s="5"/>
      <c r="M41" s="5"/>
      <c r="N41" s="5"/>
      <c r="O41" s="5"/>
      <c r="P41" s="5"/>
    </row>
    <row r="42" spans="2:18" ht="15" customHeight="1" x14ac:dyDescent="0.2">
      <c r="B42" s="117" t="str">
        <f>Scenarios!$B$5</f>
        <v>$ MM's ( unless otherwise specified )</v>
      </c>
      <c r="C42" s="117"/>
      <c r="D42" s="117"/>
      <c r="E42" s="117"/>
      <c r="F42" s="117"/>
      <c r="G42" s="117"/>
      <c r="H42" s="117"/>
      <c r="I42" s="117"/>
      <c r="J42" s="117"/>
      <c r="K42" s="117"/>
      <c r="L42" s="117"/>
      <c r="M42" s="117"/>
      <c r="N42" s="117"/>
      <c r="O42" s="117"/>
      <c r="P42" s="121" t="str">
        <f>Scenarios!$N$5</f>
        <v>Based on: Base Case Senario</v>
      </c>
    </row>
    <row r="43" spans="2:18" ht="15" customHeight="1" x14ac:dyDescent="0.2">
      <c r="F43" s="12"/>
      <c r="G43" s="12"/>
      <c r="H43" s="12"/>
      <c r="I43" s="12"/>
      <c r="J43" s="12"/>
      <c r="K43" s="12"/>
      <c r="L43" s="12"/>
      <c r="M43" s="12"/>
      <c r="N43" s="12"/>
      <c r="O43" s="12"/>
      <c r="P43" s="12"/>
      <c r="Q43" s="12"/>
      <c r="R43" s="12"/>
    </row>
    <row r="44" spans="2:18" ht="20" customHeight="1" x14ac:dyDescent="0.2">
      <c r="C44" s="187" t="s">
        <v>615</v>
      </c>
      <c r="D44" s="91"/>
      <c r="E44" s="91"/>
      <c r="F44" s="91"/>
      <c r="G44" s="91"/>
      <c r="H44" s="91"/>
      <c r="I44" s="91"/>
      <c r="J44" s="91"/>
      <c r="L44" s="187" t="s">
        <v>616</v>
      </c>
      <c r="M44" s="91"/>
      <c r="N44" s="91"/>
      <c r="O44" s="91"/>
      <c r="P44" s="91"/>
      <c r="Q44" s="12"/>
      <c r="R44" s="12"/>
    </row>
    <row r="45" spans="2:18" ht="6" customHeight="1" x14ac:dyDescent="0.2">
      <c r="Q45" s="12"/>
      <c r="R45" s="12"/>
    </row>
    <row r="46" spans="2:18" ht="18" customHeight="1" x14ac:dyDescent="0.2">
      <c r="E46" s="188" t="s">
        <v>556</v>
      </c>
      <c r="F46" s="188" t="s">
        <v>611</v>
      </c>
      <c r="G46" s="189" t="s">
        <v>612</v>
      </c>
      <c r="H46" s="189" t="s">
        <v>606</v>
      </c>
      <c r="I46" s="189" t="s">
        <v>613</v>
      </c>
      <c r="J46" s="189" t="s">
        <v>614</v>
      </c>
      <c r="K46" s="12"/>
      <c r="L46" s="87" t="s">
        <v>617</v>
      </c>
      <c r="M46" s="12"/>
      <c r="N46" s="12"/>
      <c r="O46" s="12"/>
      <c r="P46" s="12"/>
      <c r="Q46" s="12"/>
      <c r="R46" s="12"/>
    </row>
    <row r="47" spans="2:18" ht="20" customHeight="1" x14ac:dyDescent="0.2">
      <c r="C47" s="190" t="s">
        <v>605</v>
      </c>
      <c r="D47" s="191" t="s">
        <v>606</v>
      </c>
      <c r="E47" s="191" t="s">
        <v>607</v>
      </c>
      <c r="F47" s="192" t="s">
        <v>608</v>
      </c>
      <c r="G47" s="192" t="s">
        <v>608</v>
      </c>
      <c r="H47" s="192" t="s">
        <v>638</v>
      </c>
      <c r="I47" s="192" t="s">
        <v>609</v>
      </c>
      <c r="J47" s="192" t="s">
        <v>610</v>
      </c>
      <c r="K47" s="12"/>
      <c r="L47" s="193"/>
      <c r="M47" s="193"/>
      <c r="N47" s="193"/>
      <c r="O47" s="199">
        <f>Assumptions!H8-1</f>
        <v>2021</v>
      </c>
      <c r="P47" s="194">
        <f>O47+1</f>
        <v>2022</v>
      </c>
      <c r="Q47" s="12"/>
      <c r="R47" s="12"/>
    </row>
    <row r="48" spans="2:18" ht="6" customHeight="1" x14ac:dyDescent="0.2">
      <c r="F48" s="12"/>
      <c r="G48" s="12"/>
      <c r="H48" s="12"/>
      <c r="I48" s="12"/>
      <c r="J48" s="12"/>
      <c r="K48" s="12"/>
      <c r="L48" s="12"/>
      <c r="M48" s="12"/>
      <c r="N48" s="12"/>
      <c r="O48" s="12"/>
      <c r="P48" s="12"/>
      <c r="Q48" s="12"/>
      <c r="R48" s="12"/>
    </row>
    <row r="49" spans="3:18" ht="18" customHeight="1" x14ac:dyDescent="0.2">
      <c r="C49" s="206" t="s">
        <v>618</v>
      </c>
      <c r="D49" s="47" t="s">
        <v>630</v>
      </c>
      <c r="E49" s="12">
        <f>6.66*1000</f>
        <v>6660</v>
      </c>
      <c r="F49" s="12">
        <f>863.62*1000</f>
        <v>863620</v>
      </c>
      <c r="G49" s="195">
        <f t="shared" ref="G49:G61" si="7">IFERROR(E49/F49,0)</f>
        <v>7.7117250642643759E-3</v>
      </c>
      <c r="H49" s="198">
        <v>0.21</v>
      </c>
      <c r="I49" s="195">
        <f>2.18</f>
        <v>2.1800000000000002</v>
      </c>
      <c r="J49" s="195">
        <f>I49/(1+G49*(1-H49))</f>
        <v>2.1667992892931074</v>
      </c>
      <c r="K49" s="12"/>
      <c r="L49" s="51" t="s">
        <v>634</v>
      </c>
      <c r="M49" s="12"/>
      <c r="N49" s="12"/>
      <c r="O49" s="195">
        <f>SUM('Financial Statements'!I83,'Financial Statements'!I85,'Financial Statements'!I87)/($F$49+SUM('Financial Statements'!I83,'Financial Statements'!I85,'Financial Statements'!I87))</f>
        <v>1.1876430205949657E-2</v>
      </c>
      <c r="P49" s="234">
        <v>0.1</v>
      </c>
      <c r="Q49" s="12"/>
      <c r="R49" s="12"/>
    </row>
    <row r="50" spans="3:18" ht="6" customHeight="1" x14ac:dyDescent="0.2">
      <c r="C50" s="207"/>
      <c r="D50" s="47"/>
      <c r="E50" s="12"/>
      <c r="F50" s="12"/>
      <c r="G50" s="195"/>
      <c r="H50" s="198"/>
      <c r="I50" s="195"/>
      <c r="J50" s="195"/>
      <c r="K50" s="12"/>
      <c r="L50" s="51"/>
      <c r="M50" s="12"/>
      <c r="N50" s="12"/>
      <c r="O50" s="12"/>
      <c r="P50" s="12"/>
      <c r="Q50" s="12"/>
      <c r="R50" s="12"/>
    </row>
    <row r="51" spans="3:18" ht="18" customHeight="1" x14ac:dyDescent="0.2">
      <c r="C51" s="206" t="s">
        <v>619</v>
      </c>
      <c r="D51" s="47" t="s">
        <v>631</v>
      </c>
      <c r="E51" s="12">
        <f>29.07*10^6</f>
        <v>29070000</v>
      </c>
      <c r="F51" s="12">
        <f>201.66*1000</f>
        <v>201660</v>
      </c>
      <c r="G51" s="195">
        <f t="shared" si="7"/>
        <v>144.15352573638799</v>
      </c>
      <c r="H51" s="198">
        <f>23.2%</f>
        <v>0.23199999999999998</v>
      </c>
      <c r="I51" s="195">
        <f>0.59</f>
        <v>0.59</v>
      </c>
      <c r="J51" s="195">
        <f t="shared" ref="J51:J61" si="8">I51/(1+G51*(1-H51))</f>
        <v>5.2815369003640887E-3</v>
      </c>
      <c r="K51" s="12"/>
      <c r="L51" s="51" t="s">
        <v>635</v>
      </c>
      <c r="M51" s="12"/>
      <c r="N51" s="12"/>
      <c r="O51" s="195">
        <f>1-O49</f>
        <v>0.98812356979405036</v>
      </c>
      <c r="P51" s="195">
        <f>1-P49</f>
        <v>0.9</v>
      </c>
      <c r="Q51" s="12"/>
      <c r="R51" s="12"/>
    </row>
    <row r="52" spans="3:18" ht="18" customHeight="1" x14ac:dyDescent="0.2">
      <c r="C52" s="206" t="s">
        <v>620</v>
      </c>
      <c r="D52" s="47" t="s">
        <v>632</v>
      </c>
      <c r="E52" s="12">
        <f>31.57*1000</f>
        <v>31570</v>
      </c>
      <c r="F52" s="12">
        <f>101.42*1000</f>
        <v>101420</v>
      </c>
      <c r="G52" s="195">
        <f t="shared" si="7"/>
        <v>0.31127982646420826</v>
      </c>
      <c r="H52" s="198">
        <f>25%</f>
        <v>0.25</v>
      </c>
      <c r="I52" s="195">
        <v>0.49</v>
      </c>
      <c r="J52" s="195">
        <f t="shared" si="8"/>
        <v>0.39725653989887882</v>
      </c>
      <c r="K52" s="12"/>
      <c r="L52" s="200" t="s">
        <v>636</v>
      </c>
      <c r="M52" s="201"/>
      <c r="N52" s="201"/>
      <c r="O52" s="202">
        <f>O49/O51</f>
        <v>1.2019175100159792E-2</v>
      </c>
      <c r="P52" s="203">
        <f>P49/P51</f>
        <v>0.11111111111111112</v>
      </c>
      <c r="Q52" s="12"/>
      <c r="R52" s="12"/>
    </row>
    <row r="53" spans="3:18" ht="18" customHeight="1" x14ac:dyDescent="0.2">
      <c r="C53" s="206" t="s">
        <v>621</v>
      </c>
      <c r="D53" s="47" t="s">
        <v>630</v>
      </c>
      <c r="E53" s="12">
        <f>130.23*1000</f>
        <v>130229.99999999999</v>
      </c>
      <c r="F53" s="12">
        <f>61.27*1000</f>
        <v>61270</v>
      </c>
      <c r="G53" s="195">
        <f t="shared" si="7"/>
        <v>2.1255100375387626</v>
      </c>
      <c r="H53" s="198">
        <v>0.21</v>
      </c>
      <c r="I53" s="195">
        <v>1.33</v>
      </c>
      <c r="J53" s="195">
        <f t="shared" si="8"/>
        <v>0.49642556245229269</v>
      </c>
      <c r="K53" s="12"/>
      <c r="L53" s="12"/>
      <c r="M53" s="12"/>
      <c r="N53" s="12"/>
      <c r="O53" s="12"/>
      <c r="P53" s="12"/>
      <c r="Q53" s="12"/>
      <c r="R53" s="12"/>
    </row>
    <row r="54" spans="3:18" ht="18" customHeight="1" x14ac:dyDescent="0.2">
      <c r="C54" s="206" t="s">
        <v>622</v>
      </c>
      <c r="D54" s="196" t="s">
        <v>633</v>
      </c>
      <c r="E54" s="12">
        <f>116.02*1000</f>
        <v>116020</v>
      </c>
      <c r="F54" s="12">
        <f>58.84*1000</f>
        <v>58840</v>
      </c>
      <c r="G54" s="195">
        <f t="shared" si="7"/>
        <v>1.9717878993881712</v>
      </c>
      <c r="H54" s="198">
        <f>15.82%</f>
        <v>0.15820000000000001</v>
      </c>
      <c r="I54" s="195">
        <f>1.39</f>
        <v>1.39</v>
      </c>
      <c r="J54" s="195">
        <f t="shared" si="8"/>
        <v>0.5225856530815286</v>
      </c>
      <c r="K54" s="12"/>
      <c r="L54" s="87" t="s">
        <v>641</v>
      </c>
      <c r="M54" s="12"/>
      <c r="N54" s="12"/>
      <c r="O54" s="12"/>
      <c r="P54" s="12"/>
      <c r="Q54" s="12"/>
      <c r="R54" s="12"/>
    </row>
    <row r="55" spans="3:18" ht="18" customHeight="1" x14ac:dyDescent="0.2">
      <c r="C55" s="206" t="s">
        <v>623</v>
      </c>
      <c r="D55" s="47" t="s">
        <v>630</v>
      </c>
      <c r="E55" s="12">
        <f>112.11*1000</f>
        <v>112110</v>
      </c>
      <c r="F55" s="12">
        <f>57.61*1000</f>
        <v>57610</v>
      </c>
      <c r="G55" s="195">
        <f t="shared" si="7"/>
        <v>1.9460163166116993</v>
      </c>
      <c r="H55" s="198">
        <v>0.21</v>
      </c>
      <c r="I55" s="195">
        <f>1.28</f>
        <v>1.28</v>
      </c>
      <c r="J55" s="195">
        <f t="shared" si="8"/>
        <v>0.50446274342936537</v>
      </c>
      <c r="K55" s="12"/>
      <c r="L55" s="51" t="s">
        <v>491</v>
      </c>
      <c r="M55" s="12"/>
      <c r="N55" s="12"/>
      <c r="O55" s="12"/>
      <c r="P55" s="167">
        <f>Assumptions!$O$67</f>
        <v>5.5333181818181809E-2</v>
      </c>
      <c r="Q55" s="12"/>
      <c r="R55" s="12"/>
    </row>
    <row r="56" spans="3:18" ht="18" customHeight="1" x14ac:dyDescent="0.2">
      <c r="C56" s="208" t="s">
        <v>624</v>
      </c>
      <c r="D56" s="196" t="s">
        <v>633</v>
      </c>
      <c r="E56" s="12">
        <f>207.75*1000</f>
        <v>207750</v>
      </c>
      <c r="F56" s="12">
        <f>83.83*1000</f>
        <v>83830</v>
      </c>
      <c r="G56" s="195">
        <f t="shared" si="7"/>
        <v>2.4782297506859119</v>
      </c>
      <c r="H56" s="198">
        <f>15.82%</f>
        <v>0.15820000000000001</v>
      </c>
      <c r="I56" s="195">
        <f>1.47</f>
        <v>1.47</v>
      </c>
      <c r="J56" s="195">
        <f t="shared" si="8"/>
        <v>0.47631795656940801</v>
      </c>
      <c r="K56" s="12"/>
      <c r="L56" s="51" t="s">
        <v>637</v>
      </c>
      <c r="M56" s="12"/>
      <c r="N56" s="12"/>
      <c r="O56" s="12"/>
      <c r="P56" s="167">
        <f>Assumptions!$H$50</f>
        <v>0.15</v>
      </c>
      <c r="Q56" s="12"/>
      <c r="R56" s="12"/>
    </row>
    <row r="57" spans="3:18" ht="18" customHeight="1" x14ac:dyDescent="0.2">
      <c r="C57" s="208" t="s">
        <v>625</v>
      </c>
      <c r="D57" s="47" t="s">
        <v>632</v>
      </c>
      <c r="E57" s="12">
        <f>22.09*1000</f>
        <v>22090</v>
      </c>
      <c r="F57" s="12">
        <f>32.01*1000</f>
        <v>32009.999999999996</v>
      </c>
      <c r="G57" s="195">
        <f t="shared" si="7"/>
        <v>0.69009684473602007</v>
      </c>
      <c r="H57" s="198">
        <f>25%</f>
        <v>0.25</v>
      </c>
      <c r="I57" s="195">
        <f>1.97</f>
        <v>1.97</v>
      </c>
      <c r="J57" s="195">
        <f t="shared" si="8"/>
        <v>1.2981256754670372</v>
      </c>
      <c r="K57" s="12"/>
      <c r="L57" s="16" t="s">
        <v>639</v>
      </c>
      <c r="M57" s="16"/>
      <c r="N57" s="16"/>
      <c r="O57" s="16"/>
      <c r="P57" s="204">
        <f>P55*(1-P56)</f>
        <v>4.7033204545454538E-2</v>
      </c>
      <c r="Q57" s="12"/>
      <c r="R57" s="12"/>
    </row>
    <row r="58" spans="3:18" ht="18" customHeight="1" x14ac:dyDescent="0.2">
      <c r="C58" s="208" t="s">
        <v>626</v>
      </c>
      <c r="D58" s="47" t="s">
        <v>632</v>
      </c>
      <c r="E58" s="12">
        <f>10.71*1000</f>
        <v>10710</v>
      </c>
      <c r="F58" s="12">
        <f>29.16*1000</f>
        <v>29160</v>
      </c>
      <c r="G58" s="195">
        <f t="shared" si="7"/>
        <v>0.36728395061728397</v>
      </c>
      <c r="H58" s="198">
        <f>25%</f>
        <v>0.25</v>
      </c>
      <c r="I58" s="195">
        <f>0.31</f>
        <v>0.31</v>
      </c>
      <c r="J58" s="195">
        <f t="shared" si="8"/>
        <v>0.24304900181488201</v>
      </c>
      <c r="K58" s="12"/>
      <c r="L58" s="12"/>
      <c r="M58" s="12"/>
      <c r="N58" s="12"/>
      <c r="O58" s="12"/>
      <c r="P58" s="12"/>
      <c r="Q58" s="12"/>
      <c r="R58" s="12"/>
    </row>
    <row r="59" spans="3:18" ht="18" customHeight="1" x14ac:dyDescent="0.2">
      <c r="C59" s="208" t="s">
        <v>627</v>
      </c>
      <c r="D59" s="47" t="s">
        <v>630</v>
      </c>
      <c r="E59" s="12">
        <f>1.66*1000</f>
        <v>1660</v>
      </c>
      <c r="F59" s="12">
        <f>29.42*1000</f>
        <v>29420</v>
      </c>
      <c r="G59" s="195">
        <f t="shared" si="7"/>
        <v>5.6424201223657378E-2</v>
      </c>
      <c r="H59" s="198">
        <v>0.21</v>
      </c>
      <c r="I59" s="195">
        <v>0</v>
      </c>
      <c r="J59" s="195">
        <f t="shared" si="8"/>
        <v>0</v>
      </c>
      <c r="K59" s="12"/>
      <c r="L59" s="87" t="s">
        <v>640</v>
      </c>
      <c r="M59" s="12"/>
      <c r="N59" s="12"/>
      <c r="O59" s="12"/>
      <c r="P59" s="12"/>
      <c r="Q59" s="12"/>
      <c r="R59" s="12"/>
    </row>
    <row r="60" spans="3:18" ht="18" customHeight="1" x14ac:dyDescent="0.2">
      <c r="C60" s="208" t="s">
        <v>628</v>
      </c>
      <c r="D60" s="47" t="s">
        <v>630</v>
      </c>
      <c r="E60" s="12">
        <f>2.24*1000</f>
        <v>2240</v>
      </c>
      <c r="F60" s="12">
        <f>27.05*1000</f>
        <v>27050</v>
      </c>
      <c r="G60" s="195">
        <f t="shared" si="7"/>
        <v>8.2809611829944549E-2</v>
      </c>
      <c r="H60" s="198">
        <v>0.21</v>
      </c>
      <c r="I60" s="195">
        <v>0</v>
      </c>
      <c r="J60" s="195">
        <f t="shared" si="8"/>
        <v>0</v>
      </c>
      <c r="K60" s="12"/>
      <c r="L60" s="51" t="s">
        <v>642</v>
      </c>
      <c r="M60" s="12"/>
      <c r="N60" s="12"/>
      <c r="O60" s="12"/>
      <c r="P60" s="211">
        <v>3.1899999999999998E-2</v>
      </c>
      <c r="Q60" s="12"/>
      <c r="R60" s="12"/>
    </row>
    <row r="61" spans="3:18" ht="18" customHeight="1" x14ac:dyDescent="0.2">
      <c r="C61" s="208" t="s">
        <v>629</v>
      </c>
      <c r="D61" s="47" t="s">
        <v>632</v>
      </c>
      <c r="E61" s="12">
        <v>0</v>
      </c>
      <c r="F61" s="12">
        <f>16.05*1000</f>
        <v>16050</v>
      </c>
      <c r="G61" s="195">
        <f t="shared" si="7"/>
        <v>0</v>
      </c>
      <c r="H61" s="198">
        <f>25%</f>
        <v>0.25</v>
      </c>
      <c r="I61" s="195">
        <v>0</v>
      </c>
      <c r="J61" s="195">
        <f t="shared" si="8"/>
        <v>0</v>
      </c>
      <c r="K61" s="12"/>
      <c r="L61" s="51" t="s">
        <v>643</v>
      </c>
      <c r="M61" s="12"/>
      <c r="N61" s="12"/>
      <c r="O61" s="12"/>
      <c r="P61" s="211">
        <v>5.6000000000000001E-2</v>
      </c>
      <c r="Q61" s="12"/>
      <c r="R61" s="12"/>
    </row>
    <row r="62" spans="3:18" ht="6" customHeight="1" x14ac:dyDescent="0.2">
      <c r="C62" s="197"/>
      <c r="D62" s="47"/>
      <c r="E62" s="12"/>
      <c r="F62" s="12"/>
      <c r="G62" s="195"/>
      <c r="H62" s="198"/>
      <c r="I62" s="195"/>
      <c r="J62" s="195"/>
      <c r="K62" s="12"/>
      <c r="L62" s="51"/>
      <c r="M62" s="12"/>
      <c r="N62" s="12"/>
      <c r="O62" s="12"/>
      <c r="P62" s="12"/>
      <c r="Q62" s="12"/>
      <c r="R62" s="12"/>
    </row>
    <row r="63" spans="3:18" ht="15" customHeight="1" x14ac:dyDescent="0.2">
      <c r="C63" s="215" t="s">
        <v>652</v>
      </c>
      <c r="D63" s="212"/>
      <c r="E63" s="213"/>
      <c r="F63" s="213"/>
      <c r="G63" s="213"/>
      <c r="H63" s="213"/>
      <c r="I63" s="213"/>
      <c r="J63" s="214">
        <f>AVERAGE(J51:J61)</f>
        <v>0.35850042451034153</v>
      </c>
      <c r="K63" s="12"/>
      <c r="L63" s="51" t="s">
        <v>644</v>
      </c>
      <c r="M63" s="12"/>
      <c r="N63" s="12"/>
      <c r="O63" s="12"/>
      <c r="P63" s="211">
        <v>0</v>
      </c>
      <c r="Q63" s="12"/>
      <c r="R63" s="12"/>
    </row>
    <row r="64" spans="3:18" ht="15" customHeight="1" x14ac:dyDescent="0.2">
      <c r="E64" s="12"/>
      <c r="F64" s="12"/>
      <c r="G64" s="12"/>
      <c r="H64" s="12"/>
      <c r="I64" s="12"/>
      <c r="J64" s="12"/>
      <c r="K64" s="12"/>
      <c r="L64" s="51" t="s">
        <v>645</v>
      </c>
      <c r="M64" s="12"/>
      <c r="N64" s="12"/>
      <c r="O64" s="12"/>
      <c r="P64" s="216">
        <f>J63*(1+P52*(1-P56))</f>
        <v>0.39235879793631828</v>
      </c>
      <c r="Q64" s="12"/>
      <c r="R64" s="12"/>
    </row>
    <row r="65" spans="3:18" ht="15" customHeight="1" x14ac:dyDescent="0.2">
      <c r="E65" s="12"/>
      <c r="F65" s="12"/>
      <c r="G65" s="12"/>
      <c r="H65" s="12"/>
      <c r="I65" s="12"/>
      <c r="J65" s="12"/>
      <c r="K65" s="12"/>
      <c r="L65" s="16" t="s">
        <v>646</v>
      </c>
      <c r="M65" s="16"/>
      <c r="N65" s="16"/>
      <c r="O65" s="16"/>
      <c r="P65" s="204">
        <f>P60+(P64*P61)+P63</f>
        <v>5.3872092684433825E-2</v>
      </c>
      <c r="Q65" s="12"/>
      <c r="R65" s="12"/>
    </row>
    <row r="66" spans="3:18" ht="15" customHeight="1" x14ac:dyDescent="0.2">
      <c r="C66" s="205" t="s">
        <v>647</v>
      </c>
      <c r="E66" s="12"/>
      <c r="F66" s="12"/>
      <c r="G66" s="12"/>
      <c r="H66" s="12"/>
      <c r="I66" s="12"/>
      <c r="J66" s="12"/>
      <c r="K66" s="12"/>
      <c r="L66" s="12"/>
      <c r="M66" s="12"/>
      <c r="N66" s="12"/>
      <c r="O66" s="12"/>
      <c r="P66" s="12"/>
      <c r="Q66" s="12"/>
      <c r="R66" s="12"/>
    </row>
    <row r="67" spans="3:18" ht="15" customHeight="1" x14ac:dyDescent="0.2">
      <c r="C67" s="209" t="s">
        <v>648</v>
      </c>
      <c r="E67" s="12"/>
      <c r="F67" s="12"/>
      <c r="G67" s="12"/>
      <c r="H67" s="12"/>
      <c r="I67" s="12"/>
      <c r="J67" s="12"/>
      <c r="K67" s="12"/>
      <c r="L67" s="182" t="s">
        <v>653</v>
      </c>
      <c r="M67" s="99"/>
      <c r="N67" s="99"/>
      <c r="O67" s="99"/>
      <c r="P67" s="217">
        <f>(P49*P57)+(P51*P65)</f>
        <v>5.3188203870535897E-2</v>
      </c>
      <c r="Q67" s="12"/>
      <c r="R67" s="12"/>
    </row>
    <row r="68" spans="3:18" ht="15" customHeight="1" x14ac:dyDescent="0.2">
      <c r="C68" s="206" t="s">
        <v>649</v>
      </c>
      <c r="E68" s="12"/>
      <c r="F68" s="12"/>
      <c r="G68" s="12"/>
      <c r="H68" s="12"/>
      <c r="I68" s="12"/>
      <c r="J68" s="12"/>
      <c r="K68" s="12"/>
      <c r="L68" s="12"/>
      <c r="M68" s="12"/>
      <c r="N68" s="12"/>
      <c r="O68" s="12"/>
      <c r="P68" s="12"/>
      <c r="Q68" s="12"/>
      <c r="R68" s="12"/>
    </row>
    <row r="69" spans="3:18" ht="15" customHeight="1" x14ac:dyDescent="0.2">
      <c r="C69" s="210" t="s">
        <v>650</v>
      </c>
      <c r="E69" s="12"/>
      <c r="F69" s="12"/>
      <c r="G69" s="12"/>
      <c r="H69" s="12"/>
      <c r="I69" s="12"/>
      <c r="J69" s="12"/>
      <c r="K69" s="12"/>
      <c r="L69" s="12"/>
      <c r="M69" s="12"/>
      <c r="N69" s="12"/>
      <c r="O69" s="12"/>
      <c r="P69" s="12"/>
      <c r="Q69" s="12"/>
      <c r="R69" s="12"/>
    </row>
    <row r="70" spans="3:18" ht="15" customHeight="1" x14ac:dyDescent="0.2">
      <c r="C70" s="206" t="s">
        <v>651</v>
      </c>
      <c r="E70" s="12"/>
      <c r="F70" s="12"/>
      <c r="G70" s="12"/>
      <c r="H70" s="12"/>
      <c r="I70" s="12"/>
      <c r="J70" s="12"/>
      <c r="K70" s="12"/>
      <c r="L70" s="12"/>
      <c r="M70" s="12"/>
      <c r="N70" s="12"/>
      <c r="O70" s="12"/>
      <c r="P70" s="12"/>
      <c r="Q70" s="12"/>
      <c r="R70" s="12"/>
    </row>
    <row r="71" spans="3:18" ht="15" customHeight="1" x14ac:dyDescent="0.2">
      <c r="E71" s="12"/>
      <c r="F71" s="12"/>
      <c r="G71" s="12"/>
      <c r="H71" s="12"/>
      <c r="I71" s="12"/>
      <c r="J71" s="12"/>
      <c r="K71" s="12"/>
      <c r="L71" s="12"/>
      <c r="M71" s="12"/>
      <c r="N71" s="12"/>
      <c r="O71" s="12"/>
      <c r="P71" s="12"/>
      <c r="Q71" s="12"/>
      <c r="R71" s="12"/>
    </row>
    <row r="72" spans="3:18" ht="15" customHeight="1" x14ac:dyDescent="0.2">
      <c r="C72" s="59" t="s">
        <v>655</v>
      </c>
      <c r="E72" s="12"/>
      <c r="F72" s="12"/>
      <c r="G72" s="12"/>
      <c r="H72" s="12"/>
      <c r="I72" s="12"/>
      <c r="J72" s="12"/>
      <c r="K72" s="12"/>
      <c r="L72" s="12"/>
      <c r="M72" s="12"/>
      <c r="N72" s="12"/>
      <c r="O72" s="12"/>
      <c r="P72" s="12"/>
      <c r="Q72" s="12"/>
      <c r="R72" s="12"/>
    </row>
    <row r="73" spans="3:18" ht="15" customHeight="1" x14ac:dyDescent="0.2">
      <c r="E73" s="12"/>
      <c r="F73" s="12"/>
      <c r="L73" s="12"/>
      <c r="M73" s="12"/>
      <c r="N73" s="12"/>
      <c r="O73" s="12"/>
      <c r="P73" s="12"/>
      <c r="Q73" s="12"/>
      <c r="R73" s="12"/>
    </row>
    <row r="74" spans="3:18" ht="15" customHeight="1" x14ac:dyDescent="0.2">
      <c r="C74" s="87" t="s">
        <v>640</v>
      </c>
      <c r="D74" s="12"/>
      <c r="E74" s="12"/>
      <c r="F74" s="12"/>
      <c r="H74" s="30" t="s">
        <v>641</v>
      </c>
      <c r="K74" s="12"/>
      <c r="L74" s="12"/>
      <c r="M74" s="12"/>
      <c r="N74" s="181" t="s">
        <v>660</v>
      </c>
      <c r="O74" s="12"/>
      <c r="P74" s="12"/>
      <c r="Q74" s="12"/>
      <c r="R74" s="12"/>
    </row>
    <row r="75" spans="3:18" ht="15" customHeight="1" x14ac:dyDescent="0.2">
      <c r="C75" s="51" t="s">
        <v>642</v>
      </c>
      <c r="D75" s="12"/>
      <c r="E75" s="12"/>
      <c r="F75" s="198">
        <f>P60</f>
        <v>3.1899999999999998E-2</v>
      </c>
      <c r="H75" s="51" t="s">
        <v>491</v>
      </c>
      <c r="I75" s="12"/>
      <c r="J75" s="12"/>
      <c r="K75" s="12"/>
      <c r="L75" s="167">
        <f>Assumptions!$O$67</f>
        <v>5.5333181818181809E-2</v>
      </c>
      <c r="M75" s="12"/>
      <c r="N75" s="12" t="s">
        <v>607</v>
      </c>
      <c r="O75" s="12"/>
      <c r="P75" s="195">
        <f>P49</f>
        <v>0.1</v>
      </c>
      <c r="Q75" s="12"/>
      <c r="R75" s="12"/>
    </row>
    <row r="76" spans="3:18" ht="15" customHeight="1" x14ac:dyDescent="0.2">
      <c r="C76" s="51" t="s">
        <v>643</v>
      </c>
      <c r="D76" s="12"/>
      <c r="E76" s="12"/>
      <c r="F76" s="198">
        <f>P61</f>
        <v>5.6000000000000001E-2</v>
      </c>
      <c r="H76" s="51" t="s">
        <v>637</v>
      </c>
      <c r="I76" s="12"/>
      <c r="J76" s="12"/>
      <c r="K76" s="12"/>
      <c r="L76" s="167">
        <f>Assumptions!$H$50</f>
        <v>0.15</v>
      </c>
      <c r="M76" s="12"/>
      <c r="N76" s="12" t="s">
        <v>608</v>
      </c>
      <c r="O76" s="12"/>
      <c r="P76" s="195">
        <f>$P$51</f>
        <v>0.9</v>
      </c>
      <c r="Q76" s="12"/>
      <c r="R76" s="12"/>
    </row>
    <row r="77" spans="3:18" ht="15" customHeight="1" x14ac:dyDescent="0.2">
      <c r="C77" s="51" t="s">
        <v>644</v>
      </c>
      <c r="D77" s="12"/>
      <c r="E77" s="12"/>
      <c r="F77" s="198">
        <v>0</v>
      </c>
      <c r="H77" s="16" t="s">
        <v>639</v>
      </c>
      <c r="I77" s="16"/>
      <c r="J77" s="16"/>
      <c r="K77" s="16"/>
      <c r="L77" s="204">
        <f>L75*(1-L76)</f>
        <v>4.7033204545454538E-2</v>
      </c>
      <c r="M77" s="12"/>
      <c r="N77" s="12"/>
      <c r="O77" s="12"/>
      <c r="P77" s="12"/>
      <c r="Q77" s="12"/>
      <c r="R77" s="12"/>
    </row>
    <row r="78" spans="3:18" ht="15" customHeight="1" x14ac:dyDescent="0.2">
      <c r="C78" s="51" t="s">
        <v>659</v>
      </c>
      <c r="D78" s="12"/>
      <c r="E78" s="12"/>
      <c r="F78" s="216">
        <f>SLOPE('Ratio Analysis'!XEV140:XEV2655,'Ratio Analysis'!XEX140:XEX2655)</f>
        <v>1.4455243617357862</v>
      </c>
      <c r="K78"/>
      <c r="L78" s="12"/>
      <c r="M78" s="12"/>
      <c r="N78" s="12"/>
      <c r="O78" s="12"/>
      <c r="P78" s="12"/>
      <c r="Q78" s="12"/>
      <c r="R78" s="12"/>
    </row>
    <row r="79" spans="3:18" ht="15" customHeight="1" x14ac:dyDescent="0.2">
      <c r="C79" s="16" t="s">
        <v>646</v>
      </c>
      <c r="D79" s="16"/>
      <c r="E79" s="16"/>
      <c r="F79" s="204">
        <f>(F76*F78)+F75</f>
        <v>0.11284936425720403</v>
      </c>
      <c r="K79"/>
      <c r="L79" s="182" t="s">
        <v>654</v>
      </c>
      <c r="M79" s="99"/>
      <c r="N79" s="99"/>
      <c r="O79" s="99"/>
      <c r="P79" s="217">
        <f>(P75*L77)+(P76*F79)</f>
        <v>0.10626774828602908</v>
      </c>
      <c r="Q79" s="12"/>
      <c r="R79" s="12"/>
    </row>
    <row r="80" spans="3:18" ht="15" customHeight="1" x14ac:dyDescent="0.2">
      <c r="F80" s="12"/>
      <c r="L80" s="12"/>
      <c r="M80" s="12"/>
      <c r="N80" s="12"/>
      <c r="O80" s="12"/>
      <c r="P80" s="12"/>
      <c r="Q80" s="12"/>
      <c r="R80" s="12"/>
    </row>
    <row r="81" spans="2:18" ht="15" customHeight="1" x14ac:dyDescent="0.2">
      <c r="F81" s="12"/>
      <c r="G81" s="87"/>
      <c r="H81" s="87"/>
      <c r="I81" s="87"/>
      <c r="J81" s="87"/>
      <c r="K81" s="222"/>
      <c r="L81" s="223" t="s">
        <v>661</v>
      </c>
      <c r="M81" s="201"/>
      <c r="N81" s="201"/>
      <c r="O81" s="201"/>
      <c r="P81" s="224">
        <f>AVERAGE(P79,P67)</f>
        <v>7.9727976078282498E-2</v>
      </c>
      <c r="Q81" s="12"/>
      <c r="R81" s="12"/>
    </row>
    <row r="82" spans="2:18" ht="15" customHeight="1" x14ac:dyDescent="0.2">
      <c r="F82" s="12"/>
      <c r="G82" s="87"/>
      <c r="H82" s="87"/>
      <c r="I82" s="87"/>
      <c r="J82" s="87"/>
      <c r="K82" s="222"/>
      <c r="L82" s="12"/>
      <c r="M82" s="12"/>
      <c r="N82" s="12"/>
      <c r="O82" s="12"/>
      <c r="P82" s="12"/>
      <c r="Q82" s="12"/>
      <c r="R82" s="12"/>
    </row>
    <row r="83" spans="2:18" ht="15" customHeight="1" x14ac:dyDescent="0.2">
      <c r="F83" s="12"/>
      <c r="G83" s="87"/>
      <c r="H83" s="87"/>
      <c r="I83" s="87"/>
      <c r="J83" s="87"/>
      <c r="K83" s="222"/>
      <c r="L83" s="12"/>
      <c r="M83" s="12"/>
      <c r="N83" s="12"/>
      <c r="O83" s="12"/>
      <c r="P83" s="12"/>
      <c r="Q83" s="12"/>
      <c r="R83" s="12"/>
    </row>
    <row r="84" spans="2:18" ht="15" customHeight="1" x14ac:dyDescent="0.2">
      <c r="F84" s="12"/>
      <c r="G84" s="87"/>
      <c r="H84" s="87"/>
      <c r="I84" s="87"/>
      <c r="J84" s="87"/>
      <c r="K84" s="222"/>
      <c r="L84" s="12"/>
      <c r="M84" s="12"/>
      <c r="N84" s="12"/>
      <c r="O84" s="12"/>
      <c r="P84" s="12"/>
      <c r="Q84" s="12"/>
      <c r="R84" s="12"/>
    </row>
    <row r="85" spans="2:18" ht="6" customHeight="1" x14ac:dyDescent="0.2"/>
    <row r="86" spans="2:18" ht="20" customHeight="1" x14ac:dyDescent="0.25">
      <c r="B86" s="2" t="str">
        <f>'Cover Page'!$C$18</f>
        <v>Tesla, Inc.</v>
      </c>
      <c r="C86" s="3"/>
      <c r="D86" s="3"/>
      <c r="E86" s="3"/>
      <c r="F86" s="3"/>
      <c r="G86" s="3"/>
      <c r="H86" s="3"/>
      <c r="I86" s="3"/>
      <c r="J86" s="3"/>
      <c r="K86" s="3"/>
      <c r="L86" s="3"/>
      <c r="M86" s="3"/>
      <c r="N86" s="3"/>
      <c r="O86" s="3"/>
      <c r="P86" s="3"/>
    </row>
    <row r="87" spans="2:18" ht="15" customHeight="1" x14ac:dyDescent="0.2">
      <c r="B87" s="4" t="s">
        <v>599</v>
      </c>
      <c r="C87" s="4"/>
      <c r="D87" s="4"/>
      <c r="E87" s="4"/>
      <c r="F87" s="4"/>
      <c r="G87" s="4"/>
      <c r="H87" s="4"/>
      <c r="I87" s="4"/>
      <c r="J87" s="4"/>
      <c r="K87" s="4"/>
      <c r="L87" s="4"/>
      <c r="M87" s="4"/>
      <c r="N87" s="4"/>
      <c r="O87" s="4"/>
      <c r="P87" s="4"/>
    </row>
    <row r="88" spans="2:18" ht="6" customHeight="1" thickBot="1" x14ac:dyDescent="0.25">
      <c r="B88" s="5"/>
      <c r="C88" s="5"/>
      <c r="D88" s="5"/>
      <c r="E88" s="5"/>
      <c r="F88" s="5"/>
      <c r="G88" s="5"/>
      <c r="H88" s="5"/>
      <c r="I88" s="5"/>
      <c r="J88" s="5"/>
      <c r="K88" s="5"/>
      <c r="L88" s="5"/>
      <c r="M88" s="5"/>
      <c r="N88" s="5"/>
      <c r="O88" s="5"/>
      <c r="P88" s="5"/>
    </row>
    <row r="89" spans="2:18" ht="15" customHeight="1" x14ac:dyDescent="0.2">
      <c r="B89" s="117" t="str">
        <f>Scenarios!$B$5</f>
        <v>$ MM's ( unless otherwise specified )</v>
      </c>
      <c r="C89" s="117"/>
      <c r="D89" s="117"/>
      <c r="E89" s="117"/>
      <c r="F89" s="117"/>
      <c r="G89" s="117"/>
      <c r="H89" s="117"/>
      <c r="I89" s="117"/>
      <c r="J89" s="117"/>
      <c r="K89" s="117"/>
      <c r="L89" s="117"/>
      <c r="M89" s="117"/>
      <c r="N89" s="117"/>
      <c r="O89" s="117"/>
      <c r="P89" s="121" t="str">
        <f>Scenarios!$N$5</f>
        <v>Based on: Base Case Senario</v>
      </c>
    </row>
    <row r="90" spans="2:18" ht="6" customHeight="1" x14ac:dyDescent="0.2"/>
    <row r="91" spans="2:18" ht="15" customHeight="1" x14ac:dyDescent="0.2">
      <c r="F91" s="12"/>
      <c r="G91" s="12"/>
      <c r="H91" s="12"/>
      <c r="I91" s="12"/>
      <c r="J91" s="12"/>
      <c r="K91" s="12"/>
      <c r="L91" s="12"/>
      <c r="M91" s="12"/>
      <c r="N91" s="12"/>
      <c r="O91" s="12"/>
      <c r="P91" s="12"/>
      <c r="Q91" s="12"/>
      <c r="R91" s="12"/>
    </row>
    <row r="92" spans="2:18" ht="15" customHeight="1" x14ac:dyDescent="0.2">
      <c r="C92" s="19" t="s">
        <v>600</v>
      </c>
      <c r="F92" s="12"/>
      <c r="G92" s="12"/>
      <c r="H92" s="12"/>
      <c r="I92" s="12"/>
      <c r="J92" s="12"/>
      <c r="K92" s="12"/>
      <c r="L92" s="12"/>
      <c r="M92" s="12"/>
      <c r="N92" s="12"/>
      <c r="O92" s="12"/>
      <c r="P92" s="12"/>
      <c r="Q92" s="12"/>
      <c r="R92" s="12"/>
    </row>
    <row r="93" spans="2:18" ht="15" customHeight="1" x14ac:dyDescent="0.2">
      <c r="C93" s="13" t="s">
        <v>601</v>
      </c>
      <c r="F93" s="12"/>
      <c r="G93" s="12"/>
      <c r="H93" s="12"/>
      <c r="I93" s="12"/>
      <c r="J93" s="186">
        <f>Assumptions!$H$10</f>
        <v>44742</v>
      </c>
      <c r="K93" s="186">
        <f>Assumptions!$H$10</f>
        <v>44742</v>
      </c>
      <c r="L93" s="186">
        <f>DATE(YEAR(J93),12,31)</f>
        <v>44926</v>
      </c>
      <c r="M93" s="186">
        <f t="shared" ref="M93:P93" si="9">DATE(YEAR(L93)+1,12,31)</f>
        <v>45291</v>
      </c>
      <c r="N93" s="186">
        <f t="shared" si="9"/>
        <v>45657</v>
      </c>
      <c r="O93" s="186">
        <f t="shared" si="9"/>
        <v>46022</v>
      </c>
      <c r="P93" s="186">
        <f t="shared" si="9"/>
        <v>46387</v>
      </c>
      <c r="Q93" s="12"/>
      <c r="R93" s="12"/>
    </row>
    <row r="94" spans="2:18" ht="15" customHeight="1" x14ac:dyDescent="0.2">
      <c r="C94" s="13" t="s">
        <v>602</v>
      </c>
      <c r="F94" s="12"/>
      <c r="G94" s="12"/>
      <c r="H94" s="12"/>
      <c r="I94" s="12"/>
      <c r="J94" s="186">
        <f>Assumptions!$H$10</f>
        <v>44742</v>
      </c>
      <c r="K94" s="186">
        <f>Assumptions!$H$10</f>
        <v>44742</v>
      </c>
      <c r="L94" s="186">
        <f>AVERAGE(K93:L93)</f>
        <v>44834</v>
      </c>
      <c r="M94" s="186">
        <f t="shared" ref="M94:P94" si="10">AVERAGE(L93:M93)</f>
        <v>45108.5</v>
      </c>
      <c r="N94" s="186">
        <f t="shared" si="10"/>
        <v>45474</v>
      </c>
      <c r="O94" s="186">
        <f t="shared" si="10"/>
        <v>45839.5</v>
      </c>
      <c r="P94" s="186">
        <f t="shared" si="10"/>
        <v>46204.5</v>
      </c>
      <c r="Q94" s="12"/>
      <c r="R94" s="12"/>
    </row>
    <row r="95" spans="2:18" ht="15" customHeight="1" x14ac:dyDescent="0.2">
      <c r="C95" s="13" t="s">
        <v>603</v>
      </c>
      <c r="F95" s="12"/>
      <c r="G95" s="12"/>
      <c r="H95" s="12"/>
      <c r="I95" s="12"/>
      <c r="J95" s="99"/>
      <c r="K95" s="99"/>
      <c r="L95" s="12">
        <f>YEARFRAC(J93,L93,3)</f>
        <v>0.50410958904109593</v>
      </c>
      <c r="M95" s="12">
        <f t="shared" ref="M95:P95" si="11">YEARFRAC(L93,M93,3)</f>
        <v>1</v>
      </c>
      <c r="N95" s="12">
        <f t="shared" si="11"/>
        <v>1.0027397260273974</v>
      </c>
      <c r="O95" s="12">
        <f t="shared" si="11"/>
        <v>1</v>
      </c>
      <c r="P95" s="12">
        <f t="shared" si="11"/>
        <v>1</v>
      </c>
      <c r="Q95" s="12"/>
      <c r="R95" s="12"/>
    </row>
    <row r="96" spans="2:18" ht="6" customHeight="1" x14ac:dyDescent="0.2">
      <c r="F96" s="12"/>
      <c r="G96" s="12"/>
      <c r="H96" s="12"/>
      <c r="I96" s="12"/>
      <c r="J96" s="12"/>
      <c r="K96" s="12"/>
      <c r="L96" s="12"/>
      <c r="M96" s="12"/>
      <c r="N96" s="12"/>
      <c r="O96" s="12"/>
      <c r="P96" s="12"/>
      <c r="Q96" s="12"/>
      <c r="R96" s="12"/>
    </row>
    <row r="97" spans="2:26" ht="15" customHeight="1" x14ac:dyDescent="0.2">
      <c r="C97" s="1" t="s">
        <v>590</v>
      </c>
      <c r="F97" s="12"/>
      <c r="G97" s="12"/>
      <c r="H97" s="12"/>
      <c r="I97" s="12"/>
      <c r="J97" s="99"/>
      <c r="K97" s="99"/>
      <c r="L97" s="12">
        <f>L14</f>
        <v>16292.243078082558</v>
      </c>
      <c r="M97" s="12">
        <f>M14</f>
        <v>17819.080635936552</v>
      </c>
      <c r="N97" s="12">
        <f>N14</f>
        <v>29754.05892129038</v>
      </c>
      <c r="O97" s="12">
        <f>O14</f>
        <v>40683.592155198901</v>
      </c>
      <c r="P97" s="12">
        <f>P14</f>
        <v>57681.856990457964</v>
      </c>
      <c r="Q97" s="12"/>
      <c r="R97" s="12"/>
    </row>
    <row r="98" spans="2:26" ht="15" customHeight="1" x14ac:dyDescent="0.2">
      <c r="C98" s="1" t="s">
        <v>598</v>
      </c>
      <c r="F98" s="12"/>
      <c r="G98" s="12"/>
      <c r="H98" s="12"/>
      <c r="I98" s="12"/>
      <c r="J98" s="99"/>
      <c r="K98" s="99"/>
      <c r="L98" s="12">
        <f>L34</f>
        <v>15840.137595205837</v>
      </c>
      <c r="M98" s="12">
        <f t="shared" ref="M98:P98" si="12">M34</f>
        <v>11006.069681941128</v>
      </c>
      <c r="N98" s="12">
        <f t="shared" si="12"/>
        <v>27425.825760684926</v>
      </c>
      <c r="O98" s="12">
        <f t="shared" si="12"/>
        <v>32127.465607177975</v>
      </c>
      <c r="P98" s="12">
        <f t="shared" si="12"/>
        <v>45634.218328979026</v>
      </c>
      <c r="Q98" s="12"/>
      <c r="R98" s="12"/>
    </row>
    <row r="99" spans="2:26" ht="6" customHeight="1" x14ac:dyDescent="0.2">
      <c r="F99" s="12"/>
      <c r="G99" s="12"/>
      <c r="H99" s="12"/>
      <c r="I99" s="12"/>
      <c r="J99" s="12"/>
      <c r="K99" s="12"/>
      <c r="L99" s="12"/>
      <c r="M99" s="12"/>
      <c r="N99" s="12"/>
      <c r="O99" s="12"/>
      <c r="P99" s="12"/>
      <c r="Q99" s="12"/>
      <c r="R99" s="12"/>
    </row>
    <row r="100" spans="2:26" ht="15" customHeight="1" x14ac:dyDescent="0.2">
      <c r="C100" s="19" t="s">
        <v>662</v>
      </c>
      <c r="F100" s="12"/>
      <c r="G100" s="12"/>
      <c r="H100" s="12"/>
      <c r="I100" s="12"/>
      <c r="J100" s="12"/>
      <c r="K100" s="12"/>
      <c r="L100" s="12"/>
      <c r="M100" s="12"/>
      <c r="N100" s="12"/>
      <c r="O100" s="12"/>
      <c r="P100" s="12"/>
      <c r="Q100" s="12"/>
      <c r="R100" s="12"/>
    </row>
    <row r="101" spans="2:26" ht="15" customHeight="1" x14ac:dyDescent="0.2">
      <c r="C101" s="13" t="s">
        <v>663</v>
      </c>
      <c r="E101" s="248">
        <f>IF(G124="",21,G124)</f>
        <v>21</v>
      </c>
      <c r="F101" s="12"/>
      <c r="G101" s="12"/>
      <c r="H101" s="12"/>
      <c r="I101" s="12"/>
      <c r="J101" s="12"/>
      <c r="K101" s="12"/>
      <c r="L101" s="12"/>
      <c r="M101" s="12"/>
      <c r="N101" s="12"/>
      <c r="O101" s="12"/>
      <c r="P101" s="12">
        <f>P97*E101</f>
        <v>1211318.9967996173</v>
      </c>
      <c r="Q101" s="12"/>
      <c r="R101" s="12"/>
    </row>
    <row r="102" spans="2:26" ht="15" customHeight="1" x14ac:dyDescent="0.2">
      <c r="C102" s="13" t="s">
        <v>664</v>
      </c>
      <c r="E102" s="225"/>
      <c r="F102" s="12"/>
      <c r="G102" s="12"/>
      <c r="H102" s="12"/>
      <c r="I102" s="12"/>
      <c r="J102" s="12"/>
      <c r="K102" s="12"/>
      <c r="L102" s="12"/>
      <c r="M102" s="12"/>
      <c r="N102" s="12"/>
      <c r="O102" s="12"/>
      <c r="P102" s="12">
        <f>P98*(1+E103)/(E104-E103)</f>
        <v>739861.26991652779</v>
      </c>
      <c r="Q102" s="12"/>
      <c r="R102" s="12"/>
    </row>
    <row r="103" spans="2:26" ht="15" customHeight="1" x14ac:dyDescent="0.2">
      <c r="C103" s="226" t="s">
        <v>665</v>
      </c>
      <c r="E103" s="240">
        <v>1.7000000000000001E-2</v>
      </c>
      <c r="F103" s="12"/>
      <c r="G103" s="12"/>
      <c r="H103" s="12"/>
      <c r="I103" s="12"/>
      <c r="J103" s="12"/>
      <c r="K103" s="12"/>
      <c r="L103" s="12"/>
      <c r="M103" s="12"/>
      <c r="N103" s="12"/>
      <c r="O103" s="12"/>
      <c r="P103" s="12"/>
      <c r="Q103" s="12"/>
      <c r="R103" s="12"/>
    </row>
    <row r="104" spans="2:26" ht="15" customHeight="1" x14ac:dyDescent="0.2">
      <c r="C104" s="226" t="s">
        <v>666</v>
      </c>
      <c r="E104" s="227">
        <f>IF(G123="",P81,G123)</f>
        <v>7.9727976078282498E-2</v>
      </c>
      <c r="F104" s="12"/>
      <c r="G104" s="12"/>
      <c r="H104" s="12"/>
      <c r="I104" s="12"/>
      <c r="J104" s="12"/>
      <c r="K104" s="12"/>
      <c r="L104" s="12"/>
      <c r="M104" s="12"/>
      <c r="N104" s="12"/>
      <c r="O104" s="12"/>
      <c r="P104" s="12"/>
      <c r="Q104" s="12"/>
      <c r="R104" s="12"/>
    </row>
    <row r="105" spans="2:26" ht="20" customHeight="1" thickBot="1" x14ac:dyDescent="0.25">
      <c r="C105" s="228" t="s">
        <v>667</v>
      </c>
      <c r="D105" s="17"/>
      <c r="E105" s="17"/>
      <c r="F105" s="18"/>
      <c r="G105" s="18"/>
      <c r="H105" s="18"/>
      <c r="I105" s="18"/>
      <c r="J105" s="18"/>
      <c r="K105" s="18"/>
      <c r="L105" s="18"/>
      <c r="M105" s="18"/>
      <c r="N105" s="18"/>
      <c r="O105" s="18"/>
      <c r="P105" s="18">
        <f>AVERAGE(P101:P102)</f>
        <v>975590.13335807249</v>
      </c>
      <c r="Q105" s="12"/>
      <c r="R105" s="12"/>
    </row>
    <row r="106" spans="2:26" ht="6" customHeight="1" thickTop="1" x14ac:dyDescent="0.2">
      <c r="F106" s="12"/>
      <c r="G106" s="12"/>
      <c r="H106" s="12"/>
      <c r="I106" s="12"/>
      <c r="J106" s="12"/>
      <c r="K106" s="12"/>
      <c r="L106" s="12"/>
      <c r="M106" s="12"/>
      <c r="N106" s="12"/>
      <c r="O106" s="12"/>
      <c r="P106" s="12"/>
      <c r="Q106" s="12"/>
      <c r="R106" s="12"/>
    </row>
    <row r="107" spans="2:26" ht="15" customHeight="1" x14ac:dyDescent="0.2">
      <c r="C107" s="1" t="str">
        <f>C98</f>
        <v>Free Cash Flows to Firm</v>
      </c>
      <c r="F107" s="12"/>
      <c r="G107" s="12"/>
      <c r="H107" s="12"/>
      <c r="I107" s="12"/>
      <c r="J107" s="229">
        <v>0</v>
      </c>
      <c r="K107" s="12">
        <v>0</v>
      </c>
      <c r="L107" s="12">
        <f>L98</f>
        <v>15840.137595205837</v>
      </c>
      <c r="M107" s="12">
        <f>M98</f>
        <v>11006.069681941128</v>
      </c>
      <c r="N107" s="12">
        <f>N98</f>
        <v>27425.825760684926</v>
      </c>
      <c r="O107" s="12">
        <f>O98</f>
        <v>32127.465607177975</v>
      </c>
      <c r="P107" s="12">
        <f>P98</f>
        <v>45634.218328979026</v>
      </c>
      <c r="Q107" s="12"/>
      <c r="R107" s="12"/>
    </row>
    <row r="108" spans="2:26" ht="15" customHeight="1" x14ac:dyDescent="0.2">
      <c r="C108" s="1" t="s">
        <v>668</v>
      </c>
      <c r="F108" s="12"/>
      <c r="G108" s="12"/>
      <c r="H108" s="12"/>
      <c r="I108" s="12"/>
      <c r="J108" s="229">
        <v>0</v>
      </c>
      <c r="K108" s="12">
        <v>0</v>
      </c>
      <c r="L108" s="229">
        <v>0</v>
      </c>
      <c r="M108" s="229">
        <v>0</v>
      </c>
      <c r="N108" s="229">
        <v>0</v>
      </c>
      <c r="O108" s="229">
        <v>0</v>
      </c>
      <c r="P108" s="12">
        <f>IF(S108=1,P101,IF(S108=2,P102,IF(S108=3,P105,"")))</f>
        <v>975590.13335807249</v>
      </c>
      <c r="Q108" s="12"/>
      <c r="R108" s="12"/>
      <c r="S108" s="236">
        <v>3</v>
      </c>
      <c r="T108" s="235">
        <v>1</v>
      </c>
      <c r="U108" s="1" t="s">
        <v>678</v>
      </c>
    </row>
    <row r="109" spans="2:26" ht="20" customHeight="1" thickBot="1" x14ac:dyDescent="0.25">
      <c r="C109" s="17" t="s">
        <v>669</v>
      </c>
      <c r="D109" s="17"/>
      <c r="E109" s="17"/>
      <c r="F109" s="18"/>
      <c r="G109" s="18"/>
      <c r="H109" s="18"/>
      <c r="I109" s="18"/>
      <c r="J109" s="18">
        <f t="shared" ref="J109:P109" si="13">SUM(J107:J108)</f>
        <v>0</v>
      </c>
      <c r="K109" s="18">
        <f t="shared" si="13"/>
        <v>0</v>
      </c>
      <c r="L109" s="18">
        <f t="shared" si="13"/>
        <v>15840.137595205837</v>
      </c>
      <c r="M109" s="18">
        <f t="shared" si="13"/>
        <v>11006.069681941128</v>
      </c>
      <c r="N109" s="18">
        <f t="shared" si="13"/>
        <v>27425.825760684926</v>
      </c>
      <c r="O109" s="18">
        <f t="shared" si="13"/>
        <v>32127.465607177975</v>
      </c>
      <c r="P109" s="18">
        <f t="shared" si="13"/>
        <v>1021224.3516870515</v>
      </c>
      <c r="Q109" s="12"/>
      <c r="R109" s="12"/>
      <c r="T109" s="235">
        <v>2</v>
      </c>
      <c r="U109" s="1" t="s">
        <v>679</v>
      </c>
    </row>
    <row r="110" spans="2:26" ht="15" customHeight="1" thickTop="1" x14ac:dyDescent="0.2">
      <c r="F110" s="12"/>
      <c r="G110" s="12"/>
      <c r="H110" s="12"/>
      <c r="I110" s="12"/>
      <c r="J110" s="12"/>
      <c r="K110" s="12"/>
      <c r="L110" s="12"/>
      <c r="M110" s="12"/>
      <c r="N110" s="12"/>
      <c r="O110" s="12"/>
      <c r="P110" s="12"/>
      <c r="Q110" s="12"/>
      <c r="R110" s="12"/>
      <c r="T110" s="235">
        <v>3</v>
      </c>
      <c r="U110" s="1" t="s">
        <v>652</v>
      </c>
    </row>
    <row r="111" spans="2:26" ht="6" customHeight="1" x14ac:dyDescent="0.2">
      <c r="F111" s="12"/>
      <c r="G111" s="12"/>
      <c r="H111" s="12"/>
      <c r="I111" s="12"/>
      <c r="J111" s="12"/>
      <c r="K111" s="12"/>
      <c r="L111" s="12"/>
      <c r="M111" s="12"/>
      <c r="N111" s="12"/>
      <c r="O111" s="12"/>
      <c r="P111" s="12"/>
      <c r="Q111" s="12"/>
      <c r="R111" s="12"/>
    </row>
    <row r="112" spans="2:26" ht="15" customHeight="1" x14ac:dyDescent="0.2">
      <c r="B112" s="59" t="s">
        <v>670</v>
      </c>
      <c r="F112" s="12"/>
      <c r="G112" s="12"/>
      <c r="H112" s="12"/>
      <c r="J112" s="59" t="s">
        <v>685</v>
      </c>
      <c r="Q112" s="12"/>
      <c r="R112" s="12"/>
      <c r="W112" s="1" t="s">
        <v>689</v>
      </c>
      <c r="Z112" s="12">
        <f>XNPV(E104,K107:P107,K94:P94)</f>
        <v>108317.82209509017</v>
      </c>
    </row>
    <row r="113" spans="3:26" ht="15" customHeight="1" x14ac:dyDescent="0.2">
      <c r="F113" s="12"/>
      <c r="G113" s="12"/>
      <c r="H113" s="12"/>
      <c r="Q113" s="12"/>
      <c r="R113" s="12"/>
      <c r="W113" s="1" t="s">
        <v>668</v>
      </c>
      <c r="Z113" s="12">
        <f>XNPV(E104,K108:P108,K94:P94)</f>
        <v>717509.14070851216</v>
      </c>
    </row>
    <row r="114" spans="3:26" ht="15" customHeight="1" x14ac:dyDescent="0.2">
      <c r="C114" s="1" t="s">
        <v>671</v>
      </c>
      <c r="F114" s="12"/>
      <c r="G114" s="12">
        <f>XNPV(E104,K109:P109,K94:P94)</f>
        <v>825826.96280360222</v>
      </c>
      <c r="H114" s="12"/>
      <c r="L114" s="238" t="str">
        <f t="array" ref="L114:N114">TRANSPOSE(U108:U110)</f>
        <v>Exit</v>
      </c>
      <c r="M114" s="239" t="str">
        <v>Growth</v>
      </c>
      <c r="N114" s="239" t="str">
        <v>Average</v>
      </c>
      <c r="Q114" s="12"/>
      <c r="R114" s="12"/>
      <c r="W114" s="1" t="s">
        <v>671</v>
      </c>
      <c r="Z114" s="12">
        <f>SUM(Z112:Z113)</f>
        <v>825826.96280360234</v>
      </c>
    </row>
    <row r="115" spans="3:26" ht="15" customHeight="1" x14ac:dyDescent="0.2">
      <c r="C115" s="68" t="s">
        <v>672</v>
      </c>
      <c r="F115" s="12"/>
      <c r="G115" s="14">
        <f>-SUM('Financial Statements'!J83,'Financial Statements'!J85,'Financial Statements'!J87)</f>
        <v>-7861.1788283333335</v>
      </c>
      <c r="H115" s="12"/>
      <c r="J115" s="1" t="s">
        <v>680</v>
      </c>
      <c r="L115" s="237">
        <v>328.88995429705818</v>
      </c>
      <c r="M115" s="237">
        <v>217.32654268874091</v>
      </c>
      <c r="N115" s="237">
        <f>$G$119</f>
        <v>273.10824849289946</v>
      </c>
      <c r="Q115" s="12"/>
      <c r="R115" s="12"/>
    </row>
    <row r="116" spans="3:26" ht="15" customHeight="1" x14ac:dyDescent="0.2">
      <c r="C116" s="68" t="s">
        <v>673</v>
      </c>
      <c r="F116" s="12"/>
      <c r="G116" s="14">
        <f>'Financial Statements'!J61</f>
        <v>30854.652340662753</v>
      </c>
      <c r="H116" s="12"/>
      <c r="Q116" s="12"/>
      <c r="R116" s="12"/>
    </row>
    <row r="117" spans="3:26" ht="20" customHeight="1" x14ac:dyDescent="0.2">
      <c r="C117" s="15" t="s">
        <v>674</v>
      </c>
      <c r="D117" s="15"/>
      <c r="E117" s="15"/>
      <c r="F117" s="16"/>
      <c r="G117" s="16">
        <f>SUM(G114:G116)</f>
        <v>848820.43631593161</v>
      </c>
      <c r="H117" s="12"/>
      <c r="Q117" s="12"/>
      <c r="R117" s="12"/>
    </row>
    <row r="118" spans="3:26" ht="15" customHeight="1" x14ac:dyDescent="0.2">
      <c r="C118" s="13" t="s">
        <v>675</v>
      </c>
      <c r="F118" s="12"/>
      <c r="G118" s="14">
        <f>'Financial Statements'!$J$46</f>
        <v>3108</v>
      </c>
      <c r="H118" s="12"/>
      <c r="I118" s="12"/>
      <c r="J118" s="12"/>
      <c r="K118" s="12"/>
      <c r="L118" s="12"/>
      <c r="M118" s="12"/>
      <c r="N118" s="12"/>
      <c r="O118" s="12"/>
      <c r="P118" s="12"/>
      <c r="Q118" s="12"/>
      <c r="R118" s="12"/>
    </row>
    <row r="119" spans="3:26" ht="20" customHeight="1" x14ac:dyDescent="0.2">
      <c r="C119" s="230" t="s">
        <v>676</v>
      </c>
      <c r="D119" s="231"/>
      <c r="E119" s="231"/>
      <c r="F119" s="232"/>
      <c r="G119" s="233">
        <f>G117/G118</f>
        <v>273.10824849289946</v>
      </c>
      <c r="H119" s="12"/>
      <c r="I119" s="12"/>
      <c r="J119" s="12"/>
      <c r="K119" s="12"/>
      <c r="L119" s="12"/>
      <c r="M119" s="12"/>
      <c r="N119" s="12"/>
      <c r="O119" s="12"/>
      <c r="P119" s="12"/>
      <c r="Q119" s="12"/>
      <c r="R119" s="12"/>
    </row>
    <row r="120" spans="3:26" ht="15" customHeight="1" x14ac:dyDescent="0.2">
      <c r="F120" s="12"/>
      <c r="G120" s="12"/>
      <c r="H120" s="12"/>
      <c r="I120" s="12"/>
      <c r="J120" s="12"/>
      <c r="K120" s="12"/>
      <c r="L120" s="12"/>
      <c r="M120" s="12"/>
      <c r="N120" s="12"/>
      <c r="O120" s="12"/>
      <c r="P120" s="12"/>
      <c r="Q120" s="12"/>
      <c r="R120" s="12"/>
    </row>
    <row r="121" spans="3:26" ht="15" customHeight="1" x14ac:dyDescent="0.2">
      <c r="C121" s="181" t="s">
        <v>681</v>
      </c>
      <c r="D121" s="12"/>
      <c r="E121" s="12"/>
      <c r="F121" s="12"/>
      <c r="G121" s="12"/>
      <c r="H121" s="12"/>
      <c r="I121" s="12"/>
      <c r="J121" s="12"/>
      <c r="K121" s="12"/>
      <c r="L121" s="12"/>
      <c r="M121" s="12"/>
      <c r="N121" s="12"/>
      <c r="O121" s="12"/>
      <c r="P121" s="12"/>
      <c r="Q121" s="12"/>
      <c r="R121" s="12"/>
    </row>
    <row r="122" spans="3:26" ht="15" customHeight="1" x14ac:dyDescent="0.2">
      <c r="C122" s="12"/>
      <c r="D122" s="12"/>
      <c r="E122" s="12"/>
      <c r="F122" s="12"/>
      <c r="G122" s="12"/>
      <c r="H122" s="12"/>
      <c r="I122" s="12"/>
      <c r="J122" s="12"/>
      <c r="K122" s="12"/>
      <c r="L122" s="12"/>
      <c r="M122" s="12"/>
      <c r="N122" s="12"/>
      <c r="O122" s="12"/>
      <c r="P122" s="12"/>
      <c r="Q122" s="12"/>
      <c r="R122" s="12"/>
    </row>
    <row r="123" spans="3:26" ht="15" customHeight="1" x14ac:dyDescent="0.2">
      <c r="C123" s="241" t="s">
        <v>682</v>
      </c>
      <c r="D123" s="241"/>
      <c r="E123" s="241"/>
      <c r="F123" s="241"/>
      <c r="G123" s="242"/>
      <c r="I123" s="12"/>
      <c r="K123" s="12"/>
      <c r="L123" s="12"/>
      <c r="M123" s="12"/>
      <c r="N123" s="12"/>
      <c r="O123" s="12"/>
      <c r="P123" s="12"/>
      <c r="Q123" s="12"/>
      <c r="R123" s="12"/>
    </row>
    <row r="124" spans="3:26" ht="15" customHeight="1" x14ac:dyDescent="0.2">
      <c r="C124" s="241" t="s">
        <v>683</v>
      </c>
      <c r="D124" s="241"/>
      <c r="E124" s="241"/>
      <c r="F124" s="241"/>
      <c r="G124" s="243"/>
      <c r="I124" s="12"/>
      <c r="K124" s="12"/>
      <c r="L124" s="12"/>
      <c r="M124" s="12"/>
      <c r="N124" s="12"/>
      <c r="O124" s="12"/>
      <c r="P124" s="12"/>
      <c r="Q124" s="12"/>
      <c r="R124" s="12"/>
    </row>
    <row r="125" spans="3:26" ht="15" customHeight="1" x14ac:dyDescent="0.2">
      <c r="C125" s="12"/>
      <c r="D125" s="12"/>
      <c r="E125" s="12"/>
      <c r="F125" s="12"/>
      <c r="G125" s="12"/>
      <c r="H125" s="12"/>
      <c r="I125" s="12"/>
      <c r="J125" s="12"/>
      <c r="K125" s="12"/>
      <c r="L125" s="12"/>
      <c r="M125" s="12"/>
      <c r="N125" s="12"/>
      <c r="O125" s="12"/>
      <c r="P125" s="12"/>
      <c r="Q125" s="12"/>
      <c r="R125" s="12"/>
    </row>
    <row r="126" spans="3:26" ht="15" customHeight="1" x14ac:dyDescent="0.2">
      <c r="C126" s="244" t="s">
        <v>684</v>
      </c>
      <c r="D126" s="12"/>
      <c r="E126" s="12"/>
      <c r="F126" s="307" t="s">
        <v>686</v>
      </c>
      <c r="G126" s="307"/>
      <c r="H126" s="307"/>
      <c r="I126" s="307"/>
      <c r="J126" s="307"/>
      <c r="K126" s="12"/>
      <c r="L126" s="12"/>
      <c r="M126" s="12"/>
      <c r="N126" s="12"/>
      <c r="O126" s="12"/>
      <c r="P126" s="12"/>
      <c r="Q126" s="12"/>
      <c r="R126" s="12"/>
    </row>
    <row r="127" spans="3:26" ht="15" customHeight="1" x14ac:dyDescent="0.2">
      <c r="E127" s="241"/>
      <c r="F127" s="246"/>
      <c r="G127" s="246"/>
      <c r="H127" s="246"/>
      <c r="I127" s="246"/>
      <c r="J127" s="246"/>
      <c r="K127" s="12"/>
      <c r="L127" s="12"/>
      <c r="M127" s="12"/>
      <c r="N127" s="12"/>
      <c r="O127" s="12"/>
      <c r="P127" s="12"/>
      <c r="Q127" s="12"/>
      <c r="R127" s="12"/>
    </row>
    <row r="128" spans="3:26" ht="15" customHeight="1" x14ac:dyDescent="0.2">
      <c r="E128" s="247">
        <f>G119</f>
        <v>273.10824849289946</v>
      </c>
      <c r="F128" s="249">
        <f>G128-1</f>
        <v>19</v>
      </c>
      <c r="G128" s="249">
        <f>H128-1</f>
        <v>20</v>
      </c>
      <c r="H128" s="250">
        <v>21</v>
      </c>
      <c r="I128" s="249">
        <f t="shared" ref="I128:J128" si="14">H128+1</f>
        <v>22</v>
      </c>
      <c r="J128" s="249">
        <f t="shared" si="14"/>
        <v>23</v>
      </c>
      <c r="K128" s="12"/>
      <c r="L128" s="12"/>
      <c r="M128" s="12"/>
      <c r="N128" s="12"/>
      <c r="O128" s="12"/>
      <c r="P128" s="12"/>
      <c r="Q128" s="12"/>
      <c r="R128" s="12"/>
    </row>
    <row r="129" spans="3:18" ht="15" customHeight="1" x14ac:dyDescent="0.2">
      <c r="C129" s="308" t="s">
        <v>682</v>
      </c>
      <c r="E129" s="251">
        <f>E130-1%</f>
        <v>5.9727976078282501E-2</v>
      </c>
      <c r="F129" s="253">
        <f t="dataTable" ref="F129:J133" dt2D="1" dtr="1" r1="G124" r2="G123"/>
        <v>322.20034034617748</v>
      </c>
      <c r="G129" s="254">
        <v>329.55584675030082</v>
      </c>
      <c r="H129" s="254">
        <v>336.91135315442398</v>
      </c>
      <c r="I129" s="254">
        <v>344.26685955854731</v>
      </c>
      <c r="J129" s="254">
        <v>351.62236596267059</v>
      </c>
      <c r="K129" s="12"/>
      <c r="L129" s="12"/>
      <c r="M129" s="12"/>
      <c r="N129" s="12"/>
      <c r="O129" s="12"/>
      <c r="P129" s="12"/>
      <c r="Q129" s="12"/>
      <c r="R129" s="12"/>
    </row>
    <row r="130" spans="3:18" ht="15" customHeight="1" x14ac:dyDescent="0.2">
      <c r="C130" s="308"/>
      <c r="E130" s="251">
        <f>E131-1%</f>
        <v>6.9727976078282503E-2</v>
      </c>
      <c r="F130" s="255">
        <v>285.76701891468429</v>
      </c>
      <c r="G130" s="256">
        <v>292.85095135000506</v>
      </c>
      <c r="H130" s="256">
        <v>299.93488378532584</v>
      </c>
      <c r="I130" s="256">
        <v>307.01881622064661</v>
      </c>
      <c r="J130" s="257">
        <v>314.10274865596739</v>
      </c>
      <c r="K130" s="12"/>
      <c r="L130" s="12"/>
      <c r="M130" s="12"/>
      <c r="N130" s="12"/>
      <c r="O130" s="12"/>
      <c r="P130" s="12"/>
      <c r="Q130" s="12"/>
      <c r="R130" s="12"/>
    </row>
    <row r="131" spans="3:18" ht="15" customHeight="1" x14ac:dyDescent="0.2">
      <c r="C131" s="308"/>
      <c r="E131" s="252">
        <v>7.9727976078282498E-2</v>
      </c>
      <c r="F131" s="255">
        <v>259.45870074595098</v>
      </c>
      <c r="G131" s="256">
        <v>266.28347461942525</v>
      </c>
      <c r="H131" s="258">
        <v>273.10824849289946</v>
      </c>
      <c r="I131" s="256">
        <v>279.93302236637379</v>
      </c>
      <c r="J131" s="257">
        <v>286.75779623984806</v>
      </c>
      <c r="K131" s="12"/>
      <c r="L131" s="12"/>
      <c r="M131" s="12"/>
      <c r="N131" s="12"/>
      <c r="O131" s="12"/>
      <c r="P131" s="12"/>
      <c r="Q131" s="12"/>
      <c r="R131" s="12"/>
    </row>
    <row r="132" spans="3:18" ht="15" customHeight="1" x14ac:dyDescent="0.2">
      <c r="C132" s="308"/>
      <c r="E132" s="251">
        <f t="shared" ref="E132:E133" si="15">E131+1%</f>
        <v>8.9727976078282493E-2</v>
      </c>
      <c r="F132" s="255">
        <v>239.18798014085974</v>
      </c>
      <c r="G132" s="256">
        <v>245.76533605436239</v>
      </c>
      <c r="H132" s="256">
        <v>252.34269196786499</v>
      </c>
      <c r="I132" s="256">
        <v>258.92004788136762</v>
      </c>
      <c r="J132" s="257">
        <v>265.49740379487025</v>
      </c>
      <c r="K132" s="12"/>
      <c r="L132" s="12"/>
      <c r="M132" s="12"/>
      <c r="N132" s="12"/>
      <c r="O132" s="12"/>
      <c r="P132" s="12"/>
      <c r="Q132" s="12"/>
      <c r="R132" s="12"/>
    </row>
    <row r="133" spans="3:18" ht="15" customHeight="1" x14ac:dyDescent="0.2">
      <c r="C133" s="308"/>
      <c r="E133" s="251">
        <f t="shared" si="15"/>
        <v>9.9727976078282488E-2</v>
      </c>
      <c r="F133" s="255">
        <v>222.8380850194344</v>
      </c>
      <c r="G133" s="257">
        <v>229.17913116960568</v>
      </c>
      <c r="H133" s="257">
        <v>235.52017731977691</v>
      </c>
      <c r="I133" s="257">
        <v>241.86122346994813</v>
      </c>
      <c r="J133" s="257">
        <v>248.20226962011941</v>
      </c>
      <c r="K133" s="12"/>
      <c r="L133" s="12"/>
      <c r="M133" s="12"/>
      <c r="N133" s="12"/>
      <c r="O133" s="12"/>
      <c r="P133" s="12"/>
      <c r="Q133" s="12"/>
      <c r="R133" s="12"/>
    </row>
    <row r="134" spans="3:18" ht="15" customHeight="1" x14ac:dyDescent="0.2">
      <c r="E134" s="241"/>
      <c r="F134" s="241"/>
      <c r="G134" s="241"/>
      <c r="H134" s="241"/>
      <c r="I134" s="241"/>
      <c r="J134" s="241"/>
      <c r="K134" s="12"/>
      <c r="L134" s="12"/>
      <c r="M134" s="12"/>
      <c r="N134" s="12"/>
      <c r="O134" s="12"/>
      <c r="P134" s="12"/>
      <c r="Q134" s="12"/>
      <c r="R134" s="12"/>
    </row>
    <row r="135" spans="3:18" ht="15" customHeight="1" x14ac:dyDescent="0.2">
      <c r="E135" s="245" t="s">
        <v>687</v>
      </c>
      <c r="F135" s="241"/>
      <c r="G135" s="241"/>
      <c r="H135" s="241"/>
      <c r="I135" s="241"/>
      <c r="J135" s="241"/>
      <c r="K135" s="12"/>
      <c r="L135" s="12"/>
      <c r="M135" s="12"/>
      <c r="N135" s="12"/>
      <c r="O135" s="12"/>
      <c r="P135" s="12"/>
      <c r="Q135" s="12"/>
      <c r="R135" s="12"/>
    </row>
    <row r="136" spans="3:18" ht="15" customHeight="1" x14ac:dyDescent="0.2">
      <c r="F136" s="12"/>
      <c r="G136" s="12"/>
      <c r="H136" s="12"/>
      <c r="I136" s="12"/>
      <c r="J136" s="12"/>
      <c r="K136" s="12"/>
      <c r="L136" s="12"/>
      <c r="M136" s="12"/>
      <c r="N136" s="12"/>
      <c r="O136" s="12"/>
      <c r="P136" s="12"/>
      <c r="Q136" s="12"/>
      <c r="R136" s="12"/>
    </row>
    <row r="137" spans="3:18" ht="15" customHeight="1" x14ac:dyDescent="0.2">
      <c r="F137" s="12"/>
      <c r="G137" s="12"/>
      <c r="H137" s="12"/>
      <c r="I137" s="12"/>
      <c r="J137" s="12"/>
      <c r="K137" s="12"/>
      <c r="L137" s="12"/>
      <c r="M137" s="12"/>
      <c r="N137" s="12"/>
      <c r="O137" s="12"/>
      <c r="P137" s="12"/>
      <c r="Q137" s="12"/>
      <c r="R137" s="12"/>
    </row>
    <row r="138" spans="3:18" ht="15" customHeight="1" x14ac:dyDescent="0.2">
      <c r="F138" s="12"/>
      <c r="G138" s="12"/>
      <c r="H138" s="12"/>
      <c r="I138" s="12"/>
      <c r="J138" s="12"/>
      <c r="K138" s="12"/>
      <c r="L138" s="12"/>
      <c r="M138" s="12"/>
      <c r="N138" s="12"/>
      <c r="O138" s="12"/>
      <c r="P138" s="12"/>
      <c r="Q138" s="12"/>
      <c r="R138" s="12"/>
    </row>
    <row r="139" spans="3:18" ht="15" customHeight="1" x14ac:dyDescent="0.2">
      <c r="F139" s="12"/>
      <c r="G139" s="12"/>
      <c r="H139" s="12"/>
      <c r="I139" s="12"/>
      <c r="J139" s="12"/>
      <c r="K139" s="12"/>
      <c r="L139" s="12"/>
      <c r="M139" s="12"/>
      <c r="N139" s="12"/>
      <c r="O139" s="12"/>
      <c r="P139" s="12"/>
      <c r="Q139" s="12"/>
      <c r="R139" s="12"/>
    </row>
    <row r="140" spans="3:18" ht="15" customHeight="1" x14ac:dyDescent="0.2">
      <c r="F140" s="12"/>
      <c r="G140" s="12"/>
      <c r="H140" s="12"/>
      <c r="I140" s="12"/>
      <c r="J140" s="12"/>
      <c r="K140" s="12"/>
      <c r="L140" s="12"/>
      <c r="M140" s="12"/>
      <c r="N140" s="12"/>
      <c r="O140" s="12"/>
      <c r="P140" s="12"/>
      <c r="Q140" s="12"/>
      <c r="R140" s="12"/>
    </row>
    <row r="141" spans="3:18" ht="15" customHeight="1" x14ac:dyDescent="0.2">
      <c r="F141" s="12"/>
      <c r="G141" s="12"/>
      <c r="H141" s="12"/>
      <c r="I141" s="12"/>
      <c r="J141" s="12"/>
      <c r="K141" s="12"/>
      <c r="L141" s="12"/>
      <c r="M141" s="12"/>
      <c r="N141" s="12"/>
      <c r="O141" s="12"/>
      <c r="P141" s="12"/>
      <c r="Q141" s="12"/>
      <c r="R141" s="12"/>
    </row>
    <row r="142" spans="3:18" ht="15" customHeight="1" x14ac:dyDescent="0.2">
      <c r="F142" s="12"/>
      <c r="G142" s="12"/>
      <c r="H142" s="12"/>
      <c r="I142" s="12"/>
      <c r="J142" s="12"/>
      <c r="K142" s="12"/>
      <c r="L142" s="12"/>
      <c r="M142" s="12"/>
      <c r="N142" s="12"/>
      <c r="O142" s="12"/>
      <c r="P142" s="12"/>
      <c r="Q142" s="12"/>
      <c r="R142" s="12"/>
    </row>
    <row r="143" spans="3:18" ht="15" customHeight="1" x14ac:dyDescent="0.2">
      <c r="F143" s="12"/>
      <c r="G143" s="12"/>
      <c r="H143" s="12"/>
      <c r="I143" s="12"/>
      <c r="J143" s="12"/>
      <c r="K143" s="12"/>
      <c r="L143" s="12"/>
      <c r="M143" s="12"/>
      <c r="N143" s="12"/>
      <c r="O143" s="12"/>
      <c r="P143" s="12"/>
      <c r="Q143" s="12"/>
      <c r="R143" s="12"/>
    </row>
    <row r="144" spans="3:18" ht="15" customHeight="1" x14ac:dyDescent="0.2">
      <c r="F144" s="12"/>
      <c r="G144" s="12"/>
      <c r="H144" s="12"/>
      <c r="I144" s="12"/>
      <c r="J144" s="12"/>
      <c r="K144" s="12"/>
      <c r="L144" s="12"/>
      <c r="M144" s="12"/>
      <c r="N144" s="12"/>
      <c r="O144" s="12"/>
      <c r="P144" s="12"/>
      <c r="Q144" s="12"/>
      <c r="R144" s="12"/>
    </row>
    <row r="145" spans="6:18" ht="15" customHeight="1" x14ac:dyDescent="0.2">
      <c r="F145" s="12"/>
      <c r="G145" s="12"/>
      <c r="H145" s="12"/>
      <c r="I145" s="12"/>
      <c r="J145" s="12"/>
      <c r="K145" s="12"/>
      <c r="L145" s="12"/>
      <c r="M145" s="12"/>
      <c r="N145" s="12"/>
      <c r="O145" s="12"/>
      <c r="P145" s="12"/>
      <c r="Q145" s="12"/>
      <c r="R145" s="12"/>
    </row>
    <row r="146" spans="6:18" ht="15" customHeight="1" x14ac:dyDescent="0.2">
      <c r="F146" s="12"/>
      <c r="G146" s="12"/>
      <c r="H146" s="12"/>
      <c r="I146" s="12"/>
      <c r="J146" s="12"/>
      <c r="K146" s="12"/>
      <c r="L146" s="12"/>
      <c r="M146" s="12"/>
      <c r="N146" s="12"/>
      <c r="O146" s="12"/>
      <c r="P146" s="12"/>
      <c r="Q146" s="12"/>
      <c r="R146" s="12"/>
    </row>
    <row r="147" spans="6:18" ht="15" customHeight="1" x14ac:dyDescent="0.2">
      <c r="F147" s="12"/>
      <c r="G147" s="12"/>
      <c r="H147" s="12"/>
      <c r="I147" s="12"/>
      <c r="J147" s="12"/>
      <c r="K147" s="12"/>
      <c r="L147" s="12"/>
      <c r="M147" s="12"/>
      <c r="N147" s="12"/>
      <c r="O147" s="12"/>
      <c r="P147" s="12"/>
      <c r="Q147" s="12"/>
      <c r="R147" s="12"/>
    </row>
    <row r="148" spans="6:18" ht="15" customHeight="1" x14ac:dyDescent="0.2">
      <c r="F148" s="12"/>
      <c r="G148" s="12"/>
      <c r="H148" s="12"/>
      <c r="I148" s="12"/>
      <c r="J148" s="12"/>
      <c r="K148" s="12"/>
      <c r="L148" s="12"/>
      <c r="M148" s="12"/>
      <c r="N148" s="12"/>
      <c r="O148" s="12"/>
      <c r="P148" s="12"/>
      <c r="Q148" s="12"/>
      <c r="R148" s="12"/>
    </row>
    <row r="149" spans="6:18" ht="15" customHeight="1" x14ac:dyDescent="0.2">
      <c r="F149" s="12"/>
      <c r="G149" s="12"/>
      <c r="H149" s="12"/>
      <c r="I149" s="12"/>
      <c r="J149" s="12"/>
      <c r="K149" s="12"/>
      <c r="L149" s="12"/>
      <c r="M149" s="12"/>
      <c r="N149" s="12"/>
      <c r="O149" s="12"/>
      <c r="P149" s="12"/>
      <c r="Q149" s="12"/>
      <c r="R149" s="12"/>
    </row>
    <row r="150" spans="6:18" ht="15" customHeight="1" x14ac:dyDescent="0.2">
      <c r="F150" s="12"/>
      <c r="G150" s="12"/>
      <c r="H150" s="12"/>
      <c r="I150" s="12"/>
      <c r="J150" s="12"/>
      <c r="K150" s="12"/>
      <c r="L150" s="12"/>
      <c r="M150" s="12"/>
      <c r="N150" s="12"/>
      <c r="O150" s="12"/>
      <c r="P150" s="12"/>
      <c r="Q150" s="12"/>
      <c r="R150" s="12"/>
    </row>
    <row r="151" spans="6:18" ht="15" customHeight="1" x14ac:dyDescent="0.2">
      <c r="F151" s="12"/>
      <c r="G151" s="12"/>
      <c r="H151" s="12"/>
      <c r="I151" s="12"/>
      <c r="J151" s="12"/>
      <c r="K151" s="12"/>
      <c r="L151" s="12"/>
      <c r="M151" s="12"/>
      <c r="N151" s="12"/>
      <c r="O151" s="12"/>
      <c r="P151" s="12"/>
      <c r="Q151" s="12"/>
      <c r="R151" s="12"/>
    </row>
    <row r="152" spans="6:18" ht="15" customHeight="1" x14ac:dyDescent="0.2">
      <c r="F152" s="12"/>
      <c r="G152" s="12"/>
      <c r="H152" s="12"/>
      <c r="I152" s="12"/>
      <c r="J152" s="12"/>
      <c r="K152" s="12"/>
      <c r="L152" s="12"/>
      <c r="M152" s="12"/>
      <c r="N152" s="12"/>
      <c r="O152" s="12"/>
      <c r="P152" s="12"/>
      <c r="Q152" s="12"/>
      <c r="R152" s="12"/>
    </row>
    <row r="153" spans="6:18" ht="15" customHeight="1" x14ac:dyDescent="0.2">
      <c r="F153" s="12"/>
      <c r="G153" s="12"/>
      <c r="H153" s="12"/>
      <c r="I153" s="12"/>
      <c r="J153" s="12"/>
      <c r="K153" s="12"/>
      <c r="L153" s="12"/>
      <c r="M153" s="12"/>
      <c r="N153" s="12"/>
      <c r="O153" s="12"/>
      <c r="P153" s="12"/>
      <c r="Q153" s="12"/>
      <c r="R153" s="12"/>
    </row>
    <row r="154" spans="6:18" ht="15" customHeight="1" x14ac:dyDescent="0.2">
      <c r="F154" s="12"/>
      <c r="G154" s="12"/>
      <c r="H154" s="12"/>
      <c r="I154" s="12"/>
      <c r="J154" s="12"/>
      <c r="K154" s="12"/>
      <c r="L154" s="12"/>
      <c r="M154" s="12"/>
      <c r="N154" s="12"/>
      <c r="O154" s="12"/>
      <c r="P154" s="12"/>
      <c r="Q154" s="12"/>
      <c r="R154" s="12"/>
    </row>
    <row r="155" spans="6:18" ht="15" customHeight="1" x14ac:dyDescent="0.2">
      <c r="F155" s="12"/>
      <c r="G155" s="12"/>
      <c r="H155" s="12"/>
      <c r="I155" s="12"/>
      <c r="J155" s="12"/>
      <c r="K155" s="12"/>
      <c r="L155" s="12"/>
      <c r="M155" s="12"/>
      <c r="N155" s="12"/>
      <c r="O155" s="12"/>
      <c r="P155" s="12"/>
      <c r="Q155" s="12"/>
      <c r="R155" s="12"/>
    </row>
    <row r="156" spans="6:18" ht="15" customHeight="1" x14ac:dyDescent="0.2">
      <c r="F156" s="12"/>
      <c r="G156" s="12"/>
      <c r="H156" s="12"/>
      <c r="I156" s="12"/>
      <c r="J156" s="12"/>
      <c r="K156" s="12"/>
      <c r="L156" s="12"/>
      <c r="M156" s="12"/>
      <c r="N156" s="12"/>
      <c r="O156" s="12"/>
      <c r="P156" s="12"/>
      <c r="Q156" s="12"/>
      <c r="R156" s="12"/>
    </row>
    <row r="157" spans="6:18" ht="15" customHeight="1" x14ac:dyDescent="0.2">
      <c r="F157" s="12"/>
      <c r="G157" s="12"/>
      <c r="H157" s="12"/>
      <c r="I157" s="12"/>
      <c r="J157" s="12"/>
      <c r="K157" s="12"/>
      <c r="L157" s="12"/>
      <c r="M157" s="12"/>
      <c r="N157" s="12"/>
      <c r="O157" s="12"/>
      <c r="P157" s="12"/>
      <c r="Q157" s="12"/>
      <c r="R157" s="12"/>
    </row>
    <row r="158" spans="6:18" ht="15" customHeight="1" x14ac:dyDescent="0.2">
      <c r="F158" s="12"/>
      <c r="G158" s="12"/>
      <c r="H158" s="12"/>
      <c r="I158" s="12"/>
      <c r="J158" s="12"/>
      <c r="K158" s="12"/>
      <c r="L158" s="12"/>
      <c r="M158" s="12"/>
      <c r="N158" s="12"/>
      <c r="O158" s="12"/>
      <c r="P158" s="12"/>
      <c r="Q158" s="12"/>
      <c r="R158" s="12"/>
    </row>
    <row r="159" spans="6:18" ht="15" customHeight="1" x14ac:dyDescent="0.2">
      <c r="F159" s="12"/>
      <c r="G159" s="12"/>
      <c r="H159" s="12"/>
      <c r="I159" s="12"/>
      <c r="J159" s="12"/>
      <c r="K159" s="12"/>
      <c r="L159" s="12"/>
      <c r="M159" s="12"/>
      <c r="N159" s="12"/>
      <c r="O159" s="12"/>
      <c r="P159" s="12"/>
      <c r="Q159" s="12"/>
      <c r="R159" s="12"/>
    </row>
    <row r="160" spans="6:18" ht="15" customHeight="1" x14ac:dyDescent="0.2">
      <c r="F160" s="12"/>
      <c r="G160" s="12"/>
      <c r="H160" s="12"/>
      <c r="I160" s="12"/>
      <c r="J160" s="12"/>
      <c r="K160" s="12"/>
      <c r="L160" s="12"/>
      <c r="M160" s="12"/>
      <c r="N160" s="12"/>
      <c r="O160" s="12"/>
      <c r="P160" s="12"/>
      <c r="Q160" s="12"/>
      <c r="R160" s="12"/>
    </row>
    <row r="161" spans="6:18" ht="15" customHeight="1" x14ac:dyDescent="0.2">
      <c r="F161" s="12"/>
      <c r="G161" s="12"/>
      <c r="H161" s="12"/>
      <c r="I161" s="12"/>
      <c r="J161" s="12"/>
      <c r="K161" s="12"/>
      <c r="L161" s="12"/>
      <c r="M161" s="12"/>
      <c r="N161" s="12"/>
      <c r="O161" s="12"/>
      <c r="P161" s="12"/>
      <c r="Q161" s="12"/>
      <c r="R161" s="12"/>
    </row>
    <row r="162" spans="6:18" ht="15" customHeight="1" x14ac:dyDescent="0.2">
      <c r="F162" s="12"/>
      <c r="G162" s="12"/>
      <c r="H162" s="12"/>
      <c r="I162" s="12"/>
      <c r="J162" s="12"/>
      <c r="K162" s="12"/>
      <c r="L162" s="12"/>
      <c r="M162" s="12"/>
      <c r="N162" s="12"/>
      <c r="O162" s="12"/>
      <c r="P162" s="12"/>
      <c r="Q162" s="12"/>
      <c r="R162" s="12"/>
    </row>
    <row r="163" spans="6:18" ht="15" customHeight="1" x14ac:dyDescent="0.2">
      <c r="F163" s="12"/>
      <c r="G163" s="12"/>
      <c r="H163" s="12"/>
      <c r="I163" s="12"/>
      <c r="J163" s="12"/>
      <c r="K163" s="12"/>
      <c r="L163" s="12"/>
      <c r="M163" s="12"/>
      <c r="N163" s="12"/>
      <c r="O163" s="12"/>
      <c r="P163" s="12"/>
      <c r="Q163" s="12"/>
      <c r="R163" s="12"/>
    </row>
    <row r="164" spans="6:18" ht="15" customHeight="1" x14ac:dyDescent="0.2">
      <c r="F164" s="12"/>
      <c r="G164" s="12"/>
      <c r="H164" s="12"/>
      <c r="I164" s="12"/>
      <c r="J164" s="12"/>
      <c r="K164" s="12"/>
      <c r="L164" s="12"/>
      <c r="M164" s="12"/>
      <c r="N164" s="12"/>
      <c r="O164" s="12"/>
      <c r="P164" s="12"/>
      <c r="Q164" s="12"/>
      <c r="R164" s="12"/>
    </row>
    <row r="165" spans="6:18" ht="15" customHeight="1" x14ac:dyDescent="0.2">
      <c r="F165" s="12"/>
      <c r="G165" s="12"/>
      <c r="H165" s="12"/>
      <c r="I165" s="12"/>
      <c r="J165" s="12"/>
      <c r="K165" s="12"/>
      <c r="L165" s="12"/>
      <c r="M165" s="12"/>
      <c r="N165" s="12"/>
      <c r="O165" s="12"/>
      <c r="P165" s="12"/>
      <c r="Q165" s="12"/>
      <c r="R165" s="12"/>
    </row>
    <row r="166" spans="6:18" ht="15" customHeight="1" x14ac:dyDescent="0.2">
      <c r="F166" s="12"/>
      <c r="G166" s="12"/>
      <c r="H166" s="12"/>
      <c r="I166" s="12"/>
      <c r="J166" s="12"/>
      <c r="K166" s="12"/>
      <c r="L166" s="12"/>
      <c r="M166" s="12"/>
      <c r="N166" s="12"/>
      <c r="O166" s="12"/>
      <c r="P166" s="12"/>
      <c r="Q166" s="12"/>
      <c r="R166" s="12"/>
    </row>
    <row r="167" spans="6:18" ht="15" customHeight="1" x14ac:dyDescent="0.2">
      <c r="F167" s="12"/>
      <c r="G167" s="12"/>
      <c r="H167" s="12"/>
      <c r="I167" s="12"/>
      <c r="J167" s="12"/>
      <c r="K167" s="12"/>
      <c r="L167" s="12"/>
      <c r="M167" s="12"/>
      <c r="N167" s="12"/>
      <c r="O167" s="12"/>
      <c r="P167" s="12"/>
      <c r="Q167" s="12"/>
      <c r="R167" s="12"/>
    </row>
    <row r="168" spans="6:18" ht="15" customHeight="1" x14ac:dyDescent="0.2">
      <c r="F168" s="12"/>
      <c r="G168" s="12"/>
      <c r="H168" s="12"/>
      <c r="I168" s="12"/>
      <c r="J168" s="12"/>
      <c r="K168" s="12"/>
      <c r="L168" s="12"/>
      <c r="M168" s="12"/>
      <c r="N168" s="12"/>
      <c r="O168" s="12"/>
      <c r="P168" s="12"/>
      <c r="Q168" s="12"/>
      <c r="R168" s="12"/>
    </row>
    <row r="169" spans="6:18" ht="15" customHeight="1" x14ac:dyDescent="0.2">
      <c r="F169" s="12"/>
      <c r="G169" s="12"/>
      <c r="H169" s="12"/>
      <c r="I169" s="12"/>
      <c r="J169" s="12"/>
      <c r="K169" s="12"/>
      <c r="L169" s="12"/>
      <c r="M169" s="12"/>
      <c r="N169" s="12"/>
      <c r="O169" s="12"/>
      <c r="P169" s="12"/>
      <c r="Q169" s="12"/>
      <c r="R169" s="12"/>
    </row>
    <row r="170" spans="6:18" ht="15" customHeight="1" x14ac:dyDescent="0.2">
      <c r="F170" s="12"/>
      <c r="G170" s="12"/>
      <c r="H170" s="12"/>
      <c r="I170" s="12"/>
      <c r="J170" s="12"/>
      <c r="K170" s="12"/>
      <c r="L170" s="12"/>
      <c r="M170" s="12"/>
      <c r="N170" s="12"/>
      <c r="O170" s="12"/>
      <c r="P170" s="12"/>
      <c r="Q170" s="12"/>
      <c r="R170" s="12"/>
    </row>
    <row r="171" spans="6:18" ht="15" customHeight="1" x14ac:dyDescent="0.2">
      <c r="F171" s="12"/>
      <c r="G171" s="12"/>
      <c r="H171" s="12"/>
      <c r="I171" s="12"/>
      <c r="J171" s="12"/>
      <c r="K171" s="12"/>
      <c r="L171" s="12"/>
      <c r="M171" s="12"/>
      <c r="N171" s="12"/>
      <c r="O171" s="12"/>
      <c r="P171" s="12"/>
      <c r="Q171" s="12"/>
      <c r="R171" s="12"/>
    </row>
    <row r="172" spans="6:18" ht="15" customHeight="1" x14ac:dyDescent="0.2">
      <c r="F172" s="12"/>
      <c r="G172" s="12"/>
      <c r="H172" s="12"/>
      <c r="I172" s="12"/>
      <c r="J172" s="12"/>
      <c r="K172" s="12"/>
      <c r="L172" s="12"/>
      <c r="M172" s="12"/>
      <c r="N172" s="12"/>
      <c r="O172" s="12"/>
      <c r="P172" s="12"/>
      <c r="Q172" s="12"/>
      <c r="R172" s="12"/>
    </row>
    <row r="173" spans="6:18" ht="15" customHeight="1" x14ac:dyDescent="0.2">
      <c r="F173" s="12"/>
      <c r="G173" s="12"/>
      <c r="H173" s="12"/>
      <c r="I173" s="12"/>
      <c r="J173" s="12"/>
      <c r="K173" s="12"/>
      <c r="L173" s="12"/>
      <c r="M173" s="12"/>
      <c r="N173" s="12"/>
      <c r="O173" s="12"/>
      <c r="P173" s="12"/>
      <c r="Q173" s="12"/>
      <c r="R173" s="12"/>
    </row>
    <row r="174" spans="6:18" ht="15" customHeight="1" x14ac:dyDescent="0.2">
      <c r="F174" s="12"/>
      <c r="G174" s="12"/>
      <c r="H174" s="12"/>
      <c r="I174" s="12"/>
      <c r="J174" s="12"/>
      <c r="K174" s="12"/>
      <c r="L174" s="12"/>
      <c r="M174" s="12"/>
      <c r="N174" s="12"/>
      <c r="O174" s="12"/>
      <c r="P174" s="12"/>
      <c r="Q174" s="12"/>
      <c r="R174" s="12"/>
    </row>
    <row r="175" spans="6:18" ht="15" customHeight="1" x14ac:dyDescent="0.2">
      <c r="F175" s="12"/>
      <c r="G175" s="12"/>
      <c r="H175" s="12"/>
      <c r="I175" s="12"/>
      <c r="J175" s="12"/>
      <c r="K175" s="12"/>
      <c r="L175" s="12"/>
      <c r="M175" s="12"/>
      <c r="N175" s="12"/>
      <c r="O175" s="12"/>
      <c r="P175" s="12"/>
      <c r="Q175" s="12"/>
      <c r="R175" s="12"/>
    </row>
    <row r="176" spans="6:18" ht="15" customHeight="1" x14ac:dyDescent="0.2">
      <c r="F176" s="12"/>
      <c r="G176" s="12"/>
      <c r="H176" s="12"/>
      <c r="I176" s="12"/>
      <c r="J176" s="12"/>
      <c r="K176" s="12"/>
      <c r="L176" s="12"/>
      <c r="M176" s="12"/>
      <c r="N176" s="12"/>
      <c r="O176" s="12"/>
      <c r="P176" s="12"/>
      <c r="Q176" s="12"/>
      <c r="R176" s="12"/>
    </row>
    <row r="177" spans="6:18" ht="15" customHeight="1" x14ac:dyDescent="0.2">
      <c r="F177" s="12"/>
      <c r="G177" s="12"/>
      <c r="H177" s="12"/>
      <c r="I177" s="12"/>
      <c r="J177" s="12"/>
      <c r="K177" s="12"/>
      <c r="L177" s="12"/>
      <c r="M177" s="12"/>
      <c r="N177" s="12"/>
      <c r="O177" s="12"/>
      <c r="P177" s="12"/>
      <c r="Q177" s="12"/>
      <c r="R177" s="12"/>
    </row>
    <row r="178" spans="6:18" ht="15" customHeight="1" x14ac:dyDescent="0.2">
      <c r="F178" s="12"/>
      <c r="G178" s="12"/>
      <c r="H178" s="12"/>
      <c r="I178" s="12"/>
      <c r="J178" s="12"/>
      <c r="K178" s="12"/>
      <c r="L178" s="12"/>
      <c r="M178" s="12"/>
      <c r="N178" s="12"/>
      <c r="O178" s="12"/>
      <c r="P178" s="12"/>
      <c r="Q178" s="12"/>
      <c r="R178" s="12"/>
    </row>
    <row r="179" spans="6:18" ht="15" customHeight="1" x14ac:dyDescent="0.2">
      <c r="F179" s="12"/>
      <c r="G179" s="12"/>
      <c r="H179" s="12"/>
      <c r="I179" s="12"/>
      <c r="J179" s="12"/>
      <c r="K179" s="12"/>
      <c r="L179" s="12"/>
      <c r="M179" s="12"/>
      <c r="N179" s="12"/>
      <c r="O179" s="12"/>
      <c r="P179" s="12"/>
      <c r="Q179" s="12"/>
      <c r="R179" s="12"/>
    </row>
    <row r="180" spans="6:18" ht="15" customHeight="1" x14ac:dyDescent="0.2">
      <c r="F180" s="12"/>
      <c r="G180" s="12"/>
      <c r="H180" s="12"/>
      <c r="I180" s="12"/>
      <c r="J180" s="12"/>
      <c r="K180" s="12"/>
      <c r="L180" s="12"/>
      <c r="M180" s="12"/>
      <c r="N180" s="12"/>
      <c r="O180" s="12"/>
      <c r="P180" s="12"/>
      <c r="Q180" s="12"/>
      <c r="R180" s="12"/>
    </row>
    <row r="181" spans="6:18" ht="15" customHeight="1" x14ac:dyDescent="0.2">
      <c r="F181" s="12"/>
      <c r="G181" s="12"/>
      <c r="H181" s="12"/>
      <c r="I181" s="12"/>
      <c r="J181" s="12"/>
      <c r="K181" s="12"/>
      <c r="L181" s="12"/>
      <c r="M181" s="12"/>
      <c r="N181" s="12"/>
      <c r="O181" s="12"/>
      <c r="P181" s="12"/>
      <c r="Q181" s="12"/>
      <c r="R181" s="12"/>
    </row>
    <row r="182" spans="6:18" ht="15" customHeight="1" x14ac:dyDescent="0.2">
      <c r="F182" s="12"/>
      <c r="G182" s="12"/>
      <c r="H182" s="12"/>
      <c r="I182" s="12"/>
      <c r="J182" s="12"/>
      <c r="K182" s="12"/>
      <c r="L182" s="12"/>
      <c r="M182" s="12"/>
      <c r="N182" s="12"/>
      <c r="O182" s="12"/>
      <c r="P182" s="12"/>
      <c r="Q182" s="12"/>
      <c r="R182" s="12"/>
    </row>
    <row r="183" spans="6:18" ht="15" customHeight="1" x14ac:dyDescent="0.2">
      <c r="F183" s="12"/>
      <c r="G183" s="12"/>
      <c r="H183" s="12"/>
      <c r="I183" s="12"/>
      <c r="J183" s="12"/>
      <c r="K183" s="12"/>
      <c r="L183" s="12"/>
      <c r="M183" s="12"/>
      <c r="N183" s="12"/>
      <c r="O183" s="12"/>
      <c r="P183" s="12"/>
      <c r="Q183" s="12"/>
      <c r="R183" s="12"/>
    </row>
    <row r="184" spans="6:18" ht="15" customHeight="1" x14ac:dyDescent="0.2">
      <c r="F184" s="12"/>
      <c r="G184" s="12"/>
      <c r="H184" s="12"/>
      <c r="I184" s="12"/>
      <c r="J184" s="12"/>
      <c r="K184" s="12"/>
      <c r="L184" s="12"/>
      <c r="M184" s="12"/>
      <c r="N184" s="12"/>
      <c r="O184" s="12"/>
      <c r="P184" s="12"/>
      <c r="Q184" s="12"/>
      <c r="R184" s="12"/>
    </row>
    <row r="185" spans="6:18" ht="15" customHeight="1" x14ac:dyDescent="0.2">
      <c r="F185" s="12"/>
      <c r="G185" s="12"/>
      <c r="H185" s="12"/>
      <c r="I185" s="12"/>
      <c r="J185" s="12"/>
      <c r="K185" s="12"/>
      <c r="L185" s="12"/>
      <c r="M185" s="12"/>
      <c r="N185" s="12"/>
      <c r="O185" s="12"/>
      <c r="P185" s="12"/>
      <c r="Q185" s="12"/>
      <c r="R185" s="12"/>
    </row>
    <row r="186" spans="6:18" ht="15" customHeight="1" x14ac:dyDescent="0.2">
      <c r="F186" s="12"/>
      <c r="G186" s="12"/>
      <c r="H186" s="12"/>
      <c r="I186" s="12"/>
      <c r="J186" s="12"/>
      <c r="K186" s="12"/>
      <c r="L186" s="12"/>
      <c r="M186" s="12"/>
      <c r="N186" s="12"/>
      <c r="O186" s="12"/>
      <c r="P186" s="12"/>
      <c r="Q186" s="12"/>
      <c r="R186" s="12"/>
    </row>
    <row r="187" spans="6:18" ht="15" customHeight="1" x14ac:dyDescent="0.2">
      <c r="F187" s="12"/>
      <c r="G187" s="12"/>
      <c r="H187" s="12"/>
      <c r="I187" s="12"/>
      <c r="J187" s="12"/>
      <c r="K187" s="12"/>
      <c r="L187" s="12"/>
      <c r="M187" s="12"/>
      <c r="N187" s="12"/>
      <c r="O187" s="12"/>
      <c r="P187" s="12"/>
      <c r="Q187" s="12"/>
      <c r="R187" s="12"/>
    </row>
    <row r="188" spans="6:18" ht="15" customHeight="1" x14ac:dyDescent="0.2">
      <c r="F188" s="12"/>
      <c r="G188" s="12"/>
      <c r="H188" s="12"/>
      <c r="I188" s="12"/>
      <c r="J188" s="12"/>
      <c r="K188" s="12"/>
      <c r="L188" s="12"/>
      <c r="M188" s="12"/>
      <c r="N188" s="12"/>
      <c r="O188" s="12"/>
      <c r="P188" s="12"/>
      <c r="Q188" s="12"/>
      <c r="R188" s="12"/>
    </row>
    <row r="189" spans="6:18" ht="15" customHeight="1" x14ac:dyDescent="0.2">
      <c r="F189" s="12"/>
      <c r="G189" s="12"/>
      <c r="H189" s="12"/>
      <c r="I189" s="12"/>
      <c r="J189" s="12"/>
      <c r="K189" s="12"/>
      <c r="L189" s="12"/>
      <c r="M189" s="12"/>
      <c r="N189" s="12"/>
      <c r="O189" s="12"/>
      <c r="P189" s="12"/>
      <c r="Q189" s="12"/>
      <c r="R189" s="12"/>
    </row>
    <row r="190" spans="6:18" ht="15" customHeight="1" x14ac:dyDescent="0.2">
      <c r="F190" s="12"/>
      <c r="G190" s="12"/>
      <c r="H190" s="12"/>
      <c r="I190" s="12"/>
      <c r="J190" s="12"/>
      <c r="K190" s="12"/>
      <c r="L190" s="12"/>
      <c r="M190" s="12"/>
      <c r="N190" s="12"/>
      <c r="O190" s="12"/>
      <c r="P190" s="12"/>
      <c r="Q190" s="12"/>
      <c r="R190" s="12"/>
    </row>
    <row r="191" spans="6:18" ht="15" customHeight="1" x14ac:dyDescent="0.2">
      <c r="F191" s="12"/>
      <c r="G191" s="12"/>
      <c r="H191" s="12"/>
      <c r="I191" s="12"/>
      <c r="J191" s="12"/>
      <c r="K191" s="12"/>
      <c r="L191" s="12"/>
      <c r="M191" s="12"/>
      <c r="N191" s="12"/>
      <c r="O191" s="12"/>
      <c r="P191" s="12"/>
      <c r="Q191" s="12"/>
      <c r="R191" s="12"/>
    </row>
    <row r="192" spans="6:18" ht="15" customHeight="1" x14ac:dyDescent="0.2">
      <c r="F192" s="12"/>
      <c r="G192" s="12"/>
      <c r="H192" s="12"/>
      <c r="I192" s="12"/>
      <c r="J192" s="12"/>
      <c r="K192" s="12"/>
      <c r="L192" s="12"/>
      <c r="M192" s="12"/>
      <c r="N192" s="12"/>
      <c r="O192" s="12"/>
      <c r="P192" s="12"/>
      <c r="Q192" s="12"/>
      <c r="R192" s="12"/>
    </row>
    <row r="193" spans="6:16" ht="15" customHeight="1" x14ac:dyDescent="0.2">
      <c r="F193" s="12"/>
      <c r="G193" s="12"/>
      <c r="H193" s="12"/>
      <c r="I193" s="12"/>
      <c r="J193" s="12"/>
      <c r="K193" s="12"/>
      <c r="L193" s="12"/>
      <c r="M193" s="12"/>
      <c r="N193" s="12"/>
      <c r="O193" s="12"/>
      <c r="P193" s="12"/>
    </row>
    <row r="194" spans="6:16" x14ac:dyDescent="0.2">
      <c r="F194" s="12"/>
      <c r="G194" s="12"/>
      <c r="H194" s="12"/>
      <c r="I194" s="12"/>
      <c r="J194" s="12"/>
      <c r="K194" s="12"/>
      <c r="L194" s="12"/>
      <c r="M194" s="12"/>
      <c r="N194" s="12"/>
      <c r="O194" s="12"/>
      <c r="P194" s="12"/>
    </row>
    <row r="195" spans="6:16" x14ac:dyDescent="0.2">
      <c r="F195" s="12"/>
      <c r="G195" s="12"/>
      <c r="H195" s="12"/>
      <c r="I195" s="12"/>
      <c r="J195" s="12"/>
      <c r="K195" s="12"/>
      <c r="L195" s="12"/>
      <c r="M195" s="12"/>
      <c r="N195" s="12"/>
      <c r="O195" s="12"/>
      <c r="P195" s="12"/>
    </row>
    <row r="196" spans="6:16" x14ac:dyDescent="0.2">
      <c r="F196" s="12"/>
      <c r="G196" s="12"/>
      <c r="H196" s="12"/>
      <c r="I196" s="12"/>
      <c r="J196" s="12"/>
      <c r="K196" s="12"/>
      <c r="L196" s="12"/>
      <c r="M196" s="12"/>
      <c r="N196" s="12"/>
      <c r="O196" s="12"/>
      <c r="P196" s="12"/>
    </row>
    <row r="197" spans="6:16" x14ac:dyDescent="0.2">
      <c r="F197" s="12"/>
      <c r="G197" s="12"/>
      <c r="H197" s="12"/>
      <c r="I197" s="12"/>
      <c r="J197" s="12"/>
      <c r="K197" s="12"/>
      <c r="L197" s="12"/>
      <c r="M197" s="12"/>
      <c r="N197" s="12"/>
      <c r="O197" s="12"/>
      <c r="P197" s="12"/>
    </row>
    <row r="198" spans="6:16" x14ac:dyDescent="0.2">
      <c r="F198" s="12"/>
      <c r="G198" s="12"/>
      <c r="H198" s="12"/>
      <c r="I198" s="12"/>
      <c r="J198" s="12"/>
      <c r="K198" s="12"/>
      <c r="L198" s="12"/>
      <c r="M198" s="12"/>
      <c r="N198" s="12"/>
      <c r="O198" s="12"/>
      <c r="P198" s="12"/>
    </row>
    <row r="199" spans="6:16" x14ac:dyDescent="0.2">
      <c r="F199" s="12"/>
      <c r="G199" s="12"/>
      <c r="H199" s="12"/>
      <c r="I199" s="12"/>
      <c r="J199" s="12"/>
      <c r="K199" s="12"/>
      <c r="L199" s="12"/>
      <c r="M199" s="12"/>
      <c r="N199" s="12"/>
      <c r="O199" s="12"/>
      <c r="P199" s="12"/>
    </row>
    <row r="200" spans="6:16" x14ac:dyDescent="0.2">
      <c r="F200" s="12"/>
      <c r="G200" s="12"/>
      <c r="H200" s="12"/>
      <c r="I200" s="12"/>
      <c r="J200" s="12"/>
      <c r="K200" s="12"/>
      <c r="L200" s="12"/>
      <c r="M200" s="12"/>
      <c r="N200" s="12"/>
      <c r="O200" s="12"/>
      <c r="P200" s="12"/>
    </row>
  </sheetData>
  <mergeCells count="2">
    <mergeCell ref="F126:J126"/>
    <mergeCell ref="C129:C133"/>
  </mergeCells>
  <dataValidations disablePrompts="1" count="1">
    <dataValidation type="list" allowBlank="1" showInputMessage="1" showErrorMessage="1" sqref="S108" xr:uid="{4C496BBA-7B27-46B4-9BEA-A8F488C61903}">
      <formula1>$T$108:$T$110</formula1>
    </dataValidation>
  </dataValidations>
  <hyperlinks>
    <hyperlink ref="C49" r:id="rId1" xr:uid="{B2680836-F14E-485C-8C72-4C8AE4C46830}"/>
    <hyperlink ref="C51" r:id="rId2" xr:uid="{66CD3827-FD63-43B8-B9AF-ED04AA4E2BCE}"/>
    <hyperlink ref="C52" r:id="rId3" xr:uid="{72576A25-D0C7-4FFF-9AB1-E7D07CAA7015}"/>
    <hyperlink ref="C53" r:id="rId4" xr:uid="{390EA5E3-2F00-4F86-A266-CB5F0D41A88C}"/>
    <hyperlink ref="C54" r:id="rId5" xr:uid="{1EB8EE80-FDC9-42AE-B55F-CB5899814194}"/>
    <hyperlink ref="C55" r:id="rId6" xr:uid="{F3267D4A-FF7A-42F9-B2A7-8A5E05458D60}"/>
    <hyperlink ref="C56" r:id="rId7" xr:uid="{CBB287CC-A51A-472D-BDC3-C2C92DDD9B95}"/>
    <hyperlink ref="C57" r:id="rId8" xr:uid="{3144C8CB-B9B0-4CF1-8DD1-11ADCF1E420F}"/>
    <hyperlink ref="C58" r:id="rId9" xr:uid="{B89B5150-E734-4EF4-BF4F-88626964364A}"/>
    <hyperlink ref="C59" r:id="rId10" xr:uid="{AD9DDC9A-E97C-458A-8279-21067357657E}"/>
    <hyperlink ref="C60" r:id="rId11" xr:uid="{9D59FDC2-4436-48E8-B4BD-1578D4F05316}"/>
    <hyperlink ref="C61" r:id="rId12" xr:uid="{49594902-CA17-49F8-A13B-DCB896DA986C}"/>
    <hyperlink ref="C68" r:id="rId13" xr:uid="{A5C0AF3B-5DEA-4ED6-A982-7DC69196E8B5}"/>
    <hyperlink ref="C67" r:id="rId14" xr:uid="{BB4F29E6-1D08-4C99-974F-AC74E7CC1366}"/>
    <hyperlink ref="C69" r:id="rId15" xr:uid="{BC5D876E-D2DC-4D4E-8BC3-68F95E14AC04}"/>
    <hyperlink ref="C70" r:id="rId16" location=":~:text=The%20average%20market%20risk%20premium,and%205.7%20percent%20since%202011." xr:uid="{C3D09FE4-204E-4F96-8603-AB0D6FCD31AB}"/>
    <hyperlink ref="E103" r:id="rId17" display="https://www.cbo.gov/publication/56982" xr:uid="{DE522147-D0DA-4621-BE6C-4EC1E4514322}"/>
  </hyperlinks>
  <printOptions horizontalCentered="1"/>
  <pageMargins left="0.11811023622047245" right="0.11811023622047245" top="0.11811023622047245" bottom="0.19685039370078741" header="0.11811023622047245" footer="0.11811023622047245"/>
  <pageSetup scale="80" orientation="landscape" r:id="rId18"/>
  <headerFooter>
    <oddFooter>&amp;Lir.tesla.com&amp;CPage &amp;P of &amp;N&amp;R&amp;D  &amp;T</oddFooter>
  </headerFooter>
  <rowBreaks count="2" manualBreakCount="2">
    <brk id="37" max="16" man="1"/>
    <brk id="84" max="16" man="1"/>
  </rowBreaks>
  <drawing r:id="rId19"/>
  <legacyDrawing r:id="rId2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E2328-9B82-4177-9730-9CB0C0427FD9}">
  <dimension ref="B1:AE130"/>
  <sheetViews>
    <sheetView showGridLines="0" zoomScaleNormal="100" workbookViewId="0"/>
  </sheetViews>
  <sheetFormatPr baseColWidth="10" defaultColWidth="9.1640625" defaultRowHeight="15" outlineLevelCol="1" x14ac:dyDescent="0.2"/>
  <cols>
    <col min="1" max="2" width="1.1640625" style="1" customWidth="1"/>
    <col min="3" max="3" width="28.6640625" style="1" customWidth="1"/>
    <col min="4" max="4" width="3.6640625" style="1" customWidth="1"/>
    <col min="5" max="7" width="11.6640625" style="1" hidden="1" customWidth="1" outlineLevel="1"/>
    <col min="8" max="8" width="14.6640625" style="1" customWidth="1" collapsed="1"/>
    <col min="9" max="10" width="14.6640625" style="1" hidden="1" customWidth="1" outlineLevel="1"/>
    <col min="11" max="11" width="14.6640625" style="1" customWidth="1" collapsed="1"/>
    <col min="12" max="12" width="17.33203125" style="1" customWidth="1"/>
    <col min="13" max="16" width="14.6640625" style="1" hidden="1" customWidth="1" outlineLevel="1"/>
    <col min="17" max="17" width="17.6640625" style="1" customWidth="1" collapsed="1"/>
    <col min="18" max="21" width="17.6640625" style="1" customWidth="1"/>
    <col min="22" max="22" width="1.1640625" customWidth="1"/>
    <col min="23" max="26" width="9.1640625" style="1"/>
    <col min="27" max="27" width="69.83203125" style="1" bestFit="1" customWidth="1"/>
    <col min="28" max="28" width="12.6640625" style="1" customWidth="1"/>
    <col min="29" max="30" width="16.6640625" style="1" customWidth="1"/>
    <col min="31" max="31" width="15.6640625" style="1" customWidth="1"/>
    <col min="32" max="16384" width="9.1640625" style="1"/>
  </cols>
  <sheetData>
    <row r="1" spans="2:21" ht="6" customHeight="1" x14ac:dyDescent="0.2"/>
    <row r="2" spans="2:21" ht="20" customHeight="1" x14ac:dyDescent="0.25">
      <c r="B2" s="2" t="str">
        <f>'Cover Page'!$C$18</f>
        <v>Tesla, Inc.</v>
      </c>
      <c r="C2" s="3"/>
      <c r="D2" s="3"/>
      <c r="E2" s="3"/>
      <c r="F2" s="3"/>
      <c r="G2" s="3"/>
      <c r="H2" s="3"/>
      <c r="I2" s="3"/>
      <c r="J2" s="3"/>
      <c r="K2" s="3"/>
      <c r="L2" s="3"/>
      <c r="M2" s="3"/>
      <c r="N2" s="3"/>
      <c r="O2" s="3"/>
      <c r="P2" s="3"/>
      <c r="Q2" s="3"/>
      <c r="R2" s="3"/>
      <c r="S2" s="3"/>
      <c r="T2" s="3"/>
      <c r="U2" s="3"/>
    </row>
    <row r="3" spans="2:21" ht="15" customHeight="1" x14ac:dyDescent="0.2">
      <c r="B3" s="4" t="str">
        <f ca="1">RIGHT(CELL("filename",A1),LEN(CELL("filename",A1))-FIND("]",CELL("filename",A1)))</f>
        <v>Comp's Analysis</v>
      </c>
      <c r="C3" s="4"/>
      <c r="D3" s="4"/>
      <c r="E3" s="4"/>
      <c r="F3" s="4"/>
      <c r="G3" s="4"/>
      <c r="H3" s="4"/>
      <c r="I3" s="4"/>
      <c r="J3" s="4"/>
      <c r="K3" s="4"/>
      <c r="L3" s="4"/>
      <c r="M3" s="4"/>
      <c r="N3" s="4"/>
      <c r="O3" s="4"/>
      <c r="P3" s="4"/>
      <c r="Q3" s="4"/>
      <c r="R3" s="4"/>
      <c r="S3" s="4"/>
      <c r="T3" s="4"/>
      <c r="U3" s="4"/>
    </row>
    <row r="4" spans="2:21" ht="6" customHeight="1" thickBot="1" x14ac:dyDescent="0.25">
      <c r="B4" s="5"/>
      <c r="C4" s="5"/>
      <c r="D4" s="5"/>
      <c r="E4" s="5"/>
      <c r="F4" s="5"/>
      <c r="G4" s="5"/>
      <c r="H4" s="5"/>
      <c r="I4" s="5"/>
      <c r="J4" s="5"/>
      <c r="K4" s="5"/>
      <c r="L4" s="5"/>
      <c r="M4" s="5"/>
      <c r="N4" s="5"/>
      <c r="O4" s="5"/>
      <c r="P4" s="5"/>
      <c r="Q4" s="5"/>
      <c r="R4" s="5"/>
      <c r="S4" s="5"/>
      <c r="T4" s="5"/>
      <c r="U4" s="5"/>
    </row>
    <row r="5" spans="2:21" ht="15" customHeight="1" x14ac:dyDescent="0.2">
      <c r="B5" s="117" t="str">
        <f>Scenarios!$B$5</f>
        <v>$ MM's ( unless otherwise specified )</v>
      </c>
      <c r="C5" s="117"/>
      <c r="D5" s="117"/>
      <c r="E5" s="117"/>
      <c r="F5" s="117"/>
      <c r="G5" s="117"/>
      <c r="H5" s="117"/>
      <c r="I5" s="117"/>
      <c r="J5" s="117"/>
      <c r="K5" s="117"/>
      <c r="L5" s="117"/>
      <c r="M5" s="117"/>
      <c r="N5" s="117"/>
      <c r="O5" s="117"/>
      <c r="P5" s="117"/>
      <c r="Q5" s="117"/>
      <c r="R5" s="117"/>
      <c r="S5" s="117"/>
      <c r="T5" s="117"/>
      <c r="U5" s="121" t="str">
        <f>Scenarios!$N$5</f>
        <v>Based on: Base Case Senario</v>
      </c>
    </row>
    <row r="6" spans="2:21" ht="6" customHeight="1" x14ac:dyDescent="0.2"/>
    <row r="7" spans="2:21" ht="15" customHeight="1" x14ac:dyDescent="0.2"/>
    <row r="8" spans="2:21" ht="15" customHeight="1" x14ac:dyDescent="0.2">
      <c r="C8" s="91" t="s">
        <v>690</v>
      </c>
      <c r="D8" s="259"/>
      <c r="E8" s="260" t="s">
        <v>691</v>
      </c>
      <c r="F8" s="260" t="s">
        <v>692</v>
      </c>
      <c r="G8" s="260" t="s">
        <v>693</v>
      </c>
      <c r="H8" s="260" t="s">
        <v>694</v>
      </c>
      <c r="I8" s="260" t="s">
        <v>695</v>
      </c>
      <c r="J8" s="260" t="s">
        <v>294</v>
      </c>
      <c r="K8" s="260" t="s">
        <v>696</v>
      </c>
      <c r="L8" s="260" t="s">
        <v>697</v>
      </c>
      <c r="M8" s="260" t="s">
        <v>10</v>
      </c>
      <c r="N8" s="260" t="s">
        <v>590</v>
      </c>
      <c r="O8" s="260" t="s">
        <v>364</v>
      </c>
      <c r="P8" s="260" t="s">
        <v>698</v>
      </c>
      <c r="Q8" s="259" t="s">
        <v>699</v>
      </c>
      <c r="R8" s="259" t="s">
        <v>700</v>
      </c>
      <c r="S8" s="259" t="s">
        <v>701</v>
      </c>
      <c r="T8" s="259" t="s">
        <v>702</v>
      </c>
      <c r="U8" s="259" t="s">
        <v>703</v>
      </c>
    </row>
    <row r="9" spans="2:21" ht="6" customHeight="1" x14ac:dyDescent="0.2">
      <c r="D9" s="47"/>
      <c r="E9" s="237"/>
      <c r="F9" s="237"/>
      <c r="G9" s="237"/>
      <c r="H9" s="237"/>
      <c r="I9" s="237"/>
      <c r="J9" s="237"/>
      <c r="K9" s="237"/>
      <c r="L9" s="237"/>
      <c r="M9" s="237"/>
      <c r="N9" s="237"/>
      <c r="O9" s="237"/>
      <c r="P9" s="237"/>
      <c r="Q9" s="47"/>
      <c r="R9" s="47"/>
      <c r="S9" s="47"/>
      <c r="T9" s="47"/>
      <c r="U9" s="47"/>
    </row>
    <row r="10" spans="2:21" ht="18" customHeight="1" x14ac:dyDescent="0.2">
      <c r="C10" s="1" t="str">
        <f>'DCF Valuation'!C49</f>
        <v>Tesla</v>
      </c>
      <c r="D10" s="261"/>
      <c r="E10" s="262" t="s">
        <v>704</v>
      </c>
      <c r="F10" s="263">
        <f>3.13*1000</f>
        <v>3130</v>
      </c>
      <c r="G10" s="263">
        <f>270.21</f>
        <v>270.20999999999998</v>
      </c>
      <c r="H10" s="261">
        <f>F10*G10</f>
        <v>845757.29999999993</v>
      </c>
      <c r="I10" s="263">
        <f>18.92*1000</f>
        <v>18920</v>
      </c>
      <c r="J10" s="263">
        <f>6.66*1000</f>
        <v>6660</v>
      </c>
      <c r="K10" s="261">
        <f>J10-I10</f>
        <v>-12260</v>
      </c>
      <c r="L10" s="261">
        <f>H10+K10</f>
        <v>833497.29999999993</v>
      </c>
      <c r="M10" s="263">
        <f>67.17*1000</f>
        <v>67170</v>
      </c>
      <c r="N10" s="263">
        <f>14.03*1000</f>
        <v>14030</v>
      </c>
      <c r="O10" s="263">
        <f>9.52*1000</f>
        <v>9520</v>
      </c>
      <c r="P10" s="263">
        <f>5.96*1000</f>
        <v>5960</v>
      </c>
      <c r="Q10" s="264">
        <f>IFERROR(IF($L10/M10&lt;0,0,$L10/M10),0)</f>
        <v>12.408773261872859</v>
      </c>
      <c r="R10" s="264">
        <f t="shared" ref="R10:S10" si="0">IFERROR(IF($L10/N10&lt;0,0,$L10/N10),0)</f>
        <v>59.408218104062719</v>
      </c>
      <c r="S10" s="264">
        <f t="shared" si="0"/>
        <v>87.55223739495797</v>
      </c>
      <c r="T10" s="264">
        <f>IFERROR(IF($H10/O10&lt;0,0,$H10/O10),0)</f>
        <v>88.840052521008403</v>
      </c>
      <c r="U10" s="264">
        <f>IFERROR(IF($H10/P10&lt;0,0,$H10/P10),0)</f>
        <v>141.90558724832215</v>
      </c>
    </row>
    <row r="11" spans="2:21" ht="6" customHeight="1" x14ac:dyDescent="0.2">
      <c r="D11" s="261"/>
      <c r="E11" s="263"/>
      <c r="F11" s="263"/>
      <c r="G11" s="263"/>
      <c r="H11" s="261"/>
      <c r="I11" s="263"/>
      <c r="J11" s="263"/>
      <c r="K11" s="261"/>
      <c r="L11" s="261"/>
      <c r="M11" s="263"/>
      <c r="N11" s="263"/>
      <c r="O11" s="263"/>
      <c r="P11" s="263"/>
      <c r="Q11" s="264"/>
      <c r="R11" s="264"/>
      <c r="S11" s="264"/>
      <c r="T11" s="264"/>
      <c r="U11" s="264"/>
    </row>
    <row r="12" spans="2:21" ht="18" customHeight="1" x14ac:dyDescent="0.2">
      <c r="C12" s="1" t="str">
        <f>'DCF Valuation'!C51</f>
        <v>Toyota Motor Corporation</v>
      </c>
      <c r="D12" s="261"/>
      <c r="E12" s="262" t="s">
        <v>705</v>
      </c>
      <c r="F12" s="263">
        <f>1.37*1000</f>
        <v>1370</v>
      </c>
      <c r="G12" s="263">
        <f>145.56</f>
        <v>145.56</v>
      </c>
      <c r="H12" s="261">
        <f t="shared" ref="H12:H22" si="1">F12*G12</f>
        <v>199417.2</v>
      </c>
      <c r="I12" s="263">
        <f>6.69*10^6</f>
        <v>6690000</v>
      </c>
      <c r="J12" s="263">
        <f>29.07*10^6</f>
        <v>29070000</v>
      </c>
      <c r="K12" s="261">
        <f t="shared" ref="K12:K21" si="2">J12-I12</f>
        <v>22380000</v>
      </c>
      <c r="L12" s="261">
        <f t="shared" ref="L12:L21" si="3">H12+K12</f>
        <v>22579417.199999999</v>
      </c>
      <c r="M12" s="263">
        <f>31.94*10^6</f>
        <v>31940000</v>
      </c>
      <c r="N12" s="263">
        <f>4.11*10^6</f>
        <v>4110000.0000000005</v>
      </c>
      <c r="O12" s="263">
        <f>2.69*10^6</f>
        <v>2690000</v>
      </c>
      <c r="P12" s="263">
        <f>-3.46*10^6</f>
        <v>-3460000</v>
      </c>
      <c r="Q12" s="264">
        <f t="shared" ref="Q12:Q22" si="4">IFERROR(IF($L12/M12&lt;0,0,$L12/M12),0)</f>
        <v>0.70693228553537879</v>
      </c>
      <c r="R12" s="264">
        <f t="shared" ref="R12:R22" si="5">IFERROR(IF($L12/N12&lt;0,0,$L12/N12),0)</f>
        <v>5.493775474452554</v>
      </c>
      <c r="S12" s="264">
        <f t="shared" ref="S12:S22" si="6">IFERROR(IF($L12/O12&lt;0,0,$L12/O12),0)</f>
        <v>8.3938353903345728</v>
      </c>
      <c r="T12" s="264">
        <f t="shared" ref="T12:T22" si="7">IFERROR(IF($H12/O12&lt;0,0,$H12/O12),0)</f>
        <v>7.4132788104089228E-2</v>
      </c>
      <c r="U12" s="264">
        <f t="shared" ref="U12:U22" si="8">IFERROR(IF($H12/P12&lt;0,0,$H12/P12),0)</f>
        <v>0</v>
      </c>
    </row>
    <row r="13" spans="2:21" ht="18" customHeight="1" x14ac:dyDescent="0.2">
      <c r="C13" s="1" t="str">
        <f>'DCF Valuation'!C52</f>
        <v>BYD Company Limited</v>
      </c>
      <c r="D13" s="261"/>
      <c r="E13" s="262" t="s">
        <v>706</v>
      </c>
      <c r="F13" s="263">
        <f>1.46*1000</f>
        <v>1460</v>
      </c>
      <c r="G13" s="263">
        <f>54.85</f>
        <v>54.85</v>
      </c>
      <c r="H13" s="261">
        <f t="shared" si="1"/>
        <v>80081</v>
      </c>
      <c r="I13" s="263">
        <f>46.12*1000</f>
        <v>46120</v>
      </c>
      <c r="J13" s="263">
        <f>31.57*1000</f>
        <v>31570</v>
      </c>
      <c r="K13" s="261">
        <f t="shared" si="2"/>
        <v>-14550</v>
      </c>
      <c r="L13" s="261">
        <f t="shared" si="3"/>
        <v>65531</v>
      </c>
      <c r="M13" s="263">
        <f>275.86*1000</f>
        <v>275860</v>
      </c>
      <c r="N13" s="263">
        <f>21.88*1000</f>
        <v>21880</v>
      </c>
      <c r="O13" s="263">
        <f>5.49*1000</f>
        <v>5490</v>
      </c>
      <c r="P13" s="263">
        <f>38.01*1000</f>
        <v>38010</v>
      </c>
      <c r="Q13" s="264">
        <f t="shared" si="4"/>
        <v>0.23755165663742478</v>
      </c>
      <c r="R13" s="264">
        <f t="shared" si="5"/>
        <v>2.995018281535649</v>
      </c>
      <c r="S13" s="264">
        <f t="shared" si="6"/>
        <v>11.936429872495447</v>
      </c>
      <c r="T13" s="264">
        <f t="shared" si="7"/>
        <v>14.586703096539162</v>
      </c>
      <c r="U13" s="264">
        <f t="shared" si="8"/>
        <v>2.1068403051828466</v>
      </c>
    </row>
    <row r="14" spans="2:21" ht="18" customHeight="1" x14ac:dyDescent="0.2">
      <c r="C14" s="1" t="str">
        <f>'DCF Valuation'!C53</f>
        <v>Ford Motor Company</v>
      </c>
      <c r="D14" s="261"/>
      <c r="E14" s="262" t="s">
        <v>707</v>
      </c>
      <c r="F14" s="263">
        <f>3.95*1000</f>
        <v>3950</v>
      </c>
      <c r="G14" s="263">
        <f>15.16</f>
        <v>15.16</v>
      </c>
      <c r="H14" s="261">
        <f t="shared" si="1"/>
        <v>59882</v>
      </c>
      <c r="I14" s="263">
        <f>28.22*1000</f>
        <v>28220</v>
      </c>
      <c r="J14" s="263">
        <f>130.23*1000</f>
        <v>130229.99999999999</v>
      </c>
      <c r="K14" s="261">
        <f t="shared" si="2"/>
        <v>102009.99999999999</v>
      </c>
      <c r="L14" s="261">
        <f t="shared" si="3"/>
        <v>161892</v>
      </c>
      <c r="M14" s="263">
        <f>148.03*1000</f>
        <v>148030</v>
      </c>
      <c r="N14" s="263">
        <f>17.45*1000</f>
        <v>17450</v>
      </c>
      <c r="O14" s="263">
        <f>11.67*1000</f>
        <v>11670</v>
      </c>
      <c r="P14" s="263">
        <f>13.6*1000</f>
        <v>13600</v>
      </c>
      <c r="Q14" s="264">
        <f t="shared" si="4"/>
        <v>1.093643180436398</v>
      </c>
      <c r="R14" s="264">
        <f t="shared" si="5"/>
        <v>9.2774785100286525</v>
      </c>
      <c r="S14" s="264">
        <f t="shared" si="6"/>
        <v>13.872493573264782</v>
      </c>
      <c r="T14" s="264">
        <f t="shared" si="7"/>
        <v>5.1312767780634108</v>
      </c>
      <c r="U14" s="264">
        <f t="shared" si="8"/>
        <v>4.4030882352941179</v>
      </c>
    </row>
    <row r="15" spans="2:21" ht="18" customHeight="1" x14ac:dyDescent="0.2">
      <c r="C15" s="1" t="str">
        <f>'DCF Valuation'!C54</f>
        <v>Mercedes-Benz Group AG</v>
      </c>
      <c r="D15" s="261"/>
      <c r="E15" s="262" t="s">
        <v>708</v>
      </c>
      <c r="F15" s="263">
        <f>1.07*1000</f>
        <v>1070</v>
      </c>
      <c r="G15" s="263">
        <f>57.58</f>
        <v>57.58</v>
      </c>
      <c r="H15" s="261">
        <f t="shared" si="1"/>
        <v>61610.6</v>
      </c>
      <c r="I15" s="263">
        <f>15.14*1000</f>
        <v>15140</v>
      </c>
      <c r="J15" s="263">
        <f>116.02*1000</f>
        <v>116020</v>
      </c>
      <c r="K15" s="261">
        <f t="shared" si="2"/>
        <v>100880</v>
      </c>
      <c r="L15" s="261">
        <f t="shared" si="3"/>
        <v>162490.6</v>
      </c>
      <c r="M15" s="263">
        <f>138.18*1000</f>
        <v>138180</v>
      </c>
      <c r="N15" s="263">
        <f>19.65*1000</f>
        <v>19650</v>
      </c>
      <c r="O15" s="263">
        <f>10.84*1000</f>
        <v>10840</v>
      </c>
      <c r="P15" s="263">
        <f>4.5*1000</f>
        <v>4500</v>
      </c>
      <c r="Q15" s="264">
        <f t="shared" si="4"/>
        <v>1.1759342886090607</v>
      </c>
      <c r="R15" s="264">
        <f t="shared" si="5"/>
        <v>8.269241730279898</v>
      </c>
      <c r="S15" s="264">
        <f t="shared" si="6"/>
        <v>14.989907749077492</v>
      </c>
      <c r="T15" s="264">
        <f t="shared" si="7"/>
        <v>5.6836346863468634</v>
      </c>
      <c r="U15" s="264">
        <f t="shared" si="8"/>
        <v>13.691244444444445</v>
      </c>
    </row>
    <row r="16" spans="2:21" ht="18" customHeight="1" x14ac:dyDescent="0.2">
      <c r="C16" s="1" t="str">
        <f>'DCF Valuation'!C55</f>
        <v>General Motors Company</v>
      </c>
      <c r="D16" s="261"/>
      <c r="E16" s="262" t="s">
        <v>709</v>
      </c>
      <c r="F16" s="263">
        <f>1.46*1000</f>
        <v>1460</v>
      </c>
      <c r="G16" s="263">
        <f>38.47</f>
        <v>38.47</v>
      </c>
      <c r="H16" s="261">
        <f t="shared" si="1"/>
        <v>56166.2</v>
      </c>
      <c r="I16" s="263">
        <f>21.53*1000</f>
        <v>21530</v>
      </c>
      <c r="J16" s="263">
        <f>112.11*1000</f>
        <v>112110</v>
      </c>
      <c r="K16" s="261">
        <f t="shared" si="2"/>
        <v>90580</v>
      </c>
      <c r="L16" s="261">
        <f t="shared" si="3"/>
        <v>146746.20000000001</v>
      </c>
      <c r="M16" s="263">
        <f>132.1*1000</f>
        <v>132100</v>
      </c>
      <c r="N16" s="263">
        <f>16.43*1000</f>
        <v>16430</v>
      </c>
      <c r="O16" s="263">
        <f>7.72*1000</f>
        <v>7720</v>
      </c>
      <c r="P16" s="263">
        <f>-4.73*1000</f>
        <v>-4730</v>
      </c>
      <c r="Q16" s="264">
        <f t="shared" si="4"/>
        <v>1.1108720666162</v>
      </c>
      <c r="R16" s="264">
        <f t="shared" si="5"/>
        <v>8.9316007303712723</v>
      </c>
      <c r="S16" s="264">
        <f t="shared" si="6"/>
        <v>19.008575129533682</v>
      </c>
      <c r="T16" s="264">
        <f t="shared" si="7"/>
        <v>7.2754145077720205</v>
      </c>
      <c r="U16" s="264">
        <f t="shared" si="8"/>
        <v>0</v>
      </c>
    </row>
    <row r="17" spans="3:21" ht="18" customHeight="1" x14ac:dyDescent="0.2">
      <c r="C17" s="1" t="str">
        <f>'DCF Valuation'!C56</f>
        <v>Volkswagen</v>
      </c>
      <c r="D17" s="261"/>
      <c r="E17" s="262" t="s">
        <v>710</v>
      </c>
      <c r="F17" s="263">
        <f>5.01*1000</f>
        <v>5010</v>
      </c>
      <c r="G17" s="263">
        <f>18.25</f>
        <v>18.25</v>
      </c>
      <c r="H17" s="261">
        <f t="shared" si="1"/>
        <v>91432.5</v>
      </c>
      <c r="I17" s="263">
        <f>42.82*1000</f>
        <v>42820</v>
      </c>
      <c r="J17" s="263">
        <f>207.75*1000</f>
        <v>207750</v>
      </c>
      <c r="K17" s="261">
        <f t="shared" si="2"/>
        <v>164930</v>
      </c>
      <c r="L17" s="261">
        <f t="shared" si="3"/>
        <v>256362.5</v>
      </c>
      <c r="M17" s="263">
        <f>252.82*1000</f>
        <v>252820</v>
      </c>
      <c r="N17" s="263">
        <f>28.45*1000</f>
        <v>28450</v>
      </c>
      <c r="O17" s="263">
        <f>17.03*1000</f>
        <v>17030</v>
      </c>
      <c r="P17" s="263">
        <f>12.91*1000</f>
        <v>12910</v>
      </c>
      <c r="Q17" s="264">
        <f t="shared" si="4"/>
        <v>1.0140119452574954</v>
      </c>
      <c r="R17" s="264">
        <f t="shared" si="5"/>
        <v>9.0109841827768022</v>
      </c>
      <c r="S17" s="264">
        <f t="shared" si="6"/>
        <v>15.053581914268937</v>
      </c>
      <c r="T17" s="264">
        <f t="shared" si="7"/>
        <v>5.3689078097475047</v>
      </c>
      <c r="U17" s="264">
        <f t="shared" si="8"/>
        <v>7.0823005422153367</v>
      </c>
    </row>
    <row r="18" spans="3:21" ht="18" customHeight="1" x14ac:dyDescent="0.2">
      <c r="C18" s="1" t="str">
        <f>'DCF Valuation'!C57</f>
        <v>NIO Inc.</v>
      </c>
      <c r="D18" s="261"/>
      <c r="E18" s="262" t="s">
        <v>711</v>
      </c>
      <c r="F18" s="263">
        <f>1.67*1000</f>
        <v>1670</v>
      </c>
      <c r="G18" s="263">
        <f>17.73</f>
        <v>17.73</v>
      </c>
      <c r="H18" s="261">
        <f t="shared" si="1"/>
        <v>29609.100000000002</v>
      </c>
      <c r="I18" s="263">
        <f>49.41*1000</f>
        <v>49410</v>
      </c>
      <c r="J18" s="263">
        <f>22.09*1000</f>
        <v>22090</v>
      </c>
      <c r="K18" s="261">
        <f t="shared" si="2"/>
        <v>-27320</v>
      </c>
      <c r="L18" s="261">
        <f t="shared" si="3"/>
        <v>2289.1000000000022</v>
      </c>
      <c r="M18" s="263">
        <f>38.06*1000</f>
        <v>38060</v>
      </c>
      <c r="N18" s="263">
        <f>-4.52*1000</f>
        <v>-4520</v>
      </c>
      <c r="O18" s="263">
        <f>-7.52*1000</f>
        <v>-7520</v>
      </c>
      <c r="P18" s="263">
        <v>0</v>
      </c>
      <c r="Q18" s="264">
        <f t="shared" si="4"/>
        <v>6.0144508670520291E-2</v>
      </c>
      <c r="R18" s="264">
        <f t="shared" si="5"/>
        <v>0</v>
      </c>
      <c r="S18" s="264">
        <f t="shared" si="6"/>
        <v>0</v>
      </c>
      <c r="T18" s="264">
        <f t="shared" si="7"/>
        <v>0</v>
      </c>
      <c r="U18" s="264">
        <f t="shared" si="8"/>
        <v>0</v>
      </c>
    </row>
    <row r="19" spans="3:21" ht="18" customHeight="1" x14ac:dyDescent="0.2">
      <c r="C19" s="1" t="str">
        <f>'DCF Valuation'!C58</f>
        <v>Li Auto Inc.</v>
      </c>
      <c r="D19" s="261"/>
      <c r="E19" s="262" t="s">
        <v>712</v>
      </c>
      <c r="F19" s="263">
        <f>966.32</f>
        <v>966.32</v>
      </c>
      <c r="G19" s="263">
        <f>26.58</f>
        <v>26.58</v>
      </c>
      <c r="H19" s="261">
        <f t="shared" si="1"/>
        <v>25684.785599999999</v>
      </c>
      <c r="I19" s="263">
        <f>50.44*1000</f>
        <v>50440</v>
      </c>
      <c r="J19" s="263">
        <f>10.71*1000</f>
        <v>10710</v>
      </c>
      <c r="K19" s="261">
        <f t="shared" si="2"/>
        <v>-39730</v>
      </c>
      <c r="L19" s="261">
        <f t="shared" si="3"/>
        <v>-14045.214400000001</v>
      </c>
      <c r="M19" s="263">
        <f>36.69*1000</f>
        <v>36690</v>
      </c>
      <c r="N19" s="263">
        <v>-694.87</v>
      </c>
      <c r="O19" s="263">
        <v>-354.83</v>
      </c>
      <c r="P19" s="263">
        <f>3.16*1000</f>
        <v>3160</v>
      </c>
      <c r="Q19" s="264">
        <f t="shared" si="4"/>
        <v>0</v>
      </c>
      <c r="R19" s="264">
        <f t="shared" si="5"/>
        <v>20.212722379725705</v>
      </c>
      <c r="S19" s="264">
        <f t="shared" si="6"/>
        <v>39.582939435786152</v>
      </c>
      <c r="T19" s="264">
        <f t="shared" si="7"/>
        <v>0</v>
      </c>
      <c r="U19" s="264">
        <f t="shared" si="8"/>
        <v>8.1280967088607596</v>
      </c>
    </row>
    <row r="20" spans="3:21" ht="18" customHeight="1" x14ac:dyDescent="0.2">
      <c r="C20" s="1" t="str">
        <f>'DCF Valuation'!C59</f>
        <v>Rivian Automotive, Inc.</v>
      </c>
      <c r="D20" s="261"/>
      <c r="E20" s="262" t="s">
        <v>713</v>
      </c>
      <c r="F20" s="263">
        <f>883.4</f>
        <v>883.4</v>
      </c>
      <c r="G20" s="263">
        <f>32.07</f>
        <v>32.07</v>
      </c>
      <c r="H20" s="261">
        <f t="shared" si="1"/>
        <v>28330.637999999999</v>
      </c>
      <c r="I20" s="263">
        <f>14.92*1000</f>
        <v>14920</v>
      </c>
      <c r="J20" s="263">
        <f>1.66*1000</f>
        <v>1660</v>
      </c>
      <c r="K20" s="261">
        <f t="shared" si="2"/>
        <v>-13260</v>
      </c>
      <c r="L20" s="261">
        <f t="shared" si="3"/>
        <v>15070.637999999999</v>
      </c>
      <c r="M20" s="263">
        <f>514</f>
        <v>514</v>
      </c>
      <c r="N20" s="263">
        <f>-6.08*1000</f>
        <v>-6080</v>
      </c>
      <c r="O20" s="263">
        <f>-7*1000</f>
        <v>-7000</v>
      </c>
      <c r="P20" s="263">
        <f>-4.04*1000</f>
        <v>-4040</v>
      </c>
      <c r="Q20" s="264">
        <f t="shared" si="4"/>
        <v>29.320307392996106</v>
      </c>
      <c r="R20" s="264">
        <f t="shared" si="5"/>
        <v>0</v>
      </c>
      <c r="S20" s="264">
        <f t="shared" si="6"/>
        <v>0</v>
      </c>
      <c r="T20" s="264">
        <f t="shared" si="7"/>
        <v>0</v>
      </c>
      <c r="U20" s="264">
        <f t="shared" si="8"/>
        <v>0</v>
      </c>
    </row>
    <row r="21" spans="3:21" ht="18" customHeight="1" x14ac:dyDescent="0.2">
      <c r="C21" s="1" t="str">
        <f>'DCF Valuation'!C60</f>
        <v>Lucid Group, Inc.</v>
      </c>
      <c r="D21" s="261"/>
      <c r="E21" s="262" t="s">
        <v>714</v>
      </c>
      <c r="F21" s="263">
        <f>1.68*1000</f>
        <v>1680</v>
      </c>
      <c r="G21" s="263">
        <f>15.16</f>
        <v>15.16</v>
      </c>
      <c r="H21" s="261">
        <f t="shared" si="1"/>
        <v>25468.799999999999</v>
      </c>
      <c r="I21" s="263">
        <f>4.29*1000</f>
        <v>4290</v>
      </c>
      <c r="J21" s="263">
        <f>2.24*1000</f>
        <v>2240</v>
      </c>
      <c r="K21" s="261">
        <f t="shared" si="2"/>
        <v>-2050</v>
      </c>
      <c r="L21" s="261">
        <f t="shared" si="3"/>
        <v>23418.799999999999</v>
      </c>
      <c r="M21" s="263">
        <f>181.64</f>
        <v>181.64</v>
      </c>
      <c r="N21" s="263">
        <f>-2.01*1000</f>
        <v>-2009.9999999999998</v>
      </c>
      <c r="O21" s="263">
        <f>-1.87*1000</f>
        <v>-1870</v>
      </c>
      <c r="P21" s="263">
        <f>-1.36*1000</f>
        <v>-1360</v>
      </c>
      <c r="Q21" s="264">
        <f t="shared" si="4"/>
        <v>128.92975115613302</v>
      </c>
      <c r="R21" s="264">
        <f t="shared" si="5"/>
        <v>0</v>
      </c>
      <c r="S21" s="264">
        <f t="shared" si="6"/>
        <v>0</v>
      </c>
      <c r="T21" s="264">
        <f t="shared" si="7"/>
        <v>0</v>
      </c>
      <c r="U21" s="264">
        <f t="shared" si="8"/>
        <v>0</v>
      </c>
    </row>
    <row r="22" spans="3:21" ht="18" customHeight="1" x14ac:dyDescent="0.2">
      <c r="C22" s="1" t="str">
        <f>'DCF Valuation'!C61</f>
        <v>XPeng Inc.</v>
      </c>
      <c r="D22" s="261"/>
      <c r="E22" s="262" t="s">
        <v>715</v>
      </c>
      <c r="F22" s="263">
        <f>854.77</f>
        <v>854.77</v>
      </c>
      <c r="G22" s="263">
        <f>16.74</f>
        <v>16.739999999999998</v>
      </c>
      <c r="H22" s="261">
        <f t="shared" si="1"/>
        <v>14308.849799999998</v>
      </c>
      <c r="I22" s="263" t="s">
        <v>716</v>
      </c>
      <c r="J22" s="263" t="s">
        <v>716</v>
      </c>
      <c r="K22" s="261">
        <f>L22-H22</f>
        <v>-2148.8497999999981</v>
      </c>
      <c r="L22" s="263">
        <f>12.16*1000</f>
        <v>12160</v>
      </c>
      <c r="M22" s="263" t="s">
        <v>716</v>
      </c>
      <c r="N22" s="263" t="s">
        <v>716</v>
      </c>
      <c r="O22" s="263" t="s">
        <v>716</v>
      </c>
      <c r="P22" s="263" t="s">
        <v>716</v>
      </c>
      <c r="Q22" s="264">
        <f t="shared" si="4"/>
        <v>0</v>
      </c>
      <c r="R22" s="264">
        <f t="shared" si="5"/>
        <v>0</v>
      </c>
      <c r="S22" s="264">
        <f t="shared" si="6"/>
        <v>0</v>
      </c>
      <c r="T22" s="264">
        <f t="shared" si="7"/>
        <v>0</v>
      </c>
      <c r="U22" s="264">
        <f t="shared" si="8"/>
        <v>0</v>
      </c>
    </row>
    <row r="23" spans="3:21" ht="6" customHeight="1" x14ac:dyDescent="0.2">
      <c r="C23" s="22"/>
      <c r="D23" s="265"/>
      <c r="E23" s="265"/>
      <c r="F23" s="265"/>
      <c r="G23" s="265"/>
      <c r="H23" s="265"/>
      <c r="I23" s="265"/>
      <c r="J23" s="265"/>
      <c r="K23" s="265"/>
      <c r="L23" s="265"/>
      <c r="M23" s="265"/>
      <c r="N23" s="265"/>
      <c r="O23" s="265"/>
      <c r="P23" s="265"/>
      <c r="Q23" s="265"/>
      <c r="R23" s="265"/>
      <c r="S23" s="265"/>
      <c r="T23" s="265"/>
      <c r="U23" s="265"/>
    </row>
    <row r="24" spans="3:21" ht="20" customHeight="1" x14ac:dyDescent="0.2">
      <c r="C24" s="30" t="s">
        <v>652</v>
      </c>
      <c r="D24" s="266"/>
      <c r="E24" s="266"/>
      <c r="F24" s="261">
        <f>$F$10</f>
        <v>3130</v>
      </c>
      <c r="G24" s="261">
        <f>H24/F24</f>
        <v>355.10905122880155</v>
      </c>
      <c r="H24" s="261">
        <f>L24-K24</f>
        <v>1111491.3303461489</v>
      </c>
      <c r="I24" s="268"/>
      <c r="J24" s="268"/>
      <c r="K24" s="261">
        <f>$K$10</f>
        <v>-12260</v>
      </c>
      <c r="L24" s="261">
        <f>M24*Q24</f>
        <v>1099231.3303461489</v>
      </c>
      <c r="M24" s="261">
        <f>M10</f>
        <v>67170</v>
      </c>
      <c r="N24" s="268"/>
      <c r="O24" s="268"/>
      <c r="P24" s="268"/>
      <c r="Q24" s="267">
        <f t="shared" ref="Q24" si="9">AVERAGE(Q12:Q21)</f>
        <v>16.36491484808916</v>
      </c>
      <c r="R24" s="100"/>
      <c r="S24" s="100"/>
      <c r="T24" s="100"/>
      <c r="U24" s="100"/>
    </row>
    <row r="25" spans="3:21" ht="20" customHeight="1" x14ac:dyDescent="0.2">
      <c r="D25" s="261"/>
      <c r="E25" s="261"/>
      <c r="F25" s="261">
        <f>$F$10</f>
        <v>3130</v>
      </c>
      <c r="G25" s="261">
        <f>H25/F25</f>
        <v>94.519007983243341</v>
      </c>
      <c r="H25" s="261">
        <f>L25-K25</f>
        <v>295844.49498755165</v>
      </c>
      <c r="I25" s="268"/>
      <c r="J25" s="268"/>
      <c r="K25" s="261">
        <f>$K$10</f>
        <v>-12260</v>
      </c>
      <c r="L25" s="261">
        <f>N25*R25</f>
        <v>283584.49498755165</v>
      </c>
      <c r="M25" s="268"/>
      <c r="N25" s="261">
        <f>N10</f>
        <v>14030</v>
      </c>
      <c r="O25" s="268"/>
      <c r="P25" s="268"/>
      <c r="Q25" s="268"/>
      <c r="R25" s="267">
        <f>R19</f>
        <v>20.212722379725705</v>
      </c>
      <c r="S25" s="100"/>
      <c r="T25" s="100"/>
      <c r="U25" s="100"/>
    </row>
    <row r="26" spans="3:21" ht="20" customHeight="1" x14ac:dyDescent="0.2">
      <c r="D26" s="261"/>
      <c r="E26" s="261"/>
      <c r="F26" s="261">
        <f>$F$10</f>
        <v>3130</v>
      </c>
      <c r="G26" s="261">
        <f>H26/F26</f>
        <v>124.30977106347737</v>
      </c>
      <c r="H26" s="261">
        <f>L26-K26</f>
        <v>389089.58342868416</v>
      </c>
      <c r="I26" s="268"/>
      <c r="J26" s="268"/>
      <c r="K26" s="261">
        <f>$K$10</f>
        <v>-12260</v>
      </c>
      <c r="L26" s="261">
        <f>O26*S26</f>
        <v>376829.58342868416</v>
      </c>
      <c r="M26" s="268"/>
      <c r="N26" s="268"/>
      <c r="O26" s="261">
        <f>$O$10</f>
        <v>9520</v>
      </c>
      <c r="P26" s="268"/>
      <c r="Q26" s="268"/>
      <c r="R26" s="268"/>
      <c r="S26" s="267">
        <f>S19</f>
        <v>39.582939435786152</v>
      </c>
      <c r="T26" s="100"/>
      <c r="U26" s="100"/>
    </row>
    <row r="27" spans="3:21" ht="20" customHeight="1" x14ac:dyDescent="0.2">
      <c r="D27" s="261"/>
      <c r="E27" s="261"/>
      <c r="F27" s="261">
        <f>$F$10</f>
        <v>3130</v>
      </c>
      <c r="G27" s="261">
        <f>H27/F27</f>
        <v>44.365946798419436</v>
      </c>
      <c r="H27" s="261">
        <f>O27*T27</f>
        <v>138865.41347905283</v>
      </c>
      <c r="I27" s="268"/>
      <c r="J27" s="268"/>
      <c r="K27" s="268"/>
      <c r="L27" s="268"/>
      <c r="M27" s="268"/>
      <c r="N27" s="268"/>
      <c r="O27" s="261">
        <f>$O$10</f>
        <v>9520</v>
      </c>
      <c r="P27" s="268"/>
      <c r="Q27" s="268"/>
      <c r="R27" s="268"/>
      <c r="S27" s="268"/>
      <c r="T27" s="267">
        <f>T13</f>
        <v>14.586703096539162</v>
      </c>
      <c r="U27" s="100"/>
    </row>
    <row r="28" spans="3:21" ht="20" customHeight="1" x14ac:dyDescent="0.25">
      <c r="D28" s="261"/>
      <c r="E28" s="261"/>
      <c r="F28" s="261">
        <f>$F$10</f>
        <v>3130</v>
      </c>
      <c r="G28" s="261">
        <f>H28/F28</f>
        <v>26.070229037983673</v>
      </c>
      <c r="H28" s="261">
        <f>P28*U28</f>
        <v>81599.81688888889</v>
      </c>
      <c r="I28" s="268"/>
      <c r="J28" s="268"/>
      <c r="K28" s="268"/>
      <c r="L28" s="268"/>
      <c r="M28" s="268"/>
      <c r="N28" s="268"/>
      <c r="O28" s="268"/>
      <c r="P28" s="261">
        <f>P10</f>
        <v>5960</v>
      </c>
      <c r="Q28" s="268"/>
      <c r="R28" s="268"/>
      <c r="S28" s="268"/>
      <c r="T28" s="268"/>
      <c r="U28" s="267">
        <f>U15</f>
        <v>13.691244444444445</v>
      </c>
    </row>
    <row r="29" spans="3:21" ht="20" customHeight="1" x14ac:dyDescent="0.25">
      <c r="D29" s="261"/>
      <c r="E29" s="261"/>
      <c r="F29" s="261"/>
      <c r="G29" s="261"/>
      <c r="H29" s="261"/>
      <c r="I29" s="261"/>
      <c r="J29" s="261"/>
      <c r="K29" s="261"/>
      <c r="L29" s="261"/>
      <c r="M29" s="261"/>
      <c r="N29" s="261"/>
      <c r="O29" s="261"/>
      <c r="P29" s="261"/>
      <c r="Q29" s="261"/>
      <c r="R29" s="261"/>
      <c r="S29" s="261"/>
      <c r="T29" s="261"/>
      <c r="U29" s="261"/>
    </row>
    <row r="30" spans="3:21" ht="20" customHeight="1" x14ac:dyDescent="0.25">
      <c r="E30" s="12"/>
      <c r="F30" s="12"/>
      <c r="G30" s="12"/>
      <c r="H30" s="12"/>
      <c r="I30" s="12"/>
      <c r="J30" s="12"/>
      <c r="K30" s="12"/>
      <c r="Q30" s="238" t="str">
        <f>Q8</f>
        <v>EV / Revenue</v>
      </c>
      <c r="S30" s="238" t="str">
        <f>S8</f>
        <v>EV / Net Income</v>
      </c>
    </row>
    <row r="31" spans="3:21" ht="6" customHeight="1" x14ac:dyDescent="0.25">
      <c r="E31" s="12"/>
      <c r="F31" s="12"/>
      <c r="G31" s="12"/>
      <c r="H31" s="12"/>
      <c r="I31" s="12"/>
      <c r="J31" s="12"/>
      <c r="K31" s="12"/>
      <c r="L31" s="12"/>
      <c r="M31" s="12"/>
      <c r="N31" s="12"/>
      <c r="O31" s="12"/>
      <c r="P31" s="12"/>
    </row>
    <row r="32" spans="3:21" ht="20" customHeight="1" x14ac:dyDescent="0.25">
      <c r="E32" s="12"/>
      <c r="F32" s="12"/>
      <c r="G32" s="12"/>
      <c r="H32" s="12"/>
      <c r="I32" s="12"/>
      <c r="J32" s="12"/>
      <c r="K32" s="12"/>
      <c r="L32" s="30" t="s">
        <v>717</v>
      </c>
      <c r="M32" s="12"/>
      <c r="N32" s="12"/>
      <c r="O32" s="12"/>
      <c r="P32" s="12"/>
      <c r="Q32" s="266">
        <f>$G$24</f>
        <v>355.10905122880155</v>
      </c>
      <c r="R32" s="269"/>
      <c r="S32" s="266">
        <f>$G$26</f>
        <v>124.30977106347737</v>
      </c>
    </row>
    <row r="33" spans="2:31" ht="15" customHeight="1" x14ac:dyDescent="0.25">
      <c r="E33" s="12"/>
      <c r="F33" s="12"/>
      <c r="G33" s="12"/>
      <c r="H33" s="12"/>
      <c r="I33" s="12"/>
      <c r="J33" s="12"/>
      <c r="K33" s="12"/>
      <c r="L33" s="12"/>
      <c r="M33" s="12"/>
      <c r="N33" s="12"/>
      <c r="O33" s="12"/>
      <c r="P33" s="12"/>
    </row>
    <row r="34" spans="2:31" ht="15" customHeight="1" x14ac:dyDescent="0.25">
      <c r="E34" s="12"/>
      <c r="F34" s="12"/>
      <c r="G34" s="12"/>
      <c r="H34" s="12"/>
      <c r="I34" s="12"/>
      <c r="J34" s="12"/>
      <c r="K34" s="12"/>
      <c r="L34" s="12"/>
      <c r="M34" s="12"/>
      <c r="N34" s="12"/>
      <c r="O34" s="12"/>
      <c r="P34" s="12"/>
    </row>
    <row r="35" spans="2:31" ht="15" customHeight="1" x14ac:dyDescent="0.25">
      <c r="E35" s="12"/>
      <c r="F35" s="12"/>
      <c r="G35" s="12"/>
      <c r="H35" s="12"/>
      <c r="I35" s="12"/>
      <c r="J35" s="12"/>
      <c r="K35" s="12"/>
      <c r="L35" s="12"/>
      <c r="M35" s="12"/>
      <c r="N35" s="12"/>
      <c r="O35" s="12"/>
      <c r="P35" s="12"/>
    </row>
    <row r="36" spans="2:31" ht="6" customHeight="1" x14ac:dyDescent="0.25">
      <c r="E36" s="12"/>
      <c r="F36" s="12"/>
      <c r="G36" s="12"/>
      <c r="H36" s="12"/>
      <c r="I36" s="12"/>
      <c r="J36" s="12"/>
      <c r="K36" s="12"/>
      <c r="L36" s="12"/>
      <c r="M36" s="12"/>
      <c r="N36" s="12"/>
      <c r="O36" s="12"/>
      <c r="P36" s="12"/>
    </row>
    <row r="37" spans="2:31" ht="6" customHeight="1" x14ac:dyDescent="0.25"/>
    <row r="38" spans="2:31" ht="20" customHeight="1" x14ac:dyDescent="0.25">
      <c r="B38" s="2" t="str">
        <f>'Cover Page'!$C$18</f>
        <v>Tesla, Inc.</v>
      </c>
      <c r="C38" s="3"/>
      <c r="D38" s="3"/>
      <c r="E38" s="3"/>
      <c r="F38" s="3"/>
      <c r="G38" s="3"/>
      <c r="H38" s="3"/>
      <c r="I38" s="3"/>
      <c r="J38" s="3"/>
      <c r="K38" s="3"/>
      <c r="L38" s="3"/>
      <c r="M38" s="3"/>
      <c r="N38" s="3"/>
      <c r="O38" s="3"/>
      <c r="P38" s="3"/>
      <c r="Q38" s="3"/>
      <c r="R38" s="3"/>
      <c r="S38" s="3"/>
      <c r="T38" s="3"/>
      <c r="U38" s="3"/>
    </row>
    <row r="39" spans="2:31" ht="15" customHeight="1" x14ac:dyDescent="0.25">
      <c r="B39" s="4" t="s">
        <v>718</v>
      </c>
      <c r="C39" s="4"/>
      <c r="D39" s="4"/>
      <c r="E39" s="4"/>
      <c r="F39" s="4"/>
      <c r="G39" s="4"/>
      <c r="H39" s="4"/>
      <c r="I39" s="4"/>
      <c r="J39" s="4"/>
      <c r="K39" s="4"/>
      <c r="L39" s="4"/>
      <c r="M39" s="4"/>
      <c r="N39" s="4"/>
      <c r="O39" s="4"/>
      <c r="P39" s="4"/>
      <c r="Q39" s="4"/>
      <c r="R39" s="4"/>
      <c r="S39" s="4"/>
      <c r="T39" s="4"/>
      <c r="U39" s="4"/>
    </row>
    <row r="40" spans="2:31" ht="6" customHeight="1" thickBot="1" x14ac:dyDescent="0.3">
      <c r="B40" s="5"/>
      <c r="C40" s="5"/>
      <c r="D40" s="5"/>
      <c r="E40" s="5"/>
      <c r="F40" s="5"/>
      <c r="G40" s="5"/>
      <c r="H40" s="5"/>
      <c r="I40" s="5"/>
      <c r="J40" s="5"/>
      <c r="K40" s="5"/>
      <c r="L40" s="5"/>
      <c r="M40" s="5"/>
      <c r="N40" s="5"/>
      <c r="O40" s="5"/>
      <c r="P40" s="5"/>
      <c r="Q40" s="5"/>
      <c r="R40" s="5"/>
      <c r="S40" s="5"/>
      <c r="T40" s="5"/>
      <c r="U40" s="5"/>
    </row>
    <row r="41" spans="2:31" ht="15" customHeight="1" x14ac:dyDescent="0.25">
      <c r="B41" s="117" t="str">
        <f>Scenarios!$B$5</f>
        <v>$ MM's ( unless otherwise specified )</v>
      </c>
      <c r="C41" s="117"/>
      <c r="D41" s="117"/>
      <c r="E41" s="117"/>
      <c r="F41" s="117"/>
      <c r="G41" s="117"/>
      <c r="H41" s="117"/>
      <c r="I41" s="117"/>
      <c r="J41" s="117"/>
      <c r="K41" s="117"/>
      <c r="L41" s="117"/>
      <c r="M41" s="117"/>
      <c r="N41" s="117"/>
      <c r="O41" s="117"/>
      <c r="P41" s="117"/>
      <c r="Q41" s="117"/>
      <c r="R41" s="117"/>
      <c r="S41" s="117"/>
      <c r="T41" s="117"/>
      <c r="U41" s="121" t="str">
        <f>Scenarios!$N$5</f>
        <v>Based on: Base Case Senario</v>
      </c>
    </row>
    <row r="42" spans="2:31" ht="6" customHeight="1" x14ac:dyDescent="0.25"/>
    <row r="43" spans="2:31" ht="15" customHeight="1" x14ac:dyDescent="0.25">
      <c r="E43" s="12"/>
      <c r="F43" s="12"/>
      <c r="G43" s="12"/>
      <c r="H43" s="12"/>
      <c r="I43" s="12"/>
      <c r="J43" s="12"/>
      <c r="K43" s="12"/>
      <c r="L43" s="12"/>
      <c r="M43" s="12"/>
      <c r="N43" s="12"/>
      <c r="O43" s="12"/>
      <c r="P43" s="12"/>
    </row>
    <row r="44" spans="2:31" ht="15" customHeight="1" x14ac:dyDescent="0.25">
      <c r="C44" s="91" t="s">
        <v>719</v>
      </c>
      <c r="D44" s="91"/>
      <c r="E44" s="102"/>
      <c r="F44" s="102"/>
      <c r="G44" s="102"/>
      <c r="H44" s="260" t="s">
        <v>657</v>
      </c>
      <c r="I44" s="102"/>
      <c r="J44" s="102"/>
      <c r="K44" s="102"/>
      <c r="L44" s="102"/>
      <c r="M44" s="102"/>
      <c r="N44" s="102"/>
      <c r="O44" s="102"/>
      <c r="P44" s="102"/>
      <c r="Q44" s="91"/>
      <c r="R44" s="259" t="s">
        <v>720</v>
      </c>
      <c r="S44" s="91"/>
      <c r="T44" s="259" t="s">
        <v>721</v>
      </c>
      <c r="U44" s="259" t="s">
        <v>722</v>
      </c>
      <c r="AA44" s="1" t="s">
        <v>657</v>
      </c>
      <c r="AB44" s="1" t="s">
        <v>723</v>
      </c>
      <c r="AC44" s="1" t="s">
        <v>724</v>
      </c>
      <c r="AD44" s="1" t="s">
        <v>725</v>
      </c>
      <c r="AE44" s="1" t="s">
        <v>720</v>
      </c>
    </row>
    <row r="45" spans="2:31" ht="6" customHeight="1" x14ac:dyDescent="0.25">
      <c r="E45" s="12"/>
      <c r="F45" s="12"/>
      <c r="G45" s="12"/>
      <c r="H45" s="12"/>
      <c r="I45" s="12"/>
      <c r="J45" s="12"/>
      <c r="K45" s="12"/>
      <c r="L45" s="12"/>
      <c r="M45" s="12"/>
      <c r="N45" s="12"/>
      <c r="O45" s="12"/>
      <c r="P45" s="12"/>
      <c r="AA45" s="270">
        <v>44570</v>
      </c>
      <c r="AB45" s="1" t="s">
        <v>726</v>
      </c>
      <c r="AE45" s="1" t="s">
        <v>727</v>
      </c>
    </row>
    <row r="46" spans="2:31" ht="20" customHeight="1" x14ac:dyDescent="0.25">
      <c r="C46" s="1" t="s">
        <v>726</v>
      </c>
      <c r="E46" s="12"/>
      <c r="F46" s="12"/>
      <c r="G46" s="12"/>
      <c r="H46" s="12"/>
      <c r="I46" s="12"/>
      <c r="J46" s="12"/>
      <c r="K46" s="12"/>
      <c r="L46" s="12"/>
      <c r="M46" s="12"/>
      <c r="N46" s="12"/>
      <c r="O46" s="12"/>
      <c r="P46" s="12"/>
      <c r="R46" s="1" t="s">
        <v>755</v>
      </c>
      <c r="T46" s="271">
        <v>344</v>
      </c>
      <c r="U46" s="271">
        <v>360</v>
      </c>
      <c r="AA46" s="1" t="s">
        <v>728</v>
      </c>
      <c r="AB46" s="1" t="s">
        <v>729</v>
      </c>
      <c r="AE46" s="1" t="s">
        <v>731</v>
      </c>
    </row>
    <row r="47" spans="2:31" ht="20" customHeight="1" x14ac:dyDescent="0.25">
      <c r="C47" s="1" t="s">
        <v>729</v>
      </c>
      <c r="E47" s="12"/>
      <c r="F47" s="12"/>
      <c r="G47" s="12"/>
      <c r="H47" s="12"/>
      <c r="I47" s="12"/>
      <c r="J47" s="12"/>
      <c r="K47" s="12"/>
      <c r="L47" s="12"/>
      <c r="M47" s="12"/>
      <c r="N47" s="12"/>
      <c r="O47" s="12"/>
      <c r="P47" s="12"/>
      <c r="R47" s="1" t="s">
        <v>730</v>
      </c>
      <c r="T47" s="271">
        <v>375</v>
      </c>
      <c r="U47" s="271">
        <v>375</v>
      </c>
      <c r="AA47" s="1" t="s">
        <v>732</v>
      </c>
      <c r="AB47" s="1" t="s">
        <v>733</v>
      </c>
      <c r="AD47" s="1" t="s">
        <v>734</v>
      </c>
    </row>
    <row r="48" spans="2:31" ht="20" customHeight="1" x14ac:dyDescent="0.25">
      <c r="C48" s="1" t="s">
        <v>733</v>
      </c>
      <c r="E48" s="12"/>
      <c r="F48" s="12"/>
      <c r="G48" s="12"/>
      <c r="H48" s="12"/>
      <c r="I48" s="12"/>
      <c r="J48" s="12"/>
      <c r="K48" s="12"/>
      <c r="L48" s="12"/>
      <c r="M48" s="12"/>
      <c r="N48" s="12"/>
      <c r="O48" s="12"/>
      <c r="P48" s="12"/>
      <c r="R48" s="1" t="s">
        <v>730</v>
      </c>
      <c r="T48" s="271">
        <v>374</v>
      </c>
      <c r="U48" s="271">
        <v>374</v>
      </c>
      <c r="AA48" s="1" t="s">
        <v>735</v>
      </c>
      <c r="AB48" s="1" t="s">
        <v>736</v>
      </c>
      <c r="AD48" s="1" t="s">
        <v>737</v>
      </c>
    </row>
    <row r="49" spans="3:31" ht="20" customHeight="1" x14ac:dyDescent="0.25">
      <c r="C49" s="1" t="s">
        <v>736</v>
      </c>
      <c r="E49" s="12"/>
      <c r="F49" s="12"/>
      <c r="G49" s="12"/>
      <c r="H49" s="12"/>
      <c r="I49" s="12"/>
      <c r="J49" s="12"/>
      <c r="K49" s="12"/>
      <c r="L49" s="12"/>
      <c r="M49" s="12"/>
      <c r="N49" s="12"/>
      <c r="O49" s="12"/>
      <c r="P49" s="12"/>
      <c r="R49" s="1" t="s">
        <v>755</v>
      </c>
      <c r="T49" s="271">
        <v>383.3</v>
      </c>
      <c r="U49" s="271">
        <v>383.3</v>
      </c>
      <c r="AA49" s="1" t="s">
        <v>735</v>
      </c>
      <c r="AB49" s="1" t="s">
        <v>738</v>
      </c>
      <c r="AD49" s="1" t="s">
        <v>740</v>
      </c>
    </row>
    <row r="50" spans="3:31" ht="20" customHeight="1" x14ac:dyDescent="0.25">
      <c r="C50" s="1" t="s">
        <v>738</v>
      </c>
      <c r="E50" s="12"/>
      <c r="F50" s="12"/>
      <c r="G50" s="12"/>
      <c r="H50" s="12"/>
      <c r="I50" s="12"/>
      <c r="J50" s="12"/>
      <c r="K50" s="12"/>
      <c r="L50" s="12"/>
      <c r="M50" s="12"/>
      <c r="N50" s="12"/>
      <c r="O50" s="12"/>
      <c r="P50" s="12"/>
      <c r="R50" s="1" t="s">
        <v>739</v>
      </c>
      <c r="T50" s="271">
        <v>360</v>
      </c>
      <c r="U50" s="271">
        <v>360</v>
      </c>
      <c r="AA50" s="1" t="s">
        <v>741</v>
      </c>
      <c r="AB50" s="1" t="s">
        <v>742</v>
      </c>
      <c r="AE50" s="1" t="s">
        <v>743</v>
      </c>
    </row>
    <row r="51" spans="3:31" ht="20" customHeight="1" x14ac:dyDescent="0.25">
      <c r="C51" s="1" t="s">
        <v>742</v>
      </c>
      <c r="E51" s="12"/>
      <c r="F51" s="12"/>
      <c r="G51" s="12"/>
      <c r="H51" s="12"/>
      <c r="I51" s="12"/>
      <c r="J51" s="12"/>
      <c r="K51" s="12"/>
      <c r="L51" s="12"/>
      <c r="M51" s="12"/>
      <c r="N51" s="12"/>
      <c r="O51" s="12"/>
      <c r="P51" s="12"/>
      <c r="R51" s="1" t="s">
        <v>747</v>
      </c>
      <c r="T51" s="271">
        <v>33.299999999999997</v>
      </c>
      <c r="U51" s="271">
        <v>33.299999999999997</v>
      </c>
      <c r="AA51" s="270">
        <v>44781</v>
      </c>
      <c r="AB51" s="1" t="s">
        <v>744</v>
      </c>
      <c r="AD51" s="1" t="s">
        <v>745</v>
      </c>
    </row>
    <row r="52" spans="3:31" ht="20" customHeight="1" x14ac:dyDescent="0.25">
      <c r="C52" s="1" t="s">
        <v>744</v>
      </c>
      <c r="E52" s="12"/>
      <c r="F52" s="12"/>
      <c r="G52" s="12"/>
      <c r="H52" s="12"/>
      <c r="I52" s="12"/>
      <c r="J52" s="12"/>
      <c r="K52" s="12"/>
      <c r="L52" s="12"/>
      <c r="M52" s="12"/>
      <c r="N52" s="12"/>
      <c r="O52" s="12"/>
      <c r="P52" s="12"/>
      <c r="R52" s="1" t="s">
        <v>730</v>
      </c>
      <c r="T52" s="271">
        <v>271.67</v>
      </c>
      <c r="U52" s="271">
        <v>293.67</v>
      </c>
      <c r="AA52" s="270">
        <v>44600</v>
      </c>
      <c r="AB52" s="1" t="s">
        <v>746</v>
      </c>
      <c r="AE52" s="1" t="s">
        <v>748</v>
      </c>
    </row>
    <row r="53" spans="3:31" ht="20" customHeight="1" x14ac:dyDescent="0.25">
      <c r="C53" s="1" t="s">
        <v>746</v>
      </c>
      <c r="E53" s="12"/>
      <c r="F53" s="12"/>
      <c r="G53" s="12"/>
      <c r="H53" s="12"/>
      <c r="I53" s="12"/>
      <c r="J53" s="12"/>
      <c r="K53" s="12"/>
      <c r="L53" s="12"/>
      <c r="M53" s="12"/>
      <c r="N53" s="12"/>
      <c r="O53" s="12"/>
      <c r="P53" s="12"/>
      <c r="R53" s="1" t="s">
        <v>756</v>
      </c>
      <c r="T53" s="271">
        <v>125</v>
      </c>
      <c r="U53" s="271">
        <v>141.4</v>
      </c>
      <c r="AA53" s="1" t="s">
        <v>749</v>
      </c>
      <c r="AB53" s="1" t="s">
        <v>750</v>
      </c>
      <c r="AE53" s="1" t="s">
        <v>751</v>
      </c>
    </row>
    <row r="54" spans="3:31" ht="20" customHeight="1" x14ac:dyDescent="0.25">
      <c r="C54" s="1" t="s">
        <v>750</v>
      </c>
      <c r="E54" s="12"/>
      <c r="F54" s="12"/>
      <c r="G54" s="12"/>
      <c r="H54" s="12"/>
      <c r="I54" s="12"/>
      <c r="J54" s="12"/>
      <c r="K54" s="12"/>
      <c r="L54" s="12"/>
      <c r="M54" s="12"/>
      <c r="N54" s="12"/>
      <c r="O54" s="12"/>
      <c r="P54" s="12"/>
      <c r="R54" s="1" t="s">
        <v>730</v>
      </c>
      <c r="T54" s="271">
        <v>310</v>
      </c>
      <c r="U54" s="271">
        <v>310</v>
      </c>
      <c r="AA54" s="1" t="s">
        <v>752</v>
      </c>
      <c r="AB54" s="1" t="s">
        <v>753</v>
      </c>
      <c r="AE54" s="1" t="s">
        <v>754</v>
      </c>
    </row>
    <row r="55" spans="3:31" ht="20" customHeight="1" x14ac:dyDescent="0.25">
      <c r="C55" s="1" t="s">
        <v>753</v>
      </c>
      <c r="E55" s="12"/>
      <c r="F55" s="12"/>
      <c r="G55" s="12"/>
      <c r="H55" s="12"/>
      <c r="I55" s="12"/>
      <c r="J55" s="12"/>
      <c r="K55" s="12"/>
      <c r="L55" s="12"/>
      <c r="M55" s="12"/>
      <c r="N55" s="12"/>
      <c r="O55" s="12"/>
      <c r="P55" s="12"/>
      <c r="R55" s="1" t="s">
        <v>756</v>
      </c>
      <c r="T55" s="271">
        <v>128.30000000000001</v>
      </c>
      <c r="U55" s="271">
        <v>136.66999999999999</v>
      </c>
    </row>
    <row r="56" spans="3:31" ht="6" customHeight="1" x14ac:dyDescent="0.25">
      <c r="C56" s="190"/>
      <c r="D56" s="190"/>
      <c r="E56" s="193"/>
      <c r="F56" s="193"/>
      <c r="G56" s="193"/>
      <c r="H56" s="193"/>
      <c r="I56" s="193"/>
      <c r="J56" s="193"/>
      <c r="K56" s="193"/>
      <c r="L56" s="193"/>
      <c r="M56" s="193"/>
      <c r="N56" s="193"/>
      <c r="O56" s="193"/>
      <c r="P56" s="193"/>
      <c r="Q56" s="190"/>
      <c r="R56" s="190"/>
      <c r="S56" s="190"/>
      <c r="T56" s="273"/>
      <c r="U56" s="273"/>
    </row>
    <row r="57" spans="3:31" ht="20" customHeight="1" x14ac:dyDescent="0.25">
      <c r="C57" s="30" t="s">
        <v>757</v>
      </c>
      <c r="D57" s="30"/>
      <c r="E57" s="87"/>
      <c r="F57" s="87"/>
      <c r="G57" s="87"/>
      <c r="H57" s="87"/>
      <c r="I57" s="87"/>
      <c r="J57" s="87"/>
      <c r="K57" s="87"/>
      <c r="L57" s="87"/>
      <c r="M57" s="87"/>
      <c r="N57" s="87"/>
      <c r="O57" s="87"/>
      <c r="P57" s="87"/>
      <c r="Q57" s="30"/>
      <c r="R57" s="30"/>
      <c r="S57" s="30"/>
      <c r="T57" s="272">
        <f t="shared" ref="T57:U57" si="10">AVERAGE(T46:T55)</f>
        <v>270.45699999999999</v>
      </c>
      <c r="U57" s="272">
        <f t="shared" si="10"/>
        <v>276.73400000000004</v>
      </c>
    </row>
    <row r="58" spans="3:31" ht="20" customHeight="1" x14ac:dyDescent="0.25">
      <c r="E58" s="12"/>
      <c r="F58" s="12"/>
      <c r="G58" s="12"/>
      <c r="H58" s="12"/>
      <c r="I58" s="12"/>
      <c r="J58" s="12"/>
      <c r="K58" s="12"/>
      <c r="L58" s="12"/>
      <c r="M58" s="12"/>
      <c r="N58" s="12"/>
      <c r="O58" s="12"/>
      <c r="P58" s="12"/>
      <c r="T58" s="271"/>
      <c r="U58" s="271"/>
    </row>
    <row r="59" spans="3:31" ht="20" customHeight="1" x14ac:dyDescent="0.25">
      <c r="C59" s="30" t="s">
        <v>758</v>
      </c>
      <c r="D59" s="30"/>
      <c r="E59" s="87"/>
      <c r="F59" s="87"/>
      <c r="G59" s="87"/>
      <c r="H59" s="87"/>
      <c r="I59" s="87"/>
      <c r="J59" s="87"/>
      <c r="K59" s="87"/>
      <c r="L59" s="87"/>
      <c r="M59" s="87"/>
      <c r="N59" s="87"/>
      <c r="O59" s="87"/>
      <c r="P59" s="87"/>
      <c r="Q59" s="30"/>
      <c r="R59" s="30"/>
      <c r="S59" s="30"/>
      <c r="T59" s="272">
        <f>206.86</f>
        <v>206.86</v>
      </c>
      <c r="U59" s="272">
        <f>414.5</f>
        <v>414.5</v>
      </c>
    </row>
    <row r="60" spans="3:31" ht="15" customHeight="1" x14ac:dyDescent="0.25">
      <c r="E60" s="12"/>
      <c r="F60" s="12"/>
      <c r="G60" s="12"/>
      <c r="H60" s="12"/>
      <c r="I60" s="12"/>
      <c r="J60" s="12"/>
      <c r="K60" s="12"/>
      <c r="L60" s="12"/>
      <c r="M60" s="12"/>
      <c r="N60" s="12"/>
      <c r="O60" s="12"/>
      <c r="P60" s="12"/>
    </row>
    <row r="61" spans="3:31" ht="15" customHeight="1" x14ac:dyDescent="0.25">
      <c r="E61" s="12"/>
      <c r="F61" s="12"/>
      <c r="G61" s="12"/>
      <c r="H61" s="12"/>
      <c r="I61" s="12"/>
      <c r="J61" s="12"/>
      <c r="K61" s="12"/>
      <c r="L61" s="12"/>
      <c r="M61" s="12"/>
      <c r="N61" s="12"/>
      <c r="O61" s="12"/>
      <c r="P61" s="12"/>
    </row>
    <row r="62" spans="3:31" ht="15" customHeight="1" x14ac:dyDescent="0.25">
      <c r="E62" s="12"/>
      <c r="F62" s="12"/>
      <c r="G62" s="12"/>
      <c r="H62" s="12"/>
      <c r="I62" s="12"/>
      <c r="J62" s="12"/>
      <c r="K62" s="12"/>
      <c r="L62" s="12"/>
      <c r="M62" s="12"/>
      <c r="N62" s="12"/>
      <c r="O62" s="12"/>
      <c r="P62" s="12"/>
    </row>
    <row r="63" spans="3:31" ht="6" customHeight="1" x14ac:dyDescent="0.25">
      <c r="E63" s="12"/>
      <c r="F63" s="12"/>
      <c r="G63" s="12"/>
      <c r="H63" s="12"/>
      <c r="I63" s="12"/>
      <c r="J63" s="12"/>
      <c r="K63" s="12"/>
      <c r="L63" s="12"/>
      <c r="M63" s="12"/>
      <c r="N63" s="12"/>
      <c r="O63" s="12"/>
      <c r="P63" s="12"/>
    </row>
    <row r="64" spans="3:31" ht="15" customHeight="1" x14ac:dyDescent="0.25">
      <c r="E64" s="12"/>
      <c r="F64" s="12"/>
      <c r="G64" s="12"/>
      <c r="H64" s="12"/>
      <c r="I64" s="12"/>
      <c r="J64" s="12"/>
      <c r="K64" s="12"/>
      <c r="L64" s="12"/>
      <c r="M64" s="12"/>
      <c r="N64" s="12"/>
      <c r="O64" s="12"/>
      <c r="P64" s="12"/>
    </row>
    <row r="65" spans="5:16" ht="15" customHeight="1" x14ac:dyDescent="0.25">
      <c r="E65" s="12"/>
      <c r="F65" s="12"/>
      <c r="G65" s="12"/>
      <c r="H65" s="12"/>
      <c r="I65" s="12"/>
      <c r="J65" s="12"/>
      <c r="K65" s="12"/>
      <c r="L65" s="12"/>
      <c r="M65" s="12"/>
      <c r="N65" s="12"/>
      <c r="O65" s="12"/>
      <c r="P65" s="12"/>
    </row>
    <row r="66" spans="5:16" ht="15" customHeight="1" x14ac:dyDescent="0.25">
      <c r="E66" s="12"/>
      <c r="F66" s="12"/>
      <c r="G66" s="12"/>
      <c r="H66" s="12"/>
      <c r="I66" s="12"/>
      <c r="J66" s="12"/>
      <c r="K66" s="12"/>
      <c r="L66" s="12"/>
      <c r="M66" s="12"/>
      <c r="N66" s="12"/>
      <c r="O66" s="12"/>
      <c r="P66" s="12"/>
    </row>
    <row r="67" spans="5:16" ht="15" customHeight="1" x14ac:dyDescent="0.25">
      <c r="E67" s="12"/>
      <c r="F67" s="12"/>
      <c r="G67" s="12"/>
      <c r="H67" s="12"/>
      <c r="I67" s="12"/>
      <c r="J67" s="12"/>
      <c r="K67" s="12"/>
      <c r="L67" s="12"/>
      <c r="M67" s="12"/>
      <c r="N67" s="12"/>
      <c r="O67" s="12"/>
      <c r="P67" s="12"/>
    </row>
    <row r="68" spans="5:16" ht="15" customHeight="1" x14ac:dyDescent="0.25">
      <c r="E68" s="12"/>
      <c r="F68" s="12"/>
      <c r="G68" s="12"/>
      <c r="H68" s="12"/>
      <c r="I68" s="12"/>
      <c r="J68" s="12"/>
      <c r="K68" s="12"/>
      <c r="L68" s="12"/>
      <c r="M68" s="12"/>
      <c r="N68" s="12"/>
      <c r="O68" s="12"/>
      <c r="P68" s="12"/>
    </row>
    <row r="69" spans="5:16" ht="15" customHeight="1" x14ac:dyDescent="0.25">
      <c r="E69" s="12"/>
      <c r="F69" s="12"/>
      <c r="G69" s="12"/>
      <c r="H69" s="12"/>
      <c r="I69" s="12"/>
      <c r="J69" s="12"/>
      <c r="K69" s="12"/>
      <c r="L69" s="12"/>
      <c r="M69" s="12"/>
      <c r="N69" s="12"/>
      <c r="O69" s="12"/>
      <c r="P69" s="12"/>
    </row>
    <row r="70" spans="5:16" ht="15" customHeight="1" x14ac:dyDescent="0.25">
      <c r="E70" s="12"/>
      <c r="F70" s="12"/>
      <c r="G70" s="12"/>
      <c r="H70" s="12"/>
      <c r="I70" s="12"/>
      <c r="J70" s="12"/>
      <c r="K70" s="12"/>
      <c r="L70" s="12"/>
      <c r="M70" s="12"/>
      <c r="N70" s="12"/>
      <c r="O70" s="12"/>
      <c r="P70" s="12"/>
    </row>
    <row r="71" spans="5:16" ht="15" customHeight="1" x14ac:dyDescent="0.25">
      <c r="E71" s="12"/>
      <c r="F71" s="12"/>
      <c r="G71" s="12"/>
      <c r="H71" s="12"/>
      <c r="I71" s="12"/>
      <c r="J71" s="12"/>
      <c r="K71" s="12"/>
      <c r="L71" s="12"/>
      <c r="M71" s="12"/>
      <c r="N71" s="12"/>
      <c r="O71" s="12"/>
      <c r="P71" s="12"/>
    </row>
    <row r="72" spans="5:16" ht="15" customHeight="1" x14ac:dyDescent="0.25">
      <c r="E72" s="12"/>
      <c r="F72" s="12"/>
      <c r="G72" s="12"/>
      <c r="H72" s="12"/>
      <c r="I72" s="12"/>
      <c r="J72" s="12"/>
      <c r="K72" s="12"/>
      <c r="L72" s="12"/>
      <c r="M72" s="12"/>
      <c r="N72" s="12"/>
      <c r="O72" s="12"/>
      <c r="P72" s="12"/>
    </row>
    <row r="73" spans="5:16" ht="15" customHeight="1" x14ac:dyDescent="0.25">
      <c r="E73" s="12"/>
      <c r="F73" s="12"/>
      <c r="G73" s="12"/>
      <c r="H73" s="12"/>
      <c r="I73" s="12"/>
      <c r="J73" s="12"/>
      <c r="K73" s="12"/>
      <c r="L73" s="12"/>
      <c r="M73" s="12"/>
      <c r="N73" s="12"/>
      <c r="O73" s="12"/>
      <c r="P73" s="12"/>
    </row>
    <row r="74" spans="5:16" ht="15" customHeight="1" x14ac:dyDescent="0.25">
      <c r="E74" s="12"/>
      <c r="F74" s="12"/>
      <c r="G74" s="12"/>
      <c r="H74" s="12"/>
      <c r="I74" s="12"/>
      <c r="J74" s="12"/>
      <c r="K74" s="12"/>
      <c r="L74" s="12"/>
      <c r="M74" s="12"/>
      <c r="N74" s="12"/>
      <c r="O74" s="12"/>
      <c r="P74" s="12"/>
    </row>
    <row r="75" spans="5:16" ht="15" customHeight="1" x14ac:dyDescent="0.25">
      <c r="E75" s="12"/>
      <c r="F75" s="12"/>
      <c r="G75" s="12"/>
      <c r="H75" s="12"/>
      <c r="I75" s="12"/>
      <c r="J75" s="12"/>
      <c r="K75" s="12"/>
      <c r="L75" s="12"/>
      <c r="M75" s="12"/>
      <c r="N75" s="12"/>
      <c r="O75" s="12"/>
      <c r="P75" s="12"/>
    </row>
    <row r="76" spans="5:16" ht="15" customHeight="1" x14ac:dyDescent="0.25">
      <c r="E76" s="12"/>
      <c r="F76" s="12"/>
      <c r="G76" s="12"/>
      <c r="H76" s="12"/>
      <c r="I76" s="12"/>
      <c r="J76" s="12"/>
      <c r="K76" s="12"/>
      <c r="L76" s="12"/>
      <c r="M76" s="12"/>
      <c r="N76" s="12"/>
      <c r="O76" s="12"/>
      <c r="P76" s="12"/>
    </row>
    <row r="77" spans="5:16" ht="15" customHeight="1" x14ac:dyDescent="0.25">
      <c r="E77" s="12"/>
      <c r="F77" s="12"/>
      <c r="G77" s="12"/>
      <c r="H77" s="12"/>
      <c r="I77" s="12"/>
      <c r="J77" s="12"/>
      <c r="K77" s="12"/>
      <c r="L77" s="12"/>
      <c r="M77" s="12"/>
      <c r="N77" s="12"/>
      <c r="O77" s="12"/>
      <c r="P77" s="12"/>
    </row>
    <row r="78" spans="5:16" ht="15" customHeight="1" x14ac:dyDescent="0.25">
      <c r="E78" s="12"/>
      <c r="F78" s="12"/>
      <c r="G78" s="12"/>
      <c r="H78" s="12"/>
      <c r="I78" s="12"/>
      <c r="J78" s="12"/>
      <c r="K78" s="12"/>
      <c r="L78" s="12"/>
      <c r="M78" s="12"/>
      <c r="N78" s="12"/>
      <c r="O78" s="12"/>
      <c r="P78" s="12"/>
    </row>
    <row r="79" spans="5:16" ht="15" customHeight="1" x14ac:dyDescent="0.25">
      <c r="E79" s="12"/>
      <c r="F79" s="12"/>
      <c r="G79" s="12"/>
      <c r="H79" s="12"/>
      <c r="I79" s="12"/>
      <c r="J79" s="12"/>
      <c r="K79" s="12"/>
      <c r="L79" s="12"/>
      <c r="M79" s="12"/>
      <c r="N79" s="12"/>
      <c r="O79" s="12"/>
      <c r="P79" s="12"/>
    </row>
    <row r="80" spans="5:16" ht="15" customHeight="1" x14ac:dyDescent="0.25">
      <c r="E80" s="12"/>
      <c r="F80" s="12"/>
      <c r="G80" s="12"/>
      <c r="H80" s="12"/>
      <c r="I80" s="12"/>
      <c r="J80" s="12"/>
      <c r="K80" s="12"/>
      <c r="L80" s="12"/>
      <c r="M80" s="12"/>
      <c r="N80" s="12"/>
      <c r="O80" s="12"/>
      <c r="P80" s="12"/>
    </row>
    <row r="81" spans="5:16" ht="15" customHeight="1" x14ac:dyDescent="0.25">
      <c r="E81" s="12"/>
      <c r="F81" s="12"/>
      <c r="G81" s="12"/>
      <c r="H81" s="12"/>
      <c r="I81" s="12"/>
      <c r="J81" s="12"/>
      <c r="K81" s="12"/>
      <c r="L81" s="12"/>
      <c r="M81" s="12"/>
      <c r="N81" s="12"/>
      <c r="O81" s="12"/>
      <c r="P81" s="12"/>
    </row>
    <row r="82" spans="5:16" ht="15" customHeight="1" x14ac:dyDescent="0.25">
      <c r="E82" s="12"/>
      <c r="F82" s="12"/>
      <c r="G82" s="12"/>
      <c r="H82" s="12"/>
      <c r="I82" s="12"/>
      <c r="J82" s="12"/>
      <c r="K82" s="12"/>
      <c r="L82" s="12"/>
      <c r="M82" s="12"/>
      <c r="N82" s="12"/>
      <c r="O82" s="12"/>
      <c r="P82" s="12"/>
    </row>
    <row r="83" spans="5:16" ht="15" customHeight="1" x14ac:dyDescent="0.25">
      <c r="E83" s="12"/>
      <c r="F83" s="12"/>
      <c r="G83" s="12"/>
      <c r="H83" s="12"/>
      <c r="I83" s="12"/>
      <c r="J83" s="12"/>
      <c r="K83" s="12"/>
      <c r="L83" s="12"/>
      <c r="M83" s="12"/>
      <c r="N83" s="12"/>
      <c r="O83" s="12"/>
      <c r="P83" s="12"/>
    </row>
    <row r="84" spans="5:16" ht="15" customHeight="1" x14ac:dyDescent="0.25">
      <c r="E84" s="12"/>
      <c r="F84" s="12"/>
      <c r="G84" s="12"/>
      <c r="H84" s="12"/>
      <c r="I84" s="12"/>
      <c r="J84" s="12"/>
      <c r="K84" s="12"/>
      <c r="L84" s="12"/>
      <c r="M84" s="12"/>
      <c r="N84" s="12"/>
      <c r="O84" s="12"/>
      <c r="P84" s="12"/>
    </row>
    <row r="85" spans="5:16" ht="15" customHeight="1" x14ac:dyDescent="0.25">
      <c r="E85" s="12"/>
      <c r="F85" s="12"/>
      <c r="G85" s="12"/>
      <c r="H85" s="12"/>
      <c r="I85" s="12"/>
      <c r="J85" s="12"/>
      <c r="K85" s="12"/>
      <c r="L85" s="12"/>
      <c r="M85" s="12"/>
      <c r="N85" s="12"/>
      <c r="O85" s="12"/>
      <c r="P85" s="12"/>
    </row>
    <row r="86" spans="5:16" ht="15" customHeight="1" x14ac:dyDescent="0.25">
      <c r="E86" s="12"/>
      <c r="F86" s="12"/>
      <c r="G86" s="12"/>
      <c r="H86" s="12"/>
      <c r="I86" s="12"/>
      <c r="J86" s="12"/>
      <c r="K86" s="12"/>
      <c r="L86" s="12"/>
      <c r="M86" s="12"/>
      <c r="N86" s="12"/>
      <c r="O86" s="12"/>
      <c r="P86" s="12"/>
    </row>
    <row r="87" spans="5:16" ht="15" customHeight="1" x14ac:dyDescent="0.25">
      <c r="E87" s="12"/>
      <c r="F87" s="12"/>
      <c r="G87" s="12"/>
      <c r="H87" s="12"/>
      <c r="I87" s="12"/>
      <c r="J87" s="12"/>
      <c r="K87" s="12"/>
      <c r="L87" s="12"/>
      <c r="M87" s="12"/>
      <c r="N87" s="12"/>
      <c r="O87" s="12"/>
      <c r="P87" s="12"/>
    </row>
    <row r="88" spans="5:16" ht="15" customHeight="1" x14ac:dyDescent="0.25">
      <c r="E88" s="12"/>
      <c r="F88" s="12"/>
      <c r="G88" s="12"/>
      <c r="H88" s="12"/>
      <c r="I88" s="12"/>
      <c r="J88" s="12"/>
      <c r="K88" s="12"/>
      <c r="L88" s="12"/>
      <c r="M88" s="12"/>
      <c r="N88" s="12"/>
      <c r="O88" s="12"/>
      <c r="P88" s="12"/>
    </row>
    <row r="89" spans="5:16" ht="15" customHeight="1" x14ac:dyDescent="0.25">
      <c r="E89" s="12"/>
      <c r="F89" s="12"/>
      <c r="G89" s="12"/>
      <c r="H89" s="12"/>
      <c r="I89" s="12"/>
      <c r="J89" s="12"/>
      <c r="K89" s="12"/>
      <c r="L89" s="12"/>
      <c r="M89" s="12"/>
      <c r="N89" s="12"/>
      <c r="O89" s="12"/>
      <c r="P89" s="12"/>
    </row>
    <row r="90" spans="5:16" ht="15" customHeight="1" x14ac:dyDescent="0.25">
      <c r="E90" s="12"/>
      <c r="F90" s="12"/>
      <c r="G90" s="12"/>
      <c r="H90" s="12"/>
      <c r="I90" s="12"/>
      <c r="J90" s="12"/>
      <c r="K90" s="12"/>
      <c r="L90" s="12"/>
      <c r="M90" s="12"/>
      <c r="N90" s="12"/>
      <c r="O90" s="12"/>
      <c r="P90" s="12"/>
    </row>
    <row r="91" spans="5:16" ht="15" customHeight="1" x14ac:dyDescent="0.25">
      <c r="E91" s="12"/>
      <c r="F91" s="12"/>
      <c r="G91" s="12"/>
      <c r="H91" s="12"/>
      <c r="I91" s="12"/>
      <c r="J91" s="12"/>
      <c r="K91" s="12"/>
      <c r="L91" s="12"/>
      <c r="M91" s="12"/>
      <c r="N91" s="12"/>
      <c r="O91" s="12"/>
      <c r="P91" s="12"/>
    </row>
    <row r="92" spans="5:16" ht="15" customHeight="1" x14ac:dyDescent="0.25">
      <c r="E92" s="12"/>
      <c r="F92" s="12"/>
      <c r="G92" s="12"/>
      <c r="H92" s="12"/>
      <c r="I92" s="12"/>
      <c r="J92" s="12"/>
      <c r="K92" s="12"/>
      <c r="L92" s="12"/>
      <c r="M92" s="12"/>
      <c r="N92" s="12"/>
      <c r="O92" s="12"/>
      <c r="P92" s="12"/>
    </row>
    <row r="93" spans="5:16" ht="15" customHeight="1" x14ac:dyDescent="0.25">
      <c r="E93" s="12"/>
      <c r="F93" s="12"/>
      <c r="G93" s="12"/>
      <c r="H93" s="12"/>
      <c r="I93" s="12"/>
      <c r="J93" s="12"/>
      <c r="K93" s="12"/>
      <c r="L93" s="12"/>
      <c r="M93" s="12"/>
      <c r="N93" s="12"/>
      <c r="O93" s="12"/>
      <c r="P93" s="12"/>
    </row>
    <row r="94" spans="5:16" ht="15" customHeight="1" x14ac:dyDescent="0.25">
      <c r="E94" s="12"/>
      <c r="F94" s="12"/>
      <c r="G94" s="12"/>
      <c r="H94" s="12"/>
      <c r="I94" s="12"/>
      <c r="J94" s="12"/>
      <c r="K94" s="12"/>
      <c r="L94" s="12"/>
      <c r="M94" s="12"/>
      <c r="N94" s="12"/>
      <c r="O94" s="12"/>
      <c r="P94" s="12"/>
    </row>
    <row r="95" spans="5:16" ht="15" customHeight="1" x14ac:dyDescent="0.25">
      <c r="E95" s="12"/>
      <c r="F95" s="12"/>
      <c r="G95" s="12"/>
      <c r="H95" s="12"/>
      <c r="I95" s="12"/>
      <c r="J95" s="12"/>
      <c r="K95" s="12"/>
      <c r="L95" s="12"/>
      <c r="M95" s="12"/>
      <c r="N95" s="12"/>
      <c r="O95" s="12"/>
      <c r="P95" s="12"/>
    </row>
    <row r="96" spans="5:16" ht="15" customHeight="1" x14ac:dyDescent="0.25">
      <c r="E96" s="12"/>
      <c r="F96" s="12"/>
      <c r="G96" s="12"/>
      <c r="H96" s="12"/>
      <c r="I96" s="12"/>
      <c r="J96" s="12"/>
      <c r="K96" s="12"/>
      <c r="L96" s="12"/>
      <c r="M96" s="12"/>
      <c r="N96" s="12"/>
      <c r="O96" s="12"/>
      <c r="P96" s="12"/>
    </row>
    <row r="97" spans="5:16" ht="15" customHeight="1" x14ac:dyDescent="0.25">
      <c r="E97" s="12"/>
      <c r="F97" s="12"/>
      <c r="G97" s="12"/>
      <c r="H97" s="12"/>
      <c r="I97" s="12"/>
      <c r="J97" s="12"/>
      <c r="K97" s="12"/>
      <c r="L97" s="12"/>
      <c r="M97" s="12"/>
      <c r="N97" s="12"/>
      <c r="O97" s="12"/>
      <c r="P97" s="12"/>
    </row>
    <row r="98" spans="5:16" ht="15" customHeight="1" x14ac:dyDescent="0.25">
      <c r="E98" s="12"/>
      <c r="F98" s="12"/>
      <c r="G98" s="12"/>
      <c r="H98" s="12"/>
      <c r="I98" s="12"/>
      <c r="J98" s="12"/>
      <c r="K98" s="12"/>
      <c r="L98" s="12"/>
      <c r="M98" s="12"/>
      <c r="N98" s="12"/>
      <c r="O98" s="12"/>
      <c r="P98" s="12"/>
    </row>
    <row r="99" spans="5:16" ht="15" customHeight="1" x14ac:dyDescent="0.25">
      <c r="E99" s="12"/>
      <c r="F99" s="12"/>
      <c r="G99" s="12"/>
      <c r="H99" s="12"/>
      <c r="I99" s="12"/>
      <c r="J99" s="12"/>
      <c r="K99" s="12"/>
      <c r="L99" s="12"/>
      <c r="M99" s="12"/>
      <c r="N99" s="12"/>
      <c r="O99" s="12"/>
      <c r="P99" s="12"/>
    </row>
    <row r="100" spans="5:16" ht="15" customHeight="1" x14ac:dyDescent="0.25">
      <c r="E100" s="12"/>
      <c r="F100" s="12"/>
      <c r="G100" s="12"/>
      <c r="H100" s="12"/>
      <c r="I100" s="12"/>
      <c r="J100" s="12"/>
      <c r="K100" s="12"/>
      <c r="L100" s="12"/>
      <c r="M100" s="12"/>
      <c r="N100" s="12"/>
      <c r="O100" s="12"/>
      <c r="P100" s="12"/>
    </row>
    <row r="101" spans="5:16" ht="15" customHeight="1" x14ac:dyDescent="0.25">
      <c r="E101" s="12"/>
      <c r="F101" s="12"/>
      <c r="G101" s="12"/>
      <c r="H101" s="12"/>
      <c r="I101" s="12"/>
      <c r="J101" s="12"/>
      <c r="K101" s="12"/>
      <c r="L101" s="12"/>
      <c r="M101" s="12"/>
      <c r="N101" s="12"/>
      <c r="O101" s="12"/>
      <c r="P101" s="12"/>
    </row>
    <row r="102" spans="5:16" ht="15" customHeight="1" x14ac:dyDescent="0.25">
      <c r="E102" s="12"/>
      <c r="F102" s="12"/>
      <c r="G102" s="12"/>
      <c r="H102" s="12"/>
      <c r="I102" s="12"/>
      <c r="J102" s="12"/>
      <c r="K102" s="12"/>
      <c r="L102" s="12"/>
      <c r="M102" s="12"/>
      <c r="N102" s="12"/>
      <c r="O102" s="12"/>
      <c r="P102" s="12"/>
    </row>
    <row r="103" spans="5:16" ht="15" customHeight="1" x14ac:dyDescent="0.25">
      <c r="E103" s="12"/>
      <c r="F103" s="12"/>
      <c r="G103" s="12"/>
      <c r="H103" s="12"/>
      <c r="I103" s="12"/>
      <c r="J103" s="12"/>
      <c r="K103" s="12"/>
      <c r="L103" s="12"/>
      <c r="M103" s="12"/>
      <c r="N103" s="12"/>
      <c r="O103" s="12"/>
      <c r="P103" s="12"/>
    </row>
    <row r="104" spans="5:16" ht="15" customHeight="1" x14ac:dyDescent="0.25">
      <c r="E104" s="12"/>
      <c r="F104" s="12"/>
      <c r="G104" s="12"/>
      <c r="H104" s="12"/>
      <c r="I104" s="12"/>
      <c r="J104" s="12"/>
      <c r="K104" s="12"/>
      <c r="L104" s="12"/>
      <c r="M104" s="12"/>
      <c r="N104" s="12"/>
      <c r="O104" s="12"/>
      <c r="P104" s="12"/>
    </row>
    <row r="105" spans="5:16" ht="15" customHeight="1" x14ac:dyDescent="0.25">
      <c r="E105" s="12"/>
      <c r="F105" s="12"/>
      <c r="G105" s="12"/>
      <c r="H105" s="12"/>
      <c r="I105" s="12"/>
      <c r="J105" s="12"/>
      <c r="K105" s="12"/>
      <c r="L105" s="12"/>
      <c r="M105" s="12"/>
      <c r="N105" s="12"/>
      <c r="O105" s="12"/>
      <c r="P105" s="12"/>
    </row>
    <row r="106" spans="5:16" ht="15" customHeight="1" x14ac:dyDescent="0.25">
      <c r="E106" s="12"/>
      <c r="F106" s="12"/>
      <c r="G106" s="12"/>
      <c r="H106" s="12"/>
      <c r="I106" s="12"/>
      <c r="J106" s="12"/>
      <c r="K106" s="12"/>
      <c r="L106" s="12"/>
      <c r="M106" s="12"/>
      <c r="N106" s="12"/>
      <c r="O106" s="12"/>
      <c r="P106" s="12"/>
    </row>
    <row r="107" spans="5:16" ht="15" customHeight="1" x14ac:dyDescent="0.25">
      <c r="E107" s="12"/>
      <c r="F107" s="12"/>
      <c r="G107" s="12"/>
      <c r="H107" s="12"/>
      <c r="I107" s="12"/>
      <c r="J107" s="12"/>
      <c r="K107" s="12"/>
      <c r="L107" s="12"/>
      <c r="M107" s="12"/>
      <c r="N107" s="12"/>
      <c r="O107" s="12"/>
      <c r="P107" s="12"/>
    </row>
    <row r="108" spans="5:16" ht="15" customHeight="1" x14ac:dyDescent="0.25">
      <c r="E108" s="12"/>
      <c r="F108" s="12"/>
      <c r="G108" s="12"/>
      <c r="H108" s="12"/>
      <c r="I108" s="12"/>
      <c r="J108" s="12"/>
      <c r="K108" s="12"/>
      <c r="L108" s="12"/>
      <c r="M108" s="12"/>
      <c r="N108" s="12"/>
      <c r="O108" s="12"/>
      <c r="P108" s="12"/>
    </row>
    <row r="109" spans="5:16" ht="15" customHeight="1" x14ac:dyDescent="0.25">
      <c r="E109" s="12"/>
      <c r="F109" s="12"/>
      <c r="G109" s="12"/>
      <c r="H109" s="12"/>
      <c r="I109" s="12"/>
      <c r="J109" s="12"/>
      <c r="K109" s="12"/>
      <c r="L109" s="12"/>
      <c r="M109" s="12"/>
      <c r="N109" s="12"/>
      <c r="O109" s="12"/>
      <c r="P109" s="12"/>
    </row>
    <row r="110" spans="5:16" ht="15" customHeight="1" x14ac:dyDescent="0.25">
      <c r="E110" s="12"/>
      <c r="F110" s="12"/>
      <c r="G110" s="12"/>
      <c r="H110" s="12"/>
      <c r="I110" s="12"/>
      <c r="J110" s="12"/>
      <c r="K110" s="12"/>
      <c r="L110" s="12"/>
      <c r="M110" s="12"/>
      <c r="N110" s="12"/>
      <c r="O110" s="12"/>
      <c r="P110" s="12"/>
    </row>
    <row r="111" spans="5:16" ht="15" customHeight="1" x14ac:dyDescent="0.25">
      <c r="E111" s="12"/>
      <c r="F111" s="12"/>
      <c r="G111" s="12"/>
      <c r="H111" s="12"/>
      <c r="I111" s="12"/>
      <c r="J111" s="12"/>
      <c r="K111" s="12"/>
      <c r="L111" s="12"/>
      <c r="M111" s="12"/>
      <c r="N111" s="12"/>
      <c r="O111" s="12"/>
      <c r="P111" s="12"/>
    </row>
    <row r="112" spans="5:16" ht="15" customHeight="1" x14ac:dyDescent="0.25">
      <c r="E112" s="12"/>
      <c r="F112" s="12"/>
      <c r="G112" s="12"/>
      <c r="H112" s="12"/>
      <c r="I112" s="12"/>
      <c r="J112" s="12"/>
      <c r="K112" s="12"/>
      <c r="L112" s="12"/>
      <c r="M112" s="12"/>
      <c r="N112" s="12"/>
      <c r="O112" s="12"/>
      <c r="P112" s="12"/>
    </row>
    <row r="113" spans="5:16" ht="15" customHeight="1" x14ac:dyDescent="0.25">
      <c r="E113" s="12"/>
      <c r="F113" s="12"/>
      <c r="G113" s="12"/>
      <c r="H113" s="12"/>
      <c r="I113" s="12"/>
      <c r="J113" s="12"/>
      <c r="K113" s="12"/>
      <c r="L113" s="12"/>
      <c r="M113" s="12"/>
      <c r="N113" s="12"/>
      <c r="O113" s="12"/>
      <c r="P113" s="12"/>
    </row>
    <row r="114" spans="5:16" ht="15" customHeight="1" x14ac:dyDescent="0.25">
      <c r="E114" s="12"/>
      <c r="F114" s="12"/>
      <c r="G114" s="12"/>
      <c r="H114" s="12"/>
      <c r="I114" s="12"/>
      <c r="J114" s="12"/>
      <c r="K114" s="12"/>
      <c r="L114" s="12"/>
      <c r="M114" s="12"/>
      <c r="N114" s="12"/>
      <c r="O114" s="12"/>
      <c r="P114" s="12"/>
    </row>
    <row r="115" spans="5:16" ht="15" customHeight="1" x14ac:dyDescent="0.25">
      <c r="E115" s="12"/>
      <c r="F115" s="12"/>
      <c r="G115" s="12"/>
      <c r="H115" s="12"/>
      <c r="I115" s="12"/>
      <c r="J115" s="12"/>
      <c r="K115" s="12"/>
      <c r="L115" s="12"/>
      <c r="M115" s="12"/>
      <c r="N115" s="12"/>
      <c r="O115" s="12"/>
      <c r="P115" s="12"/>
    </row>
    <row r="116" spans="5:16" ht="15" customHeight="1" x14ac:dyDescent="0.25">
      <c r="E116" s="12"/>
      <c r="F116" s="12"/>
      <c r="G116" s="12"/>
      <c r="H116" s="12"/>
      <c r="I116" s="12"/>
      <c r="J116" s="12"/>
      <c r="K116" s="12"/>
      <c r="L116" s="12"/>
      <c r="M116" s="12"/>
      <c r="N116" s="12"/>
      <c r="O116" s="12"/>
      <c r="P116" s="12"/>
    </row>
    <row r="117" spans="5:16" ht="15" customHeight="1" x14ac:dyDescent="0.25">
      <c r="E117" s="12"/>
      <c r="F117" s="12"/>
      <c r="G117" s="12"/>
      <c r="H117" s="12"/>
      <c r="I117" s="12"/>
      <c r="J117" s="12"/>
      <c r="K117" s="12"/>
      <c r="L117" s="12"/>
      <c r="M117" s="12"/>
      <c r="N117" s="12"/>
      <c r="O117" s="12"/>
      <c r="P117" s="12"/>
    </row>
    <row r="118" spans="5:16" ht="15" customHeight="1" x14ac:dyDescent="0.25">
      <c r="E118" s="12"/>
      <c r="F118" s="12"/>
      <c r="G118" s="12"/>
      <c r="H118" s="12"/>
      <c r="I118" s="12"/>
      <c r="J118" s="12"/>
      <c r="K118" s="12"/>
      <c r="L118" s="12"/>
      <c r="M118" s="12"/>
      <c r="N118" s="12"/>
      <c r="O118" s="12"/>
      <c r="P118" s="12"/>
    </row>
    <row r="119" spans="5:16" ht="15" customHeight="1" x14ac:dyDescent="0.25">
      <c r="E119" s="12"/>
      <c r="F119" s="12"/>
      <c r="G119" s="12"/>
      <c r="H119" s="12"/>
      <c r="I119" s="12"/>
      <c r="J119" s="12"/>
      <c r="K119" s="12"/>
      <c r="L119" s="12"/>
      <c r="M119" s="12"/>
      <c r="N119" s="12"/>
      <c r="O119" s="12"/>
      <c r="P119" s="12"/>
    </row>
    <row r="120" spans="5:16" ht="15" customHeight="1" x14ac:dyDescent="0.25">
      <c r="E120" s="12"/>
      <c r="F120" s="12"/>
      <c r="G120" s="12"/>
      <c r="H120" s="12"/>
      <c r="I120" s="12"/>
      <c r="J120" s="12"/>
      <c r="K120" s="12"/>
      <c r="L120" s="12"/>
      <c r="M120" s="12"/>
      <c r="N120" s="12"/>
      <c r="O120" s="12"/>
      <c r="P120" s="12"/>
    </row>
    <row r="121" spans="5:16" ht="15" customHeight="1" x14ac:dyDescent="0.25">
      <c r="E121" s="12"/>
      <c r="F121" s="12"/>
      <c r="G121" s="12"/>
      <c r="H121" s="12"/>
      <c r="I121" s="12"/>
      <c r="J121" s="12"/>
      <c r="K121" s="12"/>
      <c r="L121" s="12"/>
      <c r="M121" s="12"/>
      <c r="N121" s="12"/>
      <c r="O121" s="12"/>
      <c r="P121" s="12"/>
    </row>
    <row r="122" spans="5:16" ht="15" customHeight="1" x14ac:dyDescent="0.25">
      <c r="E122" s="12"/>
      <c r="F122" s="12"/>
      <c r="G122" s="12"/>
      <c r="H122" s="12"/>
      <c r="I122" s="12"/>
      <c r="J122" s="12"/>
      <c r="K122" s="12"/>
      <c r="L122" s="12"/>
      <c r="M122" s="12"/>
      <c r="N122" s="12"/>
      <c r="O122" s="12"/>
      <c r="P122" s="12"/>
    </row>
    <row r="123" spans="5:16" ht="15" customHeight="1" x14ac:dyDescent="0.25">
      <c r="E123" s="12"/>
      <c r="F123" s="12"/>
      <c r="G123" s="12"/>
      <c r="H123" s="12"/>
      <c r="I123" s="12"/>
      <c r="J123" s="12"/>
      <c r="K123" s="12"/>
      <c r="L123" s="12"/>
      <c r="M123" s="12"/>
      <c r="N123" s="12"/>
      <c r="O123" s="12"/>
      <c r="P123" s="12"/>
    </row>
    <row r="124" spans="5:16" ht="15" customHeight="1" x14ac:dyDescent="0.25">
      <c r="E124" s="12"/>
      <c r="F124" s="12"/>
      <c r="G124" s="12"/>
      <c r="H124" s="12"/>
      <c r="I124" s="12"/>
      <c r="J124" s="12"/>
      <c r="K124" s="12"/>
      <c r="L124" s="12"/>
      <c r="M124" s="12"/>
      <c r="N124" s="12"/>
      <c r="O124" s="12"/>
      <c r="P124" s="12"/>
    </row>
    <row r="125" spans="5:16" ht="15" customHeight="1" x14ac:dyDescent="0.25">
      <c r="E125" s="12"/>
      <c r="F125" s="12"/>
      <c r="G125" s="12"/>
      <c r="H125" s="12"/>
      <c r="I125" s="12"/>
      <c r="J125" s="12"/>
      <c r="K125" s="12"/>
      <c r="L125" s="12"/>
      <c r="M125" s="12"/>
      <c r="N125" s="12"/>
      <c r="O125" s="12"/>
      <c r="P125" s="12"/>
    </row>
    <row r="126" spans="5:16" ht="15" customHeight="1" x14ac:dyDescent="0.25">
      <c r="E126" s="12"/>
      <c r="F126" s="12"/>
      <c r="G126" s="12"/>
      <c r="H126" s="12"/>
      <c r="I126" s="12"/>
      <c r="J126" s="12"/>
      <c r="K126" s="12"/>
      <c r="L126" s="12"/>
      <c r="M126" s="12"/>
      <c r="N126" s="12"/>
      <c r="O126" s="12"/>
      <c r="P126" s="12"/>
    </row>
    <row r="127" spans="5:16" ht="15" customHeight="1" x14ac:dyDescent="0.25">
      <c r="E127" s="12"/>
      <c r="F127" s="12"/>
      <c r="G127" s="12"/>
      <c r="H127" s="12"/>
      <c r="I127" s="12"/>
      <c r="J127" s="12"/>
      <c r="K127" s="12"/>
      <c r="L127" s="12"/>
      <c r="M127" s="12"/>
      <c r="N127" s="12"/>
      <c r="O127" s="12"/>
      <c r="P127" s="12"/>
    </row>
    <row r="128" spans="5:16" ht="15" customHeight="1" x14ac:dyDescent="0.25">
      <c r="E128" s="12"/>
      <c r="F128" s="12"/>
      <c r="G128" s="12"/>
      <c r="H128" s="12"/>
      <c r="I128" s="12"/>
      <c r="J128" s="12"/>
      <c r="K128" s="12"/>
      <c r="L128" s="12"/>
      <c r="M128" s="12"/>
      <c r="N128" s="12"/>
      <c r="O128" s="12"/>
      <c r="P128" s="12"/>
    </row>
    <row r="129" spans="5:16" ht="15" customHeight="1" x14ac:dyDescent="0.25">
      <c r="E129" s="12"/>
      <c r="F129" s="12"/>
      <c r="G129" s="12"/>
      <c r="H129" s="12"/>
      <c r="I129" s="12"/>
      <c r="J129" s="12"/>
      <c r="K129" s="12"/>
      <c r="L129" s="12"/>
      <c r="M129" s="12"/>
      <c r="N129" s="12"/>
      <c r="O129" s="12"/>
      <c r="P129" s="12"/>
    </row>
    <row r="130" spans="5:16" ht="15" customHeight="1" x14ac:dyDescent="0.25"/>
  </sheetData>
  <printOptions horizontalCentered="1"/>
  <pageMargins left="0.11811023622047245" right="0.11811023622047245" top="0.11811023622047245" bottom="0.19685039370078741" header="0.11811023622047245" footer="0.11811023622047245"/>
  <pageSetup scale="80" orientation="landscape" r:id="rId1"/>
  <headerFooter>
    <oddFooter>&amp;Lir.tesla.com&amp;CPage &amp;P of &amp;N&amp;R&amp;D  &amp;T</oddFooter>
  </headerFooter>
  <rowBreaks count="1" manualBreakCount="1">
    <brk id="36" max="21" man="1"/>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E003E-3B72-4912-BA12-AB35ECC101F4}">
  <dimension ref="B1:XEX2655"/>
  <sheetViews>
    <sheetView showGridLines="0" topLeftCell="XEN2634" zoomScaleNormal="100" workbookViewId="0">
      <selection activeCell="XER2644" sqref="XER2644"/>
    </sheetView>
  </sheetViews>
  <sheetFormatPr baseColWidth="10" defaultColWidth="8.83203125" defaultRowHeight="15" x14ac:dyDescent="0.2"/>
  <cols>
    <col min="1" max="2" width="1.1640625" style="1" customWidth="1"/>
    <col min="3" max="3" width="38.6640625" style="1" customWidth="1"/>
    <col min="4" max="14" width="11.6640625" style="1" customWidth="1"/>
    <col min="15" max="15" width="1.1640625" style="1" customWidth="1"/>
    <col min="16" max="17" width="9.1640625" style="1"/>
    <col min="18" max="18" width="1.1640625" style="1" customWidth="1"/>
    <col min="19" max="19" width="35.6640625" style="1" customWidth="1"/>
    <col min="20" max="22" width="12.6640625" style="1" customWidth="1"/>
    <col min="23" max="23" width="14.1640625" style="1" bestFit="1" customWidth="1"/>
    <col min="24" max="27" width="12.6640625" style="1" customWidth="1"/>
    <col min="28" max="28" width="1.1640625" customWidth="1"/>
    <col min="29" max="30" width="18.6640625" style="1" customWidth="1"/>
    <col min="31" max="61" width="12.6640625" style="1" customWidth="1"/>
    <col min="62" max="16373" width="9.1640625" style="1"/>
    <col min="16374" max="16378" width="14.6640625" style="1" customWidth="1"/>
    <col min="16379" max="16384" width="9.1640625" style="1"/>
  </cols>
  <sheetData>
    <row r="1" spans="2:27" ht="6" customHeight="1" x14ac:dyDescent="0.2"/>
    <row r="2" spans="2:27" ht="20" customHeight="1" x14ac:dyDescent="0.25">
      <c r="B2" s="2" t="str">
        <f>'Cover Page'!$C$18</f>
        <v>Tesla, Inc.</v>
      </c>
      <c r="C2" s="3"/>
      <c r="D2" s="3"/>
      <c r="E2" s="3"/>
      <c r="F2" s="3"/>
      <c r="G2" s="3"/>
      <c r="H2" s="3"/>
      <c r="I2" s="3"/>
      <c r="J2" s="3"/>
      <c r="K2" s="3"/>
      <c r="L2" s="3"/>
      <c r="M2" s="3"/>
      <c r="N2" s="3"/>
    </row>
    <row r="3" spans="2:27" ht="15" customHeight="1" x14ac:dyDescent="0.2">
      <c r="B3" s="4" t="s">
        <v>43</v>
      </c>
      <c r="C3" s="4"/>
      <c r="D3" s="4"/>
      <c r="E3" s="4"/>
      <c r="F3" s="4"/>
      <c r="G3" s="4"/>
      <c r="H3" s="4"/>
      <c r="I3" s="4"/>
      <c r="J3" s="4"/>
      <c r="K3" s="4"/>
      <c r="L3" s="4"/>
      <c r="M3" s="4"/>
      <c r="N3" s="4"/>
    </row>
    <row r="4" spans="2:27" ht="15" customHeight="1" thickBot="1" x14ac:dyDescent="0.25">
      <c r="B4" s="5"/>
      <c r="C4" s="5"/>
      <c r="D4" s="5"/>
      <c r="E4" s="5"/>
      <c r="F4" s="5"/>
      <c r="G4" s="5"/>
      <c r="H4" s="5"/>
      <c r="I4" s="5"/>
      <c r="J4" s="5"/>
      <c r="K4" s="5"/>
      <c r="L4" s="5"/>
      <c r="M4" s="5"/>
      <c r="N4" s="5"/>
    </row>
    <row r="5" spans="2:27" ht="15" customHeight="1" x14ac:dyDescent="0.2"/>
    <row r="6" spans="2:27" ht="15" customHeight="1" x14ac:dyDescent="0.2"/>
    <row r="7" spans="2:27" ht="15" customHeight="1" x14ac:dyDescent="0.2">
      <c r="E7" s="6" t="s">
        <v>8</v>
      </c>
      <c r="F7" s="7"/>
      <c r="G7" s="7"/>
      <c r="H7" s="7"/>
      <c r="I7" s="7"/>
      <c r="J7" s="23" t="s">
        <v>9</v>
      </c>
      <c r="K7" s="24"/>
      <c r="L7" s="24"/>
      <c r="M7" s="24"/>
      <c r="N7" s="24"/>
      <c r="W7" s="6" t="s">
        <v>5</v>
      </c>
      <c r="X7" s="7"/>
      <c r="Y7" s="7"/>
      <c r="Z7" s="7"/>
      <c r="AA7" s="7"/>
    </row>
    <row r="8" spans="2:27" ht="15" customHeight="1" x14ac:dyDescent="0.2">
      <c r="E8" s="10">
        <f t="shared" ref="E8:H8" si="0">F8-1</f>
        <v>2017</v>
      </c>
      <c r="F8" s="10">
        <f t="shared" si="0"/>
        <v>2018</v>
      </c>
      <c r="G8" s="10">
        <f t="shared" si="0"/>
        <v>2019</v>
      </c>
      <c r="H8" s="10">
        <f t="shared" si="0"/>
        <v>2020</v>
      </c>
      <c r="I8" s="10">
        <f>2021</f>
        <v>2021</v>
      </c>
      <c r="J8" s="25">
        <v>2017</v>
      </c>
      <c r="K8" s="10">
        <v>2018</v>
      </c>
      <c r="L8" s="10">
        <v>2019</v>
      </c>
      <c r="M8" s="10">
        <v>2020</v>
      </c>
      <c r="N8" s="10">
        <v>2021</v>
      </c>
      <c r="W8" s="10">
        <f t="shared" ref="W8:Z8" si="1">X8-1</f>
        <v>2017</v>
      </c>
      <c r="X8" s="10">
        <f t="shared" si="1"/>
        <v>2018</v>
      </c>
      <c r="Y8" s="10">
        <f t="shared" si="1"/>
        <v>2019</v>
      </c>
      <c r="Z8" s="10">
        <f t="shared" si="1"/>
        <v>2020</v>
      </c>
      <c r="AA8" s="10">
        <f>2021</f>
        <v>2021</v>
      </c>
    </row>
    <row r="9" spans="2:27" ht="15" customHeight="1" x14ac:dyDescent="0.2">
      <c r="J9" s="26"/>
    </row>
    <row r="10" spans="2:27" ht="15" customHeight="1" x14ac:dyDescent="0.2">
      <c r="C10" s="13" t="str">
        <f t="shared" ref="C10:C33" si="2">S10</f>
        <v>Revenue</v>
      </c>
      <c r="D10" s="13"/>
      <c r="E10" s="31">
        <f t="shared" ref="E10:E33" si="3">W10/W$10</f>
        <v>1</v>
      </c>
      <c r="F10" s="31">
        <f t="shared" ref="F10:F33" si="4">X10/X$10</f>
        <v>1</v>
      </c>
      <c r="G10" s="31">
        <f t="shared" ref="G10:G33" si="5">Y10/Y$10</f>
        <v>1</v>
      </c>
      <c r="H10" s="31">
        <f t="shared" ref="H10:H33" si="6">Z10/Z$10</f>
        <v>1</v>
      </c>
      <c r="I10" s="31">
        <f t="shared" ref="I10:I33" si="7">AA10/AA$10</f>
        <v>1</v>
      </c>
      <c r="J10" s="32"/>
      <c r="K10" s="31">
        <f t="shared" ref="K10:K33" si="8">IFERROR(X10/W10-1,"")</f>
        <v>0.8250701590271281</v>
      </c>
      <c r="L10" s="31">
        <f t="shared" ref="L10:L33" si="9">IFERROR(Y10/X10-1,"")</f>
        <v>0.14524020315921904</v>
      </c>
      <c r="M10" s="31">
        <f t="shared" ref="M10:M33" si="10">IFERROR(Z10/Y10-1,"")</f>
        <v>0.28309870615998056</v>
      </c>
      <c r="N10" s="31">
        <f t="shared" ref="N10:N33" si="11">IFERROR(AA10/Z10-1,"")</f>
        <v>0.70671613394216126</v>
      </c>
      <c r="S10" s="13" t="s">
        <v>10</v>
      </c>
      <c r="W10" s="12">
        <f>W53</f>
        <v>11759</v>
      </c>
      <c r="X10" s="12">
        <f>X53</f>
        <v>21461</v>
      </c>
      <c r="Y10" s="12">
        <f>Y53</f>
        <v>24578</v>
      </c>
      <c r="Z10" s="12">
        <f>Z53</f>
        <v>31536</v>
      </c>
      <c r="AA10" s="12">
        <f>AA53</f>
        <v>53823</v>
      </c>
    </row>
    <row r="11" spans="2:27" ht="15" customHeight="1" x14ac:dyDescent="0.2">
      <c r="C11" s="13" t="str">
        <f t="shared" si="2"/>
        <v>Cost of revenue</v>
      </c>
      <c r="D11" s="13"/>
      <c r="E11" s="31">
        <f t="shared" si="3"/>
        <v>0.81095331235649293</v>
      </c>
      <c r="F11" s="31">
        <f t="shared" si="4"/>
        <v>0.81165835701971012</v>
      </c>
      <c r="G11" s="31">
        <f t="shared" si="5"/>
        <v>0.83444543901049717</v>
      </c>
      <c r="H11" s="31">
        <f t="shared" si="6"/>
        <v>0.7897640791476408</v>
      </c>
      <c r="I11" s="31">
        <f t="shared" si="7"/>
        <v>0.74720844248741247</v>
      </c>
      <c r="J11" s="32"/>
      <c r="K11" s="31">
        <f t="shared" si="8"/>
        <v>0.82665687919463093</v>
      </c>
      <c r="L11" s="31">
        <f t="shared" si="9"/>
        <v>0.1773925024398646</v>
      </c>
      <c r="M11" s="31">
        <f t="shared" si="10"/>
        <v>0.21439368082305332</v>
      </c>
      <c r="N11" s="31">
        <f t="shared" si="11"/>
        <v>0.61475146551031878</v>
      </c>
      <c r="S11" s="13" t="s">
        <v>18</v>
      </c>
      <c r="W11" s="12">
        <f>W75</f>
        <v>9536</v>
      </c>
      <c r="X11" s="12">
        <f>X75</f>
        <v>17419</v>
      </c>
      <c r="Y11" s="12">
        <f>Y75</f>
        <v>20509</v>
      </c>
      <c r="Z11" s="12">
        <f>Z75</f>
        <v>24906</v>
      </c>
      <c r="AA11" s="12">
        <f>AA75</f>
        <v>40217</v>
      </c>
    </row>
    <row r="12" spans="2:27" ht="15" customHeight="1" x14ac:dyDescent="0.2">
      <c r="C12" s="15" t="str">
        <f t="shared" si="2"/>
        <v>Gross Profit</v>
      </c>
      <c r="D12" s="15"/>
      <c r="E12" s="33">
        <f t="shared" si="3"/>
        <v>0.1890466876435071</v>
      </c>
      <c r="F12" s="33">
        <f t="shared" si="4"/>
        <v>0.18834164298028983</v>
      </c>
      <c r="G12" s="33">
        <f t="shared" si="5"/>
        <v>0.1655545609895028</v>
      </c>
      <c r="H12" s="33">
        <f t="shared" si="6"/>
        <v>0.2102359208523592</v>
      </c>
      <c r="I12" s="33">
        <f t="shared" si="7"/>
        <v>0.25279155751258753</v>
      </c>
      <c r="J12" s="34"/>
      <c r="K12" s="33">
        <f t="shared" si="8"/>
        <v>0.81826360773729201</v>
      </c>
      <c r="L12" s="33">
        <f t="shared" si="9"/>
        <v>6.6798614547254331E-3</v>
      </c>
      <c r="M12" s="33">
        <f t="shared" si="10"/>
        <v>0.62939297124600646</v>
      </c>
      <c r="N12" s="33">
        <f t="shared" si="11"/>
        <v>1.0521870286576167</v>
      </c>
      <c r="S12" s="15" t="s">
        <v>20</v>
      </c>
      <c r="T12" s="15"/>
      <c r="U12" s="15"/>
      <c r="V12" s="15"/>
      <c r="W12" s="16">
        <f t="shared" ref="W12:AA12" si="12">W10-W11</f>
        <v>2223</v>
      </c>
      <c r="X12" s="16">
        <f t="shared" si="12"/>
        <v>4042</v>
      </c>
      <c r="Y12" s="16">
        <f t="shared" si="12"/>
        <v>4069</v>
      </c>
      <c r="Z12" s="16">
        <f t="shared" si="12"/>
        <v>6630</v>
      </c>
      <c r="AA12" s="16">
        <f t="shared" si="12"/>
        <v>13606</v>
      </c>
    </row>
    <row r="13" spans="2:27" ht="15" customHeight="1" x14ac:dyDescent="0.2">
      <c r="E13" s="31"/>
      <c r="F13" s="31"/>
      <c r="G13" s="31"/>
      <c r="H13" s="31"/>
      <c r="I13" s="31"/>
      <c r="J13" s="35"/>
      <c r="K13" s="31"/>
      <c r="L13" s="31"/>
      <c r="M13" s="31"/>
      <c r="N13" s="31"/>
      <c r="W13" s="12"/>
      <c r="X13" s="12"/>
      <c r="Y13" s="12"/>
      <c r="Z13" s="12"/>
      <c r="AA13" s="12"/>
    </row>
    <row r="14" spans="2:27" ht="15" customHeight="1" x14ac:dyDescent="0.2">
      <c r="C14" s="1" t="str">
        <f t="shared" si="2"/>
        <v>Operating Expenses</v>
      </c>
      <c r="E14" s="31"/>
      <c r="F14" s="31"/>
      <c r="G14" s="31"/>
      <c r="H14" s="31"/>
      <c r="I14" s="31"/>
      <c r="J14" s="35"/>
      <c r="K14" s="31"/>
      <c r="L14" s="31"/>
      <c r="M14" s="31"/>
      <c r="N14" s="31"/>
      <c r="S14" s="1" t="s">
        <v>21</v>
      </c>
      <c r="W14" s="12"/>
      <c r="X14" s="12"/>
      <c r="Y14" s="12"/>
      <c r="Z14" s="12"/>
      <c r="AA14" s="12"/>
    </row>
    <row r="15" spans="2:27" ht="15" customHeight="1" x14ac:dyDescent="0.2">
      <c r="C15" s="13" t="str">
        <f t="shared" si="2"/>
        <v>Research and development</v>
      </c>
      <c r="D15" s="13"/>
      <c r="E15" s="31">
        <f t="shared" si="3"/>
        <v>0.1171868356152734</v>
      </c>
      <c r="F15" s="31">
        <f t="shared" si="4"/>
        <v>6.8030380690554962E-2</v>
      </c>
      <c r="G15" s="31">
        <f t="shared" si="5"/>
        <v>5.4642363088941333E-2</v>
      </c>
      <c r="H15" s="31">
        <f t="shared" si="6"/>
        <v>4.7279299847792999E-2</v>
      </c>
      <c r="I15" s="31">
        <f t="shared" si="7"/>
        <v>4.817643015067908E-2</v>
      </c>
      <c r="J15" s="32"/>
      <c r="K15" s="31">
        <f t="shared" si="8"/>
        <v>5.9506531204644331E-2</v>
      </c>
      <c r="L15" s="31">
        <f t="shared" si="9"/>
        <v>-8.0136986301369895E-2</v>
      </c>
      <c r="M15" s="31">
        <f t="shared" si="10"/>
        <v>0.11020104244229345</v>
      </c>
      <c r="N15" s="31">
        <f t="shared" si="11"/>
        <v>0.73910127431254202</v>
      </c>
      <c r="S15" s="13" t="s">
        <v>22</v>
      </c>
      <c r="W15" s="12">
        <v>1378</v>
      </c>
      <c r="X15" s="12">
        <v>1460</v>
      </c>
      <c r="Y15" s="12">
        <v>1343</v>
      </c>
      <c r="Z15" s="12">
        <v>1491</v>
      </c>
      <c r="AA15" s="12">
        <v>2593</v>
      </c>
    </row>
    <row r="16" spans="2:27" ht="15" customHeight="1" x14ac:dyDescent="0.2">
      <c r="C16" s="13" t="str">
        <f t="shared" si="2"/>
        <v>Selling, general and administrative</v>
      </c>
      <c r="D16" s="13"/>
      <c r="E16" s="31">
        <f t="shared" si="3"/>
        <v>0.21064716387447913</v>
      </c>
      <c r="F16" s="31">
        <f t="shared" si="4"/>
        <v>0.1321000885326872</v>
      </c>
      <c r="G16" s="31">
        <f t="shared" si="5"/>
        <v>0.10765725445520384</v>
      </c>
      <c r="H16" s="31">
        <f t="shared" si="6"/>
        <v>9.9727295788939629E-2</v>
      </c>
      <c r="I16" s="31">
        <f t="shared" si="7"/>
        <v>8.3923229845976624E-2</v>
      </c>
      <c r="J16" s="32"/>
      <c r="K16" s="31">
        <f t="shared" si="8"/>
        <v>0.14452967299152197</v>
      </c>
      <c r="L16" s="31">
        <f t="shared" si="9"/>
        <v>-6.6666666666666652E-2</v>
      </c>
      <c r="M16" s="31">
        <f t="shared" si="10"/>
        <v>0.18858654572940292</v>
      </c>
      <c r="N16" s="31">
        <f t="shared" si="11"/>
        <v>0.43624801271860103</v>
      </c>
      <c r="S16" s="13" t="s">
        <v>23</v>
      </c>
      <c r="W16" s="12">
        <v>2477</v>
      </c>
      <c r="X16" s="12">
        <v>2835</v>
      </c>
      <c r="Y16" s="12">
        <v>2646</v>
      </c>
      <c r="Z16" s="12">
        <v>3145</v>
      </c>
      <c r="AA16" s="12">
        <v>4517</v>
      </c>
    </row>
    <row r="17" spans="3:27" ht="15" customHeight="1" x14ac:dyDescent="0.2">
      <c r="C17" s="13" t="str">
        <f t="shared" si="2"/>
        <v>Restructuring and other</v>
      </c>
      <c r="D17" s="13"/>
      <c r="E17" s="31">
        <f t="shared" si="3"/>
        <v>0</v>
      </c>
      <c r="F17" s="31">
        <f t="shared" si="4"/>
        <v>6.2904804063184383E-3</v>
      </c>
      <c r="G17" s="31">
        <f t="shared" si="5"/>
        <v>6.0623321669785986E-3</v>
      </c>
      <c r="H17" s="31">
        <f t="shared" si="6"/>
        <v>0</v>
      </c>
      <c r="I17" s="31">
        <f t="shared" si="7"/>
        <v>-5.0164427846831284E-4</v>
      </c>
      <c r="J17" s="32"/>
      <c r="K17" s="31" t="str">
        <f t="shared" si="8"/>
        <v/>
      </c>
      <c r="L17" s="31">
        <f t="shared" si="9"/>
        <v>0.10370370370370363</v>
      </c>
      <c r="M17" s="31">
        <f t="shared" si="10"/>
        <v>-1</v>
      </c>
      <c r="N17" s="31" t="str">
        <f t="shared" si="11"/>
        <v/>
      </c>
      <c r="S17" s="13" t="s">
        <v>24</v>
      </c>
      <c r="W17" s="12">
        <v>0</v>
      </c>
      <c r="X17" s="12">
        <v>135</v>
      </c>
      <c r="Y17" s="12">
        <v>149</v>
      </c>
      <c r="Z17" s="12">
        <v>0</v>
      </c>
      <c r="AA17" s="12">
        <v>-27</v>
      </c>
    </row>
    <row r="18" spans="3:27" ht="15" customHeight="1" x14ac:dyDescent="0.2">
      <c r="C18" s="15" t="str">
        <f t="shared" si="2"/>
        <v>Operating Expenses</v>
      </c>
      <c r="D18" s="15"/>
      <c r="E18" s="33">
        <f t="shared" si="3"/>
        <v>0.3278339994897525</v>
      </c>
      <c r="F18" s="33">
        <f t="shared" si="4"/>
        <v>0.20642094962956059</v>
      </c>
      <c r="G18" s="33">
        <f t="shared" si="5"/>
        <v>0.16836194971112378</v>
      </c>
      <c r="H18" s="33">
        <f t="shared" si="6"/>
        <v>0.14700659563673263</v>
      </c>
      <c r="I18" s="33">
        <f t="shared" si="7"/>
        <v>0.13159801571818738</v>
      </c>
      <c r="J18" s="34"/>
      <c r="K18" s="33">
        <f t="shared" si="8"/>
        <v>0.14915693904020744</v>
      </c>
      <c r="L18" s="33">
        <f t="shared" si="9"/>
        <v>-6.5914221218961622E-2</v>
      </c>
      <c r="M18" s="33">
        <f t="shared" si="10"/>
        <v>0.12034799420009668</v>
      </c>
      <c r="N18" s="33">
        <f t="shared" si="11"/>
        <v>0.52782571182053495</v>
      </c>
      <c r="S18" s="15" t="str">
        <f>S14</f>
        <v>Operating Expenses</v>
      </c>
      <c r="T18" s="15"/>
      <c r="U18" s="15"/>
      <c r="V18" s="15"/>
      <c r="W18" s="16">
        <f t="shared" ref="W18:AA18" si="13">SUM(W15:W17)</f>
        <v>3855</v>
      </c>
      <c r="X18" s="16">
        <f t="shared" si="13"/>
        <v>4430</v>
      </c>
      <c r="Y18" s="16">
        <f t="shared" si="13"/>
        <v>4138</v>
      </c>
      <c r="Z18" s="16">
        <f t="shared" si="13"/>
        <v>4636</v>
      </c>
      <c r="AA18" s="16">
        <f t="shared" si="13"/>
        <v>7083</v>
      </c>
    </row>
    <row r="19" spans="3:27" ht="15" customHeight="1" x14ac:dyDescent="0.2">
      <c r="E19" s="31"/>
      <c r="F19" s="31"/>
      <c r="G19" s="31"/>
      <c r="H19" s="31"/>
      <c r="I19" s="31"/>
      <c r="J19" s="35"/>
      <c r="K19" s="31"/>
      <c r="L19" s="31"/>
      <c r="M19" s="31"/>
      <c r="N19" s="31"/>
      <c r="W19" s="12"/>
      <c r="X19" s="12"/>
      <c r="Y19" s="12"/>
      <c r="Z19" s="12"/>
      <c r="AA19" s="12"/>
    </row>
    <row r="20" spans="3:27" ht="15" customHeight="1" x14ac:dyDescent="0.2">
      <c r="C20" s="1" t="str">
        <f t="shared" si="2"/>
        <v>Operating Profit</v>
      </c>
      <c r="E20" s="31">
        <f t="shared" si="3"/>
        <v>-0.13878731184624543</v>
      </c>
      <c r="F20" s="31">
        <f t="shared" si="4"/>
        <v>-1.8079306649270769E-2</v>
      </c>
      <c r="G20" s="31">
        <f t="shared" si="5"/>
        <v>-2.8073887216209618E-3</v>
      </c>
      <c r="H20" s="31">
        <f t="shared" si="6"/>
        <v>6.3229325215626589E-2</v>
      </c>
      <c r="I20" s="31">
        <f t="shared" si="7"/>
        <v>0.12119354179440016</v>
      </c>
      <c r="J20" s="32"/>
      <c r="K20" s="31">
        <f t="shared" si="8"/>
        <v>-0.76225490196078427</v>
      </c>
      <c r="L20" s="31">
        <f t="shared" si="9"/>
        <v>-0.82216494845360821</v>
      </c>
      <c r="M20" s="31">
        <f t="shared" si="10"/>
        <v>-29.89855072463768</v>
      </c>
      <c r="N20" s="31">
        <f t="shared" si="11"/>
        <v>2.2713139418254764</v>
      </c>
      <c r="S20" s="1" t="s">
        <v>25</v>
      </c>
      <c r="W20" s="12">
        <f t="shared" ref="W20:AA20" si="14">W12-W18</f>
        <v>-1632</v>
      </c>
      <c r="X20" s="12">
        <f t="shared" si="14"/>
        <v>-388</v>
      </c>
      <c r="Y20" s="12">
        <f t="shared" si="14"/>
        <v>-69</v>
      </c>
      <c r="Z20" s="12">
        <f t="shared" si="14"/>
        <v>1994</v>
      </c>
      <c r="AA20" s="12">
        <f t="shared" si="14"/>
        <v>6523</v>
      </c>
    </row>
    <row r="21" spans="3:27" ht="15" customHeight="1" x14ac:dyDescent="0.2">
      <c r="E21" s="31"/>
      <c r="F21" s="31"/>
      <c r="G21" s="31"/>
      <c r="H21" s="31"/>
      <c r="I21" s="31"/>
      <c r="J21" s="35"/>
      <c r="K21" s="31"/>
      <c r="L21" s="31"/>
      <c r="M21" s="31"/>
      <c r="N21" s="31"/>
      <c r="W21" s="12"/>
      <c r="X21" s="12"/>
      <c r="Y21" s="12"/>
      <c r="Z21" s="12"/>
      <c r="AA21" s="12"/>
    </row>
    <row r="22" spans="3:27" ht="15" customHeight="1" x14ac:dyDescent="0.2">
      <c r="C22" s="13" t="str">
        <f t="shared" si="2"/>
        <v>Interest income</v>
      </c>
      <c r="D22" s="13"/>
      <c r="E22" s="31">
        <f t="shared" si="3"/>
        <v>1.6157836550727102E-3</v>
      </c>
      <c r="F22" s="31">
        <f t="shared" si="4"/>
        <v>1.1183076277899446E-3</v>
      </c>
      <c r="G22" s="31">
        <f t="shared" si="5"/>
        <v>1.7902188949467004E-3</v>
      </c>
      <c r="H22" s="31">
        <f t="shared" si="6"/>
        <v>9.5129375951293754E-4</v>
      </c>
      <c r="I22" s="31">
        <f t="shared" si="7"/>
        <v>1.0404473923787229E-3</v>
      </c>
      <c r="J22" s="32"/>
      <c r="K22" s="31">
        <f t="shared" si="8"/>
        <v>0.26315789473684204</v>
      </c>
      <c r="L22" s="31">
        <f t="shared" si="9"/>
        <v>0.83333333333333326</v>
      </c>
      <c r="M22" s="31">
        <f t="shared" si="10"/>
        <v>-0.31818181818181823</v>
      </c>
      <c r="N22" s="31">
        <f t="shared" si="11"/>
        <v>0.8666666666666667</v>
      </c>
      <c r="S22" s="13" t="s">
        <v>26</v>
      </c>
      <c r="W22" s="12">
        <v>19</v>
      </c>
      <c r="X22" s="12">
        <v>24</v>
      </c>
      <c r="Y22" s="12">
        <v>44</v>
      </c>
      <c r="Z22" s="12">
        <v>30</v>
      </c>
      <c r="AA22" s="12">
        <v>56</v>
      </c>
    </row>
    <row r="23" spans="3:27" ht="15" customHeight="1" x14ac:dyDescent="0.2">
      <c r="C23" s="13" t="str">
        <f t="shared" si="2"/>
        <v>Interest expense</v>
      </c>
      <c r="D23" s="13"/>
      <c r="E23" s="31">
        <f t="shared" si="3"/>
        <v>-4.0054426396802449E-2</v>
      </c>
      <c r="F23" s="31">
        <f t="shared" si="4"/>
        <v>-3.089324821769722E-2</v>
      </c>
      <c r="G23" s="31">
        <f t="shared" si="5"/>
        <v>-2.7870453250874765E-2</v>
      </c>
      <c r="H23" s="31">
        <f t="shared" si="6"/>
        <v>-2.3718924403855909E-2</v>
      </c>
      <c r="I23" s="31">
        <f t="shared" si="7"/>
        <v>-6.8929639745090388E-3</v>
      </c>
      <c r="J23" s="32"/>
      <c r="K23" s="31">
        <f t="shared" si="8"/>
        <v>0.40764331210191074</v>
      </c>
      <c r="L23" s="31">
        <f t="shared" si="9"/>
        <v>3.3182503770739169E-2</v>
      </c>
      <c r="M23" s="31">
        <f t="shared" si="10"/>
        <v>9.1970802919707939E-2</v>
      </c>
      <c r="N23" s="31">
        <f t="shared" si="11"/>
        <v>-0.50401069518716579</v>
      </c>
      <c r="S23" s="13" t="s">
        <v>27</v>
      </c>
      <c r="W23" s="12">
        <v>-471</v>
      </c>
      <c r="X23" s="12">
        <v>-663</v>
      </c>
      <c r="Y23" s="12">
        <v>-685</v>
      </c>
      <c r="Z23" s="12">
        <v>-748</v>
      </c>
      <c r="AA23" s="12">
        <v>-371</v>
      </c>
    </row>
    <row r="24" spans="3:27" ht="15" customHeight="1" x14ac:dyDescent="0.2">
      <c r="C24" s="13" t="str">
        <f t="shared" si="2"/>
        <v>Other income (expense), net</v>
      </c>
      <c r="D24" s="13"/>
      <c r="E24" s="31">
        <f t="shared" si="3"/>
        <v>-1.0630155625478357E-2</v>
      </c>
      <c r="F24" s="31">
        <f t="shared" si="4"/>
        <v>1.0251153254741158E-3</v>
      </c>
      <c r="G24" s="31">
        <f t="shared" si="5"/>
        <v>1.8309056880136709E-3</v>
      </c>
      <c r="H24" s="31">
        <f t="shared" si="6"/>
        <v>-3.8685946220192793E-3</v>
      </c>
      <c r="I24" s="31">
        <f t="shared" si="7"/>
        <v>2.5082213923415639E-3</v>
      </c>
      <c r="J24" s="32"/>
      <c r="K24" s="31">
        <f t="shared" si="8"/>
        <v>-1.1759999999999999</v>
      </c>
      <c r="L24" s="31">
        <f t="shared" si="9"/>
        <v>1.0454545454545454</v>
      </c>
      <c r="M24" s="31">
        <f t="shared" si="10"/>
        <v>-3.7111111111111112</v>
      </c>
      <c r="N24" s="31">
        <f t="shared" si="11"/>
        <v>-2.1065573770491803</v>
      </c>
      <c r="S24" s="13" t="s">
        <v>28</v>
      </c>
      <c r="W24" s="12">
        <v>-125</v>
      </c>
      <c r="X24" s="12">
        <v>22</v>
      </c>
      <c r="Y24" s="12">
        <v>45</v>
      </c>
      <c r="Z24" s="12">
        <v>-122</v>
      </c>
      <c r="AA24" s="12">
        <v>135</v>
      </c>
    </row>
    <row r="25" spans="3:27" ht="15" customHeight="1" x14ac:dyDescent="0.2">
      <c r="C25" s="15" t="str">
        <f t="shared" si="2"/>
        <v>Non Operating Income / Expense</v>
      </c>
      <c r="D25" s="15"/>
      <c r="E25" s="33">
        <f t="shared" si="3"/>
        <v>-4.9068798367208094E-2</v>
      </c>
      <c r="F25" s="33">
        <f t="shared" si="4"/>
        <v>-2.8749825264433159E-2</v>
      </c>
      <c r="G25" s="33">
        <f t="shared" si="5"/>
        <v>-2.4249328667914394E-2</v>
      </c>
      <c r="H25" s="33">
        <f t="shared" si="6"/>
        <v>-2.6636225266362251E-2</v>
      </c>
      <c r="I25" s="33">
        <f t="shared" si="7"/>
        <v>-3.3442951897887522E-3</v>
      </c>
      <c r="J25" s="34"/>
      <c r="K25" s="33">
        <f t="shared" si="8"/>
        <v>6.9324090121317239E-2</v>
      </c>
      <c r="L25" s="33">
        <f t="shared" si="9"/>
        <v>-3.4035656401944947E-2</v>
      </c>
      <c r="M25" s="33">
        <f t="shared" si="10"/>
        <v>0.40939597315436238</v>
      </c>
      <c r="N25" s="33">
        <f t="shared" si="11"/>
        <v>-0.7857142857142857</v>
      </c>
      <c r="S25" s="15" t="s">
        <v>33</v>
      </c>
      <c r="T25" s="15"/>
      <c r="U25" s="15"/>
      <c r="V25" s="15"/>
      <c r="W25" s="16">
        <f t="shared" ref="W25:AA25" si="15">SUM(W22:W24)</f>
        <v>-577</v>
      </c>
      <c r="X25" s="16">
        <f t="shared" si="15"/>
        <v>-617</v>
      </c>
      <c r="Y25" s="16">
        <f t="shared" si="15"/>
        <v>-596</v>
      </c>
      <c r="Z25" s="16">
        <f t="shared" si="15"/>
        <v>-840</v>
      </c>
      <c r="AA25" s="16">
        <f t="shared" si="15"/>
        <v>-180</v>
      </c>
    </row>
    <row r="26" spans="3:27" ht="15" customHeight="1" x14ac:dyDescent="0.2">
      <c r="E26" s="31"/>
      <c r="F26" s="31"/>
      <c r="G26" s="31"/>
      <c r="H26" s="31"/>
      <c r="I26" s="31"/>
      <c r="J26" s="35"/>
      <c r="K26" s="31"/>
      <c r="L26" s="31"/>
      <c r="M26" s="31"/>
      <c r="N26" s="31"/>
      <c r="W26" s="12"/>
      <c r="X26" s="12"/>
      <c r="Y26" s="12"/>
      <c r="Z26" s="12"/>
      <c r="AA26" s="12"/>
    </row>
    <row r="27" spans="3:27" ht="15" customHeight="1" x14ac:dyDescent="0.2">
      <c r="C27" s="1" t="str">
        <f t="shared" si="2"/>
        <v>Income (loss) before income taxes</v>
      </c>
      <c r="E27" s="31">
        <f t="shared" si="3"/>
        <v>-0.18785611021345353</v>
      </c>
      <c r="F27" s="31">
        <f t="shared" si="4"/>
        <v>-4.6829131913703928E-2</v>
      </c>
      <c r="G27" s="31">
        <f t="shared" si="5"/>
        <v>-2.7056717389535356E-2</v>
      </c>
      <c r="H27" s="31">
        <f t="shared" si="6"/>
        <v>3.6593099949264331E-2</v>
      </c>
      <c r="I27" s="31">
        <f t="shared" si="7"/>
        <v>0.11784924660461141</v>
      </c>
      <c r="J27" s="32"/>
      <c r="K27" s="31">
        <f t="shared" si="8"/>
        <v>-0.54504300588501586</v>
      </c>
      <c r="L27" s="31">
        <f t="shared" si="9"/>
        <v>-0.3383084577114428</v>
      </c>
      <c r="M27" s="31">
        <f t="shared" si="10"/>
        <v>-2.7353383458646618</v>
      </c>
      <c r="N27" s="31">
        <f t="shared" si="11"/>
        <v>4.4965337954939342</v>
      </c>
      <c r="S27" s="1" t="s">
        <v>29</v>
      </c>
      <c r="W27" s="12">
        <f t="shared" ref="W27:AA27" si="16">W20+W25</f>
        <v>-2209</v>
      </c>
      <c r="X27" s="12">
        <f t="shared" si="16"/>
        <v>-1005</v>
      </c>
      <c r="Y27" s="12">
        <f t="shared" si="16"/>
        <v>-665</v>
      </c>
      <c r="Z27" s="12">
        <f t="shared" si="16"/>
        <v>1154</v>
      </c>
      <c r="AA27" s="12">
        <f t="shared" si="16"/>
        <v>6343</v>
      </c>
    </row>
    <row r="28" spans="3:27" ht="15" customHeight="1" x14ac:dyDescent="0.2">
      <c r="C28" s="13" t="str">
        <f t="shared" si="2"/>
        <v>Provision for income taxes</v>
      </c>
      <c r="D28" s="13"/>
      <c r="E28" s="31">
        <f t="shared" si="3"/>
        <v>2.7213198401224593E-3</v>
      </c>
      <c r="F28" s="31">
        <f t="shared" si="4"/>
        <v>2.7025767671590329E-3</v>
      </c>
      <c r="G28" s="31">
        <f t="shared" si="5"/>
        <v>4.4755472373667511E-3</v>
      </c>
      <c r="H28" s="31">
        <f t="shared" si="6"/>
        <v>9.2592592592592587E-3</v>
      </c>
      <c r="I28" s="31">
        <f t="shared" si="7"/>
        <v>1.2987012987012988E-2</v>
      </c>
      <c r="J28" s="32"/>
      <c r="K28" s="31">
        <f t="shared" si="8"/>
        <v>0.8125</v>
      </c>
      <c r="L28" s="31">
        <f t="shared" si="9"/>
        <v>0.89655172413793105</v>
      </c>
      <c r="M28" s="31">
        <f t="shared" si="10"/>
        <v>1.6545454545454548</v>
      </c>
      <c r="N28" s="31">
        <f t="shared" si="11"/>
        <v>1.3938356164383561</v>
      </c>
      <c r="S28" s="13" t="s">
        <v>30</v>
      </c>
      <c r="W28" s="12">
        <v>32</v>
      </c>
      <c r="X28" s="12">
        <v>58</v>
      </c>
      <c r="Y28" s="12">
        <v>110</v>
      </c>
      <c r="Z28" s="12">
        <v>292</v>
      </c>
      <c r="AA28" s="12">
        <v>699</v>
      </c>
    </row>
    <row r="29" spans="3:27" ht="15" customHeight="1" x14ac:dyDescent="0.2">
      <c r="C29" s="15" t="str">
        <f t="shared" si="2"/>
        <v>Net income (loss)</v>
      </c>
      <c r="D29" s="15"/>
      <c r="E29" s="33">
        <f t="shared" si="3"/>
        <v>-0.190577430053576</v>
      </c>
      <c r="F29" s="33">
        <f t="shared" si="4"/>
        <v>-4.9531708680862964E-2</v>
      </c>
      <c r="G29" s="33">
        <f t="shared" si="5"/>
        <v>-3.1532264626902111E-2</v>
      </c>
      <c r="H29" s="33">
        <f t="shared" si="6"/>
        <v>2.7333840690005072E-2</v>
      </c>
      <c r="I29" s="33">
        <f t="shared" si="7"/>
        <v>0.10486223361759843</v>
      </c>
      <c r="J29" s="34"/>
      <c r="K29" s="33">
        <f t="shared" si="8"/>
        <v>-0.52565818830879074</v>
      </c>
      <c r="L29" s="33">
        <f t="shared" si="9"/>
        <v>-0.27093132643461904</v>
      </c>
      <c r="M29" s="33">
        <f t="shared" si="10"/>
        <v>-2.1122580645161291</v>
      </c>
      <c r="N29" s="33">
        <f t="shared" si="11"/>
        <v>5.5475638051044083</v>
      </c>
      <c r="S29" s="15" t="s">
        <v>31</v>
      </c>
      <c r="T29" s="15"/>
      <c r="U29" s="15"/>
      <c r="V29" s="15"/>
      <c r="W29" s="16">
        <f t="shared" ref="W29:AA29" si="17">W27-W28</f>
        <v>-2241</v>
      </c>
      <c r="X29" s="16">
        <f t="shared" si="17"/>
        <v>-1063</v>
      </c>
      <c r="Y29" s="16">
        <f t="shared" si="17"/>
        <v>-775</v>
      </c>
      <c r="Z29" s="16">
        <f t="shared" si="17"/>
        <v>862</v>
      </c>
      <c r="AA29" s="16">
        <f t="shared" si="17"/>
        <v>5644</v>
      </c>
    </row>
    <row r="30" spans="3:27" ht="15" customHeight="1" x14ac:dyDescent="0.2">
      <c r="C30" s="13" t="str">
        <f t="shared" si="2"/>
        <v>NI attributable to noncontrolling interests</v>
      </c>
      <c r="D30" s="13"/>
      <c r="E30" s="31">
        <f t="shared" si="3"/>
        <v>-2.3726507356067694E-2</v>
      </c>
      <c r="F30" s="31">
        <f t="shared" si="4"/>
        <v>-4.0538651507385486E-3</v>
      </c>
      <c r="G30" s="31">
        <f t="shared" si="5"/>
        <v>3.5397509968264304E-3</v>
      </c>
      <c r="H30" s="31">
        <f t="shared" si="6"/>
        <v>4.4710806697108064E-3</v>
      </c>
      <c r="I30" s="31">
        <f t="shared" si="7"/>
        <v>2.3224272151310776E-3</v>
      </c>
      <c r="J30" s="32"/>
      <c r="K30" s="31">
        <f t="shared" si="8"/>
        <v>-0.68817204301075274</v>
      </c>
      <c r="L30" s="31">
        <f t="shared" si="9"/>
        <v>-2</v>
      </c>
      <c r="M30" s="31">
        <f t="shared" si="10"/>
        <v>0.6206896551724137</v>
      </c>
      <c r="N30" s="31">
        <f t="shared" si="11"/>
        <v>-0.11347517730496459</v>
      </c>
      <c r="S30" s="13" t="s">
        <v>357</v>
      </c>
      <c r="W30" s="12">
        <v>-279</v>
      </c>
      <c r="X30" s="12">
        <v>-87</v>
      </c>
      <c r="Y30" s="12">
        <v>87</v>
      </c>
      <c r="Z30" s="12">
        <v>141</v>
      </c>
      <c r="AA30" s="12">
        <v>125</v>
      </c>
    </row>
    <row r="31" spans="3:27" ht="15" customHeight="1" x14ac:dyDescent="0.2">
      <c r="C31" s="15" t="str">
        <f t="shared" si="2"/>
        <v>Net income / loss attributable to CS</v>
      </c>
      <c r="D31" s="15"/>
      <c r="E31" s="33">
        <f t="shared" si="3"/>
        <v>-0.16685092269750829</v>
      </c>
      <c r="F31" s="33">
        <f t="shared" si="4"/>
        <v>-4.5477843530124414E-2</v>
      </c>
      <c r="G31" s="33">
        <f t="shared" si="5"/>
        <v>-3.5072015623728539E-2</v>
      </c>
      <c r="H31" s="33">
        <f t="shared" si="6"/>
        <v>2.2862760020294266E-2</v>
      </c>
      <c r="I31" s="33">
        <f t="shared" si="7"/>
        <v>0.10253980640246735</v>
      </c>
      <c r="J31" s="34"/>
      <c r="K31" s="33">
        <f t="shared" si="8"/>
        <v>-0.50254841997961264</v>
      </c>
      <c r="L31" s="33">
        <f t="shared" si="9"/>
        <v>-0.11680327868852458</v>
      </c>
      <c r="M31" s="33">
        <f t="shared" si="10"/>
        <v>-1.8364269141531322</v>
      </c>
      <c r="N31" s="33">
        <f t="shared" si="11"/>
        <v>6.6546463245492369</v>
      </c>
      <c r="S31" s="15" t="s">
        <v>356</v>
      </c>
      <c r="T31" s="15"/>
      <c r="U31" s="15"/>
      <c r="V31" s="15"/>
      <c r="W31" s="16">
        <f t="shared" ref="W31:AA31" si="18">W29-W30</f>
        <v>-1962</v>
      </c>
      <c r="X31" s="16">
        <f t="shared" si="18"/>
        <v>-976</v>
      </c>
      <c r="Y31" s="16">
        <f t="shared" si="18"/>
        <v>-862</v>
      </c>
      <c r="Z31" s="16">
        <f t="shared" si="18"/>
        <v>721</v>
      </c>
      <c r="AA31" s="16">
        <f t="shared" si="18"/>
        <v>5519</v>
      </c>
    </row>
    <row r="32" spans="3:27" ht="15" customHeight="1" x14ac:dyDescent="0.2">
      <c r="C32" s="13" t="str">
        <f t="shared" si="2"/>
        <v>Less: Buy-out of noncontrolling interest</v>
      </c>
      <c r="D32" s="13"/>
      <c r="E32" s="31">
        <f t="shared" si="3"/>
        <v>0</v>
      </c>
      <c r="F32" s="31">
        <f t="shared" si="4"/>
        <v>0</v>
      </c>
      <c r="G32" s="31">
        <f t="shared" si="5"/>
        <v>3.254943445357637E-4</v>
      </c>
      <c r="H32" s="31">
        <f t="shared" si="6"/>
        <v>9.8300355149670213E-4</v>
      </c>
      <c r="I32" s="31">
        <f t="shared" si="7"/>
        <v>-9.2897088605243112E-5</v>
      </c>
      <c r="J32" s="32"/>
      <c r="K32" s="31" t="str">
        <f t="shared" si="8"/>
        <v/>
      </c>
      <c r="L32" s="31" t="str">
        <f t="shared" si="9"/>
        <v/>
      </c>
      <c r="M32" s="31">
        <f t="shared" si="10"/>
        <v>2.875</v>
      </c>
      <c r="N32" s="31">
        <f t="shared" si="11"/>
        <v>-1.1612903225806452</v>
      </c>
      <c r="S32" s="13" t="s">
        <v>32</v>
      </c>
      <c r="W32" s="12"/>
      <c r="X32" s="12">
        <v>0</v>
      </c>
      <c r="Y32" s="12">
        <v>8</v>
      </c>
      <c r="Z32" s="12">
        <v>31</v>
      </c>
      <c r="AA32" s="12">
        <v>-5</v>
      </c>
    </row>
    <row r="33" spans="2:36" ht="20" customHeight="1" thickBot="1" x14ac:dyDescent="0.25">
      <c r="C33" s="17" t="str">
        <f t="shared" si="2"/>
        <v>Net income / loss attributable to CS</v>
      </c>
      <c r="D33" s="17"/>
      <c r="E33" s="36">
        <f t="shared" si="3"/>
        <v>-0.16685092269750829</v>
      </c>
      <c r="F33" s="36">
        <f t="shared" si="4"/>
        <v>-4.5477843530124414E-2</v>
      </c>
      <c r="G33" s="36">
        <f t="shared" si="5"/>
        <v>-3.5397509968264303E-2</v>
      </c>
      <c r="H33" s="36">
        <f t="shared" si="6"/>
        <v>2.1879756468797563E-2</v>
      </c>
      <c r="I33" s="36">
        <f t="shared" si="7"/>
        <v>0.10263270349107259</v>
      </c>
      <c r="J33" s="37"/>
      <c r="K33" s="36">
        <f t="shared" si="8"/>
        <v>-0.50254841997961264</v>
      </c>
      <c r="L33" s="36">
        <f t="shared" si="9"/>
        <v>-0.10860655737704916</v>
      </c>
      <c r="M33" s="36">
        <f t="shared" si="10"/>
        <v>-1.7931034482758621</v>
      </c>
      <c r="N33" s="36">
        <f t="shared" si="11"/>
        <v>7.005797101449275</v>
      </c>
      <c r="S33" s="15" t="s">
        <v>356</v>
      </c>
      <c r="T33" s="15"/>
      <c r="U33" s="15"/>
      <c r="V33" s="15"/>
      <c r="W33" s="16">
        <f t="shared" ref="W33:AA33" si="19">W31-W32</f>
        <v>-1962</v>
      </c>
      <c r="X33" s="16">
        <f t="shared" si="19"/>
        <v>-976</v>
      </c>
      <c r="Y33" s="16">
        <f t="shared" si="19"/>
        <v>-870</v>
      </c>
      <c r="Z33" s="16">
        <f t="shared" si="19"/>
        <v>690</v>
      </c>
      <c r="AA33" s="16">
        <f t="shared" si="19"/>
        <v>5524</v>
      </c>
    </row>
    <row r="34" spans="2:36" ht="15" customHeight="1" thickTop="1" x14ac:dyDescent="0.2">
      <c r="W34" s="12"/>
      <c r="X34" s="12"/>
      <c r="Y34" s="12"/>
      <c r="Z34" s="12"/>
      <c r="AA34" s="12"/>
    </row>
    <row r="35" spans="2:36" ht="15" customHeight="1" x14ac:dyDescent="0.2">
      <c r="S35" s="1" t="s">
        <v>552</v>
      </c>
      <c r="W35" s="12"/>
      <c r="X35" s="12"/>
      <c r="Y35" s="12"/>
      <c r="Z35" s="12"/>
      <c r="AA35" s="12"/>
    </row>
    <row r="36" spans="2:36" ht="15" customHeight="1" x14ac:dyDescent="0.2">
      <c r="W36" s="12"/>
      <c r="X36" s="12"/>
      <c r="Y36" s="12"/>
      <c r="Z36" s="12"/>
      <c r="AA36" s="12"/>
    </row>
    <row r="37" spans="2:36" ht="15" customHeight="1" x14ac:dyDescent="0.2">
      <c r="S37" s="1" t="s">
        <v>555</v>
      </c>
      <c r="W37" s="12">
        <v>64</v>
      </c>
      <c r="X37" s="12">
        <v>109</v>
      </c>
      <c r="Y37" s="12">
        <v>128</v>
      </c>
      <c r="Z37" s="12">
        <v>281</v>
      </c>
      <c r="AA37" s="12">
        <f>421</f>
        <v>421</v>
      </c>
    </row>
    <row r="38" spans="2:36" ht="20" customHeight="1" x14ac:dyDescent="0.25">
      <c r="B38" s="2" t="str">
        <f>'Cover Page'!$C$18</f>
        <v>Tesla, Inc.</v>
      </c>
      <c r="C38" s="3"/>
      <c r="D38" s="3"/>
      <c r="E38" s="3"/>
      <c r="F38" s="3"/>
      <c r="G38" s="3"/>
      <c r="H38" s="3"/>
      <c r="I38" s="3"/>
      <c r="J38" s="3"/>
      <c r="K38" s="3"/>
      <c r="L38" s="3"/>
      <c r="M38" s="3"/>
      <c r="N38" s="3"/>
      <c r="S38" s="1" t="s">
        <v>22</v>
      </c>
      <c r="W38" s="12">
        <v>218</v>
      </c>
      <c r="X38" s="12">
        <v>261</v>
      </c>
      <c r="Y38" s="12">
        <v>285</v>
      </c>
      <c r="Z38" s="12">
        <v>346</v>
      </c>
      <c r="AA38" s="12">
        <f>448</f>
        <v>448</v>
      </c>
    </row>
    <row r="39" spans="2:36" ht="15" customHeight="1" x14ac:dyDescent="0.2">
      <c r="B39" s="4" t="s">
        <v>44</v>
      </c>
      <c r="C39" s="4"/>
      <c r="D39" s="4"/>
      <c r="E39" s="4"/>
      <c r="F39" s="4"/>
      <c r="G39" s="4"/>
      <c r="H39" s="4"/>
      <c r="I39" s="4"/>
      <c r="J39" s="4"/>
      <c r="K39" s="4"/>
      <c r="L39" s="4"/>
      <c r="M39" s="4"/>
      <c r="N39" s="4"/>
      <c r="S39" s="1" t="s">
        <v>23</v>
      </c>
      <c r="W39" s="12">
        <v>185</v>
      </c>
      <c r="X39" s="12">
        <v>375</v>
      </c>
      <c r="Y39" s="12">
        <v>482</v>
      </c>
      <c r="Z39" s="12">
        <v>1107</v>
      </c>
      <c r="AA39" s="12">
        <f>1252</f>
        <v>1252</v>
      </c>
    </row>
    <row r="40" spans="2:36" ht="15" customHeight="1" thickBot="1" x14ac:dyDescent="0.25">
      <c r="B40" s="5"/>
      <c r="C40" s="5"/>
      <c r="D40" s="5"/>
      <c r="E40" s="5"/>
      <c r="F40" s="5"/>
      <c r="G40" s="5"/>
      <c r="H40" s="5"/>
      <c r="I40" s="5"/>
      <c r="J40" s="5"/>
      <c r="K40" s="5"/>
      <c r="L40" s="5"/>
      <c r="M40" s="5"/>
      <c r="N40" s="5"/>
      <c r="S40" s="1" t="s">
        <v>24</v>
      </c>
      <c r="W40" s="12">
        <v>0</v>
      </c>
      <c r="X40" s="12">
        <v>4</v>
      </c>
      <c r="Y40" s="12">
        <v>3</v>
      </c>
      <c r="Z40" s="12">
        <v>0</v>
      </c>
      <c r="AA40" s="12">
        <f>0</f>
        <v>0</v>
      </c>
      <c r="AE40" s="29">
        <f>W44</f>
        <v>2017</v>
      </c>
      <c r="AF40" s="29">
        <f>X44</f>
        <v>2018</v>
      </c>
      <c r="AG40" s="29">
        <f>Y44</f>
        <v>2019</v>
      </c>
      <c r="AH40" s="29">
        <f>Z44</f>
        <v>2020</v>
      </c>
      <c r="AI40" s="29">
        <f>AA44</f>
        <v>2021</v>
      </c>
      <c r="AJ40" s="50">
        <f>AI40+1</f>
        <v>2022</v>
      </c>
    </row>
    <row r="41" spans="2:36" ht="15" customHeight="1" x14ac:dyDescent="0.2">
      <c r="S41" s="15" t="s">
        <v>556</v>
      </c>
      <c r="T41" s="15"/>
      <c r="U41" s="15"/>
      <c r="V41" s="15"/>
      <c r="W41" s="16">
        <f t="shared" ref="W41:AA41" si="20">SUM(W37:W40)</f>
        <v>467</v>
      </c>
      <c r="X41" s="16">
        <f t="shared" si="20"/>
        <v>749</v>
      </c>
      <c r="Y41" s="16">
        <f t="shared" si="20"/>
        <v>898</v>
      </c>
      <c r="Z41" s="16">
        <f t="shared" si="20"/>
        <v>1734</v>
      </c>
      <c r="AA41" s="16">
        <f t="shared" si="20"/>
        <v>2121</v>
      </c>
    </row>
    <row r="42" spans="2:36" ht="18" customHeight="1" x14ac:dyDescent="0.2">
      <c r="W42" s="12"/>
      <c r="X42" s="12"/>
      <c r="Y42" s="12"/>
      <c r="Z42" s="12"/>
      <c r="AA42" s="12"/>
      <c r="AC42" s="309" t="s">
        <v>105</v>
      </c>
      <c r="AD42" s="309"/>
      <c r="AE42" s="12"/>
      <c r="AG42" s="12"/>
      <c r="AH42" s="12"/>
      <c r="AI42" s="12"/>
    </row>
    <row r="43" spans="2:36" ht="18" customHeight="1" x14ac:dyDescent="0.2">
      <c r="E43" s="6" t="s">
        <v>8</v>
      </c>
      <c r="F43" s="7"/>
      <c r="G43" s="7"/>
      <c r="H43" s="7"/>
      <c r="I43" s="7"/>
      <c r="J43" s="23" t="s">
        <v>9</v>
      </c>
      <c r="K43" s="24"/>
      <c r="L43" s="24"/>
      <c r="M43" s="24"/>
      <c r="N43" s="24"/>
      <c r="W43" s="12"/>
      <c r="X43" s="12"/>
      <c r="Y43" s="12"/>
      <c r="Z43" s="12"/>
      <c r="AA43" s="12"/>
      <c r="AC43" s="309"/>
      <c r="AD43" s="309"/>
      <c r="AE43" s="12">
        <v>6450</v>
      </c>
      <c r="AF43" s="12">
        <f>2520+860</f>
        <v>3380</v>
      </c>
      <c r="AG43" s="12">
        <f>1010+1897</f>
        <v>2907</v>
      </c>
      <c r="AH43" s="12"/>
      <c r="AI43" s="12"/>
    </row>
    <row r="44" spans="2:36" ht="18" customHeight="1" x14ac:dyDescent="0.2">
      <c r="E44" s="10">
        <f t="shared" ref="E44:H44" si="21">F44-1</f>
        <v>2017</v>
      </c>
      <c r="F44" s="10">
        <f t="shared" si="21"/>
        <v>2018</v>
      </c>
      <c r="G44" s="10">
        <f t="shared" si="21"/>
        <v>2019</v>
      </c>
      <c r="H44" s="10">
        <f t="shared" si="21"/>
        <v>2020</v>
      </c>
      <c r="I44" s="10">
        <f>2021</f>
        <v>2021</v>
      </c>
      <c r="J44" s="25">
        <v>2017</v>
      </c>
      <c r="K44" s="10">
        <v>2018</v>
      </c>
      <c r="L44" s="10">
        <v>2019</v>
      </c>
      <c r="M44" s="10">
        <v>2020</v>
      </c>
      <c r="N44" s="10">
        <v>2021</v>
      </c>
      <c r="W44" s="29">
        <f t="shared" ref="W44:AA44" si="22">W$8</f>
        <v>2017</v>
      </c>
      <c r="X44" s="29">
        <f t="shared" si="22"/>
        <v>2018</v>
      </c>
      <c r="Y44" s="29">
        <f t="shared" si="22"/>
        <v>2019</v>
      </c>
      <c r="Z44" s="29">
        <f t="shared" si="22"/>
        <v>2020</v>
      </c>
      <c r="AA44" s="29">
        <f t="shared" si="22"/>
        <v>2021</v>
      </c>
      <c r="AC44" s="12"/>
    </row>
    <row r="45" spans="2:36" ht="18" customHeight="1" x14ac:dyDescent="0.2">
      <c r="J45" s="26"/>
      <c r="AC45" s="12"/>
    </row>
    <row r="46" spans="2:36" ht="18" customHeight="1" x14ac:dyDescent="0.2">
      <c r="B46" s="30" t="str">
        <f>R46</f>
        <v>Segmented Revenue:</v>
      </c>
      <c r="J46" s="26"/>
      <c r="R46" s="30" t="s">
        <v>11</v>
      </c>
    </row>
    <row r="47" spans="2:36" ht="18" customHeight="1" x14ac:dyDescent="0.2">
      <c r="J47" s="26"/>
    </row>
    <row r="48" spans="2:36" ht="18" customHeight="1" x14ac:dyDescent="0.2">
      <c r="C48" s="13" t="str">
        <f t="shared" ref="C48:C53" si="23">S48</f>
        <v>Automotive sales</v>
      </c>
      <c r="E48" s="31">
        <f t="shared" ref="E48:I53" si="24">W48/W$53</f>
        <v>0.72582702610766225</v>
      </c>
      <c r="F48" s="31">
        <f t="shared" si="24"/>
        <v>0.82158333721634591</v>
      </c>
      <c r="G48" s="31">
        <f t="shared" si="24"/>
        <v>0.8117828952721946</v>
      </c>
      <c r="H48" s="31">
        <f t="shared" si="24"/>
        <v>0.83028919330289197</v>
      </c>
      <c r="I48" s="31">
        <f t="shared" si="24"/>
        <v>0.84703565390260671</v>
      </c>
      <c r="J48" s="32"/>
      <c r="K48" s="38">
        <f t="shared" ref="K48:N53" si="25">IFERROR(X48/W48-1,"")</f>
        <v>1.0658465143526654</v>
      </c>
      <c r="L48" s="38">
        <f t="shared" si="25"/>
        <v>0.13157894736842102</v>
      </c>
      <c r="M48" s="38">
        <f t="shared" si="25"/>
        <v>0.31234963913392133</v>
      </c>
      <c r="N48" s="38">
        <f t="shared" si="25"/>
        <v>0.74113962725328442</v>
      </c>
      <c r="S48" s="13" t="s">
        <v>12</v>
      </c>
      <c r="W48" s="12">
        <v>8535</v>
      </c>
      <c r="X48" s="12">
        <v>17632</v>
      </c>
      <c r="Y48" s="12">
        <v>19952</v>
      </c>
      <c r="Z48" s="12">
        <v>26184</v>
      </c>
      <c r="AA48" s="12">
        <v>45590</v>
      </c>
      <c r="AC48" s="12" t="s">
        <v>96</v>
      </c>
      <c r="AD48" s="47" t="s">
        <v>97</v>
      </c>
      <c r="AE48" s="12">
        <v>25418</v>
      </c>
      <c r="AF48" s="12">
        <v>34494</v>
      </c>
      <c r="AG48" s="12">
        <v>77100</v>
      </c>
      <c r="AH48" s="12">
        <v>102672</v>
      </c>
      <c r="AI48" s="12">
        <v>180338</v>
      </c>
      <c r="AJ48" s="12">
        <v>305407</v>
      </c>
    </row>
    <row r="49" spans="3:36" ht="18" customHeight="1" x14ac:dyDescent="0.2">
      <c r="C49" s="13" t="str">
        <f t="shared" si="23"/>
        <v>Automotive leasing</v>
      </c>
      <c r="E49" s="31">
        <f t="shared" si="24"/>
        <v>9.4140658219236326E-2</v>
      </c>
      <c r="F49" s="31">
        <f t="shared" si="24"/>
        <v>4.1144401472438377E-2</v>
      </c>
      <c r="G49" s="31">
        <f t="shared" si="24"/>
        <v>3.5356823175197331E-2</v>
      </c>
      <c r="H49" s="31">
        <f t="shared" si="24"/>
        <v>3.3358701166920343E-2</v>
      </c>
      <c r="I49" s="31">
        <f t="shared" si="24"/>
        <v>3.0507403897961839E-2</v>
      </c>
      <c r="J49" s="39"/>
      <c r="K49" s="38">
        <f t="shared" si="25"/>
        <v>-0.20234869015356816</v>
      </c>
      <c r="L49" s="38">
        <f t="shared" si="25"/>
        <v>-1.5855039637599044E-2</v>
      </c>
      <c r="M49" s="38">
        <f t="shared" si="25"/>
        <v>0.21058688147295745</v>
      </c>
      <c r="N49" s="38">
        <f t="shared" si="25"/>
        <v>0.56083650190114076</v>
      </c>
      <c r="S49" s="13" t="s">
        <v>13</v>
      </c>
      <c r="W49" s="12">
        <v>1107</v>
      </c>
      <c r="X49" s="12">
        <v>883</v>
      </c>
      <c r="Y49" s="12">
        <v>869</v>
      </c>
      <c r="Z49" s="12">
        <v>1052</v>
      </c>
      <c r="AA49" s="12">
        <v>1642</v>
      </c>
      <c r="AD49" s="47" t="s">
        <v>98</v>
      </c>
      <c r="AE49" s="12">
        <v>25708</v>
      </c>
      <c r="AF49" s="12">
        <v>53339</v>
      </c>
      <c r="AG49" s="12">
        <v>87048</v>
      </c>
      <c r="AH49" s="12">
        <v>82272</v>
      </c>
      <c r="AI49" s="12">
        <v>206421</v>
      </c>
      <c r="AJ49" s="12">
        <v>258580</v>
      </c>
    </row>
    <row r="50" spans="3:36" ht="18" customHeight="1" x14ac:dyDescent="0.2">
      <c r="C50" s="15" t="str">
        <f t="shared" si="23"/>
        <v>Total automotive revenues</v>
      </c>
      <c r="D50" s="15"/>
      <c r="E50" s="33">
        <f t="shared" si="24"/>
        <v>0.81996768432689859</v>
      </c>
      <c r="F50" s="33">
        <f t="shared" si="24"/>
        <v>0.86272773868878427</v>
      </c>
      <c r="G50" s="33">
        <f t="shared" si="24"/>
        <v>0.847139718447392</v>
      </c>
      <c r="H50" s="33">
        <f t="shared" si="24"/>
        <v>0.86364789446981227</v>
      </c>
      <c r="I50" s="33">
        <f t="shared" si="24"/>
        <v>0.87754305780056852</v>
      </c>
      <c r="J50" s="40"/>
      <c r="K50" s="41">
        <f t="shared" si="25"/>
        <v>0.92024476249740728</v>
      </c>
      <c r="L50" s="41">
        <f t="shared" si="25"/>
        <v>0.12454766405617068</v>
      </c>
      <c r="M50" s="41">
        <f t="shared" si="25"/>
        <v>0.30810239661879835</v>
      </c>
      <c r="N50" s="41">
        <f t="shared" si="25"/>
        <v>0.73417535614627694</v>
      </c>
      <c r="S50" s="15" t="s">
        <v>14</v>
      </c>
      <c r="T50" s="15"/>
      <c r="U50" s="15"/>
      <c r="V50" s="15"/>
      <c r="W50" s="16">
        <f t="shared" ref="W50:AA50" si="26">SUM(W48:W49)</f>
        <v>9642</v>
      </c>
      <c r="X50" s="16">
        <f t="shared" si="26"/>
        <v>18515</v>
      </c>
      <c r="Y50" s="16">
        <f t="shared" si="26"/>
        <v>20821</v>
      </c>
      <c r="Z50" s="16">
        <f t="shared" si="26"/>
        <v>27236</v>
      </c>
      <c r="AA50" s="16">
        <f t="shared" si="26"/>
        <v>47232</v>
      </c>
      <c r="AD50" s="47" t="s">
        <v>99</v>
      </c>
      <c r="AE50" s="12">
        <v>25336</v>
      </c>
      <c r="AF50" s="12">
        <v>80142</v>
      </c>
      <c r="AG50" s="12">
        <v>96155</v>
      </c>
      <c r="AH50" s="12">
        <v>145036</v>
      </c>
      <c r="AI50" s="12">
        <v>237823</v>
      </c>
      <c r="AJ50" s="12"/>
    </row>
    <row r="51" spans="3:36" ht="20" customHeight="1" x14ac:dyDescent="0.2">
      <c r="C51" s="13" t="str">
        <f t="shared" si="23"/>
        <v>Energy generation and storage</v>
      </c>
      <c r="D51" s="13"/>
      <c r="E51" s="31">
        <f t="shared" si="24"/>
        <v>9.4906029424270774E-2</v>
      </c>
      <c r="F51" s="31">
        <f t="shared" si="24"/>
        <v>7.2457015050556822E-2</v>
      </c>
      <c r="G51" s="31">
        <f t="shared" si="24"/>
        <v>6.2291480185531774E-2</v>
      </c>
      <c r="H51" s="31">
        <f t="shared" si="24"/>
        <v>6.3229325215626589E-2</v>
      </c>
      <c r="I51" s="31">
        <f t="shared" si="24"/>
        <v>5.1817996024004609E-2</v>
      </c>
      <c r="J51" s="42"/>
      <c r="K51" s="38">
        <f t="shared" si="25"/>
        <v>0.39336917562724016</v>
      </c>
      <c r="L51" s="38">
        <f t="shared" si="25"/>
        <v>-1.5434083601286175E-2</v>
      </c>
      <c r="M51" s="38">
        <f t="shared" si="25"/>
        <v>0.30241672109732209</v>
      </c>
      <c r="N51" s="38">
        <f t="shared" si="25"/>
        <v>0.3986960882647943</v>
      </c>
      <c r="S51" s="13" t="s">
        <v>15</v>
      </c>
      <c r="W51" s="12">
        <v>1116</v>
      </c>
      <c r="X51" s="12">
        <v>1555</v>
      </c>
      <c r="Y51" s="12">
        <v>1531</v>
      </c>
      <c r="Z51" s="12">
        <v>1994</v>
      </c>
      <c r="AA51" s="12">
        <v>2789</v>
      </c>
      <c r="AD51" s="47" t="s">
        <v>100</v>
      </c>
      <c r="AE51" s="12">
        <v>24565</v>
      </c>
      <c r="AF51" s="12">
        <v>86555</v>
      </c>
      <c r="AG51" s="12">
        <v>104891</v>
      </c>
      <c r="AH51" s="12">
        <v>179757</v>
      </c>
      <c r="AI51" s="12">
        <v>305840</v>
      </c>
      <c r="AJ51" s="12"/>
    </row>
    <row r="52" spans="3:36" ht="18" customHeight="1" thickBot="1" x14ac:dyDescent="0.25">
      <c r="C52" s="13" t="str">
        <f t="shared" si="23"/>
        <v>Services and other</v>
      </c>
      <c r="D52" s="13"/>
      <c r="E52" s="31">
        <f t="shared" si="24"/>
        <v>8.5126286248830688E-2</v>
      </c>
      <c r="F52" s="31">
        <f t="shared" si="24"/>
        <v>6.4815246260658876E-2</v>
      </c>
      <c r="G52" s="31">
        <f t="shared" si="24"/>
        <v>9.0568801367076249E-2</v>
      </c>
      <c r="H52" s="31">
        <f t="shared" si="24"/>
        <v>7.3122780314561139E-2</v>
      </c>
      <c r="I52" s="31">
        <f t="shared" si="24"/>
        <v>7.0638946175426862E-2</v>
      </c>
      <c r="J52" s="42"/>
      <c r="K52" s="38">
        <f t="shared" si="25"/>
        <v>0.38961038961038952</v>
      </c>
      <c r="L52" s="38">
        <f t="shared" si="25"/>
        <v>0.60028756290438534</v>
      </c>
      <c r="M52" s="38">
        <f t="shared" si="25"/>
        <v>3.5938903863432126E-2</v>
      </c>
      <c r="N52" s="38">
        <f t="shared" si="25"/>
        <v>0.64874241110147435</v>
      </c>
      <c r="S52" s="13" t="s">
        <v>16</v>
      </c>
      <c r="W52" s="12">
        <v>1001</v>
      </c>
      <c r="X52" s="12">
        <v>1391</v>
      </c>
      <c r="Y52" s="12">
        <v>2226</v>
      </c>
      <c r="Z52" s="12">
        <v>2306</v>
      </c>
      <c r="AA52" s="12">
        <v>3802</v>
      </c>
      <c r="AC52" s="17" t="s">
        <v>101</v>
      </c>
      <c r="AD52" s="48"/>
      <c r="AE52" s="18">
        <f t="shared" ref="AE52" si="27">SUM(AE48:AE51)</f>
        <v>101027</v>
      </c>
      <c r="AF52" s="18">
        <f t="shared" ref="AF52" si="28">SUM(AF48:AF51)</f>
        <v>254530</v>
      </c>
      <c r="AG52" s="18">
        <f t="shared" ref="AG52" si="29">SUM(AG48:AG51)</f>
        <v>365194</v>
      </c>
      <c r="AH52" s="18">
        <f t="shared" ref="AH52" si="30">SUM(AH48:AH51)</f>
        <v>509737</v>
      </c>
      <c r="AI52" s="18">
        <f t="shared" ref="AI52:AJ52" si="31">SUM(AI48:AI51)</f>
        <v>930422</v>
      </c>
      <c r="AJ52" s="18">
        <f t="shared" si="31"/>
        <v>563987</v>
      </c>
    </row>
    <row r="53" spans="3:36" ht="18" customHeight="1" thickTop="1" x14ac:dyDescent="0.2">
      <c r="C53" s="15" t="str">
        <f t="shared" si="23"/>
        <v>Total revenues</v>
      </c>
      <c r="D53" s="15"/>
      <c r="E53" s="33">
        <f t="shared" si="24"/>
        <v>1</v>
      </c>
      <c r="F53" s="33">
        <f t="shared" si="24"/>
        <v>1</v>
      </c>
      <c r="G53" s="33">
        <f t="shared" si="24"/>
        <v>1</v>
      </c>
      <c r="H53" s="33">
        <f t="shared" si="24"/>
        <v>1</v>
      </c>
      <c r="I53" s="33">
        <f t="shared" si="24"/>
        <v>1</v>
      </c>
      <c r="J53" s="40"/>
      <c r="K53" s="41">
        <f t="shared" si="25"/>
        <v>0.8250701590271281</v>
      </c>
      <c r="L53" s="41">
        <f t="shared" si="25"/>
        <v>0.14524020315921904</v>
      </c>
      <c r="M53" s="41">
        <f t="shared" si="25"/>
        <v>0.28309870615998056</v>
      </c>
      <c r="N53" s="41">
        <f t="shared" si="25"/>
        <v>0.70671613394216126</v>
      </c>
      <c r="S53" s="15" t="s">
        <v>17</v>
      </c>
      <c r="T53" s="15"/>
      <c r="U53" s="15"/>
      <c r="V53" s="15"/>
      <c r="W53" s="16">
        <f t="shared" ref="W53:AA53" si="32">SUM(W50:W52)</f>
        <v>11759</v>
      </c>
      <c r="X53" s="16">
        <f t="shared" si="32"/>
        <v>21461</v>
      </c>
      <c r="Y53" s="16">
        <f t="shared" si="32"/>
        <v>24578</v>
      </c>
      <c r="Z53" s="16">
        <f t="shared" si="32"/>
        <v>31536</v>
      </c>
      <c r="AA53" s="16">
        <f t="shared" si="32"/>
        <v>53823</v>
      </c>
      <c r="AE53" s="49"/>
    </row>
    <row r="54" spans="3:36" ht="18" customHeight="1" x14ac:dyDescent="0.2">
      <c r="E54" s="38"/>
      <c r="F54" s="38"/>
      <c r="G54" s="38"/>
      <c r="H54" s="38"/>
      <c r="I54" s="38"/>
      <c r="J54" s="43"/>
      <c r="K54" s="38"/>
      <c r="L54" s="38"/>
      <c r="M54" s="38"/>
      <c r="N54" s="38"/>
      <c r="AE54" s="46"/>
    </row>
    <row r="55" spans="3:36" ht="18" customHeight="1" x14ac:dyDescent="0.2">
      <c r="E55" s="38"/>
      <c r="F55" s="38"/>
      <c r="G55" s="38"/>
      <c r="H55" s="38"/>
      <c r="I55" s="38"/>
      <c r="J55" s="43"/>
      <c r="K55" s="38"/>
      <c r="L55" s="38"/>
      <c r="M55" s="38"/>
      <c r="N55" s="38"/>
      <c r="R55" s="30" t="s">
        <v>93</v>
      </c>
    </row>
    <row r="56" spans="3:36" ht="18" customHeight="1" x14ac:dyDescent="0.2">
      <c r="E56" s="38"/>
      <c r="F56" s="38"/>
      <c r="G56" s="38"/>
      <c r="H56" s="38"/>
      <c r="I56" s="38"/>
      <c r="J56" s="43"/>
      <c r="K56" s="38"/>
      <c r="L56" s="38"/>
      <c r="M56" s="38"/>
      <c r="N56" s="38"/>
      <c r="W56" s="12"/>
      <c r="X56" s="12"/>
      <c r="Y56" s="12"/>
      <c r="Z56" s="12"/>
      <c r="AA56" s="12"/>
    </row>
    <row r="57" spans="3:36" ht="18" customHeight="1" x14ac:dyDescent="0.2">
      <c r="E57" s="38"/>
      <c r="F57" s="38"/>
      <c r="G57" s="38"/>
      <c r="H57" s="38"/>
      <c r="I57" s="38"/>
      <c r="J57" s="43"/>
      <c r="K57" s="38"/>
      <c r="L57" s="38"/>
      <c r="M57" s="38"/>
      <c r="N57" s="38"/>
      <c r="S57" s="51" t="s">
        <v>94</v>
      </c>
      <c r="W57" s="12">
        <f>AE61-AE63</f>
        <v>54715</v>
      </c>
      <c r="X57" s="12">
        <f t="shared" ref="X57:AA57" si="33">AF61-AF63</f>
        <v>50630</v>
      </c>
      <c r="Y57" s="12">
        <f t="shared" si="33"/>
        <v>31938.5</v>
      </c>
      <c r="Z57" s="12">
        <f t="shared" si="33"/>
        <v>24713.4</v>
      </c>
      <c r="AA57" s="12">
        <f t="shared" si="33"/>
        <v>10310.549999999999</v>
      </c>
      <c r="AC57" s="12" t="str">
        <f>S57</f>
        <v>Model S</v>
      </c>
      <c r="AD57" s="47" t="s">
        <v>97</v>
      </c>
      <c r="AE57" s="12">
        <v>13450</v>
      </c>
      <c r="AF57" s="12">
        <v>11730</v>
      </c>
      <c r="AG57" s="12">
        <f>12100/2</f>
        <v>6050</v>
      </c>
      <c r="AH57" s="12">
        <f>12200/2</f>
        <v>6100</v>
      </c>
      <c r="AI57" s="12">
        <f>2020/2</f>
        <v>1010</v>
      </c>
      <c r="AJ57" s="12">
        <f>14724/2</f>
        <v>7362</v>
      </c>
    </row>
    <row r="58" spans="3:36" ht="18" customHeight="1" x14ac:dyDescent="0.2">
      <c r="E58" s="38"/>
      <c r="F58" s="38"/>
      <c r="G58" s="38"/>
      <c r="H58" s="38"/>
      <c r="I58" s="38"/>
      <c r="J58" s="43"/>
      <c r="K58" s="38"/>
      <c r="L58" s="38"/>
      <c r="M58" s="38"/>
      <c r="N58" s="38"/>
      <c r="S58" s="51" t="s">
        <v>95</v>
      </c>
      <c r="W58" s="12">
        <f>AE70-AE72</f>
        <v>46535</v>
      </c>
      <c r="X58" s="12">
        <f t="shared" ref="X58:AA58" si="34">AF70-AF72</f>
        <v>48680</v>
      </c>
      <c r="Y58" s="12">
        <f t="shared" si="34"/>
        <v>31938.5</v>
      </c>
      <c r="Z58" s="12">
        <f t="shared" si="34"/>
        <v>24713.4</v>
      </c>
      <c r="AA58" s="12">
        <f t="shared" si="34"/>
        <v>10310.549999999999</v>
      </c>
      <c r="AD58" s="47" t="s">
        <v>98</v>
      </c>
      <c r="AE58" s="12">
        <v>12000</v>
      </c>
      <c r="AF58" s="12">
        <v>10930</v>
      </c>
      <c r="AG58" s="12">
        <f>17650/2</f>
        <v>8825</v>
      </c>
      <c r="AH58" s="12">
        <f>10600/2</f>
        <v>5300</v>
      </c>
      <c r="AI58" s="12">
        <f>1890/2</f>
        <v>945</v>
      </c>
      <c r="AJ58" s="12">
        <f>16162/2</f>
        <v>8081</v>
      </c>
    </row>
    <row r="59" spans="3:36" ht="18" customHeight="1" x14ac:dyDescent="0.2">
      <c r="E59" s="38"/>
      <c r="F59" s="38"/>
      <c r="G59" s="38"/>
      <c r="H59" s="38"/>
      <c r="I59" s="38"/>
      <c r="J59" s="43"/>
      <c r="K59" s="38"/>
      <c r="L59" s="38"/>
      <c r="M59" s="38"/>
      <c r="N59" s="38"/>
      <c r="S59" s="51" t="s">
        <v>104</v>
      </c>
      <c r="W59" s="12">
        <f>AE79-AE81</f>
        <v>1770</v>
      </c>
      <c r="X59" s="12">
        <f t="shared" ref="X59:AA59" si="35">AF79-AF81</f>
        <v>145610</v>
      </c>
      <c r="Y59" s="12">
        <f t="shared" si="35"/>
        <v>294121.5</v>
      </c>
      <c r="Z59" s="12">
        <f t="shared" si="35"/>
        <v>207492.75</v>
      </c>
      <c r="AA59" s="12">
        <f t="shared" si="35"/>
        <v>427750.6</v>
      </c>
      <c r="AD59" s="47" t="s">
        <v>99</v>
      </c>
      <c r="AE59" s="12">
        <v>14065</v>
      </c>
      <c r="AF59" s="12">
        <v>14470</v>
      </c>
      <c r="AG59" s="12">
        <f>17400/2</f>
        <v>8700</v>
      </c>
      <c r="AH59" s="12">
        <f>15200/2</f>
        <v>7600</v>
      </c>
      <c r="AI59" s="12">
        <f>9275/2</f>
        <v>4637.5</v>
      </c>
      <c r="AJ59" s="12"/>
    </row>
    <row r="60" spans="3:36" ht="18" customHeight="1" x14ac:dyDescent="0.2">
      <c r="E60" s="38"/>
      <c r="F60" s="38"/>
      <c r="G60" s="38"/>
      <c r="H60" s="38"/>
      <c r="I60" s="38"/>
      <c r="J60" s="43"/>
      <c r="K60" s="38"/>
      <c r="L60" s="38"/>
      <c r="M60" s="38"/>
      <c r="N60" s="38"/>
      <c r="S60" s="51" t="s">
        <v>106</v>
      </c>
      <c r="W60" s="12">
        <f>AE88-AE90</f>
        <v>0</v>
      </c>
      <c r="X60" s="12">
        <f t="shared" ref="X60:AA60" si="36">AF88-AF90</f>
        <v>0</v>
      </c>
      <c r="Y60" s="12">
        <f t="shared" si="36"/>
        <v>0</v>
      </c>
      <c r="Z60" s="12">
        <f t="shared" si="36"/>
        <v>207492.75</v>
      </c>
      <c r="AA60" s="12">
        <f t="shared" si="36"/>
        <v>427750.6</v>
      </c>
      <c r="AD60" s="47" t="s">
        <v>100</v>
      </c>
      <c r="AE60" s="12">
        <v>15200</v>
      </c>
      <c r="AF60" s="12">
        <v>13500</v>
      </c>
      <c r="AG60" s="12">
        <f>19450/2</f>
        <v>9725</v>
      </c>
      <c r="AH60" s="12">
        <f>18920/2</f>
        <v>9460</v>
      </c>
      <c r="AI60" s="12">
        <f>11750/2</f>
        <v>5875</v>
      </c>
      <c r="AJ60" s="12"/>
    </row>
    <row r="61" spans="3:36" ht="18" customHeight="1" thickBot="1" x14ac:dyDescent="0.25">
      <c r="E61" s="38"/>
      <c r="F61" s="38"/>
      <c r="G61" s="38"/>
      <c r="H61" s="38"/>
      <c r="I61" s="38"/>
      <c r="J61" s="43"/>
      <c r="K61" s="38"/>
      <c r="L61" s="38"/>
      <c r="M61" s="38"/>
      <c r="N61" s="38"/>
      <c r="S61" s="97" t="s">
        <v>400</v>
      </c>
      <c r="T61" s="30"/>
      <c r="U61" s="30"/>
      <c r="V61" s="30"/>
      <c r="W61" s="87">
        <f t="shared" ref="W61:AA61" si="37">SUM(W57:W60)</f>
        <v>103020</v>
      </c>
      <c r="X61" s="87">
        <f t="shared" si="37"/>
        <v>244920</v>
      </c>
      <c r="Y61" s="87">
        <f t="shared" si="37"/>
        <v>357998.5</v>
      </c>
      <c r="Z61" s="87">
        <f t="shared" si="37"/>
        <v>464412.3</v>
      </c>
      <c r="AA61" s="87">
        <f t="shared" si="37"/>
        <v>876122.29999999993</v>
      </c>
      <c r="AC61" s="17" t="s">
        <v>103</v>
      </c>
      <c r="AD61" s="48"/>
      <c r="AE61" s="18">
        <f t="shared" ref="AE61:AJ61" si="38">SUM(AE57:AE60)</f>
        <v>54715</v>
      </c>
      <c r="AF61" s="18">
        <f t="shared" si="38"/>
        <v>50630</v>
      </c>
      <c r="AG61" s="18">
        <f t="shared" si="38"/>
        <v>33300</v>
      </c>
      <c r="AH61" s="18">
        <f t="shared" si="38"/>
        <v>28460</v>
      </c>
      <c r="AI61" s="18">
        <f t="shared" si="38"/>
        <v>12467.5</v>
      </c>
      <c r="AJ61" s="18">
        <f t="shared" si="38"/>
        <v>15443</v>
      </c>
    </row>
    <row r="62" spans="3:36" ht="18" customHeight="1" thickTop="1" x14ac:dyDescent="0.2">
      <c r="E62" s="38"/>
      <c r="F62" s="38"/>
      <c r="G62" s="38"/>
      <c r="H62" s="38"/>
      <c r="I62" s="38"/>
      <c r="J62" s="43"/>
      <c r="K62" s="38"/>
      <c r="L62" s="38"/>
      <c r="M62" s="38"/>
      <c r="N62" s="38"/>
      <c r="S62" s="13" t="s">
        <v>112</v>
      </c>
      <c r="W62" s="31">
        <f>W61/W63</f>
        <v>0.95853066237427542</v>
      </c>
      <c r="X62" s="31">
        <f>X61/X63</f>
        <v>0.94963359311387696</v>
      </c>
      <c r="Y62" s="31">
        <f>Y61/Y63</f>
        <v>0.97255508678324698</v>
      </c>
      <c r="Z62" s="31">
        <f>Z61/Z63</f>
        <v>0.91108218551919906</v>
      </c>
      <c r="AA62" s="31">
        <f>AA61/AA63</f>
        <v>0.94163970757355253</v>
      </c>
      <c r="AE62" s="12"/>
      <c r="AF62" s="12"/>
      <c r="AG62" s="12"/>
      <c r="AH62" s="12"/>
      <c r="AI62" s="12"/>
    </row>
    <row r="63" spans="3:36" ht="18" customHeight="1" x14ac:dyDescent="0.2">
      <c r="E63" s="38"/>
      <c r="F63" s="38"/>
      <c r="G63" s="38"/>
      <c r="H63" s="38"/>
      <c r="I63" s="38"/>
      <c r="J63" s="43"/>
      <c r="K63" s="38"/>
      <c r="L63" s="38"/>
      <c r="M63" s="38"/>
      <c r="N63" s="38"/>
      <c r="S63" s="12" t="s">
        <v>111</v>
      </c>
      <c r="W63" s="12">
        <f t="shared" ref="W63:AA63" si="39">AE52+AE43</f>
        <v>107477</v>
      </c>
      <c r="X63" s="12">
        <f t="shared" si="39"/>
        <v>257910</v>
      </c>
      <c r="Y63" s="12">
        <f t="shared" si="39"/>
        <v>368101</v>
      </c>
      <c r="Z63" s="12">
        <f t="shared" si="39"/>
        <v>509737</v>
      </c>
      <c r="AA63" s="12">
        <f t="shared" si="39"/>
        <v>930422</v>
      </c>
      <c r="AC63" s="1" t="s">
        <v>196</v>
      </c>
      <c r="AE63" s="12"/>
      <c r="AF63" s="12"/>
      <c r="AG63" s="12">
        <f>AG60*14%</f>
        <v>1361.5000000000002</v>
      </c>
      <c r="AH63" s="12">
        <f>(AH57*16%)+(AH58*14%)+(AH59*13%)+(AH60*11%)</f>
        <v>3746.6</v>
      </c>
      <c r="AI63" s="12">
        <f>(AI57*6%)+(AI58*18%)+(AI59*20%)+(AI60*17%)</f>
        <v>2156.9500000000003</v>
      </c>
      <c r="AJ63" s="12">
        <f>(AJ57*17%)+(AJ58*12%)</f>
        <v>2221.2600000000002</v>
      </c>
    </row>
    <row r="64" spans="3:36" ht="18" customHeight="1" x14ac:dyDescent="0.2">
      <c r="E64" s="38"/>
      <c r="F64" s="38"/>
      <c r="G64" s="38"/>
      <c r="H64" s="38"/>
      <c r="I64" s="38"/>
      <c r="J64" s="43"/>
      <c r="K64" s="38"/>
      <c r="L64" s="38"/>
      <c r="M64" s="38"/>
      <c r="N64" s="38"/>
      <c r="S64" s="13" t="s">
        <v>152</v>
      </c>
      <c r="W64" s="31"/>
      <c r="X64" s="31">
        <f t="shared" ref="X64:AA64" si="40">X63/W63-1</f>
        <v>1.3996762097937232</v>
      </c>
      <c r="Y64" s="31">
        <f t="shared" si="40"/>
        <v>0.42724593850568038</v>
      </c>
      <c r="Z64" s="31">
        <f t="shared" si="40"/>
        <v>0.38477483082088892</v>
      </c>
      <c r="AA64" s="31">
        <f t="shared" si="40"/>
        <v>0.8252981439448186</v>
      </c>
      <c r="AE64" s="12"/>
      <c r="AF64" s="12"/>
      <c r="AG64" s="12"/>
      <c r="AH64" s="12"/>
      <c r="AI64" s="12"/>
    </row>
    <row r="65" spans="2:36" ht="18" customHeight="1" x14ac:dyDescent="0.2">
      <c r="E65" s="38"/>
      <c r="F65" s="38"/>
      <c r="G65" s="38"/>
      <c r="H65" s="38"/>
      <c r="I65" s="38"/>
      <c r="J65" s="43"/>
      <c r="K65" s="38"/>
      <c r="L65" s="38"/>
      <c r="M65" s="38"/>
      <c r="N65" s="38"/>
      <c r="S65" s="96" t="s">
        <v>196</v>
      </c>
      <c r="T65" s="30"/>
      <c r="U65" s="30"/>
      <c r="V65" s="30"/>
      <c r="W65" s="87">
        <f t="shared" ref="W65:AA65" si="41">AE94</f>
        <v>0</v>
      </c>
      <c r="X65" s="87">
        <f t="shared" si="41"/>
        <v>0</v>
      </c>
      <c r="Y65" s="87">
        <f t="shared" si="41"/>
        <v>0</v>
      </c>
      <c r="Z65" s="87">
        <f t="shared" si="41"/>
        <v>34507.699999999997</v>
      </c>
      <c r="AA65" s="87">
        <f t="shared" si="41"/>
        <v>59827.7</v>
      </c>
      <c r="AC65" s="12" t="str">
        <f>S58</f>
        <v>Model X</v>
      </c>
      <c r="AE65" s="12"/>
      <c r="AF65" s="12"/>
      <c r="AG65" s="12"/>
      <c r="AH65" s="12"/>
      <c r="AI65" s="12"/>
    </row>
    <row r="66" spans="2:36" ht="18" customHeight="1" thickBot="1" x14ac:dyDescent="0.25">
      <c r="B66" s="30" t="str">
        <f>$R$69</f>
        <v>Cost of revenue</v>
      </c>
      <c r="E66" s="38"/>
      <c r="F66" s="38"/>
      <c r="G66" s="38"/>
      <c r="H66" s="38"/>
      <c r="I66" s="38"/>
      <c r="J66" s="43"/>
      <c r="K66" s="38"/>
      <c r="L66" s="38"/>
      <c r="M66" s="38"/>
      <c r="N66" s="38"/>
      <c r="S66" s="98" t="s">
        <v>107</v>
      </c>
      <c r="T66" s="17"/>
      <c r="U66" s="17"/>
      <c r="V66" s="17"/>
      <c r="W66" s="18">
        <f t="shared" ref="W66:AA66" si="42">W61+W65</f>
        <v>103020</v>
      </c>
      <c r="X66" s="18">
        <f t="shared" si="42"/>
        <v>244920</v>
      </c>
      <c r="Y66" s="18">
        <f t="shared" si="42"/>
        <v>357998.5</v>
      </c>
      <c r="Z66" s="18">
        <f t="shared" si="42"/>
        <v>498920</v>
      </c>
      <c r="AA66" s="18">
        <f t="shared" si="42"/>
        <v>935949.99999999988</v>
      </c>
      <c r="AD66" s="47" t="s">
        <v>97</v>
      </c>
      <c r="AE66" s="12">
        <v>11550</v>
      </c>
      <c r="AF66" s="12">
        <v>10070</v>
      </c>
      <c r="AG66" s="12">
        <f>12100/2</f>
        <v>6050</v>
      </c>
      <c r="AH66" s="12">
        <f>12200/2</f>
        <v>6100</v>
      </c>
      <c r="AI66" s="12">
        <f>2020/2</f>
        <v>1010</v>
      </c>
      <c r="AJ66" s="12">
        <f>14724/2</f>
        <v>7362</v>
      </c>
    </row>
    <row r="67" spans="2:36" ht="20" customHeight="1" thickTop="1" x14ac:dyDescent="0.2">
      <c r="E67" s="38"/>
      <c r="F67" s="38"/>
      <c r="G67" s="38"/>
      <c r="H67" s="38"/>
      <c r="I67" s="38"/>
      <c r="J67" s="43"/>
      <c r="K67" s="38"/>
      <c r="L67" s="38"/>
      <c r="M67" s="38"/>
      <c r="N67" s="38"/>
      <c r="W67" s="99"/>
      <c r="X67" s="99"/>
      <c r="Y67" s="99"/>
      <c r="Z67" s="31">
        <f>Z61/Z66</f>
        <v>0.93083520404072795</v>
      </c>
      <c r="AA67" s="31">
        <f>AA61/AA66</f>
        <v>0.93607810246273848</v>
      </c>
      <c r="AD67" s="47" t="s">
        <v>98</v>
      </c>
      <c r="AE67" s="12">
        <v>10000</v>
      </c>
      <c r="AF67" s="12">
        <v>11370</v>
      </c>
      <c r="AG67" s="12">
        <f>17650/2</f>
        <v>8825</v>
      </c>
      <c r="AH67" s="12">
        <f>10600/2</f>
        <v>5300</v>
      </c>
      <c r="AI67" s="12">
        <f>1890/2</f>
        <v>945</v>
      </c>
      <c r="AJ67" s="12">
        <f>16162/2</f>
        <v>8081</v>
      </c>
    </row>
    <row r="68" spans="2:36" ht="20" customHeight="1" x14ac:dyDescent="0.2">
      <c r="E68" s="38"/>
      <c r="F68" s="38"/>
      <c r="G68" s="38"/>
      <c r="H68" s="38"/>
      <c r="I68" s="38"/>
      <c r="J68" s="43"/>
      <c r="K68" s="38"/>
      <c r="L68" s="38"/>
      <c r="M68" s="38"/>
      <c r="N68" s="38"/>
      <c r="W68" s="100"/>
      <c r="X68" s="100"/>
      <c r="Y68" s="100"/>
      <c r="Z68" s="31">
        <f>Z65/Z66</f>
        <v>6.9164795959272024E-2</v>
      </c>
      <c r="AA68" s="31">
        <f>AA65/AA66</f>
        <v>6.3921897537261615E-2</v>
      </c>
      <c r="AD68" s="47" t="s">
        <v>99</v>
      </c>
      <c r="AE68" s="12">
        <v>11865</v>
      </c>
      <c r="AF68" s="12">
        <v>13190</v>
      </c>
      <c r="AG68" s="12">
        <f>17400/2</f>
        <v>8700</v>
      </c>
      <c r="AH68" s="12">
        <f>15200/2</f>
        <v>7600</v>
      </c>
      <c r="AI68" s="12">
        <f>9275/2</f>
        <v>4637.5</v>
      </c>
    </row>
    <row r="69" spans="2:36" ht="18" customHeight="1" x14ac:dyDescent="0.2">
      <c r="C69" s="13" t="str">
        <f t="shared" ref="C69:C74" si="43">S70</f>
        <v>Automotive sales</v>
      </c>
      <c r="D69" s="13"/>
      <c r="E69" s="31">
        <f t="shared" ref="E69:I74" si="44">W70/W$75</f>
        <v>0.70522231543624159</v>
      </c>
      <c r="F69" s="31">
        <f t="shared" si="44"/>
        <v>0.7856937826511281</v>
      </c>
      <c r="G69" s="31">
        <f t="shared" si="44"/>
        <v>0.77717099809839585</v>
      </c>
      <c r="H69" s="31">
        <f t="shared" si="44"/>
        <v>0.79081345860435237</v>
      </c>
      <c r="I69" s="31">
        <f t="shared" si="44"/>
        <v>0.80600243678046601</v>
      </c>
      <c r="J69" s="42"/>
      <c r="K69" s="38">
        <f t="shared" ref="K69:N74" si="45">IFERROR(X70/W70-1,"")</f>
        <v>1.035092936802974</v>
      </c>
      <c r="L69" s="38">
        <f t="shared" si="45"/>
        <v>0.16462078035949146</v>
      </c>
      <c r="M69" s="38">
        <f t="shared" si="45"/>
        <v>0.23571114875462706</v>
      </c>
      <c r="N69" s="38">
        <f t="shared" si="45"/>
        <v>0.6457656376929326</v>
      </c>
      <c r="R69" s="30" t="s">
        <v>18</v>
      </c>
      <c r="AD69" s="47" t="s">
        <v>100</v>
      </c>
      <c r="AE69" s="12">
        <v>13120</v>
      </c>
      <c r="AF69" s="12">
        <v>14050</v>
      </c>
      <c r="AG69" s="12">
        <f>19450/2</f>
        <v>9725</v>
      </c>
      <c r="AH69" s="12">
        <f>18920/2</f>
        <v>9460</v>
      </c>
      <c r="AI69" s="12">
        <f>11750/2</f>
        <v>5875</v>
      </c>
    </row>
    <row r="70" spans="2:36" ht="18" customHeight="1" thickBot="1" x14ac:dyDescent="0.25">
      <c r="C70" s="13" t="str">
        <f t="shared" si="43"/>
        <v>Automotive leasing</v>
      </c>
      <c r="D70" s="13"/>
      <c r="E70" s="31">
        <f t="shared" si="44"/>
        <v>7.4244966442953017E-2</v>
      </c>
      <c r="F70" s="31">
        <f t="shared" si="44"/>
        <v>2.801538549859349E-2</v>
      </c>
      <c r="G70" s="31">
        <f t="shared" si="44"/>
        <v>2.2380418352918232E-2</v>
      </c>
      <c r="H70" s="31">
        <f t="shared" si="44"/>
        <v>2.2604994780374206E-2</v>
      </c>
      <c r="I70" s="31">
        <f t="shared" si="44"/>
        <v>2.4318074446129746E-2</v>
      </c>
      <c r="J70" s="42"/>
      <c r="K70" s="38">
        <f t="shared" si="45"/>
        <v>-0.31073446327683618</v>
      </c>
      <c r="L70" s="38">
        <f t="shared" si="45"/>
        <v>-5.942622950819676E-2</v>
      </c>
      <c r="M70" s="38">
        <f t="shared" si="45"/>
        <v>0.22657952069716769</v>
      </c>
      <c r="N70" s="38">
        <f t="shared" si="45"/>
        <v>0.73712255772646529</v>
      </c>
      <c r="S70" s="13" t="str">
        <f>S48</f>
        <v>Automotive sales</v>
      </c>
      <c r="W70" s="12">
        <v>6725</v>
      </c>
      <c r="X70" s="12">
        <v>13686</v>
      </c>
      <c r="Y70" s="12">
        <v>15939</v>
      </c>
      <c r="Z70" s="12">
        <v>19696</v>
      </c>
      <c r="AA70" s="12">
        <v>32415</v>
      </c>
      <c r="AC70" s="17" t="s">
        <v>102</v>
      </c>
      <c r="AD70" s="48"/>
      <c r="AE70" s="18">
        <f t="shared" ref="AE70" si="46">SUM(AE66:AE69)</f>
        <v>46535</v>
      </c>
      <c r="AF70" s="18">
        <f t="shared" ref="AF70" si="47">SUM(AF66:AF69)</f>
        <v>48680</v>
      </c>
      <c r="AG70" s="18">
        <f t="shared" ref="AG70" si="48">SUM(AG66:AG69)</f>
        <v>33300</v>
      </c>
      <c r="AH70" s="18">
        <f t="shared" ref="AH70" si="49">SUM(AH66:AH69)</f>
        <v>28460</v>
      </c>
      <c r="AI70" s="18">
        <f t="shared" ref="AI70:AJ70" si="50">SUM(AI66:AI69)</f>
        <v>12467.5</v>
      </c>
      <c r="AJ70" s="18">
        <f t="shared" si="50"/>
        <v>15443</v>
      </c>
    </row>
    <row r="71" spans="2:36" ht="18" customHeight="1" thickTop="1" x14ac:dyDescent="0.2">
      <c r="C71" s="15" t="str">
        <f t="shared" si="43"/>
        <v>Total Automotive Cost</v>
      </c>
      <c r="D71" s="15"/>
      <c r="E71" s="33">
        <f t="shared" si="44"/>
        <v>0.77946728187919467</v>
      </c>
      <c r="F71" s="33">
        <f t="shared" si="44"/>
        <v>0.81370916814972161</v>
      </c>
      <c r="G71" s="33">
        <f t="shared" si="44"/>
        <v>0.79955141645131411</v>
      </c>
      <c r="H71" s="33">
        <f t="shared" si="44"/>
        <v>0.81341845338472663</v>
      </c>
      <c r="I71" s="33">
        <f t="shared" si="44"/>
        <v>0.83032051122659567</v>
      </c>
      <c r="J71" s="40"/>
      <c r="K71" s="41">
        <f t="shared" si="45"/>
        <v>0.90690165478272577</v>
      </c>
      <c r="L71" s="41">
        <f t="shared" si="45"/>
        <v>0.15690701284041197</v>
      </c>
      <c r="M71" s="41">
        <f t="shared" si="45"/>
        <v>0.23545554335894625</v>
      </c>
      <c r="N71" s="41">
        <f t="shared" si="45"/>
        <v>0.64830445727824682</v>
      </c>
      <c r="S71" s="13" t="str">
        <f>S49</f>
        <v>Automotive leasing</v>
      </c>
      <c r="W71" s="12">
        <v>708</v>
      </c>
      <c r="X71" s="12">
        <v>488</v>
      </c>
      <c r="Y71" s="12">
        <v>459</v>
      </c>
      <c r="Z71" s="12">
        <v>563</v>
      </c>
      <c r="AA71" s="12">
        <v>978</v>
      </c>
    </row>
    <row r="72" spans="2:36" ht="18" customHeight="1" x14ac:dyDescent="0.2">
      <c r="C72" s="13" t="str">
        <f t="shared" si="43"/>
        <v>Energy generation and storage</v>
      </c>
      <c r="D72" s="13"/>
      <c r="E72" s="31">
        <f t="shared" si="44"/>
        <v>9.1652684563758385E-2</v>
      </c>
      <c r="F72" s="31">
        <f t="shared" si="44"/>
        <v>7.8362707388483846E-2</v>
      </c>
      <c r="G72" s="31">
        <f t="shared" si="44"/>
        <v>6.5385928129114049E-2</v>
      </c>
      <c r="H72" s="31">
        <f t="shared" si="44"/>
        <v>7.9338312053320481E-2</v>
      </c>
      <c r="I72" s="31">
        <f t="shared" si="44"/>
        <v>7.2556381629659106E-2</v>
      </c>
      <c r="J72" s="42"/>
      <c r="K72" s="38">
        <f t="shared" si="45"/>
        <v>0.56178489702517154</v>
      </c>
      <c r="L72" s="38">
        <f t="shared" si="45"/>
        <v>-1.7582417582417631E-2</v>
      </c>
      <c r="M72" s="38">
        <f t="shared" si="45"/>
        <v>0.47352721849366142</v>
      </c>
      <c r="N72" s="38">
        <f t="shared" si="45"/>
        <v>0.47672064777327927</v>
      </c>
      <c r="S72" s="15" t="s">
        <v>19</v>
      </c>
      <c r="T72" s="15"/>
      <c r="U72" s="15"/>
      <c r="V72" s="15"/>
      <c r="W72" s="16">
        <f t="shared" ref="W72:AA72" si="51">SUM(W70:W71)</f>
        <v>7433</v>
      </c>
      <c r="X72" s="16">
        <f t="shared" si="51"/>
        <v>14174</v>
      </c>
      <c r="Y72" s="16">
        <f t="shared" si="51"/>
        <v>16398</v>
      </c>
      <c r="Z72" s="16">
        <f t="shared" si="51"/>
        <v>20259</v>
      </c>
      <c r="AA72" s="16">
        <f t="shared" si="51"/>
        <v>33393</v>
      </c>
      <c r="AC72" s="1" t="s">
        <v>196</v>
      </c>
      <c r="AE72" s="12"/>
      <c r="AF72" s="12"/>
      <c r="AG72" s="12">
        <f>AG69*14%</f>
        <v>1361.5000000000002</v>
      </c>
      <c r="AH72" s="12">
        <f>(AH66*16%)+(AH67*14%)+(AH68*13%)+(AH69*11%)</f>
        <v>3746.6</v>
      </c>
      <c r="AI72" s="12">
        <f>(AI66*6%)+(AI67*18%)+(AI68*20%)+(AI69*17%)</f>
        <v>2156.9500000000003</v>
      </c>
      <c r="AJ72" s="12">
        <f>(AJ66*17%)+(AJ67*12%)</f>
        <v>2221.2600000000002</v>
      </c>
    </row>
    <row r="73" spans="2:36" ht="18" customHeight="1" x14ac:dyDescent="0.2">
      <c r="C73" s="13" t="str">
        <f t="shared" si="43"/>
        <v>Services and other</v>
      </c>
      <c r="D73" s="13"/>
      <c r="E73" s="31">
        <f t="shared" si="44"/>
        <v>0.12888003355704697</v>
      </c>
      <c r="F73" s="31">
        <f t="shared" si="44"/>
        <v>0.10792812446179459</v>
      </c>
      <c r="G73" s="31">
        <f t="shared" si="44"/>
        <v>0.13506265541957191</v>
      </c>
      <c r="H73" s="31">
        <f t="shared" si="44"/>
        <v>0.10724323456195295</v>
      </c>
      <c r="I73" s="31">
        <f t="shared" si="44"/>
        <v>9.7123107143745183E-2</v>
      </c>
      <c r="J73" s="42"/>
      <c r="K73" s="38">
        <f t="shared" si="45"/>
        <v>0.52969894222945491</v>
      </c>
      <c r="L73" s="38">
        <f t="shared" si="45"/>
        <v>0.47340425531914887</v>
      </c>
      <c r="M73" s="38">
        <f t="shared" si="45"/>
        <v>-3.5740072202166018E-2</v>
      </c>
      <c r="N73" s="38">
        <f t="shared" si="45"/>
        <v>0.46237364283040061</v>
      </c>
      <c r="S73" s="13" t="str">
        <f>S51</f>
        <v>Energy generation and storage</v>
      </c>
      <c r="W73" s="12">
        <v>874</v>
      </c>
      <c r="X73" s="12">
        <v>1365</v>
      </c>
      <c r="Y73" s="12">
        <v>1341</v>
      </c>
      <c r="Z73" s="12">
        <v>1976</v>
      </c>
      <c r="AA73" s="12">
        <v>2918</v>
      </c>
    </row>
    <row r="74" spans="2:36" ht="18" customHeight="1" x14ac:dyDescent="0.2">
      <c r="C74" s="15" t="str">
        <f t="shared" si="43"/>
        <v>Cost of revenue</v>
      </c>
      <c r="D74" s="15"/>
      <c r="E74" s="33">
        <f t="shared" si="44"/>
        <v>1</v>
      </c>
      <c r="F74" s="33">
        <f t="shared" si="44"/>
        <v>1</v>
      </c>
      <c r="G74" s="33">
        <f t="shared" si="44"/>
        <v>1</v>
      </c>
      <c r="H74" s="33">
        <f t="shared" si="44"/>
        <v>1</v>
      </c>
      <c r="I74" s="33">
        <f t="shared" si="44"/>
        <v>1</v>
      </c>
      <c r="J74" s="40"/>
      <c r="K74" s="41">
        <f t="shared" si="45"/>
        <v>0.82665687919463093</v>
      </c>
      <c r="L74" s="41">
        <f t="shared" si="45"/>
        <v>0.1773925024398646</v>
      </c>
      <c r="M74" s="41">
        <f t="shared" si="45"/>
        <v>0.21439368082305332</v>
      </c>
      <c r="N74" s="41">
        <f t="shared" si="45"/>
        <v>0.61475146551031878</v>
      </c>
      <c r="S74" s="13" t="str">
        <f>S52</f>
        <v>Services and other</v>
      </c>
      <c r="W74" s="12">
        <v>1229</v>
      </c>
      <c r="X74" s="12">
        <v>1880</v>
      </c>
      <c r="Y74" s="12">
        <v>2770</v>
      </c>
      <c r="Z74" s="12">
        <v>2671</v>
      </c>
      <c r="AA74" s="12">
        <v>3906</v>
      </c>
      <c r="AC74" s="12" t="str">
        <f>S59</f>
        <v>Model 3</v>
      </c>
      <c r="AE74" s="12"/>
      <c r="AF74" s="12"/>
      <c r="AG74" s="12"/>
      <c r="AH74" s="12"/>
      <c r="AI74" s="12"/>
    </row>
    <row r="75" spans="2:36" ht="18" customHeight="1" x14ac:dyDescent="0.2">
      <c r="E75" s="38"/>
      <c r="F75" s="38"/>
      <c r="G75" s="38"/>
      <c r="H75" s="38"/>
      <c r="I75" s="38"/>
      <c r="J75" s="43"/>
      <c r="K75" s="38"/>
      <c r="L75" s="38"/>
      <c r="M75" s="38"/>
      <c r="N75" s="38"/>
      <c r="S75" s="15" t="str">
        <f>R69</f>
        <v>Cost of revenue</v>
      </c>
      <c r="T75" s="15"/>
      <c r="U75" s="15"/>
      <c r="V75" s="15"/>
      <c r="W75" s="16">
        <f t="shared" ref="W75:AA75" si="52">SUM(W72:W74)</f>
        <v>9536</v>
      </c>
      <c r="X75" s="16">
        <f t="shared" si="52"/>
        <v>17419</v>
      </c>
      <c r="Y75" s="16">
        <f t="shared" si="52"/>
        <v>20509</v>
      </c>
      <c r="Z75" s="16">
        <f t="shared" si="52"/>
        <v>24906</v>
      </c>
      <c r="AA75" s="16">
        <f t="shared" si="52"/>
        <v>40217</v>
      </c>
      <c r="AD75" s="47" t="s">
        <v>97</v>
      </c>
      <c r="AE75" s="12"/>
      <c r="AF75" s="12">
        <v>8180</v>
      </c>
      <c r="AG75" s="12">
        <v>50900</v>
      </c>
      <c r="AH75" s="12">
        <f>76200/2</f>
        <v>38100</v>
      </c>
      <c r="AI75" s="12">
        <f>182780/2</f>
        <v>91390</v>
      </c>
      <c r="AJ75" s="12">
        <f>295324/2</f>
        <v>147662</v>
      </c>
    </row>
    <row r="76" spans="2:36" ht="18" customHeight="1" x14ac:dyDescent="0.2">
      <c r="B76" s="1" t="str">
        <f>$R$80</f>
        <v>Weighted average shares</v>
      </c>
      <c r="E76" s="38"/>
      <c r="F76" s="38"/>
      <c r="G76" s="38"/>
      <c r="H76" s="38"/>
      <c r="I76" s="38"/>
      <c r="J76" s="43"/>
      <c r="K76" s="38"/>
      <c r="L76" s="38"/>
      <c r="M76" s="38"/>
      <c r="N76" s="38"/>
      <c r="S76" s="1" t="s">
        <v>562</v>
      </c>
      <c r="W76" s="12">
        <f>W411</f>
        <v>1636</v>
      </c>
      <c r="X76" s="12">
        <f>X411</f>
        <v>1901</v>
      </c>
      <c r="Y76" s="12">
        <f>Y411</f>
        <v>2154</v>
      </c>
      <c r="Z76" s="12">
        <f>Z411</f>
        <v>2322</v>
      </c>
      <c r="AA76" s="12">
        <f>AA411</f>
        <v>2911</v>
      </c>
      <c r="AD76" s="47" t="s">
        <v>98</v>
      </c>
      <c r="AE76" s="12"/>
      <c r="AF76" s="12">
        <v>18440</v>
      </c>
      <c r="AG76" s="12">
        <v>77550</v>
      </c>
      <c r="AH76" s="12">
        <f>80050/2</f>
        <v>40025</v>
      </c>
      <c r="AI76" s="12">
        <f>199360/2</f>
        <v>99680</v>
      </c>
      <c r="AJ76" s="12">
        <f>238533/2</f>
        <v>119266.5</v>
      </c>
    </row>
    <row r="77" spans="2:36" ht="18" customHeight="1" x14ac:dyDescent="0.2">
      <c r="E77" s="38"/>
      <c r="F77" s="38"/>
      <c r="G77" s="38"/>
      <c r="H77" s="38"/>
      <c r="I77" s="38"/>
      <c r="J77" s="43"/>
      <c r="K77" s="38"/>
      <c r="L77" s="38"/>
      <c r="M77" s="38"/>
      <c r="N77" s="38"/>
      <c r="S77" s="1" t="s">
        <v>563</v>
      </c>
      <c r="W77" s="12">
        <f>W41</f>
        <v>467</v>
      </c>
      <c r="X77" s="12">
        <f>X41</f>
        <v>749</v>
      </c>
      <c r="Y77" s="12">
        <f>Y41</f>
        <v>898</v>
      </c>
      <c r="Z77" s="12">
        <f>Z41</f>
        <v>1734</v>
      </c>
      <c r="AA77" s="12">
        <f>AA41</f>
        <v>2121</v>
      </c>
      <c r="AD77" s="47" t="s">
        <v>99</v>
      </c>
      <c r="AE77" s="12">
        <v>220</v>
      </c>
      <c r="AF77" s="12">
        <v>55840</v>
      </c>
      <c r="AG77" s="12">
        <v>79600</v>
      </c>
      <c r="AH77" s="12">
        <f>124100/2</f>
        <v>62050</v>
      </c>
      <c r="AI77" s="12">
        <f>232025/2</f>
        <v>116012.5</v>
      </c>
      <c r="AJ77" s="12"/>
    </row>
    <row r="78" spans="2:36" ht="18" customHeight="1" x14ac:dyDescent="0.2">
      <c r="B78" s="1" t="str">
        <f>$R81</f>
        <v>Weighted average shares used in computing net  income (loss) per share of common stock</v>
      </c>
      <c r="E78" s="31">
        <f>W80/W$75</f>
        <v>1.7407718120805368E-2</v>
      </c>
      <c r="F78" s="31">
        <f>X80/X$75</f>
        <v>4.8969516045697228E-2</v>
      </c>
      <c r="G78" s="31">
        <f>Y80/Y$75</f>
        <v>4.324930518309035E-2</v>
      </c>
      <c r="H78" s="31">
        <f>Z80/Z$75</f>
        <v>3.746085280655264E-2</v>
      </c>
      <c r="I78" s="31">
        <f>AA80/AA$75</f>
        <v>2.4516995300494816E-2</v>
      </c>
      <c r="J78" s="39"/>
      <c r="K78" s="38">
        <f>IFERROR(X80/W80-1,"")</f>
        <v>4.1385542168674698</v>
      </c>
      <c r="L78" s="38">
        <f>IFERROR(Y80/X80-1,"")</f>
        <v>3.9859320046893298E-2</v>
      </c>
      <c r="M78" s="38">
        <f>IFERROR(Z80/Y80-1,"")</f>
        <v>5.1860202931228949E-2</v>
      </c>
      <c r="N78" s="38">
        <f>IFERROR(AA80/Z80-1,"")</f>
        <v>5.6806002143622747E-2</v>
      </c>
      <c r="S78" s="15" t="s">
        <v>423</v>
      </c>
      <c r="T78" s="15"/>
      <c r="U78" s="15"/>
      <c r="V78" s="15"/>
      <c r="W78" s="180">
        <f t="shared" ref="W78:AA78" si="53">W72-SUM(W76:W77)</f>
        <v>5330</v>
      </c>
      <c r="X78" s="180">
        <f t="shared" si="53"/>
        <v>11524</v>
      </c>
      <c r="Y78" s="180">
        <f t="shared" si="53"/>
        <v>13346</v>
      </c>
      <c r="Z78" s="180">
        <f t="shared" si="53"/>
        <v>16203</v>
      </c>
      <c r="AA78" s="180">
        <f t="shared" si="53"/>
        <v>28361</v>
      </c>
      <c r="AD78" s="47" t="s">
        <v>100</v>
      </c>
      <c r="AE78" s="12">
        <v>1550</v>
      </c>
      <c r="AF78" s="12">
        <v>63150</v>
      </c>
      <c r="AG78" s="12">
        <v>92550</v>
      </c>
      <c r="AH78" s="12">
        <f>161650/2</f>
        <v>80825</v>
      </c>
      <c r="AI78" s="12">
        <f>296850/2</f>
        <v>148425</v>
      </c>
      <c r="AJ78" s="12"/>
    </row>
    <row r="79" spans="2:36" ht="18" customHeight="1" thickBot="1" x14ac:dyDescent="0.25">
      <c r="B79" s="1">
        <f>$R82</f>
        <v>0</v>
      </c>
      <c r="E79" s="38"/>
      <c r="F79" s="38"/>
      <c r="G79" s="38"/>
      <c r="H79" s="38"/>
      <c r="I79" s="38"/>
      <c r="J79" s="43"/>
      <c r="K79" s="38"/>
      <c r="L79" s="38"/>
      <c r="M79" s="38"/>
      <c r="N79" s="38"/>
      <c r="AC79" s="17" t="s">
        <v>104</v>
      </c>
      <c r="AD79" s="48"/>
      <c r="AE79" s="18">
        <f t="shared" ref="AE79" si="54">SUM(AE75:AE78)</f>
        <v>1770</v>
      </c>
      <c r="AF79" s="18">
        <f t="shared" ref="AF79" si="55">SUM(AF75:AF78)</f>
        <v>145610</v>
      </c>
      <c r="AG79" s="18">
        <f t="shared" ref="AG79" si="56">SUM(AG75:AG78)</f>
        <v>300600</v>
      </c>
      <c r="AH79" s="18">
        <f t="shared" ref="AH79" si="57">SUM(AH75:AH78)</f>
        <v>221000</v>
      </c>
      <c r="AI79" s="18">
        <f t="shared" ref="AI79:AJ79" si="58">SUM(AI75:AI78)</f>
        <v>455507.5</v>
      </c>
      <c r="AJ79" s="18">
        <f t="shared" si="58"/>
        <v>266928.5</v>
      </c>
    </row>
    <row r="80" spans="2:36" ht="18" customHeight="1" thickTop="1" x14ac:dyDescent="0.2">
      <c r="C80" s="1" t="str">
        <f>S82</f>
        <v>Stock-based awards</v>
      </c>
      <c r="E80" s="31">
        <f t="shared" ref="E80:I83" si="59">W82/W$75</f>
        <v>0</v>
      </c>
      <c r="F80" s="31">
        <f t="shared" si="59"/>
        <v>0</v>
      </c>
      <c r="G80" s="31">
        <f t="shared" si="59"/>
        <v>0</v>
      </c>
      <c r="H80" s="31">
        <f t="shared" si="59"/>
        <v>2.6499638641291254E-3</v>
      </c>
      <c r="I80" s="31">
        <f t="shared" si="59"/>
        <v>2.4367804659721016E-3</v>
      </c>
      <c r="J80" s="39"/>
      <c r="K80" s="38" t="str">
        <f t="shared" ref="K80:N83" si="60">IFERROR(X82/W82-1,"")</f>
        <v/>
      </c>
      <c r="L80" s="38" t="str">
        <f t="shared" si="60"/>
        <v/>
      </c>
      <c r="M80" s="38" t="str">
        <f t="shared" si="60"/>
        <v/>
      </c>
      <c r="N80" s="38">
        <f t="shared" si="60"/>
        <v>0.48484848484848486</v>
      </c>
      <c r="R80" s="59" t="s">
        <v>40</v>
      </c>
      <c r="W80" s="12">
        <v>166</v>
      </c>
      <c r="X80" s="12">
        <v>853</v>
      </c>
      <c r="Y80" s="12">
        <v>887</v>
      </c>
      <c r="Z80" s="12">
        <v>933</v>
      </c>
      <c r="AA80" s="12">
        <v>986</v>
      </c>
    </row>
    <row r="81" spans="2:36" ht="18" customHeight="1" x14ac:dyDescent="0.2">
      <c r="C81" s="1" t="str">
        <f>S83</f>
        <v>Convertible senior notes</v>
      </c>
      <c r="E81" s="38">
        <f t="shared" si="59"/>
        <v>0</v>
      </c>
      <c r="F81" s="38">
        <f t="shared" si="59"/>
        <v>0</v>
      </c>
      <c r="G81" s="38">
        <f t="shared" si="59"/>
        <v>0</v>
      </c>
      <c r="H81" s="38">
        <f t="shared" si="59"/>
        <v>1.887095479001044E-3</v>
      </c>
      <c r="I81" s="38">
        <f t="shared" si="59"/>
        <v>2.4865106795633686E-4</v>
      </c>
      <c r="J81" s="39"/>
      <c r="K81" s="38" t="str">
        <f t="shared" si="60"/>
        <v/>
      </c>
      <c r="L81" s="38" t="str">
        <f t="shared" si="60"/>
        <v/>
      </c>
      <c r="M81" s="38" t="str">
        <f t="shared" si="60"/>
        <v/>
      </c>
      <c r="N81" s="38">
        <f t="shared" si="60"/>
        <v>-0.78723404255319152</v>
      </c>
      <c r="R81" s="1" t="s">
        <v>34</v>
      </c>
      <c r="W81" s="12"/>
      <c r="X81" s="12"/>
      <c r="Y81" s="12"/>
      <c r="Z81" s="12"/>
      <c r="AA81" s="12"/>
      <c r="AC81" s="1" t="s">
        <v>398</v>
      </c>
      <c r="AG81" s="12">
        <f>AG78*7%</f>
        <v>6478.5000000000009</v>
      </c>
      <c r="AH81" s="12">
        <f>(AH75*5%)+(AH76*4%)+(AH77*7%)+(AH78*7%)</f>
        <v>13507.25</v>
      </c>
      <c r="AI81" s="12">
        <f>(AI75*7%)+(AI76*7%)+(AI77*6%)+(AI78*5%)</f>
        <v>27756.9</v>
      </c>
      <c r="AJ81" s="12">
        <f>(AJ75*3%)+(AJ76*3%)</f>
        <v>8007.8549999999996</v>
      </c>
    </row>
    <row r="82" spans="2:36" ht="18" customHeight="1" x14ac:dyDescent="0.2">
      <c r="C82" s="1" t="str">
        <f>S84</f>
        <v>Warrants</v>
      </c>
      <c r="E82" s="38">
        <f t="shared" si="59"/>
        <v>0</v>
      </c>
      <c r="F82" s="38">
        <f t="shared" si="59"/>
        <v>0</v>
      </c>
      <c r="G82" s="38">
        <f t="shared" si="59"/>
        <v>0</v>
      </c>
      <c r="H82" s="38">
        <f t="shared" si="59"/>
        <v>1.4855858026178431E-3</v>
      </c>
      <c r="I82" s="38">
        <f t="shared" si="59"/>
        <v>8.7027873784717902E-4</v>
      </c>
      <c r="J82" s="39"/>
      <c r="K82" s="38" t="str">
        <f t="shared" si="60"/>
        <v/>
      </c>
      <c r="L82" s="38" t="str">
        <f t="shared" si="60"/>
        <v/>
      </c>
      <c r="M82" s="38" t="str">
        <f t="shared" si="60"/>
        <v/>
      </c>
      <c r="N82" s="38">
        <f t="shared" si="60"/>
        <v>-5.4054054054054057E-2</v>
      </c>
      <c r="S82" s="1" t="s">
        <v>35</v>
      </c>
      <c r="W82" s="12">
        <v>0</v>
      </c>
      <c r="X82" s="12">
        <v>0</v>
      </c>
      <c r="Y82" s="12">
        <v>0</v>
      </c>
      <c r="Z82" s="12">
        <v>66</v>
      </c>
      <c r="AA82" s="12">
        <v>98</v>
      </c>
    </row>
    <row r="83" spans="2:36" ht="20" customHeight="1" thickBot="1" x14ac:dyDescent="0.25">
      <c r="B83" s="27" t="str">
        <f>$R$86</f>
        <v>Weighted average shares used in computing net income per share of common stock, diluted</v>
      </c>
      <c r="C83" s="27"/>
      <c r="D83" s="27"/>
      <c r="E83" s="44">
        <f t="shared" si="59"/>
        <v>1.7407718120805368E-2</v>
      </c>
      <c r="F83" s="44">
        <f t="shared" si="59"/>
        <v>4.8969516045697228E-2</v>
      </c>
      <c r="G83" s="44">
        <f t="shared" si="59"/>
        <v>4.324930518309035E-2</v>
      </c>
      <c r="H83" s="44">
        <f t="shared" si="59"/>
        <v>4.3483497952300651E-2</v>
      </c>
      <c r="I83" s="44">
        <f t="shared" si="59"/>
        <v>2.8072705572270432E-2</v>
      </c>
      <c r="J83" s="45"/>
      <c r="K83" s="44">
        <f t="shared" si="60"/>
        <v>4.1385542168674698</v>
      </c>
      <c r="L83" s="44">
        <f t="shared" si="60"/>
        <v>3.9859320046893298E-2</v>
      </c>
      <c r="M83" s="44">
        <f t="shared" si="60"/>
        <v>0.22096956031567072</v>
      </c>
      <c r="N83" s="44">
        <f t="shared" si="60"/>
        <v>4.2474607571560519E-2</v>
      </c>
      <c r="S83" s="1" t="s">
        <v>36</v>
      </c>
      <c r="W83" s="12">
        <v>0</v>
      </c>
      <c r="X83" s="12">
        <v>0</v>
      </c>
      <c r="Y83" s="12">
        <v>0</v>
      </c>
      <c r="Z83" s="12">
        <v>47</v>
      </c>
      <c r="AA83" s="12">
        <v>10</v>
      </c>
      <c r="AC83" s="12" t="str">
        <f>S60</f>
        <v>Model Y</v>
      </c>
      <c r="AE83" s="12"/>
      <c r="AF83" s="12"/>
      <c r="AG83" s="12"/>
      <c r="AH83" s="12"/>
      <c r="AI83" s="12"/>
    </row>
    <row r="84" spans="2:36" ht="18" customHeight="1" thickTop="1" x14ac:dyDescent="0.2">
      <c r="S84" s="1" t="s">
        <v>37</v>
      </c>
      <c r="W84" s="12">
        <v>0</v>
      </c>
      <c r="X84" s="12">
        <v>0</v>
      </c>
      <c r="Y84" s="12">
        <v>0</v>
      </c>
      <c r="Z84" s="12">
        <v>37</v>
      </c>
      <c r="AA84" s="12">
        <v>35</v>
      </c>
      <c r="AD84" s="47" t="s">
        <v>97</v>
      </c>
      <c r="AE84" s="12"/>
      <c r="AF84" s="12"/>
      <c r="AG84" s="12"/>
      <c r="AH84" s="12">
        <f>76200/2</f>
        <v>38100</v>
      </c>
      <c r="AI84" s="12">
        <f>182780/2</f>
        <v>91390</v>
      </c>
      <c r="AJ84" s="12">
        <f>295324/2</f>
        <v>147662</v>
      </c>
    </row>
    <row r="85" spans="2:36" ht="18" customHeight="1" thickBot="1" x14ac:dyDescent="0.25">
      <c r="S85" s="27"/>
      <c r="T85" s="27"/>
      <c r="U85" s="27"/>
      <c r="V85" s="27"/>
      <c r="W85" s="28">
        <f t="shared" ref="W85:AA85" si="61">SUM(W82:W84)+W80</f>
        <v>166</v>
      </c>
      <c r="X85" s="28">
        <f t="shared" si="61"/>
        <v>853</v>
      </c>
      <c r="Y85" s="28">
        <f t="shared" si="61"/>
        <v>887</v>
      </c>
      <c r="Z85" s="28">
        <f t="shared" si="61"/>
        <v>1083</v>
      </c>
      <c r="AA85" s="28">
        <f t="shared" si="61"/>
        <v>1129</v>
      </c>
      <c r="AD85" s="47" t="s">
        <v>98</v>
      </c>
      <c r="AE85" s="12"/>
      <c r="AF85" s="12"/>
      <c r="AG85" s="12"/>
      <c r="AH85" s="12">
        <f>80050/2</f>
        <v>40025</v>
      </c>
      <c r="AI85" s="12">
        <f>199360/2</f>
        <v>99680</v>
      </c>
      <c r="AJ85" s="12">
        <f>238533/2</f>
        <v>119266.5</v>
      </c>
    </row>
    <row r="86" spans="2:36" ht="18" customHeight="1" thickTop="1" thickBot="1" x14ac:dyDescent="0.25">
      <c r="R86" s="27" t="s">
        <v>38</v>
      </c>
      <c r="AD86" s="47" t="s">
        <v>99</v>
      </c>
      <c r="AE86" s="12"/>
      <c r="AF86" s="12"/>
      <c r="AG86" s="12"/>
      <c r="AH86" s="12">
        <f>124100/2</f>
        <v>62050</v>
      </c>
      <c r="AI86" s="12">
        <f>232025/2</f>
        <v>116012.5</v>
      </c>
    </row>
    <row r="87" spans="2:36" ht="18" customHeight="1" thickTop="1" x14ac:dyDescent="0.2">
      <c r="AD87" s="47" t="s">
        <v>100</v>
      </c>
      <c r="AE87" s="12"/>
      <c r="AF87" s="12"/>
      <c r="AG87" s="12"/>
      <c r="AH87" s="12">
        <f>161650/2</f>
        <v>80825</v>
      </c>
      <c r="AI87" s="12">
        <f>296850/2</f>
        <v>148425</v>
      </c>
    </row>
    <row r="88" spans="2:36" ht="20" customHeight="1" thickBot="1" x14ac:dyDescent="0.3">
      <c r="B88" s="2" t="str">
        <f>'Cover Page'!$C$18</f>
        <v>Tesla, Inc.</v>
      </c>
      <c r="C88" s="3"/>
      <c r="D88" s="3"/>
      <c r="E88" s="3"/>
      <c r="F88" s="3"/>
      <c r="G88" s="3"/>
      <c r="H88" s="3"/>
      <c r="I88" s="3"/>
      <c r="J88" s="3"/>
      <c r="K88" s="3"/>
      <c r="L88" s="3"/>
      <c r="M88" s="3"/>
      <c r="N88" s="3"/>
      <c r="AC88" s="17" t="s">
        <v>106</v>
      </c>
      <c r="AD88" s="48"/>
      <c r="AE88" s="18">
        <f t="shared" ref="AE88:AI88" si="62">SUM(AE84:AE87)</f>
        <v>0</v>
      </c>
      <c r="AF88" s="18">
        <f t="shared" si="62"/>
        <v>0</v>
      </c>
      <c r="AG88" s="18">
        <f t="shared" si="62"/>
        <v>0</v>
      </c>
      <c r="AH88" s="18">
        <f t="shared" si="62"/>
        <v>221000</v>
      </c>
      <c r="AI88" s="18">
        <f t="shared" si="62"/>
        <v>455507.5</v>
      </c>
      <c r="AJ88" s="18">
        <f t="shared" ref="AJ88" si="63">SUM(AJ84:AJ87)</f>
        <v>266928.5</v>
      </c>
    </row>
    <row r="89" spans="2:36" ht="15" customHeight="1" thickTop="1" x14ac:dyDescent="0.2">
      <c r="B89" s="4" t="s">
        <v>45</v>
      </c>
      <c r="C89" s="4"/>
      <c r="D89" s="4"/>
      <c r="E89" s="4"/>
      <c r="F89" s="4"/>
      <c r="G89" s="4"/>
      <c r="H89" s="4"/>
      <c r="I89" s="4"/>
      <c r="J89" s="4"/>
      <c r="K89" s="4"/>
      <c r="L89" s="4"/>
      <c r="M89" s="4"/>
      <c r="N89" s="4"/>
    </row>
    <row r="90" spans="2:36" ht="15" customHeight="1" thickBot="1" x14ac:dyDescent="0.25">
      <c r="B90" s="5"/>
      <c r="C90" s="5"/>
      <c r="D90" s="5"/>
      <c r="E90" s="5"/>
      <c r="F90" s="5"/>
      <c r="G90" s="5"/>
      <c r="H90" s="5"/>
      <c r="I90" s="5"/>
      <c r="J90" s="5"/>
      <c r="K90" s="5"/>
      <c r="L90" s="5"/>
      <c r="M90" s="5"/>
      <c r="N90" s="5"/>
      <c r="W90" s="12"/>
      <c r="X90" s="12"/>
      <c r="Y90" s="12"/>
      <c r="Z90" s="12"/>
      <c r="AA90" s="12"/>
      <c r="AC90" s="1" t="s">
        <v>398</v>
      </c>
      <c r="AG90" s="12">
        <f>AG87*7%</f>
        <v>0</v>
      </c>
      <c r="AH90" s="12">
        <f>(AH84*5%)+(AH85*4%)+(AH86*7%)+(AH87*7%)</f>
        <v>13507.25</v>
      </c>
      <c r="AI90" s="12">
        <f>(AI84*7%)+(AI85*7%)+(AI86*6%)+(AI87*5%)</f>
        <v>27756.9</v>
      </c>
      <c r="AJ90" s="12">
        <f>(AJ84*3%)+(AJ85*3%)</f>
        <v>8007.8549999999996</v>
      </c>
    </row>
    <row r="91" spans="2:36" ht="15" customHeight="1" x14ac:dyDescent="0.2">
      <c r="W91" s="12"/>
      <c r="X91" s="12"/>
      <c r="Y91" s="12"/>
      <c r="Z91" s="12"/>
      <c r="AA91" s="12"/>
      <c r="AG91" s="12"/>
      <c r="AH91" s="12"/>
      <c r="AI91" s="12"/>
      <c r="AJ91" s="12"/>
    </row>
    <row r="92" spans="2:36" ht="18" customHeight="1" x14ac:dyDescent="0.2">
      <c r="W92" s="12"/>
      <c r="X92" s="12"/>
      <c r="Y92" s="12"/>
      <c r="Z92" s="12"/>
      <c r="AA92" s="12"/>
    </row>
    <row r="93" spans="2:36" ht="18" customHeight="1" x14ac:dyDescent="0.2">
      <c r="E93" s="6" t="s">
        <v>8</v>
      </c>
      <c r="F93" s="7"/>
      <c r="G93" s="7"/>
      <c r="H93" s="7"/>
      <c r="I93" s="7"/>
      <c r="J93" s="23" t="s">
        <v>9</v>
      </c>
      <c r="K93" s="24"/>
      <c r="L93" s="24"/>
      <c r="M93" s="24"/>
      <c r="N93" s="24"/>
      <c r="W93" s="12"/>
      <c r="X93" s="12"/>
      <c r="Y93" s="12"/>
      <c r="Z93" s="12"/>
      <c r="AA93" s="12"/>
      <c r="AC93" s="13" t="s">
        <v>404</v>
      </c>
      <c r="AE93" s="49">
        <f t="shared" ref="AE93:AI93" si="64">(AE79+AE70+AE61+AE88)-AE94</f>
        <v>103020</v>
      </c>
      <c r="AF93" s="49">
        <f t="shared" si="64"/>
        <v>244920</v>
      </c>
      <c r="AG93" s="49">
        <f t="shared" si="64"/>
        <v>367200</v>
      </c>
      <c r="AH93" s="49">
        <f t="shared" si="64"/>
        <v>464412.3</v>
      </c>
      <c r="AI93" s="49">
        <f t="shared" si="64"/>
        <v>876122.3</v>
      </c>
      <c r="AJ93" s="49">
        <f>(AJ79+AJ70+AJ61+AJ88)-AJ94</f>
        <v>544284.77</v>
      </c>
    </row>
    <row r="94" spans="2:36" ht="18" customHeight="1" x14ac:dyDescent="0.2">
      <c r="E94" s="10">
        <f t="shared" ref="E94:H94" si="65">F94-1</f>
        <v>2017</v>
      </c>
      <c r="F94" s="10">
        <f t="shared" si="65"/>
        <v>2018</v>
      </c>
      <c r="G94" s="10">
        <f t="shared" si="65"/>
        <v>2019</v>
      </c>
      <c r="H94" s="10">
        <f t="shared" si="65"/>
        <v>2020</v>
      </c>
      <c r="I94" s="10">
        <f>2021</f>
        <v>2021</v>
      </c>
      <c r="J94" s="25">
        <v>2017</v>
      </c>
      <c r="K94" s="10">
        <v>2018</v>
      </c>
      <c r="L94" s="10">
        <v>2019</v>
      </c>
      <c r="M94" s="10">
        <v>2020</v>
      </c>
      <c r="N94" s="10">
        <v>2021</v>
      </c>
      <c r="W94" s="12"/>
      <c r="X94" s="12"/>
      <c r="Y94" s="12"/>
      <c r="Z94" s="12"/>
      <c r="AA94" s="12"/>
      <c r="AC94" s="13" t="s">
        <v>196</v>
      </c>
      <c r="AH94" s="49">
        <f t="shared" ref="AH94:AJ94" si="66">AH90+AH81+AH72+AH63</f>
        <v>34507.699999999997</v>
      </c>
      <c r="AI94" s="49">
        <f t="shared" si="66"/>
        <v>59827.7</v>
      </c>
      <c r="AJ94" s="88">
        <f t="shared" si="66"/>
        <v>20458.230000000003</v>
      </c>
    </row>
    <row r="95" spans="2:36" ht="18" customHeight="1" x14ac:dyDescent="0.2">
      <c r="W95" s="12"/>
      <c r="X95" s="12"/>
      <c r="Y95" s="12"/>
      <c r="Z95" s="12"/>
      <c r="AA95" s="12"/>
      <c r="AC95" s="1" t="s">
        <v>399</v>
      </c>
      <c r="AE95" s="49">
        <f t="shared" ref="AE95:AJ95" si="67">SUM(AE93:AE94)</f>
        <v>103020</v>
      </c>
      <c r="AF95" s="49">
        <f t="shared" si="67"/>
        <v>244920</v>
      </c>
      <c r="AG95" s="49">
        <f t="shared" si="67"/>
        <v>367200</v>
      </c>
      <c r="AH95" s="49">
        <f t="shared" si="67"/>
        <v>498920</v>
      </c>
      <c r="AI95" s="49">
        <f t="shared" si="67"/>
        <v>935950</v>
      </c>
      <c r="AJ95" s="49">
        <f t="shared" si="67"/>
        <v>564743</v>
      </c>
    </row>
    <row r="96" spans="2:36" ht="18" customHeight="1" x14ac:dyDescent="0.2">
      <c r="W96" s="29">
        <f t="shared" ref="W96:AA96" si="68">W$8</f>
        <v>2017</v>
      </c>
      <c r="X96" s="29">
        <f t="shared" si="68"/>
        <v>2018</v>
      </c>
      <c r="Y96" s="29">
        <f t="shared" si="68"/>
        <v>2019</v>
      </c>
      <c r="Z96" s="29">
        <f t="shared" si="68"/>
        <v>2020</v>
      </c>
      <c r="AA96" s="29">
        <f t="shared" si="68"/>
        <v>2021</v>
      </c>
      <c r="AE96" s="31">
        <f>AE93/AE95</f>
        <v>1</v>
      </c>
      <c r="AF96" s="31">
        <f t="shared" ref="AF96:AJ96" si="69">AF93/AF95</f>
        <v>1</v>
      </c>
      <c r="AG96" s="31">
        <f t="shared" si="69"/>
        <v>1</v>
      </c>
      <c r="AH96" s="31">
        <f t="shared" si="69"/>
        <v>0.93083520404072795</v>
      </c>
      <c r="AI96" s="31">
        <f t="shared" si="69"/>
        <v>0.93607810246273848</v>
      </c>
      <c r="AJ96" s="31">
        <f t="shared" si="69"/>
        <v>0.96377426546234313</v>
      </c>
    </row>
    <row r="97" spans="18:36" ht="18" customHeight="1" x14ac:dyDescent="0.2">
      <c r="AE97" s="31">
        <f>AE94/AE95</f>
        <v>0</v>
      </c>
      <c r="AF97" s="31">
        <f t="shared" ref="AF97:AJ97" si="70">AF94/AF95</f>
        <v>0</v>
      </c>
      <c r="AG97" s="31">
        <f t="shared" si="70"/>
        <v>0</v>
      </c>
      <c r="AH97" s="31">
        <f t="shared" si="70"/>
        <v>6.9164795959272024E-2</v>
      </c>
      <c r="AI97" s="31">
        <f t="shared" si="70"/>
        <v>6.3921897537261602E-2</v>
      </c>
      <c r="AJ97" s="31">
        <f t="shared" si="70"/>
        <v>3.6225734537656956E-2</v>
      </c>
    </row>
    <row r="98" spans="18:36" ht="15" customHeight="1" x14ac:dyDescent="0.2"/>
    <row r="99" spans="18:36" ht="15" customHeight="1" x14ac:dyDescent="0.2">
      <c r="R99" s="30" t="s">
        <v>46</v>
      </c>
    </row>
    <row r="100" spans="18:36" ht="15" customHeight="1" x14ac:dyDescent="0.2">
      <c r="S100" s="1" t="s">
        <v>47</v>
      </c>
    </row>
    <row r="101" spans="18:36" ht="15" customHeight="1" x14ac:dyDescent="0.2">
      <c r="S101" s="13" t="s">
        <v>48</v>
      </c>
      <c r="W101" s="12">
        <v>3367.9140000000002</v>
      </c>
      <c r="X101" s="12">
        <v>3686</v>
      </c>
      <c r="Y101" s="12">
        <v>6268</v>
      </c>
      <c r="Z101" s="12">
        <v>19384</v>
      </c>
      <c r="AA101" s="12">
        <v>17576</v>
      </c>
    </row>
    <row r="102" spans="18:36" ht="15" customHeight="1" x14ac:dyDescent="0.2">
      <c r="S102" s="13" t="s">
        <v>88</v>
      </c>
      <c r="W102" s="12">
        <f>155.323+(441722/1000)</f>
        <v>597.04499999999996</v>
      </c>
      <c r="X102" s="12">
        <f>193+398</f>
        <v>591</v>
      </c>
      <c r="Y102" s="12">
        <f>246+269</f>
        <v>515</v>
      </c>
      <c r="Z102" s="12">
        <f>238+279</f>
        <v>517</v>
      </c>
      <c r="AA102" s="12">
        <f>345+223</f>
        <v>568</v>
      </c>
    </row>
    <row r="103" spans="18:36" ht="15" customHeight="1" x14ac:dyDescent="0.2">
      <c r="S103" s="13" t="s">
        <v>49</v>
      </c>
      <c r="W103" s="12">
        <v>0</v>
      </c>
      <c r="X103" s="12">
        <v>0</v>
      </c>
      <c r="Y103" s="12">
        <v>0</v>
      </c>
      <c r="Z103" s="12">
        <v>0</v>
      </c>
      <c r="AA103" s="12">
        <v>131</v>
      </c>
    </row>
    <row r="104" spans="18:36" ht="15" customHeight="1" x14ac:dyDescent="0.2">
      <c r="S104" s="13" t="s">
        <v>50</v>
      </c>
      <c r="W104" s="12">
        <v>515.38099999999997</v>
      </c>
      <c r="X104" s="12">
        <v>949</v>
      </c>
      <c r="Y104" s="12">
        <v>1324</v>
      </c>
      <c r="Z104" s="12">
        <v>1886</v>
      </c>
      <c r="AA104" s="12">
        <v>1913</v>
      </c>
    </row>
    <row r="105" spans="18:36" ht="15" customHeight="1" x14ac:dyDescent="0.2">
      <c r="S105" s="13" t="s">
        <v>51</v>
      </c>
      <c r="W105" s="12">
        <f t="shared" ref="W105:AA105" si="71">W154</f>
        <v>2263.5369999999998</v>
      </c>
      <c r="X105" s="12">
        <f t="shared" si="71"/>
        <v>3113</v>
      </c>
      <c r="Y105" s="12">
        <f t="shared" si="71"/>
        <v>3552</v>
      </c>
      <c r="Z105" s="12">
        <f t="shared" si="71"/>
        <v>4101</v>
      </c>
      <c r="AA105" s="12">
        <f t="shared" si="71"/>
        <v>5757</v>
      </c>
      <c r="AC105" s="12"/>
    </row>
    <row r="106" spans="18:36" ht="15" customHeight="1" x14ac:dyDescent="0.2">
      <c r="S106" s="13" t="s">
        <v>52</v>
      </c>
      <c r="W106" s="12">
        <f>((268365/1000))</f>
        <v>268.36500000000001</v>
      </c>
      <c r="X106" s="12">
        <f>559-193</f>
        <v>366</v>
      </c>
      <c r="Y106" s="12">
        <f>959-246-269</f>
        <v>444</v>
      </c>
      <c r="Z106" s="12">
        <f>1346-238-279</f>
        <v>829</v>
      </c>
      <c r="AA106" s="12">
        <f>1723-345-223</f>
        <v>1155</v>
      </c>
    </row>
    <row r="107" spans="18:36" ht="15" customHeight="1" x14ac:dyDescent="0.2">
      <c r="S107" s="15" t="s">
        <v>53</v>
      </c>
      <c r="T107" s="15"/>
      <c r="U107" s="15"/>
      <c r="V107" s="15"/>
      <c r="W107" s="16">
        <f>SUM(W101:W106)</f>
        <v>7012.2420000000002</v>
      </c>
      <c r="X107" s="16">
        <f>SUM(X101:X106)</f>
        <v>8705</v>
      </c>
      <c r="Y107" s="16">
        <f>SUM(Y101:Y106)</f>
        <v>12103</v>
      </c>
      <c r="Z107" s="16">
        <f>SUM(Z101:Z106)</f>
        <v>26717</v>
      </c>
      <c r="AA107" s="16">
        <f>SUM(AA101:AA106)</f>
        <v>27100</v>
      </c>
    </row>
    <row r="108" spans="18:36" ht="15" customHeight="1" x14ac:dyDescent="0.2">
      <c r="S108" s="1" t="s">
        <v>86</v>
      </c>
      <c r="W108" s="12">
        <f t="shared" ref="W108:AA108" si="72">W242</f>
        <v>4116.6040000000003</v>
      </c>
      <c r="X108" s="12">
        <f t="shared" si="72"/>
        <v>2090</v>
      </c>
      <c r="Y108" s="12">
        <f t="shared" si="72"/>
        <v>2447</v>
      </c>
      <c r="Z108" s="12">
        <f t="shared" si="72"/>
        <v>3091</v>
      </c>
      <c r="AA108" s="12">
        <f t="shared" si="72"/>
        <v>4511</v>
      </c>
    </row>
    <row r="109" spans="18:36" ht="15" customHeight="1" x14ac:dyDescent="0.2">
      <c r="S109" s="1" t="s">
        <v>87</v>
      </c>
      <c r="W109" s="12">
        <f t="shared" ref="W109:AA109" si="73">W165</f>
        <v>6347.49</v>
      </c>
      <c r="X109" s="12">
        <f t="shared" si="73"/>
        <v>6271</v>
      </c>
      <c r="Y109" s="12">
        <f t="shared" si="73"/>
        <v>6138</v>
      </c>
      <c r="Z109" s="12">
        <f t="shared" si="73"/>
        <v>5979</v>
      </c>
      <c r="AA109" s="12">
        <f t="shared" si="73"/>
        <v>5765</v>
      </c>
      <c r="AC109" s="52" t="s">
        <v>207</v>
      </c>
      <c r="AD109" s="1" t="s">
        <v>208</v>
      </c>
    </row>
    <row r="110" spans="18:36" ht="15" customHeight="1" x14ac:dyDescent="0.2">
      <c r="S110" s="1" t="s">
        <v>54</v>
      </c>
      <c r="W110" s="12">
        <f t="shared" ref="W110:AA110" si="74">W177</f>
        <v>10027.521999999999</v>
      </c>
      <c r="X110" s="12">
        <f t="shared" si="74"/>
        <v>11330</v>
      </c>
      <c r="Y110" s="12">
        <f t="shared" si="74"/>
        <v>10396</v>
      </c>
      <c r="Z110" s="12">
        <f t="shared" si="74"/>
        <v>12747</v>
      </c>
      <c r="AA110" s="12">
        <f t="shared" si="74"/>
        <v>18884</v>
      </c>
    </row>
    <row r="111" spans="18:36" ht="15" customHeight="1" x14ac:dyDescent="0.2">
      <c r="S111" s="1" t="s">
        <v>55</v>
      </c>
      <c r="W111" s="12">
        <f t="shared" ref="W111:AA111" si="75">W183</f>
        <v>0</v>
      </c>
      <c r="X111" s="12">
        <f t="shared" si="75"/>
        <v>0</v>
      </c>
      <c r="Y111" s="12">
        <f t="shared" si="75"/>
        <v>1218</v>
      </c>
      <c r="Z111" s="12">
        <f t="shared" si="75"/>
        <v>1558</v>
      </c>
      <c r="AA111" s="12">
        <f t="shared" si="75"/>
        <v>2016</v>
      </c>
    </row>
    <row r="112" spans="18:36" ht="15" customHeight="1" x14ac:dyDescent="0.2">
      <c r="S112" s="1" t="s">
        <v>56</v>
      </c>
      <c r="W112" s="12">
        <v>0</v>
      </c>
      <c r="X112" s="12">
        <v>0</v>
      </c>
      <c r="Y112" s="12">
        <v>0</v>
      </c>
      <c r="Z112" s="12">
        <v>0</v>
      </c>
      <c r="AA112" s="12">
        <v>1260</v>
      </c>
    </row>
    <row r="113" spans="18:27" ht="15" customHeight="1" x14ac:dyDescent="0.2">
      <c r="S113" s="1" t="s">
        <v>57</v>
      </c>
      <c r="W113" s="12">
        <f t="shared" ref="W113:AA113" si="76">W262</f>
        <v>361.50199999999995</v>
      </c>
      <c r="X113" s="12">
        <f t="shared" si="76"/>
        <v>282</v>
      </c>
      <c r="Y113" s="12">
        <f t="shared" si="76"/>
        <v>339</v>
      </c>
      <c r="Z113" s="12">
        <f t="shared" si="76"/>
        <v>313</v>
      </c>
      <c r="AA113" s="12">
        <f t="shared" si="76"/>
        <v>257</v>
      </c>
    </row>
    <row r="114" spans="18:27" ht="15" customHeight="1" x14ac:dyDescent="0.2">
      <c r="S114" s="1" t="s">
        <v>58</v>
      </c>
      <c r="W114" s="12">
        <f t="shared" ref="W114:AA114" si="77">W280</f>
        <v>60.237000000000002</v>
      </c>
      <c r="X114" s="12">
        <f t="shared" si="77"/>
        <v>68</v>
      </c>
      <c r="Y114" s="12">
        <f t="shared" si="77"/>
        <v>198</v>
      </c>
      <c r="Z114" s="12">
        <f t="shared" si="77"/>
        <v>207</v>
      </c>
      <c r="AA114" s="12">
        <f t="shared" si="77"/>
        <v>200</v>
      </c>
    </row>
    <row r="115" spans="18:27" ht="15" customHeight="1" x14ac:dyDescent="0.2">
      <c r="S115" s="1" t="s">
        <v>59</v>
      </c>
      <c r="W115" s="12">
        <f>(456652+273123)/1000</f>
        <v>729.77499999999998</v>
      </c>
      <c r="X115" s="12">
        <f>422+572</f>
        <v>994</v>
      </c>
      <c r="Y115" s="12">
        <v>1470</v>
      </c>
      <c r="Z115" s="12">
        <v>1536</v>
      </c>
      <c r="AA115" s="12">
        <v>2138</v>
      </c>
    </row>
    <row r="116" spans="18:27" ht="15" customHeight="1" x14ac:dyDescent="0.2">
      <c r="S116" s="15" t="s">
        <v>60</v>
      </c>
      <c r="T116" s="15"/>
      <c r="U116" s="15"/>
      <c r="V116" s="15"/>
      <c r="W116" s="16">
        <f t="shared" ref="W116:AA116" si="78">SUM(W107:W115)</f>
        <v>28655.372000000003</v>
      </c>
      <c r="X116" s="16">
        <f t="shared" si="78"/>
        <v>29740</v>
      </c>
      <c r="Y116" s="16">
        <f>SUM(Y107:Y115)</f>
        <v>34309</v>
      </c>
      <c r="Z116" s="16">
        <f t="shared" si="78"/>
        <v>52148</v>
      </c>
      <c r="AA116" s="16">
        <f t="shared" si="78"/>
        <v>62131</v>
      </c>
    </row>
    <row r="117" spans="18:27" ht="15" customHeight="1" x14ac:dyDescent="0.2">
      <c r="W117" s="12"/>
      <c r="X117" s="12"/>
      <c r="Y117" s="12"/>
      <c r="Z117" s="12"/>
      <c r="AA117" s="12"/>
    </row>
    <row r="118" spans="18:27" ht="15" customHeight="1" x14ac:dyDescent="0.2">
      <c r="W118" s="12"/>
      <c r="X118" s="12"/>
      <c r="Y118" s="12"/>
      <c r="Z118" s="12"/>
      <c r="AA118" s="12"/>
    </row>
    <row r="119" spans="18:27" ht="15" customHeight="1" x14ac:dyDescent="0.2">
      <c r="R119" s="30" t="s">
        <v>61</v>
      </c>
      <c r="W119" s="12"/>
      <c r="X119" s="12"/>
      <c r="Y119" s="12"/>
      <c r="Z119" s="12"/>
      <c r="AA119" s="12"/>
    </row>
    <row r="120" spans="18:27" ht="15" customHeight="1" x14ac:dyDescent="0.2">
      <c r="S120" s="1" t="s">
        <v>62</v>
      </c>
      <c r="W120" s="12"/>
      <c r="X120" s="12"/>
      <c r="Y120" s="12"/>
      <c r="Z120" s="12"/>
      <c r="AA120" s="12"/>
    </row>
    <row r="121" spans="18:27" ht="15" customHeight="1" x14ac:dyDescent="0.2">
      <c r="S121" s="13" t="s">
        <v>63</v>
      </c>
      <c r="W121" s="12">
        <v>2390.25</v>
      </c>
      <c r="X121" s="12">
        <v>3405</v>
      </c>
      <c r="Y121" s="12">
        <v>3771</v>
      </c>
      <c r="Z121" s="12">
        <v>6051</v>
      </c>
      <c r="AA121" s="12">
        <v>10025</v>
      </c>
    </row>
    <row r="122" spans="18:27" ht="15" customHeight="1" x14ac:dyDescent="0.2">
      <c r="S122" s="13" t="s">
        <v>64</v>
      </c>
      <c r="W122" s="12">
        <f t="shared" ref="W122:AA122" si="79">W295</f>
        <v>2618.6990000000001</v>
      </c>
      <c r="X122" s="12">
        <f t="shared" si="79"/>
        <v>2597</v>
      </c>
      <c r="Y122" s="12">
        <f t="shared" si="79"/>
        <v>3222</v>
      </c>
      <c r="Z122" s="12">
        <f t="shared" si="79"/>
        <v>3855</v>
      </c>
      <c r="AA122" s="12">
        <f t="shared" si="79"/>
        <v>5719</v>
      </c>
    </row>
    <row r="123" spans="18:27" ht="15" customHeight="1" x14ac:dyDescent="0.2">
      <c r="S123" s="13" t="s">
        <v>65</v>
      </c>
      <c r="W123" s="12">
        <v>1015.253</v>
      </c>
      <c r="X123" s="12">
        <v>630</v>
      </c>
      <c r="Y123" s="12">
        <v>1163</v>
      </c>
      <c r="Z123" s="12">
        <v>1458</v>
      </c>
      <c r="AA123" s="12">
        <v>1447</v>
      </c>
    </row>
    <row r="124" spans="18:27" ht="15" customHeight="1" x14ac:dyDescent="0.2">
      <c r="S124" s="13" t="s">
        <v>66</v>
      </c>
      <c r="W124" s="12">
        <v>853.91899999999998</v>
      </c>
      <c r="X124" s="12">
        <v>793</v>
      </c>
      <c r="Y124" s="12">
        <v>726</v>
      </c>
      <c r="Z124" s="12">
        <v>752</v>
      </c>
      <c r="AA124" s="12">
        <v>925</v>
      </c>
    </row>
    <row r="125" spans="18:27" ht="15" customHeight="1" x14ac:dyDescent="0.2">
      <c r="S125" s="13" t="s">
        <v>67</v>
      </c>
      <c r="W125" s="12">
        <f t="shared" ref="W125:AA125" si="80">W303</f>
        <v>796.54899999999998</v>
      </c>
      <c r="X125" s="12">
        <f t="shared" si="80"/>
        <v>2568</v>
      </c>
      <c r="Y125" s="12">
        <f t="shared" si="80"/>
        <v>1785</v>
      </c>
      <c r="Z125" s="12">
        <f t="shared" si="80"/>
        <v>2132</v>
      </c>
      <c r="AA125" s="12">
        <f t="shared" si="80"/>
        <v>1589</v>
      </c>
    </row>
    <row r="126" spans="18:27" ht="15" customHeight="1" x14ac:dyDescent="0.2">
      <c r="S126" s="15" t="s">
        <v>68</v>
      </c>
      <c r="T126" s="15"/>
      <c r="U126" s="15"/>
      <c r="V126" s="15"/>
      <c r="W126" s="16">
        <f t="shared" ref="W126:Z126" si="81">SUM(W121:W125)</f>
        <v>7674.67</v>
      </c>
      <c r="X126" s="16">
        <f t="shared" si="81"/>
        <v>9993</v>
      </c>
      <c r="Y126" s="16">
        <f t="shared" si="81"/>
        <v>10667</v>
      </c>
      <c r="Z126" s="16">
        <f t="shared" si="81"/>
        <v>14248</v>
      </c>
      <c r="AA126" s="16">
        <f>SUM(AA121:AA125)</f>
        <v>19705</v>
      </c>
    </row>
    <row r="127" spans="18:27" ht="15" customHeight="1" x14ac:dyDescent="0.2">
      <c r="S127" s="1" t="s">
        <v>69</v>
      </c>
      <c r="W127" s="12">
        <f t="shared" ref="W127:AA127" si="82">W314</f>
        <v>9418.3190000000031</v>
      </c>
      <c r="X127" s="12">
        <f t="shared" si="82"/>
        <v>9404</v>
      </c>
      <c r="Y127" s="12">
        <f t="shared" si="82"/>
        <v>11634</v>
      </c>
      <c r="Z127" s="12">
        <f t="shared" si="82"/>
        <v>9556</v>
      </c>
      <c r="AA127" s="12">
        <f t="shared" si="82"/>
        <v>5245</v>
      </c>
    </row>
    <row r="128" spans="18:27" ht="15" customHeight="1" x14ac:dyDescent="0.2">
      <c r="S128" s="1" t="s">
        <v>70</v>
      </c>
      <c r="W128" s="12">
        <v>1177.799</v>
      </c>
      <c r="X128" s="12">
        <v>991</v>
      </c>
      <c r="Y128" s="12">
        <v>1207</v>
      </c>
      <c r="Z128" s="12">
        <v>1284</v>
      </c>
      <c r="AA128" s="12">
        <v>2052</v>
      </c>
    </row>
    <row r="129" spans="19:29 16374:16378" ht="15" customHeight="1" x14ac:dyDescent="0.2">
      <c r="S129" s="1" t="s">
        <v>71</v>
      </c>
      <c r="W129" s="12">
        <f t="shared" ref="W129:AA129" si="83">W330</f>
        <v>4752.1920000000009</v>
      </c>
      <c r="X129" s="12">
        <f t="shared" si="83"/>
        <v>3039</v>
      </c>
      <c r="Y129" s="12">
        <f t="shared" si="83"/>
        <v>2691</v>
      </c>
      <c r="Z129" s="12">
        <f t="shared" si="83"/>
        <v>3330</v>
      </c>
      <c r="AA129" s="12">
        <f t="shared" si="83"/>
        <v>3546</v>
      </c>
    </row>
    <row r="130" spans="19:29 16374:16378" ht="15" customHeight="1" x14ac:dyDescent="0.2">
      <c r="S130" s="15" t="s">
        <v>72</v>
      </c>
      <c r="T130" s="15"/>
      <c r="U130" s="15"/>
      <c r="V130" s="15"/>
      <c r="W130" s="16">
        <f t="shared" ref="W130:AA130" si="84">SUM(W126:W129)</f>
        <v>23022.980000000003</v>
      </c>
      <c r="X130" s="16">
        <f t="shared" si="84"/>
        <v>23427</v>
      </c>
      <c r="Y130" s="16">
        <f t="shared" si="84"/>
        <v>26199</v>
      </c>
      <c r="Z130" s="16">
        <f t="shared" si="84"/>
        <v>28418</v>
      </c>
      <c r="AA130" s="16">
        <f t="shared" si="84"/>
        <v>30548</v>
      </c>
    </row>
    <row r="131" spans="19:29 16374:16378" ht="15" customHeight="1" x14ac:dyDescent="0.2">
      <c r="W131" s="12"/>
      <c r="X131" s="12"/>
      <c r="Y131" s="12"/>
      <c r="Z131" s="12"/>
      <c r="AA131" s="12"/>
    </row>
    <row r="132" spans="19:29 16374:16378" ht="15" customHeight="1" x14ac:dyDescent="0.2">
      <c r="S132" s="1" t="s">
        <v>73</v>
      </c>
      <c r="W132" s="12"/>
      <c r="X132" s="12"/>
      <c r="Y132" s="12"/>
      <c r="Z132" s="12" t="s">
        <v>85</v>
      </c>
      <c r="AA132" s="12" t="s">
        <v>85</v>
      </c>
    </row>
    <row r="133" spans="19:29 16374:16378" ht="15" customHeight="1" x14ac:dyDescent="0.2">
      <c r="S133" s="1" t="s">
        <v>74</v>
      </c>
      <c r="W133" s="12">
        <v>397.73399999999998</v>
      </c>
      <c r="X133" s="12">
        <v>556</v>
      </c>
      <c r="Y133" s="12">
        <v>643</v>
      </c>
      <c r="Z133" s="12">
        <v>604</v>
      </c>
      <c r="AA133" s="12">
        <v>568</v>
      </c>
      <c r="AC133" s="46"/>
    </row>
    <row r="134" spans="19:29 16374:16378" ht="15" customHeight="1" x14ac:dyDescent="0.2">
      <c r="S134" s="1" t="s">
        <v>75</v>
      </c>
      <c r="W134" s="12">
        <v>7.0000000000000007E-2</v>
      </c>
      <c r="X134" s="12"/>
      <c r="Y134" s="12">
        <v>0</v>
      </c>
      <c r="Z134" s="12">
        <v>51</v>
      </c>
      <c r="AA134" s="12">
        <v>0</v>
      </c>
      <c r="AC134" s="46"/>
    </row>
    <row r="135" spans="19:29 16374:16378" ht="15" customHeight="1" x14ac:dyDescent="0.2"/>
    <row r="136" spans="19:29 16374:16378" ht="15" customHeight="1" x14ac:dyDescent="0.2">
      <c r="S136" s="13" t="s">
        <v>76</v>
      </c>
      <c r="W136" s="12"/>
      <c r="X136" s="12"/>
      <c r="Y136" s="12"/>
      <c r="Z136" s="12"/>
      <c r="AA136" s="12"/>
    </row>
    <row r="137" spans="19:29 16374:16378" ht="15" customHeight="1" x14ac:dyDescent="0.2">
      <c r="S137" s="13" t="s">
        <v>83</v>
      </c>
      <c r="W137" s="12"/>
      <c r="X137" s="12"/>
      <c r="Y137" s="12">
        <v>0</v>
      </c>
      <c r="Z137" s="12">
        <v>0</v>
      </c>
      <c r="AA137" s="12">
        <v>0</v>
      </c>
      <c r="XET137"/>
      <c r="XEU137" s="310" t="s">
        <v>618</v>
      </c>
      <c r="XEV137" s="310"/>
      <c r="XEW137" s="310" t="s">
        <v>656</v>
      </c>
      <c r="XEX137" s="310"/>
    </row>
    <row r="138" spans="19:29 16374:16378" ht="15" customHeight="1" x14ac:dyDescent="0.2">
      <c r="S138" s="13" t="s">
        <v>84</v>
      </c>
      <c r="W138" s="12">
        <v>0.16900000000000001</v>
      </c>
      <c r="X138" s="12">
        <v>0</v>
      </c>
      <c r="Y138" s="12">
        <v>1</v>
      </c>
      <c r="Z138" s="12">
        <v>1</v>
      </c>
      <c r="AA138" s="12">
        <v>1</v>
      </c>
      <c r="XET138" s="218" t="s">
        <v>657</v>
      </c>
      <c r="XEU138" s="218" t="s">
        <v>658</v>
      </c>
      <c r="XEV138" s="218" t="s">
        <v>300</v>
      </c>
      <c r="XEW138" s="218" t="s">
        <v>658</v>
      </c>
      <c r="XEX138" s="218" t="s">
        <v>300</v>
      </c>
    </row>
    <row r="139" spans="19:29 16374:16378" ht="15" customHeight="1" x14ac:dyDescent="0.2">
      <c r="S139" s="13" t="s">
        <v>77</v>
      </c>
      <c r="W139" s="12">
        <v>9178.0239999999994</v>
      </c>
      <c r="X139" s="12">
        <v>10249</v>
      </c>
      <c r="Y139" s="12">
        <v>12736</v>
      </c>
      <c r="Z139" s="12">
        <v>27260</v>
      </c>
      <c r="AA139" s="12">
        <v>29803</v>
      </c>
      <c r="XET139" s="220">
        <v>41156</v>
      </c>
      <c r="XEU139" s="221">
        <v>1.8759999999999999</v>
      </c>
      <c r="XEV139" s="219"/>
      <c r="XEW139" s="221">
        <v>3075.0600589999999</v>
      </c>
      <c r="XEX139"/>
    </row>
    <row r="140" spans="19:29 16374:16378" ht="15" customHeight="1" x14ac:dyDescent="0.2">
      <c r="S140" s="13" t="s">
        <v>78</v>
      </c>
      <c r="W140" s="12">
        <v>33.347999999999999</v>
      </c>
      <c r="X140" s="12">
        <v>-8</v>
      </c>
      <c r="Y140" s="12">
        <v>-36</v>
      </c>
      <c r="Z140" s="12">
        <v>363</v>
      </c>
      <c r="AA140" s="12">
        <v>54</v>
      </c>
      <c r="XET140" s="220">
        <v>41157</v>
      </c>
      <c r="XEU140" s="221">
        <v>1.8626670000000001</v>
      </c>
      <c r="XEV140" s="198">
        <f t="shared" ref="XEV140:XEV203" si="85">XEU140/XEU139-1</f>
        <v>-7.1071428571427564E-3</v>
      </c>
      <c r="XEW140" s="221">
        <v>3069.2700199999999</v>
      </c>
      <c r="XEX140" s="198">
        <f t="shared" ref="XEX140:XEX203" si="86">XEW140/XEW139-1</f>
        <v>-1.8829027365022677E-3</v>
      </c>
    </row>
    <row r="141" spans="19:29 16374:16378" ht="15" customHeight="1" x14ac:dyDescent="0.2">
      <c r="S141" s="13" t="s">
        <v>79</v>
      </c>
      <c r="W141" s="12">
        <v>-4974.299</v>
      </c>
      <c r="X141" s="12">
        <v>-5318</v>
      </c>
      <c r="Y141" s="12">
        <v>-6083</v>
      </c>
      <c r="Z141" s="12">
        <v>-5399</v>
      </c>
      <c r="AA141" s="12">
        <v>331</v>
      </c>
      <c r="XET141" s="220">
        <v>41158</v>
      </c>
      <c r="XEU141" s="221">
        <v>1.9033329999999999</v>
      </c>
      <c r="XEV141" s="198">
        <f t="shared" si="85"/>
        <v>2.1832136393676205E-2</v>
      </c>
      <c r="XEW141" s="221">
        <v>3135.8100589999999</v>
      </c>
      <c r="XEX141" s="198">
        <f t="shared" si="86"/>
        <v>2.1679434708061329E-2</v>
      </c>
    </row>
    <row r="142" spans="19:29 16374:16378" ht="15" customHeight="1" x14ac:dyDescent="0.2">
      <c r="S142" s="15" t="s">
        <v>80</v>
      </c>
      <c r="T142" s="15"/>
      <c r="U142" s="15"/>
      <c r="V142" s="15"/>
      <c r="W142" s="16">
        <f>SUM(W138:W141)</f>
        <v>4237.2419999999993</v>
      </c>
      <c r="X142" s="16">
        <f t="shared" ref="X142:AA142" si="87">SUM(X138:X141)</f>
        <v>4923</v>
      </c>
      <c r="Y142" s="16">
        <f t="shared" si="87"/>
        <v>6618</v>
      </c>
      <c r="Z142" s="16">
        <f t="shared" si="87"/>
        <v>22225</v>
      </c>
      <c r="AA142" s="16">
        <f t="shared" si="87"/>
        <v>30189</v>
      </c>
      <c r="XET142" s="220">
        <v>41159</v>
      </c>
      <c r="XEU142" s="221">
        <v>1.9566669999999999</v>
      </c>
      <c r="XEV142" s="198">
        <f t="shared" si="85"/>
        <v>2.8021370931938794E-2</v>
      </c>
      <c r="XEW142" s="221">
        <v>3136.419922</v>
      </c>
      <c r="XEX142" s="198">
        <f t="shared" si="86"/>
        <v>1.9448339935324022E-4</v>
      </c>
    </row>
    <row r="143" spans="19:29 16374:16378" ht="15" customHeight="1" x14ac:dyDescent="0.2">
      <c r="S143" s="13" t="s">
        <v>81</v>
      </c>
      <c r="W143" s="12">
        <v>997.346</v>
      </c>
      <c r="X143" s="12">
        <v>834</v>
      </c>
      <c r="Y143" s="12">
        <v>849</v>
      </c>
      <c r="Z143" s="12">
        <v>850</v>
      </c>
      <c r="AA143" s="12">
        <v>826</v>
      </c>
      <c r="XET143" s="220">
        <v>41162</v>
      </c>
      <c r="XEU143" s="221">
        <v>1.824667</v>
      </c>
      <c r="XEV143" s="198">
        <f t="shared" si="85"/>
        <v>-6.7461658013346137E-2</v>
      </c>
      <c r="XEW143" s="221">
        <v>3104.0200199999999</v>
      </c>
      <c r="XEX143" s="198">
        <f t="shared" si="86"/>
        <v>-1.033021814863988E-2</v>
      </c>
    </row>
    <row r="144" spans="19:29 16374:16378" ht="15" customHeight="1" thickBot="1" x14ac:dyDescent="0.25">
      <c r="S144" s="17" t="s">
        <v>82</v>
      </c>
      <c r="T144" s="17"/>
      <c r="U144" s="17"/>
      <c r="V144" s="17"/>
      <c r="W144" s="18">
        <f t="shared" ref="W144:AA144" si="88">SUM(W142:W143,W132:W134,W130)</f>
        <v>28655.372000000003</v>
      </c>
      <c r="X144" s="18">
        <f t="shared" si="88"/>
        <v>29740</v>
      </c>
      <c r="Y144" s="18">
        <f t="shared" si="88"/>
        <v>34309</v>
      </c>
      <c r="Z144" s="18">
        <f>SUM(Z142:Z143,Z132:Z134,Z130)</f>
        <v>52148</v>
      </c>
      <c r="AA144" s="18">
        <f t="shared" si="88"/>
        <v>62131</v>
      </c>
      <c r="XET144" s="220">
        <v>41163</v>
      </c>
      <c r="XEU144" s="221">
        <v>1.8533329999999999</v>
      </c>
      <c r="XEV144" s="198">
        <f t="shared" si="85"/>
        <v>1.5710263845402972E-2</v>
      </c>
      <c r="XEW144" s="221">
        <v>3104.530029</v>
      </c>
      <c r="XEX144" s="198">
        <f t="shared" si="86"/>
        <v>1.6430596346483917E-4</v>
      </c>
    </row>
    <row r="145" spans="3:29 16374:16378" ht="15" customHeight="1" thickTop="1" x14ac:dyDescent="0.2">
      <c r="W145" s="12"/>
      <c r="X145" s="12"/>
      <c r="Y145" s="12"/>
      <c r="Z145" s="12"/>
      <c r="AA145" s="12"/>
      <c r="XET145" s="220">
        <v>41164</v>
      </c>
      <c r="XEU145" s="221">
        <v>1.8853329999999999</v>
      </c>
      <c r="XEV145" s="198">
        <f t="shared" si="85"/>
        <v>1.7266190155789563E-2</v>
      </c>
      <c r="XEW145" s="221">
        <v>3114.3100589999999</v>
      </c>
      <c r="XEX145" s="198">
        <f t="shared" si="86"/>
        <v>3.1502449351892281E-3</v>
      </c>
    </row>
    <row r="146" spans="3:29 16374:16378" ht="15" customHeight="1" x14ac:dyDescent="0.2">
      <c r="W146" s="12">
        <f t="shared" ref="W146:AA146" si="89">W116-W144</f>
        <v>0</v>
      </c>
      <c r="X146" s="12">
        <f t="shared" si="89"/>
        <v>0</v>
      </c>
      <c r="Y146" s="12">
        <f t="shared" si="89"/>
        <v>0</v>
      </c>
      <c r="Z146" s="12">
        <f t="shared" si="89"/>
        <v>0</v>
      </c>
      <c r="AA146" s="12">
        <f t="shared" si="89"/>
        <v>0</v>
      </c>
      <c r="XET146" s="220">
        <v>41165</v>
      </c>
      <c r="XEU146" s="221">
        <v>1.965333</v>
      </c>
      <c r="XEV146" s="198">
        <f t="shared" si="85"/>
        <v>4.2432822212309373E-2</v>
      </c>
      <c r="XEW146" s="221">
        <v>3155.830078</v>
      </c>
      <c r="XEX146" s="198">
        <f t="shared" si="86"/>
        <v>1.3332011974855229E-2</v>
      </c>
    </row>
    <row r="147" spans="3:29 16374:16378" ht="15" customHeight="1" x14ac:dyDescent="0.2">
      <c r="R147" s="59" t="s">
        <v>153</v>
      </c>
      <c r="W147" s="12"/>
      <c r="X147" s="12"/>
      <c r="Y147" s="12"/>
      <c r="Z147" s="12"/>
      <c r="AA147" s="12"/>
      <c r="XET147" s="220">
        <v>41166</v>
      </c>
      <c r="XEU147" s="221">
        <v>2.0259999999999998</v>
      </c>
      <c r="XEV147" s="198">
        <f t="shared" si="85"/>
        <v>3.0868560188018979E-2</v>
      </c>
      <c r="XEW147" s="221">
        <v>3183.9499510000001</v>
      </c>
      <c r="XEX147" s="198">
        <f t="shared" si="86"/>
        <v>8.9104521805625225E-3</v>
      </c>
    </row>
    <row r="148" spans="3:29 16374:16378" ht="15" customHeight="1" x14ac:dyDescent="0.2">
      <c r="R148" s="59"/>
      <c r="W148" s="12"/>
      <c r="X148" s="12"/>
      <c r="Y148" s="12"/>
      <c r="Z148" s="12"/>
      <c r="AA148" s="12"/>
      <c r="XET148" s="220">
        <v>41169</v>
      </c>
      <c r="XEU148" s="221">
        <v>2.169333</v>
      </c>
      <c r="XEV148" s="198">
        <f t="shared" si="85"/>
        <v>7.0746791707798629E-2</v>
      </c>
      <c r="XEW148" s="221">
        <v>3178.669922</v>
      </c>
      <c r="XEX148" s="198">
        <f t="shared" si="86"/>
        <v>-1.6583266324088353E-3</v>
      </c>
    </row>
    <row r="149" spans="3:29 16374:16378" ht="15" customHeight="1" x14ac:dyDescent="0.2">
      <c r="R149" s="30" t="str">
        <f>S105</f>
        <v>Inventory</v>
      </c>
      <c r="W149" s="12"/>
      <c r="X149" s="12"/>
      <c r="Y149" s="12"/>
      <c r="Z149" s="12"/>
      <c r="AA149" s="12"/>
      <c r="XET149" s="220">
        <v>41170</v>
      </c>
      <c r="XEU149" s="221">
        <v>2.0893329999999999</v>
      </c>
      <c r="XEV149" s="198">
        <f t="shared" si="85"/>
        <v>-3.6877694664673499E-2</v>
      </c>
      <c r="XEW149" s="221">
        <v>3177.8000489999999</v>
      </c>
      <c r="XEX149" s="198">
        <f t="shared" si="86"/>
        <v>-2.7365943031065765E-4</v>
      </c>
    </row>
    <row r="150" spans="3:29 16374:16378" ht="15" customHeight="1" x14ac:dyDescent="0.2">
      <c r="R150" s="30"/>
      <c r="S150" s="1" t="s">
        <v>89</v>
      </c>
      <c r="W150" s="12">
        <v>821.39599999999996</v>
      </c>
      <c r="X150" s="12">
        <v>932</v>
      </c>
      <c r="Y150" s="12">
        <v>1428</v>
      </c>
      <c r="Z150" s="12">
        <v>1508</v>
      </c>
      <c r="AA150" s="12">
        <v>2816</v>
      </c>
      <c r="XET150" s="220">
        <v>41171</v>
      </c>
      <c r="XEU150" s="221">
        <v>2.0699999999999998</v>
      </c>
      <c r="XEV150" s="198">
        <f t="shared" si="85"/>
        <v>-9.2531922867250538E-3</v>
      </c>
      <c r="XEW150" s="221">
        <v>3182.6201169999999</v>
      </c>
      <c r="XEX150" s="198">
        <f t="shared" si="86"/>
        <v>1.5167939850453394E-3</v>
      </c>
    </row>
    <row r="151" spans="3:29 16374:16378" ht="15" customHeight="1" x14ac:dyDescent="0.2">
      <c r="S151" s="1" t="s">
        <v>90</v>
      </c>
      <c r="W151" s="12">
        <v>243.18100000000001</v>
      </c>
      <c r="X151" s="12">
        <v>297</v>
      </c>
      <c r="Y151" s="12">
        <v>362</v>
      </c>
      <c r="Z151" s="12">
        <v>493</v>
      </c>
      <c r="AA151" s="12">
        <v>1089</v>
      </c>
      <c r="XET151" s="220">
        <v>41172</v>
      </c>
      <c r="XEU151" s="221">
        <v>2.06</v>
      </c>
      <c r="XEV151" s="198">
        <f t="shared" si="85"/>
        <v>-4.8309178743960457E-3</v>
      </c>
      <c r="XEW151" s="221">
        <v>3175.959961</v>
      </c>
      <c r="XEX151" s="198">
        <f t="shared" si="86"/>
        <v>-2.0926644573207032E-3</v>
      </c>
    </row>
    <row r="152" spans="3:29 16374:16378" ht="20" customHeight="1" x14ac:dyDescent="0.2">
      <c r="S152" s="1" t="s">
        <v>91</v>
      </c>
      <c r="W152" s="12">
        <v>1013.909</v>
      </c>
      <c r="X152" s="12">
        <v>1581</v>
      </c>
      <c r="Y152" s="12">
        <v>1356</v>
      </c>
      <c r="Z152" s="12">
        <v>1666</v>
      </c>
      <c r="AA152" s="12">
        <v>1277</v>
      </c>
      <c r="XET152" s="220">
        <v>41173</v>
      </c>
      <c r="XEU152" s="221">
        <v>2.0013329999999998</v>
      </c>
      <c r="XEV152" s="198">
        <f t="shared" si="85"/>
        <v>-2.8479126213592387E-2</v>
      </c>
      <c r="XEW152" s="221">
        <v>3179.959961</v>
      </c>
      <c r="XEX152" s="198">
        <f t="shared" si="86"/>
        <v>1.2594617215326842E-3</v>
      </c>
    </row>
    <row r="153" spans="3:29 16374:16378" ht="15" customHeight="1" x14ac:dyDescent="0.2">
      <c r="S153" s="1" t="s">
        <v>92</v>
      </c>
      <c r="W153" s="12">
        <v>185.05099999999999</v>
      </c>
      <c r="X153" s="12">
        <v>303</v>
      </c>
      <c r="Y153" s="12">
        <v>406</v>
      </c>
      <c r="Z153" s="12">
        <v>434</v>
      </c>
      <c r="AA153" s="12">
        <v>575</v>
      </c>
      <c r="XET153" s="220">
        <v>41176</v>
      </c>
      <c r="XEU153" s="221">
        <v>2.044</v>
      </c>
      <c r="XEV153" s="198">
        <f t="shared" si="85"/>
        <v>2.131929069275329E-2</v>
      </c>
      <c r="XEW153" s="221">
        <v>3160.780029</v>
      </c>
      <c r="XEX153" s="198">
        <f t="shared" si="86"/>
        <v>-6.0315010991423001E-3</v>
      </c>
    </row>
    <row r="154" spans="3:29 16374:16378" ht="15" customHeight="1" x14ac:dyDescent="0.2">
      <c r="S154" s="15" t="str">
        <f>R149</f>
        <v>Inventory</v>
      </c>
      <c r="T154" s="15"/>
      <c r="U154" s="15"/>
      <c r="V154" s="15"/>
      <c r="W154" s="16">
        <f t="shared" ref="W154:Z154" si="90">SUM(W150:W153)</f>
        <v>2263.5369999999998</v>
      </c>
      <c r="X154" s="16">
        <f t="shared" si="90"/>
        <v>3113</v>
      </c>
      <c r="Y154" s="16">
        <f t="shared" si="90"/>
        <v>3552</v>
      </c>
      <c r="Z154" s="16">
        <f t="shared" si="90"/>
        <v>4101</v>
      </c>
      <c r="AA154" s="16">
        <f>SUM(AA150:AA153)</f>
        <v>5757</v>
      </c>
      <c r="AC154" s="12">
        <v>1000</v>
      </c>
      <c r="XET154" s="220">
        <v>41177</v>
      </c>
      <c r="XEU154" s="221">
        <v>1.8440000000000001</v>
      </c>
      <c r="XEV154" s="198">
        <f t="shared" si="85"/>
        <v>-9.7847358121330719E-2</v>
      </c>
      <c r="XEW154" s="221">
        <v>3117.7299800000001</v>
      </c>
      <c r="XEX154" s="198">
        <f t="shared" si="86"/>
        <v>-1.3620071186548177E-2</v>
      </c>
    </row>
    <row r="155" spans="3:29 16374:16378" ht="15" customHeight="1" x14ac:dyDescent="0.2">
      <c r="W155" s="12"/>
      <c r="X155" s="12"/>
      <c r="Y155" s="12"/>
      <c r="Z155" s="12"/>
      <c r="AA155" s="12"/>
      <c r="XET155" s="220">
        <v>41178</v>
      </c>
      <c r="XEU155" s="221">
        <v>1.8360000000000001</v>
      </c>
      <c r="XEV155" s="198">
        <f t="shared" si="85"/>
        <v>-4.3383947939262812E-3</v>
      </c>
      <c r="XEW155" s="221">
        <v>3093.6999510000001</v>
      </c>
      <c r="XEX155" s="198">
        <f t="shared" si="86"/>
        <v>-7.7075401507349373E-3</v>
      </c>
    </row>
    <row r="156" spans="3:29 16374:16378" ht="15" customHeight="1" x14ac:dyDescent="0.2">
      <c r="W156" s="12"/>
      <c r="X156" s="12"/>
      <c r="Y156" s="12"/>
      <c r="Z156" s="12"/>
      <c r="AA156" s="12"/>
      <c r="XET156" s="220">
        <v>41179</v>
      </c>
      <c r="XEU156" s="221">
        <v>1.8993329999999999</v>
      </c>
      <c r="XEV156" s="198">
        <f t="shared" si="85"/>
        <v>3.4495098039215577E-2</v>
      </c>
      <c r="XEW156" s="221">
        <v>3136.6000979999999</v>
      </c>
      <c r="XEX156" s="198">
        <f t="shared" si="86"/>
        <v>1.3866938513585669E-2</v>
      </c>
    </row>
    <row r="157" spans="3:29 16374:16378" ht="15" customHeight="1" x14ac:dyDescent="0.2">
      <c r="R157" s="30" t="s">
        <v>154</v>
      </c>
      <c r="XET157" s="220">
        <v>41180</v>
      </c>
      <c r="XEU157" s="221">
        <v>1.952</v>
      </c>
      <c r="XEV157" s="198">
        <f t="shared" si="85"/>
        <v>2.7729208095684132E-2</v>
      </c>
      <c r="XEW157" s="221">
        <v>3116.2299800000001</v>
      </c>
      <c r="XEX157" s="198">
        <f t="shared" si="86"/>
        <v>-6.4943306011462365E-3</v>
      </c>
    </row>
    <row r="158" spans="3:29 16374:16378" ht="15" customHeight="1" x14ac:dyDescent="0.2">
      <c r="S158" s="1" t="s">
        <v>203</v>
      </c>
      <c r="W158" s="12">
        <f>6009.977</f>
        <v>6009.9769999999999</v>
      </c>
      <c r="X158" s="12">
        <f t="shared" ref="X158:AA158" si="91">W160</f>
        <v>6084.6859999999997</v>
      </c>
      <c r="Y158" s="12">
        <f t="shared" si="91"/>
        <v>6530</v>
      </c>
      <c r="Z158" s="12">
        <f t="shared" si="91"/>
        <v>6784</v>
      </c>
      <c r="AA158" s="12">
        <f t="shared" si="91"/>
        <v>6861</v>
      </c>
      <c r="XET158" s="220">
        <v>41183</v>
      </c>
      <c r="XEU158" s="221">
        <v>1.944</v>
      </c>
      <c r="XEV158" s="198">
        <f t="shared" si="85"/>
        <v>-4.098360655737654E-3</v>
      </c>
      <c r="XEW158" s="221">
        <v>3113.530029</v>
      </c>
      <c r="XEX158" s="198">
        <f t="shared" si="86"/>
        <v>-8.6641583494428964E-4</v>
      </c>
    </row>
    <row r="159" spans="3:29 16374:16378" ht="15" customHeight="1" x14ac:dyDescent="0.2">
      <c r="C159" s="1" t="s">
        <v>466</v>
      </c>
      <c r="E159" s="145">
        <f>W159/W$51</f>
        <v>6.6943548387096624E-2</v>
      </c>
      <c r="F159" s="145">
        <f t="shared" ref="F159:I159" si="92">X159/X$51</f>
        <v>0.28637556270096481</v>
      </c>
      <c r="G159" s="145">
        <f t="shared" si="92"/>
        <v>0.1659046374918354</v>
      </c>
      <c r="H159" s="145">
        <f t="shared" si="92"/>
        <v>3.8615847542627882E-2</v>
      </c>
      <c r="I159" s="145">
        <f t="shared" si="92"/>
        <v>1.8644675510935821E-2</v>
      </c>
      <c r="S159" s="65" t="s">
        <v>465</v>
      </c>
      <c r="W159" s="12">
        <f t="shared" ref="W159:AA159" si="93">W160-W158</f>
        <v>74.708999999999833</v>
      </c>
      <c r="X159" s="12">
        <f t="shared" si="93"/>
        <v>445.31400000000031</v>
      </c>
      <c r="Y159" s="12">
        <f t="shared" si="93"/>
        <v>254</v>
      </c>
      <c r="Z159" s="12">
        <f t="shared" si="93"/>
        <v>77</v>
      </c>
      <c r="AA159" s="12">
        <f t="shared" si="93"/>
        <v>52</v>
      </c>
      <c r="XET159" s="220">
        <v>41184</v>
      </c>
      <c r="XEU159" s="221">
        <v>1.986667</v>
      </c>
      <c r="XEV159" s="198">
        <f t="shared" si="85"/>
        <v>2.1948045267489613E-2</v>
      </c>
      <c r="XEW159" s="221">
        <v>3120.040039</v>
      </c>
      <c r="XEX159" s="198">
        <f t="shared" si="86"/>
        <v>2.0908775375103605E-3</v>
      </c>
    </row>
    <row r="160" spans="3:29 16374:16378" ht="15" customHeight="1" x14ac:dyDescent="0.2">
      <c r="S160" s="15" t="s">
        <v>158</v>
      </c>
      <c r="T160" s="15"/>
      <c r="U160" s="15"/>
      <c r="V160" s="15"/>
      <c r="W160" s="156">
        <v>6084.6859999999997</v>
      </c>
      <c r="X160" s="156">
        <v>6530</v>
      </c>
      <c r="Y160" s="156">
        <v>6784</v>
      </c>
      <c r="Z160" s="156">
        <v>6861</v>
      </c>
      <c r="AA160" s="156">
        <v>6913</v>
      </c>
      <c r="XET160" s="220">
        <v>41185</v>
      </c>
      <c r="XEU160" s="221">
        <v>1.953333</v>
      </c>
      <c r="XEV160" s="198">
        <f t="shared" si="85"/>
        <v>-1.6778856245158291E-2</v>
      </c>
      <c r="XEW160" s="221">
        <v>3135.2299800000001</v>
      </c>
      <c r="XEX160" s="198">
        <f t="shared" si="86"/>
        <v>4.8685083557031827E-3</v>
      </c>
    </row>
    <row r="161" spans="3:30 16374:16378" ht="15" customHeight="1" x14ac:dyDescent="0.2">
      <c r="S161" s="1" t="s">
        <v>155</v>
      </c>
      <c r="W161" s="12">
        <v>-220.11</v>
      </c>
      <c r="X161" s="12">
        <v>-496</v>
      </c>
      <c r="Y161" s="12">
        <v>-723</v>
      </c>
      <c r="Z161" s="12">
        <v>-955</v>
      </c>
      <c r="AA161" s="12">
        <v>-1187</v>
      </c>
      <c r="XET161" s="220">
        <v>41186</v>
      </c>
      <c r="XEU161" s="221">
        <v>1.96</v>
      </c>
      <c r="XEV161" s="198">
        <f t="shared" si="85"/>
        <v>3.4131405141877291E-3</v>
      </c>
      <c r="XEW161" s="221">
        <v>3149.459961</v>
      </c>
      <c r="XEX161" s="198">
        <f t="shared" si="86"/>
        <v>4.5387359430646423E-3</v>
      </c>
    </row>
    <row r="162" spans="3:30 16374:16378" ht="15" customHeight="1" x14ac:dyDescent="0.2">
      <c r="S162" s="15" t="s">
        <v>159</v>
      </c>
      <c r="T162" s="15"/>
      <c r="U162" s="15"/>
      <c r="V162" s="15"/>
      <c r="W162" s="60">
        <f>SUM(W160:W161)</f>
        <v>5864.576</v>
      </c>
      <c r="X162" s="60">
        <f>SUM(X160:X161)</f>
        <v>6034</v>
      </c>
      <c r="Y162" s="60">
        <f>SUM(Y160:Y161)</f>
        <v>6061</v>
      </c>
      <c r="Z162" s="60">
        <f>SUM(Z160:Z161)</f>
        <v>5906</v>
      </c>
      <c r="AA162" s="60">
        <f>SUM(AA160:AA161)</f>
        <v>5726</v>
      </c>
      <c r="XET162" s="220">
        <v>41187</v>
      </c>
      <c r="XEU162" s="221">
        <v>1.9259999999999999</v>
      </c>
      <c r="XEV162" s="198">
        <f t="shared" si="85"/>
        <v>-1.734693877551019E-2</v>
      </c>
      <c r="XEW162" s="221">
        <v>3136.1899410000001</v>
      </c>
      <c r="XEX162" s="198">
        <f t="shared" si="86"/>
        <v>-4.213427115862256E-3</v>
      </c>
    </row>
    <row r="163" spans="3:30 16374:16378" ht="20" customHeight="1" x14ac:dyDescent="0.2">
      <c r="C163" s="1" t="s">
        <v>156</v>
      </c>
      <c r="E163" s="155"/>
      <c r="F163" s="31">
        <f t="shared" ref="F163:I164" si="94">X163/W163-1</f>
        <v>-0.72113661435244225</v>
      </c>
      <c r="G163" s="31">
        <f t="shared" si="94"/>
        <v>-0.73529411764705888</v>
      </c>
      <c r="H163" s="31">
        <f t="shared" si="94"/>
        <v>0.55555555555555558</v>
      </c>
      <c r="I163" s="31">
        <f t="shared" si="94"/>
        <v>-0.3571428571428571</v>
      </c>
      <c r="S163" s="1" t="s">
        <v>156</v>
      </c>
      <c r="W163" s="12">
        <f>243.847</f>
        <v>243.84700000000001</v>
      </c>
      <c r="X163" s="12">
        <v>68</v>
      </c>
      <c r="Y163" s="12">
        <v>18</v>
      </c>
      <c r="Z163" s="12">
        <v>28</v>
      </c>
      <c r="AA163" s="12">
        <v>18</v>
      </c>
      <c r="XET163" s="220">
        <v>41190</v>
      </c>
      <c r="XEU163" s="221">
        <v>1.95</v>
      </c>
      <c r="XEV163" s="198">
        <f t="shared" si="85"/>
        <v>1.2461059190031154E-2</v>
      </c>
      <c r="XEW163" s="221">
        <v>3112.3500979999999</v>
      </c>
      <c r="XEX163" s="198">
        <f t="shared" si="86"/>
        <v>-7.6015303436623993E-3</v>
      </c>
    </row>
    <row r="164" spans="3:30 16374:16378" ht="15" customHeight="1" x14ac:dyDescent="0.2">
      <c r="C164" s="1" t="s">
        <v>157</v>
      </c>
      <c r="E164" s="155"/>
      <c r="F164" s="31">
        <f t="shared" si="94"/>
        <v>-0.29308520205632738</v>
      </c>
      <c r="G164" s="31">
        <f t="shared" si="94"/>
        <v>-0.65088757396449703</v>
      </c>
      <c r="H164" s="31">
        <f t="shared" si="94"/>
        <v>-0.23728813559322037</v>
      </c>
      <c r="I164" s="31">
        <f t="shared" si="94"/>
        <v>-0.53333333333333333</v>
      </c>
      <c r="S164" s="1" t="s">
        <v>157</v>
      </c>
      <c r="W164" s="12">
        <f>239.067</f>
        <v>239.06700000000001</v>
      </c>
      <c r="X164" s="12">
        <v>169</v>
      </c>
      <c r="Y164" s="12">
        <v>59</v>
      </c>
      <c r="Z164" s="12">
        <v>45</v>
      </c>
      <c r="AA164" s="12">
        <v>21</v>
      </c>
      <c r="XET164" s="220">
        <v>41191</v>
      </c>
      <c r="XEU164" s="221">
        <v>1.8913329999999999</v>
      </c>
      <c r="XEV164" s="198">
        <f t="shared" si="85"/>
        <v>-3.0085641025641041E-2</v>
      </c>
      <c r="XEW164" s="221">
        <v>3065.0200199999999</v>
      </c>
      <c r="XEX164" s="198">
        <f t="shared" si="86"/>
        <v>-1.5207183160536597E-2</v>
      </c>
    </row>
    <row r="165" spans="3:30 16374:16378" ht="15" customHeight="1" thickBot="1" x14ac:dyDescent="0.25">
      <c r="S165" s="17" t="str">
        <f>R157</f>
        <v>Solar Energy Systems, Net</v>
      </c>
      <c r="T165" s="17"/>
      <c r="U165" s="17"/>
      <c r="V165" s="17"/>
      <c r="W165" s="18">
        <f>SUM(W162:W164)</f>
        <v>6347.49</v>
      </c>
      <c r="X165" s="18">
        <f>SUM(X162:X164)</f>
        <v>6271</v>
      </c>
      <c r="Y165" s="18">
        <f>SUM(Y162:Y164)</f>
        <v>6138</v>
      </c>
      <c r="Z165" s="18">
        <f>SUM(Z162:Z164)</f>
        <v>5979</v>
      </c>
      <c r="AA165" s="18">
        <f>SUM(AA162:AA164)</f>
        <v>5765</v>
      </c>
      <c r="XET165" s="220">
        <v>41192</v>
      </c>
      <c r="XEU165" s="221">
        <v>1.8933329999999999</v>
      </c>
      <c r="XEV165" s="198">
        <f t="shared" si="85"/>
        <v>1.0574552445286045E-3</v>
      </c>
      <c r="XEW165" s="221">
        <v>3051.780029</v>
      </c>
      <c r="XEX165" s="198">
        <f t="shared" si="86"/>
        <v>-4.3197078366881136E-3</v>
      </c>
    </row>
    <row r="166" spans="3:30 16374:16378" ht="15" customHeight="1" thickTop="1" x14ac:dyDescent="0.2">
      <c r="S166" s="1" t="s">
        <v>544</v>
      </c>
      <c r="W166" s="12"/>
      <c r="X166" s="12">
        <f>X161-W161</f>
        <v>-275.89</v>
      </c>
      <c r="Y166" s="12">
        <f t="shared" ref="Y166:AA166" si="95">Y161-X161</f>
        <v>-227</v>
      </c>
      <c r="Z166" s="12">
        <f t="shared" si="95"/>
        <v>-232</v>
      </c>
      <c r="AA166" s="12">
        <f t="shared" si="95"/>
        <v>-232</v>
      </c>
      <c r="XET166" s="220">
        <v>41193</v>
      </c>
      <c r="XEU166" s="221">
        <v>1.8879999999999999</v>
      </c>
      <c r="XEV166" s="198">
        <f t="shared" si="85"/>
        <v>-2.816725848015178E-3</v>
      </c>
      <c r="XEW166" s="221">
        <v>3049.4099120000001</v>
      </c>
      <c r="XEX166" s="198">
        <f t="shared" si="86"/>
        <v>-7.7663428473795371E-4</v>
      </c>
    </row>
    <row r="167" spans="3:30 16374:16378" ht="15" customHeight="1" x14ac:dyDescent="0.2">
      <c r="W167" s="12"/>
      <c r="X167" s="12"/>
      <c r="Y167" s="12"/>
      <c r="Z167" s="12"/>
      <c r="AA167" s="12"/>
      <c r="XET167" s="220">
        <v>41194</v>
      </c>
      <c r="XEU167" s="221">
        <v>1.8426670000000001</v>
      </c>
      <c r="XEV167" s="198">
        <f t="shared" si="85"/>
        <v>-2.4011122881355873E-2</v>
      </c>
      <c r="XEW167" s="221">
        <v>3044.110107</v>
      </c>
      <c r="XEX167" s="198">
        <f t="shared" si="86"/>
        <v>-1.7379772326260312E-3</v>
      </c>
    </row>
    <row r="168" spans="3:30 16374:16378" ht="15" customHeight="1" x14ac:dyDescent="0.2">
      <c r="R168" s="30" t="s">
        <v>166</v>
      </c>
      <c r="W168" s="12"/>
      <c r="X168" s="12"/>
      <c r="Y168" s="12"/>
      <c r="Z168" s="12"/>
      <c r="AA168" s="12"/>
      <c r="XET168" s="220">
        <v>41197</v>
      </c>
      <c r="XEU168" s="221">
        <v>1.8220000000000001</v>
      </c>
      <c r="XEV168" s="198">
        <f t="shared" si="85"/>
        <v>-1.1215808390772741E-2</v>
      </c>
      <c r="XEW168" s="221">
        <v>3064.179932</v>
      </c>
      <c r="XEX168" s="198">
        <f t="shared" si="86"/>
        <v>6.593002320727237E-3</v>
      </c>
    </row>
    <row r="169" spans="3:30 16374:16378" ht="15" customHeight="1" x14ac:dyDescent="0.2">
      <c r="S169" s="1" t="s">
        <v>160</v>
      </c>
      <c r="W169" s="12">
        <v>4251.7110000000002</v>
      </c>
      <c r="X169" s="12">
        <v>6329</v>
      </c>
      <c r="Y169" s="12">
        <v>7167</v>
      </c>
      <c r="Z169" s="12">
        <v>8493</v>
      </c>
      <c r="AA169" s="12">
        <v>9953</v>
      </c>
      <c r="AC169" s="1" t="s">
        <v>209</v>
      </c>
      <c r="XET169" s="220">
        <v>41198</v>
      </c>
      <c r="XEU169" s="221">
        <v>1.8706670000000001</v>
      </c>
      <c r="XEV169" s="198">
        <f t="shared" si="85"/>
        <v>2.6710757409440289E-2</v>
      </c>
      <c r="XEW169" s="221">
        <v>3101.169922</v>
      </c>
      <c r="XEX169" s="198">
        <f t="shared" si="86"/>
        <v>1.2071742136845254E-2</v>
      </c>
    </row>
    <row r="170" spans="3:30 16374:16378" ht="15" customHeight="1" x14ac:dyDescent="0.2">
      <c r="S170" s="1" t="s">
        <v>161</v>
      </c>
      <c r="W170" s="12">
        <v>1255.952</v>
      </c>
      <c r="X170" s="12">
        <v>1398</v>
      </c>
      <c r="Y170" s="12">
        <v>1493</v>
      </c>
      <c r="Z170" s="12">
        <v>1811</v>
      </c>
      <c r="AA170" s="12">
        <v>2188</v>
      </c>
      <c r="AC170" s="65" t="s">
        <v>210</v>
      </c>
      <c r="XET170" s="220">
        <v>41199</v>
      </c>
      <c r="XEU170" s="221">
        <v>1.921333</v>
      </c>
      <c r="XEV170" s="198">
        <f t="shared" si="85"/>
        <v>2.7084457041258503E-2</v>
      </c>
      <c r="XEW170" s="221">
        <v>3104.1201169999999</v>
      </c>
      <c r="XEX170" s="198">
        <f t="shared" si="86"/>
        <v>9.5131678502058392E-4</v>
      </c>
    </row>
    <row r="171" spans="3:30 16374:16378" ht="15" customHeight="1" x14ac:dyDescent="0.2">
      <c r="S171" s="1" t="s">
        <v>162</v>
      </c>
      <c r="W171" s="12">
        <v>789.75099999999998</v>
      </c>
      <c r="X171" s="12">
        <v>961</v>
      </c>
      <c r="Y171" s="12">
        <v>1087</v>
      </c>
      <c r="Z171" s="12">
        <v>1421</v>
      </c>
      <c r="AA171" s="12">
        <v>1826</v>
      </c>
      <c r="XET171" s="220">
        <v>41200</v>
      </c>
      <c r="XEU171" s="221">
        <v>1.8693329999999999</v>
      </c>
      <c r="XEV171" s="198">
        <f t="shared" si="85"/>
        <v>-2.7064543210364889E-2</v>
      </c>
      <c r="XEW171" s="221">
        <v>3072.8701169999999</v>
      </c>
      <c r="XEX171" s="198">
        <f t="shared" si="86"/>
        <v>-1.0067265061315278E-2</v>
      </c>
    </row>
    <row r="172" spans="3:30 16374:16378" ht="15" customHeight="1" x14ac:dyDescent="0.2">
      <c r="S172" s="1" t="s">
        <v>163</v>
      </c>
      <c r="W172" s="12">
        <v>2517.2469999999998</v>
      </c>
      <c r="X172" s="12">
        <v>4047</v>
      </c>
      <c r="Y172" s="12">
        <v>3024</v>
      </c>
      <c r="Z172" s="12">
        <v>3662</v>
      </c>
      <c r="AA172" s="12">
        <v>4675</v>
      </c>
      <c r="AC172" s="65" t="s">
        <v>211</v>
      </c>
      <c r="XET172" s="220">
        <v>41201</v>
      </c>
      <c r="XEU172" s="221">
        <v>1.8493329999999999</v>
      </c>
      <c r="XEV172" s="198">
        <f t="shared" si="85"/>
        <v>-1.069900333434437E-2</v>
      </c>
      <c r="XEW172" s="221">
        <v>3005.6201169999999</v>
      </c>
      <c r="XEX172" s="198">
        <f t="shared" si="86"/>
        <v>-2.1885077285874743E-2</v>
      </c>
    </row>
    <row r="173" spans="3:30 16374:16378" ht="20" customHeight="1" x14ac:dyDescent="0.2">
      <c r="S173" s="1" t="s">
        <v>164</v>
      </c>
      <c r="W173" s="12">
        <v>395.06700000000001</v>
      </c>
      <c r="X173" s="12">
        <v>487</v>
      </c>
      <c r="Y173" s="12">
        <v>595</v>
      </c>
      <c r="Z173" s="12">
        <v>856</v>
      </c>
      <c r="AA173" s="12">
        <v>1414</v>
      </c>
      <c r="AC173" s="65" t="s">
        <v>212</v>
      </c>
      <c r="XET173" s="220">
        <v>41204</v>
      </c>
      <c r="XEU173" s="221">
        <v>1.8566670000000001</v>
      </c>
      <c r="XEV173" s="198">
        <f t="shared" si="85"/>
        <v>3.9657541394655382E-3</v>
      </c>
      <c r="XEW173" s="221">
        <v>3016.959961</v>
      </c>
      <c r="XEX173" s="198">
        <f t="shared" si="86"/>
        <v>3.7728799910079491E-3</v>
      </c>
    </row>
    <row r="174" spans="3:30 16374:16378" ht="15" customHeight="1" x14ac:dyDescent="0.2">
      <c r="S174" s="1" t="s">
        <v>165</v>
      </c>
      <c r="W174" s="12">
        <v>2541.5880000000002</v>
      </c>
      <c r="X174" s="12">
        <v>807</v>
      </c>
      <c r="Y174" s="12">
        <v>764</v>
      </c>
      <c r="Z174" s="12">
        <v>1621</v>
      </c>
      <c r="AA174" s="12">
        <v>5559</v>
      </c>
      <c r="XET174" s="220">
        <v>41205</v>
      </c>
      <c r="XEU174" s="221">
        <v>1.8926670000000001</v>
      </c>
      <c r="XEV174" s="198">
        <f t="shared" si="85"/>
        <v>1.9389583592534398E-2</v>
      </c>
      <c r="XEW174" s="221">
        <v>2990.459961</v>
      </c>
      <c r="XEX174" s="198">
        <f t="shared" si="86"/>
        <v>-8.7836763969569853E-3</v>
      </c>
    </row>
    <row r="175" spans="3:30 16374:16378" ht="20" customHeight="1" x14ac:dyDescent="0.2">
      <c r="S175" s="15" t="s">
        <v>158</v>
      </c>
      <c r="T175" s="15"/>
      <c r="U175" s="15"/>
      <c r="V175" s="15"/>
      <c r="W175" s="16">
        <f t="shared" ref="W175:Z175" si="96">SUM(W169:W174)</f>
        <v>11751.315999999999</v>
      </c>
      <c r="X175" s="16">
        <f t="shared" si="96"/>
        <v>14029</v>
      </c>
      <c r="Y175" s="16">
        <f t="shared" si="96"/>
        <v>14130</v>
      </c>
      <c r="Z175" s="16">
        <f t="shared" si="96"/>
        <v>17864</v>
      </c>
      <c r="AA175" s="16">
        <f>SUM(AA169:AA174)</f>
        <v>25615</v>
      </c>
      <c r="AC175" s="52">
        <f>AVERAGE(3,4,15,3)</f>
        <v>6.25</v>
      </c>
      <c r="AD175" s="52">
        <f>AVERAGE(15,7,30,10)</f>
        <v>15.5</v>
      </c>
      <c r="XET175" s="220">
        <v>41206</v>
      </c>
      <c r="XEU175" s="221">
        <v>1.8280000000000001</v>
      </c>
      <c r="XEV175" s="198">
        <f t="shared" si="85"/>
        <v>-3.4167130298145443E-2</v>
      </c>
      <c r="XEW175" s="221">
        <v>2981.6999510000001</v>
      </c>
      <c r="XEX175" s="198">
        <f t="shared" si="86"/>
        <v>-2.9293186045770137E-3</v>
      </c>
    </row>
    <row r="176" spans="3:30 16374:16378" ht="15" customHeight="1" x14ac:dyDescent="0.2">
      <c r="S176" s="1" t="s">
        <v>155</v>
      </c>
      <c r="W176" s="12">
        <v>-1723.7940000000001</v>
      </c>
      <c r="X176" s="12">
        <v>-2699</v>
      </c>
      <c r="Y176" s="12">
        <v>-3734</v>
      </c>
      <c r="Z176" s="12">
        <v>-5117</v>
      </c>
      <c r="AA176" s="12">
        <v>-6731</v>
      </c>
      <c r="XET176" s="220">
        <v>41207</v>
      </c>
      <c r="XEU176" s="221">
        <v>1.834667</v>
      </c>
      <c r="XEV176" s="198">
        <f t="shared" si="85"/>
        <v>3.6471553610504248E-3</v>
      </c>
      <c r="XEW176" s="221">
        <v>2986.1201169999999</v>
      </c>
      <c r="XEX176" s="198">
        <f t="shared" si="86"/>
        <v>1.4824315231709573E-3</v>
      </c>
    </row>
    <row r="177" spans="3:27 16374:16378" ht="20" customHeight="1" thickBot="1" x14ac:dyDescent="0.25">
      <c r="S177" s="17" t="str">
        <f>R168</f>
        <v xml:space="preserve"> Property, Plant and Equipment, Net</v>
      </c>
      <c r="T177" s="17"/>
      <c r="U177" s="17"/>
      <c r="V177" s="17"/>
      <c r="W177" s="18">
        <f t="shared" ref="W177:Z177" si="97">W175+W176</f>
        <v>10027.521999999999</v>
      </c>
      <c r="X177" s="18">
        <f t="shared" si="97"/>
        <v>11330</v>
      </c>
      <c r="Y177" s="18">
        <f t="shared" si="97"/>
        <v>10396</v>
      </c>
      <c r="Z177" s="18">
        <f t="shared" si="97"/>
        <v>12747</v>
      </c>
      <c r="AA177" s="18">
        <f>AA175+AA176</f>
        <v>18884</v>
      </c>
      <c r="XET177" s="220">
        <v>41208</v>
      </c>
      <c r="XEU177" s="221">
        <v>1.8253330000000001</v>
      </c>
      <c r="XEV177" s="198">
        <f t="shared" si="85"/>
        <v>-5.0875717500777906E-3</v>
      </c>
      <c r="XEW177" s="221">
        <v>2987.9499510000001</v>
      </c>
      <c r="XEX177" s="198">
        <f t="shared" si="86"/>
        <v>6.1277977050644417E-4</v>
      </c>
    </row>
    <row r="178" spans="3:27 16374:16378" ht="20" customHeight="1" thickTop="1" x14ac:dyDescent="0.2">
      <c r="S178" s="30" t="s">
        <v>539</v>
      </c>
      <c r="T178" s="30"/>
      <c r="U178" s="30"/>
      <c r="V178" s="30"/>
      <c r="W178" s="87">
        <f t="shared" ref="W178:AA178" si="98">W177-W192</f>
        <v>10027.521999999999</v>
      </c>
      <c r="X178" s="87">
        <f t="shared" si="98"/>
        <v>11330</v>
      </c>
      <c r="Y178" s="87">
        <f t="shared" si="98"/>
        <v>8796</v>
      </c>
      <c r="Z178" s="87">
        <f t="shared" si="98"/>
        <v>11282</v>
      </c>
      <c r="AA178" s="87">
        <f t="shared" si="98"/>
        <v>17348</v>
      </c>
      <c r="XET178" s="220">
        <v>41213</v>
      </c>
      <c r="XEU178" s="221">
        <v>1.8753329999999999</v>
      </c>
      <c r="XEV178" s="198">
        <f t="shared" si="85"/>
        <v>2.7392262124225963E-2</v>
      </c>
      <c r="XEW178" s="221">
        <v>2977.2299800000001</v>
      </c>
      <c r="XEX178" s="198">
        <f t="shared" si="86"/>
        <v>-3.587734458675329E-3</v>
      </c>
    </row>
    <row r="179" spans="3:27 16374:16378" ht="20" customHeight="1" x14ac:dyDescent="0.2">
      <c r="S179" s="1" t="s">
        <v>472</v>
      </c>
      <c r="W179" s="99"/>
      <c r="X179" s="12">
        <f t="shared" ref="X179:AA179" si="99">X176-W176</f>
        <v>-975.2059999999999</v>
      </c>
      <c r="Y179" s="12">
        <f t="shared" si="99"/>
        <v>-1035</v>
      </c>
      <c r="Z179" s="12">
        <f t="shared" si="99"/>
        <v>-1383</v>
      </c>
      <c r="AA179" s="12">
        <f t="shared" si="99"/>
        <v>-1614</v>
      </c>
      <c r="XET179" s="220">
        <v>41214</v>
      </c>
      <c r="XEU179" s="221">
        <v>1.95</v>
      </c>
      <c r="XEV179" s="198">
        <f t="shared" si="85"/>
        <v>3.981532879760552E-2</v>
      </c>
      <c r="XEW179" s="221">
        <v>3020.0600589999999</v>
      </c>
      <c r="XEX179" s="198">
        <f t="shared" si="86"/>
        <v>1.4385881939829037E-2</v>
      </c>
    </row>
    <row r="180" spans="3:27 16374:16378" ht="20" customHeight="1" x14ac:dyDescent="0.2">
      <c r="C180" s="1" t="s">
        <v>473</v>
      </c>
      <c r="E180" s="155"/>
      <c r="F180" s="31">
        <f t="shared" ref="F180:I180" si="100">X180/X50</f>
        <v>0.12301830947880103</v>
      </c>
      <c r="G180" s="31">
        <f t="shared" si="100"/>
        <v>-7.1994620815522783E-2</v>
      </c>
      <c r="H180" s="31">
        <f t="shared" si="100"/>
        <v>0.14205463357321194</v>
      </c>
      <c r="I180" s="31">
        <f t="shared" si="100"/>
        <v>0.16260162601626016</v>
      </c>
      <c r="S180" s="1" t="s">
        <v>456</v>
      </c>
      <c r="W180" s="99"/>
      <c r="X180" s="12">
        <f t="shared" ref="X180:AA180" si="101">X178-X179-W178</f>
        <v>2277.6840000000011</v>
      </c>
      <c r="Y180" s="12">
        <f t="shared" si="101"/>
        <v>-1499</v>
      </c>
      <c r="Z180" s="12">
        <f t="shared" si="101"/>
        <v>3869</v>
      </c>
      <c r="AA180" s="12">
        <f t="shared" si="101"/>
        <v>7680</v>
      </c>
      <c r="XET180" s="220">
        <v>41215</v>
      </c>
      <c r="XEU180" s="221">
        <v>1.9279999999999999</v>
      </c>
      <c r="XEV180" s="198">
        <f t="shared" si="85"/>
        <v>-1.1282051282051286E-2</v>
      </c>
      <c r="XEW180" s="221">
        <v>2982.1298830000001</v>
      </c>
      <c r="XEX180" s="198">
        <f t="shared" si="86"/>
        <v>-1.2559411157061273E-2</v>
      </c>
    </row>
    <row r="181" spans="3:27 16374:16378" ht="15" customHeight="1" x14ac:dyDescent="0.2">
      <c r="W181" s="12"/>
      <c r="X181" s="12"/>
      <c r="Y181" s="12"/>
      <c r="Z181" s="12"/>
      <c r="AA181" s="12"/>
      <c r="XET181" s="220">
        <v>41218</v>
      </c>
      <c r="XEU181" s="221">
        <v>2.1</v>
      </c>
      <c r="XEV181" s="198">
        <f t="shared" si="85"/>
        <v>8.9211618257261538E-2</v>
      </c>
      <c r="XEW181" s="221">
        <v>2999.6599120000001</v>
      </c>
      <c r="XEX181" s="198">
        <f t="shared" si="86"/>
        <v>5.8783586522948017E-3</v>
      </c>
    </row>
    <row r="182" spans="3:27 16374:16378" ht="15" customHeight="1" x14ac:dyDescent="0.2">
      <c r="R182" s="30" t="s">
        <v>167</v>
      </c>
      <c r="W182" s="12"/>
      <c r="X182" s="12"/>
      <c r="Y182" s="12"/>
      <c r="Z182" s="12"/>
      <c r="AA182" s="12"/>
      <c r="XET182" s="220">
        <v>41219</v>
      </c>
      <c r="XEU182" s="221">
        <v>2.076667</v>
      </c>
      <c r="XEV182" s="198">
        <f t="shared" si="85"/>
        <v>-1.1110952380952388E-2</v>
      </c>
      <c r="XEW182" s="221">
        <v>3011.929932</v>
      </c>
      <c r="XEX182" s="198">
        <f t="shared" si="86"/>
        <v>4.0904703732960179E-3</v>
      </c>
    </row>
    <row r="183" spans="3:27 16374:16378" ht="15" customHeight="1" x14ac:dyDescent="0.2">
      <c r="S183" s="1" t="s">
        <v>55</v>
      </c>
      <c r="W183" s="12"/>
      <c r="X183" s="12"/>
      <c r="Y183" s="12">
        <v>1218</v>
      </c>
      <c r="Z183" s="12">
        <v>1558</v>
      </c>
      <c r="AA183" s="12">
        <v>2016</v>
      </c>
      <c r="XET183" s="220">
        <v>41220</v>
      </c>
      <c r="XEU183" s="221">
        <v>2.1026669999999998</v>
      </c>
      <c r="XEV183" s="198">
        <f t="shared" si="85"/>
        <v>1.2520062195816584E-2</v>
      </c>
      <c r="XEW183" s="221">
        <v>2937.290039</v>
      </c>
      <c r="XEX183" s="198">
        <f t="shared" si="86"/>
        <v>-2.4781417458286326E-2</v>
      </c>
    </row>
    <row r="184" spans="3:27 16374:16378" ht="15" customHeight="1" x14ac:dyDescent="0.2">
      <c r="W184" s="12"/>
      <c r="X184" s="12"/>
      <c r="Y184" s="12"/>
      <c r="Z184" s="12"/>
      <c r="AA184" s="12"/>
      <c r="XET184" s="220">
        <v>41221</v>
      </c>
      <c r="XEU184" s="221">
        <v>2.0873330000000001</v>
      </c>
      <c r="XEV184" s="198">
        <f t="shared" si="85"/>
        <v>-7.2926431051610896E-3</v>
      </c>
      <c r="XEW184" s="221">
        <v>2895.580078</v>
      </c>
      <c r="XEX184" s="198">
        <f t="shared" si="86"/>
        <v>-1.4200150630749531E-2</v>
      </c>
    </row>
    <row r="185" spans="3:27 16374:16378" ht="20" customHeight="1" x14ac:dyDescent="0.2">
      <c r="S185" s="1" t="s">
        <v>64</v>
      </c>
      <c r="W185" s="12"/>
      <c r="X185" s="12"/>
      <c r="Y185" s="12">
        <v>228</v>
      </c>
      <c r="Z185" s="12">
        <v>286</v>
      </c>
      <c r="AA185" s="12">
        <v>368</v>
      </c>
      <c r="XET185" s="220">
        <v>41222</v>
      </c>
      <c r="XEU185" s="221">
        <v>2.0213329999999998</v>
      </c>
      <c r="XEV185" s="198">
        <f t="shared" si="85"/>
        <v>-3.1619296010746867E-2</v>
      </c>
      <c r="XEW185" s="221">
        <v>2904.8701169999999</v>
      </c>
      <c r="XEX185" s="198">
        <f t="shared" si="86"/>
        <v>3.2083516082264119E-3</v>
      </c>
    </row>
    <row r="186" spans="3:27 16374:16378" ht="15" customHeight="1" x14ac:dyDescent="0.2">
      <c r="S186" s="1" t="s">
        <v>71</v>
      </c>
      <c r="W186" s="12"/>
      <c r="X186" s="12"/>
      <c r="Y186" s="12">
        <v>956</v>
      </c>
      <c r="Z186" s="12">
        <v>1254</v>
      </c>
      <c r="AA186" s="12">
        <v>1671</v>
      </c>
      <c r="XET186" s="220">
        <v>41225</v>
      </c>
      <c r="XEU186" s="221">
        <v>2.0713330000000001</v>
      </c>
      <c r="XEV186" s="198">
        <f t="shared" si="85"/>
        <v>2.4736151836436848E-2</v>
      </c>
      <c r="XEW186" s="221">
        <v>2904.25</v>
      </c>
      <c r="XEX186" s="198">
        <f t="shared" si="86"/>
        <v>-2.1347494897305808E-4</v>
      </c>
    </row>
    <row r="187" spans="3:27 16374:16378" ht="15" customHeight="1" thickBot="1" x14ac:dyDescent="0.25">
      <c r="S187" s="27" t="s">
        <v>168</v>
      </c>
      <c r="T187" s="27"/>
      <c r="U187" s="27"/>
      <c r="V187" s="27"/>
      <c r="W187" s="28">
        <f t="shared" ref="W187:Z187" si="102">SUM(W185:W186)</f>
        <v>0</v>
      </c>
      <c r="X187" s="28">
        <f t="shared" si="102"/>
        <v>0</v>
      </c>
      <c r="Y187" s="28">
        <f t="shared" si="102"/>
        <v>1184</v>
      </c>
      <c r="Z187" s="28">
        <f t="shared" si="102"/>
        <v>1540</v>
      </c>
      <c r="AA187" s="28">
        <f>SUM(AA185:AA186)</f>
        <v>2039</v>
      </c>
      <c r="XET187" s="220">
        <v>41226</v>
      </c>
      <c r="XEU187" s="221">
        <v>2.1073330000000001</v>
      </c>
      <c r="XEV187" s="198">
        <f t="shared" si="85"/>
        <v>1.7380112227247002E-2</v>
      </c>
      <c r="XEW187" s="221">
        <v>2883.889893</v>
      </c>
      <c r="XEX187" s="198">
        <f t="shared" si="86"/>
        <v>-7.0104526125505107E-3</v>
      </c>
    </row>
    <row r="188" spans="3:27 16374:16378" ht="15" customHeight="1" thickTop="1" x14ac:dyDescent="0.2">
      <c r="W188" s="12"/>
      <c r="X188" s="12"/>
      <c r="Y188" s="12"/>
      <c r="Z188" s="12"/>
      <c r="AA188" s="12"/>
      <c r="XET188" s="220">
        <v>41227</v>
      </c>
      <c r="XEU188" s="221">
        <v>2.0920000000000001</v>
      </c>
      <c r="XEV188" s="198">
        <f t="shared" si="85"/>
        <v>-7.2760213976623689E-3</v>
      </c>
      <c r="XEW188" s="221">
        <v>2846.8100589999999</v>
      </c>
      <c r="XEX188" s="198">
        <f t="shared" si="86"/>
        <v>-1.2857576182087604E-2</v>
      </c>
    </row>
    <row r="189" spans="3:27 16374:16378" ht="15" customHeight="1" x14ac:dyDescent="0.2">
      <c r="W189" s="12"/>
      <c r="X189" s="12"/>
      <c r="Y189" s="12"/>
      <c r="Z189" s="12"/>
      <c r="AA189" s="12"/>
      <c r="XET189" s="220">
        <v>41228</v>
      </c>
      <c r="XEU189" s="221">
        <v>2.0546669999999998</v>
      </c>
      <c r="XEV189" s="198">
        <f t="shared" si="85"/>
        <v>-1.7845602294455198E-2</v>
      </c>
      <c r="XEW189" s="221">
        <v>2836.9399410000001</v>
      </c>
      <c r="XEX189" s="198">
        <f t="shared" si="86"/>
        <v>-3.467079922946037E-3</v>
      </c>
    </row>
    <row r="190" spans="3:27 16374:16378" ht="15" customHeight="1" x14ac:dyDescent="0.2">
      <c r="R190" s="30" t="s">
        <v>169</v>
      </c>
      <c r="XET190" s="220">
        <v>41229</v>
      </c>
      <c r="XEU190" s="221">
        <v>2.1226669999999999</v>
      </c>
      <c r="XEV190" s="198">
        <f t="shared" si="85"/>
        <v>3.3095387233065043E-2</v>
      </c>
      <c r="XEW190" s="221">
        <v>2853.1298830000001</v>
      </c>
      <c r="XEX190" s="198">
        <f t="shared" si="86"/>
        <v>5.7068328328069295E-3</v>
      </c>
    </row>
    <row r="191" spans="3:27 16374:16378" ht="20" customHeight="1" x14ac:dyDescent="0.2">
      <c r="S191" s="1" t="s">
        <v>87</v>
      </c>
      <c r="W191" s="12"/>
      <c r="X191" s="12"/>
      <c r="Y191" s="12">
        <v>30</v>
      </c>
      <c r="Z191" s="12">
        <v>29</v>
      </c>
      <c r="AA191" s="12">
        <v>27</v>
      </c>
      <c r="XET191" s="220">
        <v>41232</v>
      </c>
      <c r="XEU191" s="221">
        <v>2.1946669999999999</v>
      </c>
      <c r="XEV191" s="198">
        <f t="shared" si="85"/>
        <v>3.3919592663380627E-2</v>
      </c>
      <c r="XEW191" s="221">
        <v>2916.070068</v>
      </c>
      <c r="XEX191" s="198">
        <f t="shared" si="86"/>
        <v>2.2060048992168513E-2</v>
      </c>
    </row>
    <row r="192" spans="3:27 16374:16378" ht="15" customHeight="1" x14ac:dyDescent="0.2">
      <c r="S192" s="1" t="s">
        <v>54</v>
      </c>
      <c r="W192" s="12"/>
      <c r="X192" s="12"/>
      <c r="Y192" s="12">
        <v>1600</v>
      </c>
      <c r="Z192" s="12">
        <v>1465</v>
      </c>
      <c r="AA192" s="12">
        <v>1536</v>
      </c>
      <c r="XET192" s="220">
        <v>41233</v>
      </c>
      <c r="XEU192" s="221">
        <v>2.2000000000000002</v>
      </c>
      <c r="XEV192" s="198">
        <f t="shared" si="85"/>
        <v>2.4299814049240087E-3</v>
      </c>
      <c r="XEW192" s="221">
        <v>2916.679932</v>
      </c>
      <c r="XEX192" s="198">
        <f t="shared" si="86"/>
        <v>2.0913900756114323E-4</v>
      </c>
    </row>
    <row r="193" spans="18:27 16374:16378" ht="15" customHeight="1" thickBot="1" x14ac:dyDescent="0.25">
      <c r="S193" s="17" t="s">
        <v>170</v>
      </c>
      <c r="T193" s="17"/>
      <c r="U193" s="17"/>
      <c r="V193" s="17"/>
      <c r="W193" s="18">
        <f t="shared" ref="W193" si="103">SUM(W191:W192)</f>
        <v>0</v>
      </c>
      <c r="X193" s="18">
        <f t="shared" ref="X193" si="104">SUM(X191:X192)</f>
        <v>0</v>
      </c>
      <c r="Y193" s="18">
        <f t="shared" ref="Y193" si="105">SUM(Y191:Y192)</f>
        <v>1630</v>
      </c>
      <c r="Z193" s="18">
        <f t="shared" ref="Z193" si="106">SUM(Z191:Z192)</f>
        <v>1494</v>
      </c>
      <c r="AA193" s="18">
        <f>SUM(AA191:AA192)</f>
        <v>1563</v>
      </c>
      <c r="XET193" s="220">
        <v>41234</v>
      </c>
      <c r="XEU193" s="221">
        <v>2.1646670000000001</v>
      </c>
      <c r="XEV193" s="198">
        <f t="shared" si="85"/>
        <v>-1.6060454545454572E-2</v>
      </c>
      <c r="XEW193" s="221">
        <v>2926.5500489999999</v>
      </c>
      <c r="XEX193" s="198">
        <f t="shared" si="86"/>
        <v>3.3840247233545284E-3</v>
      </c>
    </row>
    <row r="194" spans="18:27 16374:16378" ht="15" customHeight="1" thickTop="1" x14ac:dyDescent="0.2">
      <c r="XET194" s="220">
        <v>41236</v>
      </c>
      <c r="XEU194" s="221">
        <v>2.1419999999999999</v>
      </c>
      <c r="XEV194" s="198">
        <f t="shared" si="85"/>
        <v>-1.0471356564312306E-2</v>
      </c>
      <c r="XEW194" s="221">
        <v>2966.8500979999999</v>
      </c>
      <c r="XEX194" s="198">
        <f t="shared" si="86"/>
        <v>1.3770497112725044E-2</v>
      </c>
    </row>
    <row r="195" spans="18:27 16374:16378" ht="20" customHeight="1" x14ac:dyDescent="0.2">
      <c r="S195" s="1" t="s">
        <v>171</v>
      </c>
      <c r="W195" s="12"/>
      <c r="X195" s="12"/>
      <c r="Y195" s="12">
        <v>386</v>
      </c>
      <c r="Z195" s="12">
        <v>374</v>
      </c>
      <c r="AA195" s="12">
        <v>501</v>
      </c>
      <c r="XET195" s="220">
        <v>41239</v>
      </c>
      <c r="XEU195" s="221">
        <v>2.1513330000000002</v>
      </c>
      <c r="XEV195" s="198">
        <f t="shared" si="85"/>
        <v>4.3571428571429482E-3</v>
      </c>
      <c r="XEW195" s="221">
        <v>2976.780029</v>
      </c>
      <c r="XEX195" s="198">
        <f t="shared" si="86"/>
        <v>3.3469608075897828E-3</v>
      </c>
    </row>
    <row r="196" spans="18:27 16374:16378" ht="15" customHeight="1" x14ac:dyDescent="0.2">
      <c r="S196" s="1" t="s">
        <v>172</v>
      </c>
      <c r="W196" s="12"/>
      <c r="X196" s="12"/>
      <c r="Y196" s="12">
        <v>1232</v>
      </c>
      <c r="Z196" s="12">
        <v>1094</v>
      </c>
      <c r="AA196" s="12">
        <v>991</v>
      </c>
      <c r="XET196" s="220">
        <v>41240</v>
      </c>
      <c r="XEU196" s="221">
        <v>2.1433330000000002</v>
      </c>
      <c r="XEV196" s="198">
        <f t="shared" si="85"/>
        <v>-3.7186246852533023E-3</v>
      </c>
      <c r="XEW196" s="221">
        <v>2967.790039</v>
      </c>
      <c r="XEX196" s="198">
        <f t="shared" si="86"/>
        <v>-3.0200384013662207E-3</v>
      </c>
    </row>
    <row r="197" spans="18:27 16374:16378" ht="15" customHeight="1" thickBot="1" x14ac:dyDescent="0.25">
      <c r="S197" s="17" t="s">
        <v>173</v>
      </c>
      <c r="T197" s="17"/>
      <c r="U197" s="17"/>
      <c r="V197" s="17"/>
      <c r="W197" s="18">
        <f t="shared" ref="W197" si="107">SUM(W195:W196)</f>
        <v>0</v>
      </c>
      <c r="X197" s="18">
        <f t="shared" ref="X197" si="108">SUM(X195:X196)</f>
        <v>0</v>
      </c>
      <c r="Y197" s="18">
        <f t="shared" ref="Y197" si="109">SUM(Y195:Y196)</f>
        <v>1618</v>
      </c>
      <c r="Z197" s="18">
        <f t="shared" ref="Z197" si="110">SUM(Z195:Z196)</f>
        <v>1468</v>
      </c>
      <c r="AA197" s="18">
        <f>SUM(AA195:AA196)</f>
        <v>1492</v>
      </c>
      <c r="XET197" s="220">
        <v>41241</v>
      </c>
      <c r="XEU197" s="221">
        <v>2.2153330000000002</v>
      </c>
      <c r="XEV197" s="198">
        <f t="shared" si="85"/>
        <v>3.3592540216569322E-2</v>
      </c>
      <c r="XEW197" s="221">
        <v>2991.780029</v>
      </c>
      <c r="XEX197" s="198">
        <f t="shared" si="86"/>
        <v>8.0834525639432719E-3</v>
      </c>
    </row>
    <row r="198" spans="18:27 16374:16378" ht="15" customHeight="1" thickTop="1" x14ac:dyDescent="0.2">
      <c r="W198" s="12"/>
      <c r="X198" s="12"/>
      <c r="Y198" s="12"/>
      <c r="Z198" s="12"/>
      <c r="AA198" s="12"/>
      <c r="XET198" s="220">
        <v>41242</v>
      </c>
      <c r="XEU198" s="221">
        <v>2.246</v>
      </c>
      <c r="XEV198" s="198">
        <f t="shared" si="85"/>
        <v>1.3843065579757008E-2</v>
      </c>
      <c r="XEW198" s="221">
        <v>3012.030029</v>
      </c>
      <c r="XEX198" s="198">
        <f t="shared" si="86"/>
        <v>6.7685457499255808E-3</v>
      </c>
    </row>
    <row r="199" spans="18:27 16374:16378" ht="15" customHeight="1" x14ac:dyDescent="0.2">
      <c r="W199" s="12"/>
      <c r="X199" s="12"/>
      <c r="Y199" s="12"/>
      <c r="Z199" s="12"/>
      <c r="AA199" s="12"/>
      <c r="XET199" s="220">
        <v>41243</v>
      </c>
      <c r="XEU199" s="221">
        <v>2.254667</v>
      </c>
      <c r="XEV199" s="198">
        <f t="shared" si="85"/>
        <v>3.8588601959037572E-3</v>
      </c>
      <c r="XEW199" s="221">
        <v>3010.23999</v>
      </c>
      <c r="XEX199" s="198">
        <f t="shared" si="86"/>
        <v>-5.9429653182918596E-4</v>
      </c>
    </row>
    <row r="200" spans="18:27 16374:16378" x14ac:dyDescent="0.2">
      <c r="R200" s="30" t="s">
        <v>174</v>
      </c>
      <c r="W200" s="12"/>
      <c r="X200" s="12"/>
      <c r="Y200" s="12"/>
      <c r="Z200" s="12"/>
      <c r="AA200" s="12"/>
      <c r="XET200" s="220">
        <v>41246</v>
      </c>
      <c r="XEU200" s="221">
        <v>2.3079999999999998</v>
      </c>
      <c r="XEV200" s="198">
        <f t="shared" si="85"/>
        <v>2.3654490884906565E-2</v>
      </c>
      <c r="XEW200" s="221">
        <v>3002.1999510000001</v>
      </c>
      <c r="XEX200" s="198">
        <f t="shared" si="86"/>
        <v>-2.6708963493637938E-3</v>
      </c>
    </row>
    <row r="201" spans="18:27 16374:16378" x14ac:dyDescent="0.2">
      <c r="S201" s="1" t="s">
        <v>175</v>
      </c>
      <c r="W201" s="12"/>
      <c r="X201" s="12"/>
      <c r="Y201" s="12">
        <v>426</v>
      </c>
      <c r="Z201" s="12">
        <v>451</v>
      </c>
      <c r="AA201" s="12">
        <v>627</v>
      </c>
      <c r="XET201" s="220">
        <v>41247</v>
      </c>
      <c r="XEU201" s="221">
        <v>2.2599999999999998</v>
      </c>
      <c r="XEV201" s="198">
        <f t="shared" si="85"/>
        <v>-2.0797227036395194E-2</v>
      </c>
      <c r="XEW201" s="221">
        <v>2996.6899410000001</v>
      </c>
      <c r="XEX201" s="198">
        <f t="shared" si="86"/>
        <v>-1.8353241256181541E-3</v>
      </c>
    </row>
    <row r="202" spans="18:27 16374:16378" x14ac:dyDescent="0.2">
      <c r="W202" s="12"/>
      <c r="X202" s="12"/>
      <c r="Y202" s="12"/>
      <c r="Z202" s="12"/>
      <c r="AA202" s="12"/>
      <c r="XET202" s="220">
        <v>41248</v>
      </c>
      <c r="XEU202" s="221">
        <v>2.2473329999999998</v>
      </c>
      <c r="XEV202" s="198">
        <f t="shared" si="85"/>
        <v>-5.6048672566371138E-3</v>
      </c>
      <c r="XEW202" s="221">
        <v>2973.6999510000001</v>
      </c>
      <c r="XEX202" s="198">
        <f t="shared" si="86"/>
        <v>-7.6717946976950779E-3</v>
      </c>
    </row>
    <row r="203" spans="18:27 16374:16378" x14ac:dyDescent="0.2">
      <c r="W203" s="12"/>
      <c r="X203" s="12"/>
      <c r="Y203" s="12"/>
      <c r="Z203" s="12"/>
      <c r="AA203" s="12"/>
      <c r="XET203" s="220">
        <v>41249</v>
      </c>
      <c r="XEU203" s="221">
        <v>2.2599999999999998</v>
      </c>
      <c r="XEV203" s="198">
        <f t="shared" si="85"/>
        <v>5.6364588603468047E-3</v>
      </c>
      <c r="XEW203" s="221">
        <v>2989.2700199999999</v>
      </c>
      <c r="XEX203" s="198">
        <f t="shared" si="86"/>
        <v>5.2359246919864155E-3</v>
      </c>
    </row>
    <row r="204" spans="18:27 16374:16378" x14ac:dyDescent="0.2">
      <c r="R204" s="30" t="s">
        <v>176</v>
      </c>
      <c r="W204" s="12"/>
      <c r="X204" s="12"/>
      <c r="Y204" s="12"/>
      <c r="Z204" s="12"/>
      <c r="AA204" s="12"/>
      <c r="XET204" s="220">
        <v>41250</v>
      </c>
      <c r="XEU204" s="221">
        <v>2.278</v>
      </c>
      <c r="XEV204" s="198">
        <f t="shared" ref="XEV204:XEV267" si="111">XEU204/XEU203-1</f>
        <v>7.964601769911539E-3</v>
      </c>
      <c r="XEW204" s="221">
        <v>2978.040039</v>
      </c>
      <c r="XEX204" s="198">
        <f t="shared" ref="XEX204:XEX267" si="112">XEW204/XEW203-1</f>
        <v>-3.756763666334817E-3</v>
      </c>
    </row>
    <row r="205" spans="18:27 16374:16378" ht="20" customHeight="1" x14ac:dyDescent="0.2">
      <c r="S205" s="1" t="s">
        <v>177</v>
      </c>
      <c r="W205" s="12"/>
      <c r="X205" s="12"/>
      <c r="Y205" s="12">
        <v>299</v>
      </c>
      <c r="Z205" s="12">
        <v>348</v>
      </c>
      <c r="AA205" s="12">
        <v>415</v>
      </c>
      <c r="XET205" s="220">
        <v>41253</v>
      </c>
      <c r="XEU205" s="221">
        <v>2.3046669999999998</v>
      </c>
      <c r="XEV205" s="198">
        <f t="shared" si="111"/>
        <v>1.1706321334503889E-2</v>
      </c>
      <c r="XEW205" s="221">
        <v>2986.959961</v>
      </c>
      <c r="XEX205" s="198">
        <f t="shared" si="112"/>
        <v>2.9952323955306781E-3</v>
      </c>
    </row>
    <row r="206" spans="18:27 16374:16378" x14ac:dyDescent="0.2">
      <c r="S206" s="1" t="s">
        <v>178</v>
      </c>
      <c r="W206" s="12"/>
      <c r="X206" s="12"/>
      <c r="Y206" s="12">
        <v>104</v>
      </c>
      <c r="Z206" s="12">
        <v>100</v>
      </c>
      <c r="AA206" s="12">
        <v>89</v>
      </c>
      <c r="XET206" s="220">
        <v>41254</v>
      </c>
      <c r="XEU206" s="221">
        <v>2.3519999999999999</v>
      </c>
      <c r="XEV206" s="198">
        <f t="shared" si="111"/>
        <v>2.0537891157377697E-2</v>
      </c>
      <c r="XEW206" s="221">
        <v>3022.3000489999999</v>
      </c>
      <c r="XEX206" s="198">
        <f t="shared" si="112"/>
        <v>1.1831456886408409E-2</v>
      </c>
    </row>
    <row r="207" spans="18:27 16374:16378" ht="16" thickBot="1" x14ac:dyDescent="0.25">
      <c r="S207" s="17" t="s">
        <v>179</v>
      </c>
      <c r="T207" s="17"/>
      <c r="U207" s="17"/>
      <c r="V207" s="17"/>
      <c r="W207" s="18">
        <f t="shared" ref="W207" si="113">SUM(W205:W206)</f>
        <v>0</v>
      </c>
      <c r="X207" s="18">
        <f t="shared" ref="X207" si="114">SUM(X205:X206)</f>
        <v>0</v>
      </c>
      <c r="Y207" s="18">
        <f t="shared" ref="Y207" si="115">SUM(Y205:Y206)</f>
        <v>403</v>
      </c>
      <c r="Z207" s="18">
        <f t="shared" ref="Z207" si="116">SUM(Z205:Z206)</f>
        <v>448</v>
      </c>
      <c r="AA207" s="18">
        <f>SUM(AA205:AA206)</f>
        <v>504</v>
      </c>
      <c r="XET207" s="220">
        <v>41255</v>
      </c>
      <c r="XEU207" s="221">
        <v>2.3506670000000001</v>
      </c>
      <c r="XEV207" s="198">
        <f t="shared" si="111"/>
        <v>-5.6675170068021252E-4</v>
      </c>
      <c r="XEW207" s="221">
        <v>3013.8100589999999</v>
      </c>
      <c r="XEX207" s="198">
        <f t="shared" si="112"/>
        <v>-2.8091155286878999E-3</v>
      </c>
    </row>
    <row r="208" spans="18:27 16374:16378" ht="16" thickTop="1" x14ac:dyDescent="0.2">
      <c r="W208" s="12"/>
      <c r="X208" s="12"/>
      <c r="Y208" s="12"/>
      <c r="Z208" s="12"/>
      <c r="AA208" s="12"/>
      <c r="XET208" s="220">
        <v>41256</v>
      </c>
      <c r="XEU208" s="221">
        <v>2.2406670000000002</v>
      </c>
      <c r="XEV208" s="198">
        <f t="shared" si="111"/>
        <v>-4.6795228758475749E-2</v>
      </c>
      <c r="XEW208" s="221">
        <v>2992.1599120000001</v>
      </c>
      <c r="XEX208" s="198">
        <f t="shared" si="112"/>
        <v>-7.1836468045977098E-3</v>
      </c>
    </row>
    <row r="209" spans="18:27 16374:16378" x14ac:dyDescent="0.2">
      <c r="R209" s="1" t="s">
        <v>180</v>
      </c>
      <c r="W209" s="12"/>
      <c r="X209" s="12"/>
      <c r="Y209" s="12"/>
      <c r="Z209" s="12"/>
      <c r="AA209" s="12"/>
      <c r="XET209" s="220">
        <v>41257</v>
      </c>
      <c r="XEU209" s="221">
        <v>2.254</v>
      </c>
      <c r="XEV209" s="198">
        <f t="shared" si="111"/>
        <v>5.9504602870483758E-3</v>
      </c>
      <c r="XEW209" s="221">
        <v>2971.330078</v>
      </c>
      <c r="XEX209" s="198">
        <f t="shared" si="112"/>
        <v>-6.9614708480193466E-3</v>
      </c>
    </row>
    <row r="210" spans="18:27 16374:16378" x14ac:dyDescent="0.2">
      <c r="S210" s="1" t="s">
        <v>181</v>
      </c>
      <c r="W210" s="12"/>
      <c r="X210" s="12"/>
      <c r="Y210" s="12"/>
      <c r="Z210" s="12">
        <v>6.2</v>
      </c>
      <c r="AA210" s="12">
        <v>6.5</v>
      </c>
      <c r="XET210" s="220">
        <v>41260</v>
      </c>
      <c r="XEU210" s="221">
        <v>2.2933330000000001</v>
      </c>
      <c r="XEV210" s="198">
        <f t="shared" si="111"/>
        <v>1.7450310559006255E-2</v>
      </c>
      <c r="XEW210" s="221">
        <v>3010.6000979999999</v>
      </c>
      <c r="XEX210" s="198">
        <f t="shared" si="112"/>
        <v>1.3216310194131164E-2</v>
      </c>
    </row>
    <row r="211" spans="18:27 16374:16378" x14ac:dyDescent="0.2">
      <c r="S211" s="1" t="s">
        <v>182</v>
      </c>
      <c r="W211" s="12"/>
      <c r="X211" s="12"/>
      <c r="Y211" s="12"/>
      <c r="Z211" s="12">
        <v>4.9000000000000004</v>
      </c>
      <c r="AA211" s="12">
        <v>4.2</v>
      </c>
      <c r="XET211" s="220">
        <v>41261</v>
      </c>
      <c r="XEU211" s="221">
        <v>2.306</v>
      </c>
      <c r="XEV211" s="198">
        <f t="shared" si="111"/>
        <v>5.5234019656107414E-3</v>
      </c>
      <c r="XEW211" s="221">
        <v>3054.530029</v>
      </c>
      <c r="XEX211" s="198">
        <f t="shared" si="112"/>
        <v>1.4591752331763796E-2</v>
      </c>
    </row>
    <row r="212" spans="18:27 16374:16378" x14ac:dyDescent="0.2">
      <c r="W212" s="12"/>
      <c r="X212" s="12"/>
      <c r="Y212" s="12"/>
      <c r="Z212" s="12"/>
      <c r="AA212" s="12"/>
      <c r="XET212" s="220">
        <v>41262</v>
      </c>
      <c r="XEU212" s="221">
        <v>2.3073329999999999</v>
      </c>
      <c r="XEV212" s="198">
        <f t="shared" si="111"/>
        <v>5.7805724197734776E-4</v>
      </c>
      <c r="XEW212" s="221">
        <v>3044.360107</v>
      </c>
      <c r="XEX212" s="198">
        <f t="shared" si="112"/>
        <v>-3.3294555638496703E-3</v>
      </c>
    </row>
    <row r="213" spans="18:27 16374:16378" x14ac:dyDescent="0.2">
      <c r="R213" s="1" t="s">
        <v>183</v>
      </c>
      <c r="W213" s="12"/>
      <c r="X213" s="12"/>
      <c r="Y213" s="12"/>
      <c r="Z213" s="12"/>
      <c r="AA213" s="12"/>
      <c r="XET213" s="220">
        <v>41263</v>
      </c>
      <c r="XEU213" s="221">
        <v>2.2953329999999998</v>
      </c>
      <c r="XEV213" s="198">
        <f t="shared" si="111"/>
        <v>-5.2008097660806163E-3</v>
      </c>
      <c r="XEW213" s="221">
        <v>3050.389893</v>
      </c>
      <c r="XEX213" s="198">
        <f t="shared" si="112"/>
        <v>1.9806415102259223E-3</v>
      </c>
    </row>
    <row r="214" spans="18:27 16374:16378" x14ac:dyDescent="0.2">
      <c r="S214" s="1" t="s">
        <v>181</v>
      </c>
      <c r="W214" s="31"/>
      <c r="X214" s="31"/>
      <c r="Y214" s="31"/>
      <c r="Z214" s="31">
        <f>5.8%</f>
        <v>5.7999999999999996E-2</v>
      </c>
      <c r="AA214" s="31">
        <v>0.05</v>
      </c>
      <c r="XET214" s="220">
        <v>41264</v>
      </c>
      <c r="XEU214" s="221">
        <v>2.266667</v>
      </c>
      <c r="XEV214" s="198">
        <f t="shared" si="111"/>
        <v>-1.2488819705027465E-2</v>
      </c>
      <c r="XEW214" s="221">
        <v>3021.01001</v>
      </c>
      <c r="XEX214" s="198">
        <f t="shared" si="112"/>
        <v>-9.6315172914193115E-3</v>
      </c>
    </row>
    <row r="215" spans="18:27 16374:16378" x14ac:dyDescent="0.2">
      <c r="S215" s="1" t="s">
        <v>182</v>
      </c>
      <c r="W215" s="31"/>
      <c r="X215" s="31"/>
      <c r="Y215" s="31"/>
      <c r="Z215" s="31">
        <f>6.5%</f>
        <v>6.5000000000000002E-2</v>
      </c>
      <c r="AA215" s="31">
        <f>5.8%</f>
        <v>5.7999999999999996E-2</v>
      </c>
      <c r="XET215" s="220">
        <v>41267</v>
      </c>
      <c r="XEU215" s="221">
        <v>2.2853330000000001</v>
      </c>
      <c r="XEV215" s="198">
        <f t="shared" si="111"/>
        <v>8.2349987889707155E-3</v>
      </c>
      <c r="XEW215" s="221">
        <v>3012.6000979999999</v>
      </c>
      <c r="XEX215" s="198">
        <f t="shared" si="112"/>
        <v>-2.7838080549756894E-3</v>
      </c>
    </row>
    <row r="216" spans="18:27 16374:16378" x14ac:dyDescent="0.2">
      <c r="W216" s="12"/>
      <c r="X216" s="12"/>
      <c r="Y216" s="12"/>
      <c r="Z216" s="12"/>
      <c r="AA216" s="12"/>
      <c r="XET216" s="220">
        <v>41269</v>
      </c>
      <c r="XEU216" s="221">
        <v>2.2393329999999998</v>
      </c>
      <c r="XEV216" s="198">
        <f t="shared" si="111"/>
        <v>-2.0128357661662544E-2</v>
      </c>
      <c r="XEW216" s="221">
        <v>2990.1599120000001</v>
      </c>
      <c r="XEX216" s="198">
        <f t="shared" si="112"/>
        <v>-7.4487768937195886E-3</v>
      </c>
    </row>
    <row r="217" spans="18:27 16374:16378" x14ac:dyDescent="0.2">
      <c r="W217" s="12"/>
      <c r="X217" s="12"/>
      <c r="Y217" s="12"/>
      <c r="Z217" s="12"/>
      <c r="AA217" s="12"/>
      <c r="XET217" s="220">
        <v>41270</v>
      </c>
      <c r="XEU217" s="221">
        <v>2.246</v>
      </c>
      <c r="XEV217" s="198">
        <f t="shared" si="111"/>
        <v>2.977225807863304E-3</v>
      </c>
      <c r="XEW217" s="221">
        <v>2985.9099120000001</v>
      </c>
      <c r="XEX217" s="198">
        <f t="shared" si="112"/>
        <v>-1.4213286663846691E-3</v>
      </c>
    </row>
    <row r="218" spans="18:27 16374:16378" x14ac:dyDescent="0.2">
      <c r="R218" s="30" t="s">
        <v>184</v>
      </c>
      <c r="W218" s="12"/>
      <c r="X218" s="12"/>
      <c r="Y218" s="12"/>
      <c r="Z218" s="12"/>
      <c r="AA218" s="12"/>
      <c r="XET218" s="220">
        <v>41271</v>
      </c>
      <c r="XEU218" s="221">
        <v>2.2146669999999999</v>
      </c>
      <c r="XEV218" s="198">
        <f t="shared" si="111"/>
        <v>-1.3950578806767644E-2</v>
      </c>
      <c r="XEW218" s="221">
        <v>2960.3100589999999</v>
      </c>
      <c r="XEX218" s="198">
        <f t="shared" si="112"/>
        <v>-8.5735516993052929E-3</v>
      </c>
    </row>
    <row r="219" spans="18:27 16374:16378" x14ac:dyDescent="0.2">
      <c r="S219" s="1" t="s">
        <v>185</v>
      </c>
      <c r="W219" s="12"/>
      <c r="X219" s="12"/>
      <c r="Y219" s="12">
        <v>616</v>
      </c>
      <c r="Z219" s="12">
        <v>188</v>
      </c>
      <c r="AA219" s="12">
        <v>486</v>
      </c>
      <c r="XET219" s="220">
        <v>41274</v>
      </c>
      <c r="XEU219" s="221">
        <v>2.258</v>
      </c>
      <c r="XEV219" s="198">
        <f t="shared" si="111"/>
        <v>1.9566372732334081E-2</v>
      </c>
      <c r="XEW219" s="221">
        <v>3019.51001</v>
      </c>
      <c r="XEX219" s="198">
        <f t="shared" si="112"/>
        <v>1.9997888673863429E-2</v>
      </c>
    </row>
    <row r="220" spans="18:27 16374:16378" x14ac:dyDescent="0.2">
      <c r="S220" s="1" t="s">
        <v>186</v>
      </c>
      <c r="W220" s="12"/>
      <c r="X220" s="12"/>
      <c r="Y220" s="12">
        <v>202</v>
      </c>
      <c r="Z220" s="12">
        <v>553</v>
      </c>
      <c r="AA220" s="12">
        <v>818</v>
      </c>
      <c r="XET220" s="220">
        <v>41276</v>
      </c>
      <c r="XEU220" s="221">
        <v>2.3573330000000001</v>
      </c>
      <c r="XEV220" s="198">
        <f t="shared" si="111"/>
        <v>4.3991585473870831E-2</v>
      </c>
      <c r="XEW220" s="221">
        <v>3112.26001</v>
      </c>
      <c r="XEX220" s="198">
        <f t="shared" si="112"/>
        <v>3.0716904296667735E-2</v>
      </c>
    </row>
    <row r="221" spans="18:27 16374:16378" x14ac:dyDescent="0.2">
      <c r="W221" s="12"/>
      <c r="X221" s="12"/>
      <c r="Y221" s="12"/>
      <c r="Z221" s="12"/>
      <c r="AA221" s="12"/>
      <c r="XET221" s="220">
        <v>41277</v>
      </c>
      <c r="XEU221" s="221">
        <v>2.3180000000000001</v>
      </c>
      <c r="XEV221" s="198">
        <f t="shared" si="111"/>
        <v>-1.6685381318634285E-2</v>
      </c>
      <c r="XEW221" s="221">
        <v>3100.570068</v>
      </c>
      <c r="XEX221" s="198">
        <f t="shared" si="112"/>
        <v>-3.7560942731130753E-3</v>
      </c>
    </row>
    <row r="222" spans="18:27 16374:16378" x14ac:dyDescent="0.2">
      <c r="W222" s="12"/>
      <c r="X222" s="12"/>
      <c r="Y222" s="12"/>
      <c r="Z222" s="12"/>
      <c r="AA222" s="12"/>
      <c r="XET222" s="220">
        <v>41278</v>
      </c>
      <c r="XEU222" s="221">
        <v>2.2933330000000001</v>
      </c>
      <c r="XEV222" s="198">
        <f t="shared" si="111"/>
        <v>-1.0641501294219147E-2</v>
      </c>
      <c r="XEW222" s="221">
        <v>3101.6599120000001</v>
      </c>
      <c r="XEX222" s="198">
        <f t="shared" si="112"/>
        <v>3.5149794266797763E-4</v>
      </c>
    </row>
    <row r="223" spans="18:27 16374:16378" x14ac:dyDescent="0.2">
      <c r="R223" s="1" t="s">
        <v>187</v>
      </c>
      <c r="W223" s="12"/>
      <c r="X223" s="53" t="str">
        <f>R182</f>
        <v>Operating leases:</v>
      </c>
      <c r="Y223" s="12"/>
      <c r="Z223" s="12"/>
      <c r="AA223" s="53" t="str">
        <f>R190</f>
        <v>Finance leases:</v>
      </c>
      <c r="XET223" s="220">
        <v>41281</v>
      </c>
      <c r="XEU223" s="221">
        <v>2.2893330000000001</v>
      </c>
      <c r="XEV223" s="198">
        <f t="shared" si="111"/>
        <v>-1.7441863000270397E-3</v>
      </c>
      <c r="XEW223" s="221">
        <v>3098.8100589999999</v>
      </c>
      <c r="XEX223" s="198">
        <f t="shared" si="112"/>
        <v>-9.1881543459182424E-4</v>
      </c>
    </row>
    <row r="224" spans="18:27 16374:16378" x14ac:dyDescent="0.2">
      <c r="S224" s="50">
        <f>$AA$96+1</f>
        <v>2022</v>
      </c>
      <c r="W224" s="12"/>
      <c r="X224" s="1">
        <v>458</v>
      </c>
      <c r="AA224" s="1">
        <v>587</v>
      </c>
      <c r="XET224" s="220">
        <v>41282</v>
      </c>
      <c r="XEU224" s="221">
        <v>2.245333</v>
      </c>
      <c r="XEV224" s="198">
        <f t="shared" si="111"/>
        <v>-1.9219571814148462E-2</v>
      </c>
      <c r="XEW224" s="221">
        <v>3091.8100589999999</v>
      </c>
      <c r="XEX224" s="198">
        <f t="shared" si="112"/>
        <v>-2.2589316114002278E-3</v>
      </c>
    </row>
    <row r="225" spans="3:27 16374:16378" x14ac:dyDescent="0.2">
      <c r="S225" s="50">
        <f t="shared" ref="S225:S228" si="117">S224+1</f>
        <v>2023</v>
      </c>
      <c r="W225" s="12"/>
      <c r="X225" s="12">
        <v>412</v>
      </c>
      <c r="Y225" s="12"/>
      <c r="Z225" s="12"/>
      <c r="AA225" s="12">
        <v>524</v>
      </c>
      <c r="XET225" s="220">
        <v>41283</v>
      </c>
      <c r="XEU225" s="221">
        <v>2.242667</v>
      </c>
      <c r="XEV225" s="198">
        <f t="shared" si="111"/>
        <v>-1.1873517202125594E-3</v>
      </c>
      <c r="XEW225" s="221">
        <v>3105.8100589999999</v>
      </c>
      <c r="XEX225" s="198">
        <f t="shared" si="112"/>
        <v>4.5280918726708919E-3</v>
      </c>
    </row>
    <row r="226" spans="3:27 16374:16378" x14ac:dyDescent="0.2">
      <c r="S226" s="50">
        <f t="shared" si="117"/>
        <v>2024</v>
      </c>
      <c r="W226" s="12"/>
      <c r="X226" s="12">
        <v>366</v>
      </c>
      <c r="Y226" s="12"/>
      <c r="Z226" s="12"/>
      <c r="AA226" s="12">
        <v>381</v>
      </c>
      <c r="XET226" s="220">
        <v>41284</v>
      </c>
      <c r="XEU226" s="221">
        <v>2.2353329999999998</v>
      </c>
      <c r="XEV226" s="198">
        <f t="shared" si="111"/>
        <v>-3.2702135448553493E-3</v>
      </c>
      <c r="XEW226" s="221">
        <v>3121.76001</v>
      </c>
      <c r="XEX226" s="198">
        <f t="shared" si="112"/>
        <v>5.1355204268788146E-3</v>
      </c>
    </row>
    <row r="227" spans="3:27 16374:16378" x14ac:dyDescent="0.2">
      <c r="S227" s="50">
        <f t="shared" si="117"/>
        <v>2025</v>
      </c>
      <c r="W227" s="12"/>
      <c r="X227" s="12">
        <v>319</v>
      </c>
      <c r="Y227" s="12"/>
      <c r="Z227" s="12"/>
      <c r="AA227" s="12">
        <v>102</v>
      </c>
      <c r="XET227" s="220">
        <v>41285</v>
      </c>
      <c r="XEU227" s="221">
        <v>2.194</v>
      </c>
      <c r="XEV227" s="198">
        <f t="shared" si="111"/>
        <v>-1.8490757305510974E-2</v>
      </c>
      <c r="XEW227" s="221">
        <v>3125.6298830000001</v>
      </c>
      <c r="XEX227" s="198">
        <f t="shared" si="112"/>
        <v>1.2396446195748201E-3</v>
      </c>
    </row>
    <row r="228" spans="3:27 16374:16378" ht="20" customHeight="1" x14ac:dyDescent="0.2">
      <c r="S228" s="50">
        <f t="shared" si="117"/>
        <v>2026</v>
      </c>
      <c r="W228" s="12"/>
      <c r="X228" s="12">
        <v>232</v>
      </c>
      <c r="Y228" s="12"/>
      <c r="Z228" s="12"/>
      <c r="AA228" s="12">
        <v>45</v>
      </c>
      <c r="XET228" s="220">
        <v>41288</v>
      </c>
      <c r="XEU228" s="221">
        <v>2.217333</v>
      </c>
      <c r="XEV228" s="198">
        <f t="shared" si="111"/>
        <v>1.0634913400182411E-2</v>
      </c>
      <c r="XEW228" s="221">
        <v>3117.5</v>
      </c>
      <c r="XEX228" s="198">
        <f t="shared" si="112"/>
        <v>-2.601038288064017E-3</v>
      </c>
    </row>
    <row r="229" spans="3:27 16374:16378" ht="18" customHeight="1" x14ac:dyDescent="0.2">
      <c r="S229" s="61" t="s">
        <v>188</v>
      </c>
      <c r="W229" s="12"/>
      <c r="X229" s="12">
        <v>595</v>
      </c>
      <c r="Y229" s="12"/>
      <c r="Z229" s="12"/>
      <c r="AA229" s="12">
        <v>9</v>
      </c>
      <c r="XET229" s="220">
        <v>41289</v>
      </c>
      <c r="XEU229" s="221">
        <v>2.2599999999999998</v>
      </c>
      <c r="XEV229" s="198">
        <f t="shared" si="111"/>
        <v>1.9242486356356947E-2</v>
      </c>
      <c r="XEW229" s="221">
        <v>3110.780029</v>
      </c>
      <c r="XEX229" s="198">
        <f t="shared" si="112"/>
        <v>-2.1555640737770387E-3</v>
      </c>
    </row>
    <row r="230" spans="3:27 16374:16378" ht="20" customHeight="1" thickBot="1" x14ac:dyDescent="0.25">
      <c r="S230" s="62" t="s">
        <v>189</v>
      </c>
      <c r="T230" s="27"/>
      <c r="U230" s="27"/>
      <c r="V230" s="27"/>
      <c r="W230" s="28"/>
      <c r="X230" s="28">
        <f>SUM(X224:X229)</f>
        <v>2382</v>
      </c>
      <c r="Y230" s="28"/>
      <c r="Z230" s="28"/>
      <c r="AA230" s="28">
        <f>SUM(AA224:AA229)</f>
        <v>1648</v>
      </c>
      <c r="XET230" s="220">
        <v>41290</v>
      </c>
      <c r="XEU230" s="221">
        <v>2.273333</v>
      </c>
      <c r="XEV230" s="198">
        <f t="shared" si="111"/>
        <v>5.8995575221238994E-3</v>
      </c>
      <c r="XEW230" s="221">
        <v>3117.540039</v>
      </c>
      <c r="XEX230" s="198">
        <f t="shared" si="112"/>
        <v>2.1730916159228286E-3</v>
      </c>
    </row>
    <row r="231" spans="3:27 16374:16378" ht="16" thickTop="1" x14ac:dyDescent="0.2">
      <c r="S231" s="61" t="s">
        <v>190</v>
      </c>
      <c r="W231" s="12"/>
      <c r="X231" s="12">
        <v>343</v>
      </c>
      <c r="Y231" s="12"/>
      <c r="Z231" s="12"/>
      <c r="AA231" s="12">
        <v>156</v>
      </c>
      <c r="XET231" s="220">
        <v>41291</v>
      </c>
      <c r="XEU231" s="221">
        <v>2.2919999999999998</v>
      </c>
      <c r="XEV231" s="198">
        <f t="shared" si="111"/>
        <v>8.2112915265821762E-3</v>
      </c>
      <c r="XEW231" s="221">
        <v>3136</v>
      </c>
      <c r="XEX231" s="198">
        <f t="shared" si="112"/>
        <v>5.9213228279568764E-3</v>
      </c>
    </row>
    <row r="232" spans="3:27 16374:16378" ht="20" customHeight="1" x14ac:dyDescent="0.2">
      <c r="S232" s="63" t="s">
        <v>191</v>
      </c>
      <c r="T232" s="15"/>
      <c r="U232" s="15"/>
      <c r="V232" s="15"/>
      <c r="W232" s="16"/>
      <c r="X232" s="16">
        <f>X230-X231</f>
        <v>2039</v>
      </c>
      <c r="Y232" s="16"/>
      <c r="Z232" s="16"/>
      <c r="AA232" s="16">
        <f>AA230-AA231</f>
        <v>1492</v>
      </c>
      <c r="XET232" s="220">
        <v>41292</v>
      </c>
      <c r="XEU232" s="221">
        <v>2.3013330000000001</v>
      </c>
      <c r="XEV232" s="198">
        <f t="shared" si="111"/>
        <v>4.0719895287959496E-3</v>
      </c>
      <c r="XEW232" s="221">
        <v>3134.709961</v>
      </c>
      <c r="XEX232" s="198">
        <f t="shared" si="112"/>
        <v>-4.1136447704082091E-4</v>
      </c>
    </row>
    <row r="233" spans="3:27 16374:16378" x14ac:dyDescent="0.2">
      <c r="S233" s="61" t="s">
        <v>192</v>
      </c>
      <c r="W233" s="12"/>
      <c r="X233" s="12">
        <v>368</v>
      </c>
      <c r="Y233" s="12"/>
      <c r="Z233" s="12"/>
      <c r="AA233" s="12">
        <v>501</v>
      </c>
      <c r="XET233" s="220">
        <v>41296</v>
      </c>
      <c r="XEU233" s="221">
        <v>2.3460000000000001</v>
      </c>
      <c r="XEV233" s="198">
        <f t="shared" si="111"/>
        <v>1.9409185893566994E-2</v>
      </c>
      <c r="XEW233" s="221">
        <v>3143.179932</v>
      </c>
      <c r="XEX233" s="198">
        <f t="shared" si="112"/>
        <v>2.7019951145010879E-3</v>
      </c>
    </row>
    <row r="234" spans="3:27 16374:16378" ht="16" thickBot="1" x14ac:dyDescent="0.25">
      <c r="S234" s="17" t="s">
        <v>193</v>
      </c>
      <c r="T234" s="17"/>
      <c r="U234" s="17"/>
      <c r="V234" s="17"/>
      <c r="W234" s="18"/>
      <c r="X234" s="18">
        <f>X232-X233</f>
        <v>1671</v>
      </c>
      <c r="Y234" s="18"/>
      <c r="Z234" s="18"/>
      <c r="AA234" s="18">
        <f>AA232-AA233</f>
        <v>991</v>
      </c>
      <c r="XET234" s="220">
        <v>41297</v>
      </c>
      <c r="XEU234" s="221">
        <v>2.4</v>
      </c>
      <c r="XEV234" s="198">
        <f t="shared" si="111"/>
        <v>2.3017902813299074E-2</v>
      </c>
      <c r="XEW234" s="221">
        <v>3153.669922</v>
      </c>
      <c r="XEX234" s="198">
        <f t="shared" si="112"/>
        <v>3.3373813230366256E-3</v>
      </c>
    </row>
    <row r="235" spans="3:27 16374:16378" ht="16" thickTop="1" x14ac:dyDescent="0.2">
      <c r="W235" s="12"/>
      <c r="X235" s="12"/>
      <c r="Y235" s="12"/>
      <c r="Z235" s="12"/>
      <c r="AA235" s="12"/>
      <c r="XET235" s="220">
        <v>41298</v>
      </c>
      <c r="XEU235" s="221">
        <v>2.4660000000000002</v>
      </c>
      <c r="XEV235" s="198">
        <f t="shared" si="111"/>
        <v>2.750000000000008E-2</v>
      </c>
      <c r="XEW235" s="221">
        <v>3130.3798830000001</v>
      </c>
      <c r="XEX235" s="198">
        <f t="shared" si="112"/>
        <v>-7.385059177413833E-3</v>
      </c>
    </row>
    <row r="236" spans="3:27 16374:16378" x14ac:dyDescent="0.2">
      <c r="V236" s="12"/>
      <c r="W236" s="12"/>
      <c r="X236" s="12"/>
      <c r="Y236" s="12"/>
      <c r="Z236" s="12"/>
      <c r="AA236" s="12"/>
      <c r="XET236" s="220">
        <v>41299</v>
      </c>
      <c r="XEU236" s="221">
        <v>2.4653330000000002</v>
      </c>
      <c r="XEV236" s="198">
        <f t="shared" si="111"/>
        <v>-2.7047850770478554E-4</v>
      </c>
      <c r="XEW236" s="221">
        <v>3149.709961</v>
      </c>
      <c r="XEX236" s="198">
        <f t="shared" si="112"/>
        <v>6.1749943209687963E-3</v>
      </c>
    </row>
    <row r="237" spans="3:27 16374:16378" x14ac:dyDescent="0.2">
      <c r="R237" s="30" t="str">
        <f>S108</f>
        <v>Operating lease vehicles, net</v>
      </c>
      <c r="W237" s="12"/>
      <c r="X237" s="12"/>
      <c r="Y237" s="12"/>
      <c r="Z237" s="12"/>
      <c r="AA237" s="12"/>
      <c r="XET237" s="220">
        <v>41302</v>
      </c>
      <c r="XEU237" s="221">
        <v>2.5353330000000001</v>
      </c>
      <c r="XEV237" s="198">
        <f t="shared" si="111"/>
        <v>2.8393730177627141E-2</v>
      </c>
      <c r="XEW237" s="221">
        <v>3154.3000489999999</v>
      </c>
      <c r="XEX237" s="198">
        <f t="shared" si="112"/>
        <v>1.4573049762787171E-3</v>
      </c>
    </row>
    <row r="238" spans="3:27 16374:16378" x14ac:dyDescent="0.2">
      <c r="S238" s="1" t="s">
        <v>203</v>
      </c>
      <c r="W238" s="12"/>
      <c r="X238" s="12">
        <f>W240</f>
        <v>4849.9040000000005</v>
      </c>
      <c r="Y238" s="12">
        <f>X240</f>
        <v>2547.6</v>
      </c>
      <c r="Z238" s="12">
        <f>Y240</f>
        <v>2853</v>
      </c>
      <c r="AA238" s="12">
        <f>Z240</f>
        <v>3537</v>
      </c>
      <c r="XET238" s="220">
        <v>41303</v>
      </c>
      <c r="XEU238" s="221">
        <v>2.5299999999999998</v>
      </c>
      <c r="XEV238" s="198">
        <f t="shared" si="111"/>
        <v>-2.1034712205458828E-3</v>
      </c>
      <c r="XEW238" s="221">
        <v>3153.6599120000001</v>
      </c>
      <c r="XEX238" s="198">
        <f t="shared" si="112"/>
        <v>-2.0294106142593193E-4</v>
      </c>
    </row>
    <row r="239" spans="3:27 16374:16378" x14ac:dyDescent="0.2">
      <c r="C239" s="1" t="s">
        <v>453</v>
      </c>
      <c r="E239" s="31">
        <f>X239/W48</f>
        <v>-0.26974856473345055</v>
      </c>
      <c r="F239" s="31">
        <f>Y239/X48</f>
        <v>1.7320780399274052E-2</v>
      </c>
      <c r="G239" s="31">
        <f>Z239/Y48</f>
        <v>3.4282277465918207E-2</v>
      </c>
      <c r="H239" s="31">
        <f>AA239/Z48</f>
        <v>6.6720134433241679E-2</v>
      </c>
      <c r="I239" s="31">
        <f>AB239/AA48</f>
        <v>0</v>
      </c>
      <c r="S239" s="65" t="s">
        <v>204</v>
      </c>
      <c r="W239" s="12"/>
      <c r="X239" s="12">
        <f>X240-X238</f>
        <v>-2302.3040000000005</v>
      </c>
      <c r="Y239" s="12">
        <f>Y240-Y238</f>
        <v>305.40000000000009</v>
      </c>
      <c r="Z239" s="12">
        <f>Z240-Z238</f>
        <v>684</v>
      </c>
      <c r="AA239" s="12">
        <f>AA240-AA238</f>
        <v>1747</v>
      </c>
      <c r="XET239" s="220">
        <v>41304</v>
      </c>
      <c r="XEU239" s="221">
        <v>2.5013329999999998</v>
      </c>
      <c r="XEV239" s="198">
        <f t="shared" si="111"/>
        <v>-1.133083003952573E-2</v>
      </c>
      <c r="XEW239" s="221">
        <v>3142.3100589999999</v>
      </c>
      <c r="XEX239" s="198">
        <f t="shared" si="112"/>
        <v>-3.5989464040852015E-3</v>
      </c>
    </row>
    <row r="240" spans="3:27 16374:16378" x14ac:dyDescent="0.2">
      <c r="S240" s="15" t="s">
        <v>205</v>
      </c>
      <c r="T240" s="15"/>
      <c r="U240" s="15"/>
      <c r="V240" s="15"/>
      <c r="W240" s="66">
        <v>4849.9040000000005</v>
      </c>
      <c r="X240" s="66">
        <v>2547.6</v>
      </c>
      <c r="Y240" s="66">
        <v>2853</v>
      </c>
      <c r="Z240" s="66">
        <v>3537</v>
      </c>
      <c r="AA240" s="66">
        <v>5284</v>
      </c>
      <c r="XET240" s="220">
        <v>41305</v>
      </c>
      <c r="XEU240" s="221">
        <v>2.500667</v>
      </c>
      <c r="XEV240" s="198">
        <f t="shared" si="111"/>
        <v>-2.662580312177143E-4</v>
      </c>
      <c r="XEW240" s="221">
        <v>3142.1298830000001</v>
      </c>
      <c r="XEX240" s="198">
        <f t="shared" si="112"/>
        <v>-5.7338708344123468E-5</v>
      </c>
    </row>
    <row r="241" spans="18:27 16374:16378" x14ac:dyDescent="0.2">
      <c r="S241" s="65" t="s">
        <v>206</v>
      </c>
      <c r="W241" s="12">
        <f>733.3</f>
        <v>733.3</v>
      </c>
      <c r="X241" s="12">
        <f>457.6</f>
        <v>457.6</v>
      </c>
      <c r="Y241" s="12">
        <f>406</f>
        <v>406</v>
      </c>
      <c r="Z241" s="12">
        <f>446</f>
        <v>446</v>
      </c>
      <c r="AA241" s="12">
        <f>773</f>
        <v>773</v>
      </c>
      <c r="XET241" s="220">
        <v>41306</v>
      </c>
      <c r="XEU241" s="221">
        <v>2.5533329999999999</v>
      </c>
      <c r="XEV241" s="198">
        <f t="shared" si="111"/>
        <v>2.106078098363362E-2</v>
      </c>
      <c r="XEW241" s="221">
        <v>3179.1000979999999</v>
      </c>
      <c r="XEX241" s="198">
        <f t="shared" si="112"/>
        <v>1.1765972883559517E-2</v>
      </c>
    </row>
    <row r="242" spans="18:27 16374:16378" x14ac:dyDescent="0.2">
      <c r="S242" s="15" t="str">
        <f>R237</f>
        <v>Operating lease vehicles, net</v>
      </c>
      <c r="T242" s="15"/>
      <c r="U242" s="15"/>
      <c r="V242" s="15"/>
      <c r="W242" s="16">
        <f>W240-W241</f>
        <v>4116.6040000000003</v>
      </c>
      <c r="X242" s="16">
        <f>X240-X241</f>
        <v>2090</v>
      </c>
      <c r="Y242" s="16">
        <f>Y240-Y241</f>
        <v>2447</v>
      </c>
      <c r="Z242" s="16">
        <f>Z240-Z241</f>
        <v>3091</v>
      </c>
      <c r="AA242" s="16">
        <f>AA240-AA241</f>
        <v>4511</v>
      </c>
      <c r="XET242" s="220">
        <v>41309</v>
      </c>
      <c r="XEU242" s="221">
        <v>2.516</v>
      </c>
      <c r="XEV242" s="198">
        <f t="shared" si="111"/>
        <v>-1.4621281282151566E-2</v>
      </c>
      <c r="XEW242" s="221">
        <v>3131.169922</v>
      </c>
      <c r="XEX242" s="198">
        <f t="shared" si="112"/>
        <v>-1.5076648901414913E-2</v>
      </c>
    </row>
    <row r="243" spans="18:27 16374:16378" x14ac:dyDescent="0.2">
      <c r="W243" s="12"/>
      <c r="X243" s="12"/>
      <c r="Y243" s="12"/>
      <c r="Z243" s="12"/>
      <c r="AA243" s="12"/>
      <c r="XET243" s="220">
        <v>41310</v>
      </c>
      <c r="XEU243" s="221">
        <v>2.5419999999999998</v>
      </c>
      <c r="XEV243" s="198">
        <f t="shared" si="111"/>
        <v>1.0333863275039601E-2</v>
      </c>
      <c r="XEW243" s="221">
        <v>3171.580078</v>
      </c>
      <c r="XEX243" s="198">
        <f t="shared" si="112"/>
        <v>1.2905769091633434E-2</v>
      </c>
    </row>
    <row r="244" spans="18:27 16374:16378" x14ac:dyDescent="0.2">
      <c r="W244" s="12"/>
      <c r="X244" s="12"/>
      <c r="Y244" s="12"/>
      <c r="Z244" s="12"/>
      <c r="AA244" s="12"/>
      <c r="XET244" s="220">
        <v>41311</v>
      </c>
      <c r="XEU244" s="221">
        <v>2.6113330000000001</v>
      </c>
      <c r="XEV244" s="198">
        <f t="shared" si="111"/>
        <v>2.7274980330448617E-2</v>
      </c>
      <c r="XEW244" s="221">
        <v>3168.4799800000001</v>
      </c>
      <c r="XEX244" s="198">
        <f t="shared" si="112"/>
        <v>-9.7746168274426282E-4</v>
      </c>
    </row>
    <row r="245" spans="18:27 16374:16378" x14ac:dyDescent="0.2">
      <c r="R245" s="30" t="str">
        <f>S113</f>
        <v>Intangible assets, net</v>
      </c>
      <c r="W245" s="12"/>
      <c r="X245" s="12"/>
      <c r="Y245" s="12"/>
      <c r="Z245" s="12"/>
      <c r="AA245" s="12"/>
      <c r="XET245" s="220">
        <v>41312</v>
      </c>
      <c r="XEU245" s="221">
        <v>2.6320000000000001</v>
      </c>
      <c r="XEV245" s="198">
        <f t="shared" si="111"/>
        <v>7.9143487253445777E-3</v>
      </c>
      <c r="XEW245" s="221">
        <v>3165.1298830000001</v>
      </c>
      <c r="XEX245" s="198">
        <f t="shared" si="112"/>
        <v>-1.0573199203234296E-3</v>
      </c>
    </row>
    <row r="246" spans="18:27 16374:16378" x14ac:dyDescent="0.2">
      <c r="S246" s="67" t="s">
        <v>213</v>
      </c>
      <c r="W246" s="12"/>
      <c r="X246" s="12"/>
      <c r="Y246" s="12"/>
      <c r="Z246" s="12"/>
      <c r="AA246" s="12"/>
      <c r="XET246" s="220">
        <v>41313</v>
      </c>
      <c r="XEU246" s="221">
        <v>2.6160000000000001</v>
      </c>
      <c r="XEV246" s="198">
        <f t="shared" si="111"/>
        <v>-6.0790273556231567E-3</v>
      </c>
      <c r="XEW246" s="221">
        <v>3193.8701169999999</v>
      </c>
      <c r="XEX246" s="198">
        <f t="shared" si="112"/>
        <v>9.0802700244196899E-3</v>
      </c>
    </row>
    <row r="247" spans="18:27 16374:16378" x14ac:dyDescent="0.2">
      <c r="S247" s="13" t="s">
        <v>203</v>
      </c>
      <c r="W247" s="12"/>
      <c r="X247" s="12">
        <f>W249</f>
        <v>318.08</v>
      </c>
      <c r="Y247" s="12">
        <f>X249</f>
        <v>345.59</v>
      </c>
      <c r="Z247" s="12">
        <f>Y249</f>
        <v>445</v>
      </c>
      <c r="AA247" s="12">
        <f>Z249</f>
        <v>456</v>
      </c>
      <c r="XET247" s="220">
        <v>41316</v>
      </c>
      <c r="XEU247" s="221">
        <v>2.5613329999999999</v>
      </c>
      <c r="XEV247" s="198">
        <f t="shared" si="111"/>
        <v>-2.0897171253822733E-2</v>
      </c>
      <c r="XEW247" s="221">
        <v>3192</v>
      </c>
      <c r="XEX247" s="198">
        <f t="shared" si="112"/>
        <v>-5.8553320313370349E-4</v>
      </c>
    </row>
    <row r="248" spans="18:27 16374:16378" x14ac:dyDescent="0.2">
      <c r="S248" s="68" t="s">
        <v>204</v>
      </c>
      <c r="W248" s="12"/>
      <c r="X248" s="12">
        <f>X249-X247</f>
        <v>27.509999999999991</v>
      </c>
      <c r="Y248" s="12">
        <f>Y249-Y247</f>
        <v>99.410000000000025</v>
      </c>
      <c r="Z248" s="12">
        <f>Z249-Z247</f>
        <v>11</v>
      </c>
      <c r="AA248" s="12">
        <f>AA249-AA247</f>
        <v>-6</v>
      </c>
      <c r="XET248" s="220">
        <v>41317</v>
      </c>
      <c r="XEU248" s="221">
        <v>2.5259999999999998</v>
      </c>
      <c r="XEV248" s="198">
        <f t="shared" si="111"/>
        <v>-1.3794770145076796E-2</v>
      </c>
      <c r="XEW248" s="221">
        <v>3186.48999</v>
      </c>
      <c r="XEX248" s="198">
        <f t="shared" si="112"/>
        <v>-1.7261936090225971E-3</v>
      </c>
    </row>
    <row r="249" spans="18:27 16374:16378" x14ac:dyDescent="0.2">
      <c r="S249" s="69" t="s">
        <v>205</v>
      </c>
      <c r="T249" s="15"/>
      <c r="U249" s="15"/>
      <c r="V249" s="15"/>
      <c r="W249" s="16">
        <v>318.08</v>
      </c>
      <c r="X249" s="16">
        <v>345.59</v>
      </c>
      <c r="Y249" s="16">
        <f>445</f>
        <v>445</v>
      </c>
      <c r="Z249" s="16">
        <f>456</f>
        <v>456</v>
      </c>
      <c r="AA249" s="16">
        <f>450</f>
        <v>450</v>
      </c>
      <c r="XET249" s="220">
        <v>41318</v>
      </c>
      <c r="XEU249" s="221">
        <v>2.5633330000000001</v>
      </c>
      <c r="XEV249" s="198">
        <f t="shared" si="111"/>
        <v>1.4779493269992283E-2</v>
      </c>
      <c r="XEW249" s="221">
        <v>3196.8798830000001</v>
      </c>
      <c r="XEX249" s="198">
        <f t="shared" si="112"/>
        <v>3.2606074497663062E-3</v>
      </c>
    </row>
    <row r="250" spans="18:27 16374:16378" x14ac:dyDescent="0.2">
      <c r="S250" s="68" t="s">
        <v>206</v>
      </c>
      <c r="W250" s="12">
        <f>46.655</f>
        <v>46.655000000000001</v>
      </c>
      <c r="X250" s="12">
        <f>112.71</f>
        <v>112.71</v>
      </c>
      <c r="Y250" s="12">
        <f>113</f>
        <v>113</v>
      </c>
      <c r="Z250" s="12">
        <v>162</v>
      </c>
      <c r="AA250" s="12">
        <v>212</v>
      </c>
      <c r="XET250" s="220">
        <v>41319</v>
      </c>
      <c r="XEU250" s="221">
        <v>2.5513330000000001</v>
      </c>
      <c r="XEV250" s="198">
        <f t="shared" si="111"/>
        <v>-4.6814050300917343E-3</v>
      </c>
      <c r="XEW250" s="221">
        <v>3198.6599120000001</v>
      </c>
      <c r="XEX250" s="198">
        <f t="shared" si="112"/>
        <v>5.5680196477370103E-4</v>
      </c>
    </row>
    <row r="251" spans="18:27 16374:16378" x14ac:dyDescent="0.2">
      <c r="S251" s="68" t="s">
        <v>216</v>
      </c>
      <c r="W251" s="12">
        <f>3.245</f>
        <v>3.2450000000000001</v>
      </c>
      <c r="X251" s="12">
        <f>2.094</f>
        <v>2.0939999999999999</v>
      </c>
      <c r="Y251" s="12">
        <v>2</v>
      </c>
      <c r="Z251" s="12">
        <v>4</v>
      </c>
      <c r="AA251" s="12">
        <v>4</v>
      </c>
      <c r="XET251" s="220">
        <v>41320</v>
      </c>
      <c r="XEU251" s="221">
        <v>2.4693329999999998</v>
      </c>
      <c r="XEV251" s="198">
        <f t="shared" si="111"/>
        <v>-3.21400616854014E-2</v>
      </c>
      <c r="XEW251" s="221">
        <v>3192.030029</v>
      </c>
      <c r="XEX251" s="198">
        <f t="shared" si="112"/>
        <v>-2.0727064403213147E-3</v>
      </c>
    </row>
    <row r="252" spans="18:27 16374:16378" x14ac:dyDescent="0.2">
      <c r="S252" s="69" t="str">
        <f>S246</f>
        <v>Finite-lived intangible assets</v>
      </c>
      <c r="T252" s="15"/>
      <c r="U252" s="15"/>
      <c r="V252" s="15"/>
      <c r="W252" s="16">
        <f t="shared" ref="W252:AA252" si="118">W249-W250+W251</f>
        <v>274.66999999999996</v>
      </c>
      <c r="X252" s="16">
        <f t="shared" si="118"/>
        <v>234.97399999999999</v>
      </c>
      <c r="Y252" s="16">
        <f t="shared" si="118"/>
        <v>334</v>
      </c>
      <c r="Z252" s="16">
        <f t="shared" si="118"/>
        <v>298</v>
      </c>
      <c r="AA252" s="16">
        <f t="shared" si="118"/>
        <v>242</v>
      </c>
      <c r="XET252" s="220">
        <v>41324</v>
      </c>
      <c r="XEU252" s="221">
        <v>2.6186669999999999</v>
      </c>
      <c r="XEV252" s="198">
        <f t="shared" si="111"/>
        <v>6.0475440128974212E-2</v>
      </c>
      <c r="XEW252" s="221">
        <v>3213.5900879999999</v>
      </c>
      <c r="XEX252" s="198">
        <f t="shared" si="112"/>
        <v>6.754340906609313E-3</v>
      </c>
    </row>
    <row r="253" spans="18:27 16374:16378" x14ac:dyDescent="0.2">
      <c r="W253" s="12"/>
      <c r="X253" s="12"/>
      <c r="Y253" s="12"/>
      <c r="Z253" s="12"/>
      <c r="AA253" s="12"/>
      <c r="XET253" s="220">
        <v>41325</v>
      </c>
      <c r="XEU253" s="221">
        <v>2.5693329999999999</v>
      </c>
      <c r="XEV253" s="198">
        <f t="shared" si="111"/>
        <v>-1.8839356054053402E-2</v>
      </c>
      <c r="XEW253" s="221">
        <v>3164.4099120000001</v>
      </c>
      <c r="XEX253" s="198">
        <f t="shared" si="112"/>
        <v>-1.530381120592994E-2</v>
      </c>
    </row>
    <row r="254" spans="18:27 16374:16378" x14ac:dyDescent="0.2">
      <c r="S254" s="67" t="s">
        <v>214</v>
      </c>
      <c r="W254" s="12"/>
      <c r="X254" s="12"/>
      <c r="Y254" s="12"/>
      <c r="Z254" s="12"/>
      <c r="AA254" s="12"/>
      <c r="XET254" s="220">
        <v>41326</v>
      </c>
      <c r="XEU254" s="221">
        <v>2.3439999999999999</v>
      </c>
      <c r="XEV254" s="198">
        <f t="shared" si="111"/>
        <v>-8.7700971419430673E-2</v>
      </c>
      <c r="XEW254" s="221">
        <v>3131.48999</v>
      </c>
      <c r="XEX254" s="198">
        <f t="shared" si="112"/>
        <v>-1.0403178764913479E-2</v>
      </c>
    </row>
    <row r="255" spans="18:27 16374:16378" x14ac:dyDescent="0.2">
      <c r="S255" s="13" t="s">
        <v>203</v>
      </c>
      <c r="W255" s="12"/>
      <c r="X255" s="12">
        <f>W257</f>
        <v>86.831999999999994</v>
      </c>
      <c r="Y255" s="12">
        <f>X257</f>
        <v>60.29</v>
      </c>
      <c r="Z255" s="12">
        <f>Y257</f>
        <v>5</v>
      </c>
      <c r="AA255" s="12">
        <f>Z257</f>
        <v>15</v>
      </c>
      <c r="XET255" s="220">
        <v>41327</v>
      </c>
      <c r="XEU255" s="221">
        <v>2.4073329999999999</v>
      </c>
      <c r="XEV255" s="198">
        <f t="shared" si="111"/>
        <v>2.7019197952218521E-2</v>
      </c>
      <c r="XEW255" s="221">
        <v>3161.820068</v>
      </c>
      <c r="XEX255" s="198">
        <f t="shared" si="112"/>
        <v>9.6855101235688856E-3</v>
      </c>
    </row>
    <row r="256" spans="18:27 16374:16378" x14ac:dyDescent="0.2">
      <c r="S256" s="68" t="s">
        <v>204</v>
      </c>
      <c r="W256" s="12"/>
      <c r="X256" s="12">
        <f>X257-X255</f>
        <v>-26.541999999999994</v>
      </c>
      <c r="Y256" s="12">
        <f>Y257-Y255</f>
        <v>-55.29</v>
      </c>
      <c r="Z256" s="12">
        <f>Z257-Z255</f>
        <v>10</v>
      </c>
      <c r="AA256" s="12">
        <f>AA257-AA255</f>
        <v>0</v>
      </c>
      <c r="XET256" s="220">
        <v>41330</v>
      </c>
      <c r="XEU256" s="221">
        <v>2.2919999999999998</v>
      </c>
      <c r="XEV256" s="198">
        <f t="shared" si="111"/>
        <v>-4.7909034603854206E-2</v>
      </c>
      <c r="XEW256" s="221">
        <v>3116.25</v>
      </c>
      <c r="XEX256" s="198">
        <f t="shared" si="112"/>
        <v>-1.4412606353284785E-2</v>
      </c>
    </row>
    <row r="257" spans="18:27 16374:16378" x14ac:dyDescent="0.2">
      <c r="S257" s="69" t="s">
        <v>205</v>
      </c>
      <c r="T257" s="15"/>
      <c r="U257" s="15"/>
      <c r="V257" s="15"/>
      <c r="W257" s="16">
        <f>86.832</f>
        <v>86.831999999999994</v>
      </c>
      <c r="X257" s="16">
        <f>60.29</f>
        <v>60.29</v>
      </c>
      <c r="Y257" s="16">
        <f>5</f>
        <v>5</v>
      </c>
      <c r="Z257" s="16">
        <f>15</f>
        <v>15</v>
      </c>
      <c r="AA257" s="16">
        <f>15</f>
        <v>15</v>
      </c>
      <c r="XET257" s="220">
        <v>41331</v>
      </c>
      <c r="XEU257" s="221">
        <v>2.2953329999999998</v>
      </c>
      <c r="XEV257" s="198">
        <f t="shared" si="111"/>
        <v>1.4541884816754447E-3</v>
      </c>
      <c r="XEW257" s="221">
        <v>3129.6499020000001</v>
      </c>
      <c r="XEX257" s="198">
        <f t="shared" si="112"/>
        <v>4.3000086642599467E-3</v>
      </c>
    </row>
    <row r="258" spans="18:27 16374:16378" x14ac:dyDescent="0.2">
      <c r="S258" s="68" t="s">
        <v>206</v>
      </c>
      <c r="W258" s="12"/>
      <c r="X258" s="12"/>
      <c r="Y258" s="12"/>
      <c r="Z258" s="12"/>
      <c r="AA258" s="12"/>
      <c r="XET258" s="220">
        <v>41332</v>
      </c>
      <c r="XEU258" s="221">
        <v>2.34</v>
      </c>
      <c r="XEV258" s="198">
        <f t="shared" si="111"/>
        <v>1.9459921501586042E-2</v>
      </c>
      <c r="XEW258" s="221">
        <v>3162.26001</v>
      </c>
      <c r="XEX258" s="198">
        <f t="shared" si="112"/>
        <v>1.0419730328034671E-2</v>
      </c>
    </row>
    <row r="259" spans="18:27 16374:16378" x14ac:dyDescent="0.2">
      <c r="S259" s="68" t="s">
        <v>215</v>
      </c>
      <c r="W259" s="12"/>
      <c r="X259" s="12">
        <f>13.264</f>
        <v>13.263999999999999</v>
      </c>
      <c r="Y259" s="12"/>
      <c r="Z259" s="12"/>
      <c r="AA259" s="12"/>
      <c r="XET259" s="220">
        <v>41333</v>
      </c>
      <c r="XEU259" s="221">
        <v>2.3220000000000001</v>
      </c>
      <c r="XEV259" s="198">
        <f t="shared" si="111"/>
        <v>-7.692307692307554E-3</v>
      </c>
      <c r="XEW259" s="221">
        <v>3160.1899410000001</v>
      </c>
      <c r="XEX259" s="198">
        <f t="shared" si="112"/>
        <v>-6.546169490977416E-4</v>
      </c>
    </row>
    <row r="260" spans="18:27 16374:16378" ht="20" customHeight="1" x14ac:dyDescent="0.2">
      <c r="S260" s="69" t="str">
        <f>S254</f>
        <v>Indefinite-lived intangible assets</v>
      </c>
      <c r="T260" s="15"/>
      <c r="U260" s="15"/>
      <c r="V260" s="15"/>
      <c r="W260" s="16">
        <f>W257-SUM(W258:W259)</f>
        <v>86.831999999999994</v>
      </c>
      <c r="X260" s="16">
        <f t="shared" ref="X260" si="119">X257-SUM(X258:X259)</f>
        <v>47.025999999999996</v>
      </c>
      <c r="Y260" s="16">
        <f t="shared" ref="Y260" si="120">Y257-SUM(Y258:Y259)</f>
        <v>5</v>
      </c>
      <c r="Z260" s="16">
        <f t="shared" ref="Z260" si="121">Z257-SUM(Z258:Z259)</f>
        <v>15</v>
      </c>
      <c r="AA260" s="16">
        <f t="shared" ref="AA260" si="122">AA257-SUM(AA258:AA259)</f>
        <v>15</v>
      </c>
      <c r="XET260" s="220">
        <v>41334</v>
      </c>
      <c r="XEU260" s="221">
        <v>2.31</v>
      </c>
      <c r="XEV260" s="198">
        <f t="shared" si="111"/>
        <v>-5.1679586563307955E-3</v>
      </c>
      <c r="XEW260" s="221">
        <v>3169.73999</v>
      </c>
      <c r="XEX260" s="198">
        <f t="shared" si="112"/>
        <v>3.0219857598110522E-3</v>
      </c>
    </row>
    <row r="261" spans="18:27 16374:16378" x14ac:dyDescent="0.2">
      <c r="S261" s="65"/>
      <c r="W261" s="12"/>
      <c r="X261" s="12"/>
      <c r="Y261" s="12"/>
      <c r="Z261" s="12"/>
      <c r="AA261" s="12"/>
      <c r="XET261" s="220">
        <v>41337</v>
      </c>
      <c r="XEU261" s="221">
        <v>2.3719999999999999</v>
      </c>
      <c r="XEV261" s="198">
        <f t="shared" si="111"/>
        <v>2.6839826839826664E-2</v>
      </c>
      <c r="XEW261" s="221">
        <v>3182.030029</v>
      </c>
      <c r="XEX261" s="198">
        <f t="shared" si="112"/>
        <v>3.8773019360494043E-3</v>
      </c>
    </row>
    <row r="262" spans="18:27 16374:16378" ht="20" customHeight="1" thickBot="1" x14ac:dyDescent="0.25">
      <c r="S262" s="70" t="str">
        <f>R245</f>
        <v>Intangible assets, net</v>
      </c>
      <c r="T262" s="17"/>
      <c r="U262" s="17"/>
      <c r="V262" s="17"/>
      <c r="W262" s="18">
        <f t="shared" ref="W262:AA262" si="123">W252+W260</f>
        <v>361.50199999999995</v>
      </c>
      <c r="X262" s="18">
        <f t="shared" si="123"/>
        <v>282</v>
      </c>
      <c r="Y262" s="18">
        <f t="shared" si="123"/>
        <v>339</v>
      </c>
      <c r="Z262" s="18">
        <f t="shared" si="123"/>
        <v>313</v>
      </c>
      <c r="AA262" s="18">
        <f t="shared" si="123"/>
        <v>257</v>
      </c>
      <c r="XET262" s="220">
        <v>41338</v>
      </c>
      <c r="XEU262" s="221">
        <v>2.443333</v>
      </c>
      <c r="XEV262" s="198">
        <f t="shared" si="111"/>
        <v>3.0072934232715065E-2</v>
      </c>
      <c r="XEW262" s="221">
        <v>3224.1298830000001</v>
      </c>
      <c r="XEX262" s="198">
        <f t="shared" si="112"/>
        <v>1.3230501791722693E-2</v>
      </c>
    </row>
    <row r="263" spans="18:27 16374:16378" ht="16" thickTop="1" x14ac:dyDescent="0.2">
      <c r="S263" s="65"/>
      <c r="W263" s="12"/>
      <c r="X263" s="12"/>
      <c r="Y263" s="12"/>
      <c r="Z263" s="12"/>
      <c r="AA263" s="12"/>
      <c r="XET263" s="220">
        <v>41339</v>
      </c>
      <c r="XEU263" s="221">
        <v>2.512667</v>
      </c>
      <c r="XEV263" s="198">
        <f t="shared" si="111"/>
        <v>2.8376811511161115E-2</v>
      </c>
      <c r="XEW263" s="221">
        <v>3222.3701169999999</v>
      </c>
      <c r="XEX263" s="198">
        <f t="shared" si="112"/>
        <v>-5.4581113784490931E-4</v>
      </c>
    </row>
    <row r="264" spans="18:27 16374:16378" x14ac:dyDescent="0.2">
      <c r="S264" s="65" t="s">
        <v>237</v>
      </c>
      <c r="W264" s="12">
        <v>40</v>
      </c>
      <c r="X264" s="12">
        <v>66</v>
      </c>
      <c r="Y264" s="12">
        <v>44</v>
      </c>
      <c r="Z264" s="12">
        <v>51</v>
      </c>
      <c r="AA264" s="12">
        <v>51</v>
      </c>
      <c r="XET264" s="220">
        <v>41340</v>
      </c>
      <c r="XEU264" s="221">
        <v>2.548667</v>
      </c>
      <c r="XEV264" s="198">
        <f t="shared" si="111"/>
        <v>1.4327405899786871E-2</v>
      </c>
      <c r="XEW264" s="221">
        <v>3232.0900879999999</v>
      </c>
      <c r="XEX264" s="198">
        <f t="shared" si="112"/>
        <v>3.0164042760703058E-3</v>
      </c>
    </row>
    <row r="265" spans="18:27 16374:16378" x14ac:dyDescent="0.2">
      <c r="S265" s="65"/>
      <c r="W265" s="12"/>
      <c r="X265" s="12"/>
      <c r="Y265" s="12"/>
      <c r="Z265" s="12"/>
      <c r="AA265" s="12"/>
      <c r="XET265" s="220">
        <v>41341</v>
      </c>
      <c r="XEU265" s="221">
        <v>2.564667</v>
      </c>
      <c r="XEV265" s="198">
        <f t="shared" si="111"/>
        <v>6.2777914886487096E-3</v>
      </c>
      <c r="XEW265" s="221">
        <v>3244.3701169999999</v>
      </c>
      <c r="XEX265" s="198">
        <f t="shared" si="112"/>
        <v>3.7994080194709845E-3</v>
      </c>
    </row>
    <row r="266" spans="18:27 16374:16378" x14ac:dyDescent="0.2">
      <c r="W266" s="12"/>
      <c r="X266" s="12"/>
      <c r="Y266" s="12"/>
      <c r="Z266" s="12"/>
      <c r="AA266" s="12"/>
      <c r="XET266" s="220">
        <v>41344</v>
      </c>
      <c r="XEU266" s="221">
        <v>2.6066669999999998</v>
      </c>
      <c r="XEV266" s="198">
        <f t="shared" si="111"/>
        <v>1.6376395064154448E-2</v>
      </c>
      <c r="XEW266" s="221">
        <v>3252.8701169999999</v>
      </c>
      <c r="XEX266" s="198">
        <f t="shared" si="112"/>
        <v>2.6199230338923574E-3</v>
      </c>
    </row>
    <row r="267" spans="18:27 16374:16378" x14ac:dyDescent="0.2">
      <c r="R267" s="1" t="s">
        <v>238</v>
      </c>
      <c r="W267" s="12"/>
      <c r="Y267" s="12"/>
      <c r="Z267" s="12"/>
      <c r="AA267" s="53" t="str">
        <f>R245</f>
        <v>Intangible assets, net</v>
      </c>
      <c r="XET267" s="220">
        <v>41345</v>
      </c>
      <c r="XEU267" s="221">
        <v>2.6080000000000001</v>
      </c>
      <c r="XEV267" s="198">
        <f t="shared" si="111"/>
        <v>5.1138100877490267E-4</v>
      </c>
      <c r="XEW267" s="221">
        <v>3242.320068</v>
      </c>
      <c r="XEX267" s="198">
        <f t="shared" si="112"/>
        <v>-3.2433047187663266E-3</v>
      </c>
    </row>
    <row r="268" spans="18:27 16374:16378" x14ac:dyDescent="0.2">
      <c r="S268" s="50">
        <f>$AA$96+1</f>
        <v>2022</v>
      </c>
      <c r="W268" s="12"/>
      <c r="Y268" s="12"/>
      <c r="Z268" s="12"/>
      <c r="AA268" s="1">
        <v>49</v>
      </c>
      <c r="XET268" s="220">
        <v>41346</v>
      </c>
      <c r="XEU268" s="221">
        <v>2.5986669999999998</v>
      </c>
      <c r="XEV268" s="198">
        <f t="shared" ref="XEV268:XEV331" si="124">XEU268/XEU267-1</f>
        <v>-3.5786042944786489E-3</v>
      </c>
      <c r="XEW268" s="221">
        <v>3245.1201169999999</v>
      </c>
      <c r="XEX268" s="198">
        <f t="shared" ref="XEX268:XEX331" si="125">XEW268/XEW267-1</f>
        <v>8.6359426005921947E-4</v>
      </c>
    </row>
    <row r="269" spans="18:27 16374:16378" x14ac:dyDescent="0.2">
      <c r="S269" s="50">
        <f t="shared" ref="S269:S272" si="126">S268+1</f>
        <v>2023</v>
      </c>
      <c r="W269" s="12"/>
      <c r="Y269" s="12"/>
      <c r="Z269" s="12"/>
      <c r="AA269" s="12">
        <v>43</v>
      </c>
      <c r="XET269" s="220">
        <v>41347</v>
      </c>
      <c r="XEU269" s="221">
        <v>2.4566669999999999</v>
      </c>
      <c r="XEV269" s="198">
        <f t="shared" si="124"/>
        <v>-5.4643399866162068E-2</v>
      </c>
      <c r="XEW269" s="221">
        <v>3258.929932</v>
      </c>
      <c r="XEX269" s="198">
        <f t="shared" si="125"/>
        <v>4.2555635853525065E-3</v>
      </c>
    </row>
    <row r="270" spans="18:27 16374:16378" x14ac:dyDescent="0.2">
      <c r="S270" s="50">
        <f t="shared" si="126"/>
        <v>2024</v>
      </c>
      <c r="W270" s="12"/>
      <c r="Y270" s="12"/>
      <c r="Z270" s="12"/>
      <c r="AA270" s="12">
        <v>28</v>
      </c>
      <c r="XET270" s="220">
        <v>41348</v>
      </c>
      <c r="XEU270" s="221">
        <v>2.3526669999999998</v>
      </c>
      <c r="XEV270" s="198">
        <f t="shared" si="124"/>
        <v>-4.2333779873299893E-2</v>
      </c>
      <c r="XEW270" s="221">
        <v>3249.070068</v>
      </c>
      <c r="XEX270" s="198">
        <f t="shared" si="125"/>
        <v>-3.0254912519549482E-3</v>
      </c>
    </row>
    <row r="271" spans="18:27 16374:16378" x14ac:dyDescent="0.2">
      <c r="S271" s="50">
        <f t="shared" si="126"/>
        <v>2025</v>
      </c>
      <c r="W271" s="12"/>
      <c r="Y271" s="12"/>
      <c r="Z271" s="12"/>
      <c r="AA271" s="12">
        <v>28</v>
      </c>
      <c r="XET271" s="220">
        <v>41351</v>
      </c>
      <c r="XEU271" s="221">
        <v>2.3433329999999999</v>
      </c>
      <c r="XEV271" s="198">
        <f t="shared" si="124"/>
        <v>-3.9674123027185759E-3</v>
      </c>
      <c r="XEW271" s="221">
        <v>3237.5900879999999</v>
      </c>
      <c r="XEX271" s="198">
        <f t="shared" si="125"/>
        <v>-3.533312535505484E-3</v>
      </c>
    </row>
    <row r="272" spans="18:27 16374:16378" ht="20" customHeight="1" x14ac:dyDescent="0.2">
      <c r="S272" s="50">
        <f t="shared" si="126"/>
        <v>2026</v>
      </c>
      <c r="W272" s="12"/>
      <c r="Y272" s="12"/>
      <c r="Z272" s="12"/>
      <c r="AA272" s="12">
        <v>28</v>
      </c>
      <c r="XET272" s="220">
        <v>41352</v>
      </c>
      <c r="XEU272" s="221">
        <v>2.3386670000000001</v>
      </c>
      <c r="XEV272" s="198">
        <f t="shared" si="124"/>
        <v>-1.9911809375789957E-3</v>
      </c>
      <c r="XEW272" s="221">
        <v>3229.1000979999999</v>
      </c>
      <c r="XEX272" s="198">
        <f t="shared" si="125"/>
        <v>-2.6223177639034256E-3</v>
      </c>
    </row>
    <row r="273" spans="18:27 16374:16378" x14ac:dyDescent="0.2">
      <c r="S273" s="61" t="s">
        <v>188</v>
      </c>
      <c r="W273" s="12"/>
      <c r="Y273" s="12"/>
      <c r="Z273" s="12"/>
      <c r="AA273" s="12">
        <v>66</v>
      </c>
      <c r="XET273" s="220">
        <v>41353</v>
      </c>
      <c r="XEU273" s="221">
        <v>2.3966669999999999</v>
      </c>
      <c r="XEV273" s="198">
        <f t="shared" si="124"/>
        <v>2.4800452565499898E-2</v>
      </c>
      <c r="XEW273" s="221">
        <v>3254.1899410000001</v>
      </c>
      <c r="XEX273" s="198">
        <f t="shared" si="125"/>
        <v>7.7699180076640229E-3</v>
      </c>
    </row>
    <row r="274" spans="18:27 16374:16378" ht="16" thickBot="1" x14ac:dyDescent="0.25">
      <c r="S274" s="72" t="s">
        <v>189</v>
      </c>
      <c r="T274" s="17"/>
      <c r="U274" s="17"/>
      <c r="V274" s="17"/>
      <c r="W274" s="18"/>
      <c r="X274" s="17"/>
      <c r="Y274" s="18"/>
      <c r="Z274" s="18"/>
      <c r="AA274" s="18">
        <f>SUM(AA268:AA273)</f>
        <v>242</v>
      </c>
      <c r="XET274" s="220">
        <v>41354</v>
      </c>
      <c r="XEU274" s="221">
        <v>2.4006669999999999</v>
      </c>
      <c r="XEV274" s="198">
        <f t="shared" si="124"/>
        <v>1.6689844688477784E-3</v>
      </c>
      <c r="XEW274" s="221">
        <v>3222.6000979999999</v>
      </c>
      <c r="XEX274" s="198">
        <f t="shared" si="125"/>
        <v>-9.7074367423963803E-3</v>
      </c>
    </row>
    <row r="275" spans="18:27 16374:16378" ht="16" thickTop="1" x14ac:dyDescent="0.2">
      <c r="S275" s="61"/>
      <c r="W275" s="12"/>
      <c r="X275" s="12"/>
      <c r="Y275" s="12"/>
      <c r="Z275" s="12"/>
      <c r="AA275" s="12"/>
      <c r="XET275" s="220">
        <v>41355</v>
      </c>
      <c r="XEU275" s="221">
        <v>2.4413330000000002</v>
      </c>
      <c r="XEV275" s="198">
        <f t="shared" si="124"/>
        <v>1.6939458908711735E-2</v>
      </c>
      <c r="XEW275" s="221">
        <v>3245</v>
      </c>
      <c r="XEX275" s="198">
        <f t="shared" si="125"/>
        <v>6.9508785821430497E-3</v>
      </c>
    </row>
    <row r="276" spans="18:27 16374:16378" x14ac:dyDescent="0.2">
      <c r="S276" s="65"/>
      <c r="W276" s="12"/>
      <c r="X276" s="12"/>
      <c r="Y276" s="12"/>
      <c r="Z276" s="12"/>
      <c r="AA276" s="12"/>
      <c r="XET276" s="220">
        <v>41358</v>
      </c>
      <c r="XEU276" s="221">
        <v>2.5019999999999998</v>
      </c>
      <c r="XEV276" s="198">
        <f t="shared" si="124"/>
        <v>2.4849948777982966E-2</v>
      </c>
      <c r="XEW276" s="221">
        <v>3235.3000489999999</v>
      </c>
      <c r="XEX276" s="198">
        <f t="shared" si="125"/>
        <v>-2.9891990755007702E-3</v>
      </c>
    </row>
    <row r="277" spans="18:27 16374:16378" x14ac:dyDescent="0.2">
      <c r="R277" s="30" t="str">
        <f>S114</f>
        <v>Goodwill</v>
      </c>
      <c r="S277" s="65"/>
      <c r="W277" s="12"/>
      <c r="X277" s="12"/>
      <c r="Y277" s="12"/>
      <c r="Z277" s="12"/>
      <c r="AA277" s="12"/>
      <c r="XET277" s="220">
        <v>41359</v>
      </c>
      <c r="XEU277" s="221">
        <v>2.524</v>
      </c>
      <c r="XEV277" s="198">
        <f t="shared" si="124"/>
        <v>8.792965627498095E-3</v>
      </c>
      <c r="XEW277" s="221">
        <v>3252.4799800000001</v>
      </c>
      <c r="XEX277" s="198">
        <f t="shared" si="125"/>
        <v>5.3101507556649885E-3</v>
      </c>
    </row>
    <row r="278" spans="18:27 16374:16378" ht="20" customHeight="1" x14ac:dyDescent="0.2">
      <c r="S278" s="65" t="s">
        <v>217</v>
      </c>
      <c r="W278" s="12"/>
      <c r="X278" s="12">
        <f t="shared" ref="X278:AA278" si="127">W280</f>
        <v>60.237000000000002</v>
      </c>
      <c r="Y278" s="12">
        <f t="shared" si="127"/>
        <v>68</v>
      </c>
      <c r="Z278" s="12">
        <f t="shared" si="127"/>
        <v>198</v>
      </c>
      <c r="AA278" s="12">
        <f t="shared" si="127"/>
        <v>207</v>
      </c>
      <c r="XET278" s="220">
        <v>41360</v>
      </c>
      <c r="XEU278" s="221">
        <v>2.544</v>
      </c>
      <c r="XEV278" s="198">
        <f t="shared" si="124"/>
        <v>7.923930269413626E-3</v>
      </c>
      <c r="XEW278" s="221">
        <v>3256.5200199999999</v>
      </c>
      <c r="XEX278" s="198">
        <f t="shared" si="125"/>
        <v>1.2421413889840416E-3</v>
      </c>
    </row>
    <row r="279" spans="18:27 16374:16378" x14ac:dyDescent="0.2">
      <c r="S279" s="65" t="s">
        <v>219</v>
      </c>
      <c r="W279" s="12"/>
      <c r="X279" s="12">
        <f t="shared" ref="X279:AA279" si="128">X280-X278</f>
        <v>7.7629999999999981</v>
      </c>
      <c r="Y279" s="12">
        <f t="shared" si="128"/>
        <v>130</v>
      </c>
      <c r="Z279" s="12">
        <f t="shared" si="128"/>
        <v>9</v>
      </c>
      <c r="AA279" s="12">
        <f t="shared" si="128"/>
        <v>-7</v>
      </c>
      <c r="XET279" s="220">
        <v>41361</v>
      </c>
      <c r="XEU279" s="221">
        <v>2.5259999999999998</v>
      </c>
      <c r="XEV279" s="198">
        <f t="shared" si="124"/>
        <v>-7.0754716981132892E-3</v>
      </c>
      <c r="XEW279" s="221">
        <v>3267.5200199999999</v>
      </c>
      <c r="XEX279" s="198">
        <f t="shared" si="125"/>
        <v>3.3778388993290775E-3</v>
      </c>
    </row>
    <row r="280" spans="18:27 16374:16378" ht="16" thickBot="1" x14ac:dyDescent="0.25">
      <c r="S280" s="70" t="s">
        <v>218</v>
      </c>
      <c r="T280" s="17"/>
      <c r="U280" s="17"/>
      <c r="V280" s="17"/>
      <c r="W280" s="71">
        <v>60.237000000000002</v>
      </c>
      <c r="X280" s="71">
        <f>68</f>
        <v>68</v>
      </c>
      <c r="Y280" s="71">
        <f>198</f>
        <v>198</v>
      </c>
      <c r="Z280" s="71">
        <v>207</v>
      </c>
      <c r="AA280" s="71">
        <v>200</v>
      </c>
      <c r="XET280" s="220">
        <v>41365</v>
      </c>
      <c r="XEU280" s="221">
        <v>2.9286669999999999</v>
      </c>
      <c r="XEV280" s="198">
        <f t="shared" si="124"/>
        <v>0.15940894695170238</v>
      </c>
      <c r="XEW280" s="221">
        <v>3239.169922</v>
      </c>
      <c r="XEX280" s="198">
        <f t="shared" si="125"/>
        <v>-8.6763349042923155E-3</v>
      </c>
    </row>
    <row r="281" spans="18:27 16374:16378" ht="16" thickTop="1" x14ac:dyDescent="0.2">
      <c r="S281" s="65"/>
      <c r="W281" s="12"/>
      <c r="X281" s="12"/>
      <c r="Y281" s="12"/>
      <c r="Z281" s="12"/>
      <c r="AA281" s="12"/>
      <c r="XET281" s="220">
        <v>41366</v>
      </c>
      <c r="XEU281" s="221">
        <v>2.956</v>
      </c>
      <c r="XEV281" s="198">
        <f t="shared" si="124"/>
        <v>9.3329149404832723E-3</v>
      </c>
      <c r="XEW281" s="221">
        <v>3254.860107</v>
      </c>
      <c r="XEX281" s="198">
        <f t="shared" si="125"/>
        <v>4.8438906812002802E-3</v>
      </c>
    </row>
    <row r="282" spans="18:27 16374:16378" x14ac:dyDescent="0.2">
      <c r="S282" s="65"/>
      <c r="W282" s="12"/>
      <c r="X282" s="12"/>
      <c r="Y282" s="12"/>
      <c r="Z282" s="12"/>
      <c r="AA282" s="12"/>
      <c r="XET282" s="220">
        <v>41367</v>
      </c>
      <c r="XEU282" s="221">
        <v>2.74</v>
      </c>
      <c r="XEV282" s="198">
        <f t="shared" si="124"/>
        <v>-7.3071718538565533E-2</v>
      </c>
      <c r="XEW282" s="221">
        <v>3218.6000979999999</v>
      </c>
      <c r="XEX282" s="198">
        <f t="shared" si="125"/>
        <v>-1.1140266496252216E-2</v>
      </c>
    </row>
    <row r="283" spans="18:27 16374:16378" x14ac:dyDescent="0.2">
      <c r="R283" s="30" t="s">
        <v>220</v>
      </c>
      <c r="S283" s="65"/>
      <c r="W283" s="12"/>
      <c r="X283" s="12"/>
      <c r="Y283" s="12"/>
      <c r="Z283" s="12"/>
      <c r="AA283" s="12"/>
      <c r="XET283" s="220">
        <v>41368</v>
      </c>
      <c r="XEU283" s="221">
        <v>2.8006669999999998</v>
      </c>
      <c r="XEV283" s="198">
        <f t="shared" si="124"/>
        <v>2.2141240875912294E-2</v>
      </c>
      <c r="XEW283" s="221">
        <v>3224.9799800000001</v>
      </c>
      <c r="XEX283" s="198">
        <f t="shared" si="125"/>
        <v>1.982191575761405E-3</v>
      </c>
    </row>
    <row r="284" spans="18:27 16374:16378" x14ac:dyDescent="0.2">
      <c r="S284" s="65" t="s">
        <v>221</v>
      </c>
      <c r="W284" s="12">
        <v>753.40800000000002</v>
      </c>
      <c r="X284" s="12">
        <v>394</v>
      </c>
      <c r="Y284" s="12">
        <v>638</v>
      </c>
      <c r="Z284" s="12">
        <v>901</v>
      </c>
      <c r="AA284" s="12">
        <v>2045</v>
      </c>
      <c r="XET284" s="220">
        <v>41369</v>
      </c>
      <c r="XEU284" s="221">
        <v>2.758</v>
      </c>
      <c r="XEV284" s="198">
        <f t="shared" si="124"/>
        <v>-1.5234585189885075E-2</v>
      </c>
      <c r="XEW284" s="221">
        <v>3203.860107</v>
      </c>
      <c r="XEX284" s="198">
        <f t="shared" si="125"/>
        <v>-6.5488384830221236E-3</v>
      </c>
    </row>
    <row r="285" spans="18:27 16374:16378" x14ac:dyDescent="0.2">
      <c r="S285" s="65" t="s">
        <v>223</v>
      </c>
      <c r="W285" s="12">
        <v>185.80699999999999</v>
      </c>
      <c r="X285" s="12">
        <v>348</v>
      </c>
      <c r="Y285" s="12">
        <v>611</v>
      </c>
      <c r="Z285" s="12">
        <v>777</v>
      </c>
      <c r="AA285" s="12">
        <v>1122</v>
      </c>
      <c r="XET285" s="220">
        <v>41372</v>
      </c>
      <c r="XEU285" s="221">
        <v>2.7886669999999998</v>
      </c>
      <c r="XEV285" s="198">
        <f t="shared" si="124"/>
        <v>1.1119289340101535E-2</v>
      </c>
      <c r="XEW285" s="221">
        <v>3222.25</v>
      </c>
      <c r="XEX285" s="198">
        <f t="shared" si="125"/>
        <v>5.73991759497261E-3</v>
      </c>
    </row>
    <row r="286" spans="18:27 16374:16378" x14ac:dyDescent="0.2">
      <c r="S286" s="65" t="s">
        <v>222</v>
      </c>
      <c r="W286" s="12">
        <v>378.28399999999999</v>
      </c>
      <c r="X286" s="12">
        <v>449</v>
      </c>
      <c r="Y286" s="12">
        <v>466</v>
      </c>
      <c r="Z286" s="12">
        <v>654</v>
      </c>
      <c r="AA286" s="12">
        <v>906</v>
      </c>
      <c r="XET286" s="220">
        <v>41373</v>
      </c>
      <c r="XEU286" s="221">
        <v>2.7</v>
      </c>
      <c r="XEV286" s="198">
        <f t="shared" si="124"/>
        <v>-3.1795477911130909E-2</v>
      </c>
      <c r="XEW286" s="221">
        <v>3237.860107</v>
      </c>
      <c r="XEX286" s="198">
        <f t="shared" si="125"/>
        <v>4.8444742028086463E-3</v>
      </c>
    </row>
    <row r="287" spans="18:27 16374:16378" x14ac:dyDescent="0.2">
      <c r="S287" s="65" t="s">
        <v>225</v>
      </c>
      <c r="W287" s="12">
        <v>125.502</v>
      </c>
      <c r="X287" s="12">
        <v>201</v>
      </c>
      <c r="Y287" s="12">
        <v>344</v>
      </c>
      <c r="Z287" s="12">
        <v>479</v>
      </c>
      <c r="AA287" s="12">
        <v>703</v>
      </c>
      <c r="XET287" s="220">
        <v>41374</v>
      </c>
      <c r="XEU287" s="221">
        <v>2.790667</v>
      </c>
      <c r="XEV287" s="198">
        <f t="shared" si="124"/>
        <v>3.3580370370370316E-2</v>
      </c>
      <c r="XEW287" s="221">
        <v>3297.25</v>
      </c>
      <c r="XEX287" s="198">
        <f t="shared" si="125"/>
        <v>1.8342328277742403E-2</v>
      </c>
    </row>
    <row r="288" spans="18:27 16374:16378" x14ac:dyDescent="0.2">
      <c r="S288" s="65" t="s">
        <v>226</v>
      </c>
      <c r="W288" s="12">
        <v>0</v>
      </c>
      <c r="X288" s="12">
        <v>108</v>
      </c>
      <c r="Y288" s="12">
        <v>272</v>
      </c>
      <c r="Z288" s="12">
        <v>417</v>
      </c>
      <c r="AA288" s="12">
        <v>265</v>
      </c>
      <c r="XET288" s="220">
        <v>41375</v>
      </c>
      <c r="XEU288" s="221">
        <v>2.9060000000000001</v>
      </c>
      <c r="XEV288" s="198">
        <f t="shared" si="124"/>
        <v>4.1328112598171041E-2</v>
      </c>
      <c r="XEW288" s="221">
        <v>3300.1599120000001</v>
      </c>
      <c r="XEX288" s="198">
        <f t="shared" si="125"/>
        <v>8.8252695428003847E-4</v>
      </c>
    </row>
    <row r="289" spans="18:43 16374:16378" x14ac:dyDescent="0.2">
      <c r="S289" s="1" t="s">
        <v>230</v>
      </c>
      <c r="W289" s="12">
        <v>0</v>
      </c>
      <c r="X289" s="12">
        <v>0</v>
      </c>
      <c r="Y289" s="12">
        <v>228</v>
      </c>
      <c r="Z289" s="12">
        <v>286</v>
      </c>
      <c r="AA289" s="12">
        <v>368</v>
      </c>
      <c r="XET289" s="220">
        <v>41376</v>
      </c>
      <c r="XEU289" s="221">
        <v>2.9166669999999999</v>
      </c>
      <c r="XEV289" s="198">
        <f t="shared" si="124"/>
        <v>3.6706813489331136E-3</v>
      </c>
      <c r="XEW289" s="221">
        <v>3294.9499510000001</v>
      </c>
      <c r="XEX289" s="198">
        <f t="shared" si="125"/>
        <v>-1.5786995596958064E-3</v>
      </c>
    </row>
    <row r="290" spans="18:43 16374:16378" x14ac:dyDescent="0.2">
      <c r="S290" s="65" t="s">
        <v>227</v>
      </c>
      <c r="W290" s="12">
        <v>75.572000000000003</v>
      </c>
      <c r="X290" s="12">
        <v>78</v>
      </c>
      <c r="Y290" s="12">
        <v>86</v>
      </c>
      <c r="Z290" s="12">
        <v>77</v>
      </c>
      <c r="AA290" s="12">
        <v>16</v>
      </c>
      <c r="AC290" s="12">
        <v>1000</v>
      </c>
      <c r="XET290" s="220">
        <v>41379</v>
      </c>
      <c r="XEU290" s="221">
        <v>2.8866670000000001</v>
      </c>
      <c r="XEV290" s="198">
        <f t="shared" si="124"/>
        <v>-1.0285713110204098E-2</v>
      </c>
      <c r="XEW290" s="221">
        <v>3216.48999</v>
      </c>
      <c r="XEX290" s="198">
        <f t="shared" si="125"/>
        <v>-2.3812185971500921E-2</v>
      </c>
    </row>
    <row r="291" spans="18:43 16374:16378" x14ac:dyDescent="0.2">
      <c r="S291" s="65" t="s">
        <v>224</v>
      </c>
      <c r="W291" s="12">
        <v>67.313000000000002</v>
      </c>
      <c r="X291" s="12">
        <v>62</v>
      </c>
      <c r="Y291" s="12">
        <v>317</v>
      </c>
      <c r="Z291" s="12">
        <v>23</v>
      </c>
      <c r="AA291" s="12">
        <v>0</v>
      </c>
      <c r="XET291" s="220">
        <v>41380</v>
      </c>
      <c r="XEU291" s="221">
        <v>3.0393330000000001</v>
      </c>
      <c r="XEV291" s="198">
        <f t="shared" si="124"/>
        <v>5.2886598973833854E-2</v>
      </c>
      <c r="XEW291" s="221">
        <v>3264.6298830000001</v>
      </c>
      <c r="XEX291" s="198">
        <f t="shared" si="125"/>
        <v>1.4966591890435144E-2</v>
      </c>
    </row>
    <row r="292" spans="18:43 16374:16378" x14ac:dyDescent="0.2">
      <c r="S292" s="65" t="s">
        <v>235</v>
      </c>
      <c r="W292" s="12">
        <f>787333/1000</f>
        <v>787.33299999999997</v>
      </c>
      <c r="X292" s="12">
        <v>503</v>
      </c>
      <c r="Y292" s="12">
        <v>0</v>
      </c>
      <c r="Z292" s="12">
        <v>0</v>
      </c>
      <c r="AA292" s="12">
        <v>0</v>
      </c>
      <c r="XET292" s="220">
        <v>41381</v>
      </c>
      <c r="XEU292" s="221">
        <v>3.03</v>
      </c>
      <c r="XEV292" s="198">
        <f t="shared" si="124"/>
        <v>-3.0707395339701904E-3</v>
      </c>
      <c r="XEW292" s="221">
        <v>3204.669922</v>
      </c>
      <c r="XEX292" s="198">
        <f t="shared" si="125"/>
        <v>-1.8366541736394404E-2</v>
      </c>
    </row>
    <row r="293" spans="18:43 16374:16378" ht="20" customHeight="1" x14ac:dyDescent="0.2">
      <c r="S293" s="65" t="s">
        <v>229</v>
      </c>
      <c r="W293" s="12">
        <f>130.565+100</f>
        <v>230.565</v>
      </c>
      <c r="X293" s="12">
        <v>372</v>
      </c>
      <c r="Y293" s="12">
        <v>260</v>
      </c>
      <c r="Z293" s="12">
        <v>241</v>
      </c>
      <c r="AA293" s="12">
        <v>294</v>
      </c>
      <c r="XET293" s="220">
        <v>41382</v>
      </c>
      <c r="XEU293" s="221">
        <v>3.1313330000000001</v>
      </c>
      <c r="XEV293" s="198">
        <f t="shared" si="124"/>
        <v>3.3443234323432547E-2</v>
      </c>
      <c r="XEW293" s="221">
        <v>3166.360107</v>
      </c>
      <c r="XEX293" s="198">
        <f t="shared" si="125"/>
        <v>-1.1954371567880928E-2</v>
      </c>
    </row>
    <row r="294" spans="18:43 16374:16378" x14ac:dyDescent="0.2">
      <c r="S294" s="65" t="s">
        <v>228</v>
      </c>
      <c r="W294" s="12">
        <v>14.914999999999999</v>
      </c>
      <c r="X294" s="12">
        <v>82</v>
      </c>
      <c r="Y294" s="12">
        <v>0</v>
      </c>
      <c r="Z294" s="12">
        <v>0</v>
      </c>
      <c r="AA294" s="12">
        <v>0</v>
      </c>
      <c r="XET294" s="220">
        <v>41383</v>
      </c>
      <c r="XEU294" s="221">
        <v>3.1886670000000001</v>
      </c>
      <c r="XEV294" s="198">
        <f t="shared" si="124"/>
        <v>1.8309774144110502E-2</v>
      </c>
      <c r="XEW294" s="221">
        <v>3206.0600589999999</v>
      </c>
      <c r="XEX294" s="198">
        <f t="shared" si="125"/>
        <v>1.2538040733975242E-2</v>
      </c>
    </row>
    <row r="295" spans="18:43 16374:16378" ht="16" thickBot="1" x14ac:dyDescent="0.25">
      <c r="S295" s="70" t="str">
        <f>R283</f>
        <v>Accrued Liabilities and Other</v>
      </c>
      <c r="T295" s="17"/>
      <c r="U295" s="17"/>
      <c r="V295" s="17"/>
      <c r="W295" s="18">
        <f>SUM(W284:W294)</f>
        <v>2618.6990000000001</v>
      </c>
      <c r="X295" s="18">
        <f>SUM(X284:X294)</f>
        <v>2597</v>
      </c>
      <c r="Y295" s="18">
        <f>SUM(Y284:Y294)</f>
        <v>3222</v>
      </c>
      <c r="Z295" s="18">
        <f>SUM(Z284:Z294)</f>
        <v>3855</v>
      </c>
      <c r="AA295" s="18">
        <f>SUM(AA284:AA294)</f>
        <v>5719</v>
      </c>
      <c r="XET295" s="220">
        <v>41386</v>
      </c>
      <c r="XEU295" s="221">
        <v>3.3460000000000001</v>
      </c>
      <c r="XEV295" s="198">
        <f t="shared" si="124"/>
        <v>4.9341307825495617E-2</v>
      </c>
      <c r="XEW295" s="221">
        <v>3233.5500489999999</v>
      </c>
      <c r="XEX295" s="198">
        <f t="shared" si="125"/>
        <v>8.574383977252964E-3</v>
      </c>
    </row>
    <row r="296" spans="18:43 16374:16378" ht="16" thickTop="1" x14ac:dyDescent="0.2">
      <c r="S296" s="65"/>
      <c r="W296" s="12"/>
      <c r="X296" s="12"/>
      <c r="Y296" s="12"/>
      <c r="Z296" s="12"/>
      <c r="AA296" s="12"/>
      <c r="XET296" s="220">
        <v>41387</v>
      </c>
      <c r="XEU296" s="221">
        <v>3.4006669999999999</v>
      </c>
      <c r="XEV296" s="198">
        <f t="shared" si="124"/>
        <v>1.6338015540944273E-2</v>
      </c>
      <c r="XEW296" s="221">
        <v>3269.330078</v>
      </c>
      <c r="XEX296" s="198">
        <f t="shared" si="125"/>
        <v>1.1065246697222308E-2</v>
      </c>
    </row>
    <row r="297" spans="18:43 16374:16378" x14ac:dyDescent="0.2">
      <c r="S297" s="65"/>
      <c r="W297" s="12"/>
      <c r="X297" s="12"/>
      <c r="Y297" s="12"/>
      <c r="Z297" s="12"/>
      <c r="AA297" s="12"/>
      <c r="AK297" s="85">
        <v>2.75E-2</v>
      </c>
      <c r="AL297" s="85">
        <v>1.6250000000000001E-2</v>
      </c>
      <c r="AM297" s="85">
        <v>0</v>
      </c>
      <c r="AN297" s="85">
        <v>6.5000000000000002E-2</v>
      </c>
      <c r="AO297" s="85">
        <v>2.5999999999999999E-2</v>
      </c>
      <c r="AP297" s="85">
        <v>7.5999999999999998E-2</v>
      </c>
      <c r="AQ297" s="85">
        <v>5.8000000000000003E-2</v>
      </c>
      <c r="XET297" s="220">
        <v>41388</v>
      </c>
      <c r="XEU297" s="221">
        <v>3.3620000000000001</v>
      </c>
      <c r="XEV297" s="198">
        <f t="shared" si="124"/>
        <v>-1.1370416450655063E-2</v>
      </c>
      <c r="XEW297" s="221">
        <v>3269.6499020000001</v>
      </c>
      <c r="XEX297" s="198">
        <f t="shared" si="125"/>
        <v>9.7825546020002818E-5</v>
      </c>
    </row>
    <row r="298" spans="18:43 16374:16378" x14ac:dyDescent="0.2">
      <c r="R298" s="30" t="s">
        <v>291</v>
      </c>
      <c r="S298" s="65"/>
      <c r="W298" s="12"/>
      <c r="X298" s="12"/>
      <c r="Y298" s="12"/>
      <c r="Z298" s="12"/>
      <c r="AA298" s="12"/>
      <c r="AK298" s="85">
        <v>7.5999999999999998E-2</v>
      </c>
      <c r="XET298" s="220">
        <v>41389</v>
      </c>
      <c r="XEU298" s="221">
        <v>3.4666670000000002</v>
      </c>
      <c r="XEV298" s="198">
        <f t="shared" si="124"/>
        <v>3.1132361689470534E-2</v>
      </c>
      <c r="XEW298" s="221">
        <v>3289.98999</v>
      </c>
      <c r="XEX298" s="198">
        <f t="shared" si="125"/>
        <v>6.2208764270321737E-3</v>
      </c>
    </row>
    <row r="299" spans="18:43 16374:16378" ht="20" customHeight="1" x14ac:dyDescent="0.2">
      <c r="S299" s="68" t="s">
        <v>292</v>
      </c>
      <c r="W299" s="12">
        <f>(5442+15944+222171+100000+7008)/(1000)</f>
        <v>350.565</v>
      </c>
      <c r="X299" s="12">
        <f>913+541+1</f>
        <v>1455</v>
      </c>
      <c r="Y299" s="12">
        <f>141+97+15</f>
        <v>253</v>
      </c>
      <c r="Z299" s="12">
        <f>419+115+171+4</f>
        <v>709</v>
      </c>
      <c r="AA299" s="12">
        <f>29+1+0</f>
        <v>30</v>
      </c>
      <c r="AK299" s="85">
        <v>3.5999999999999997E-2</v>
      </c>
      <c r="AL299" s="85">
        <v>4.8000000000000001E-2</v>
      </c>
      <c r="AM299" s="85"/>
      <c r="AN299" s="85">
        <v>5.8000000000000003E-2</v>
      </c>
      <c r="XET299" s="220">
        <v>41390</v>
      </c>
      <c r="XEU299" s="221">
        <v>3.4133330000000002</v>
      </c>
      <c r="XEV299" s="198">
        <f t="shared" si="124"/>
        <v>-1.5384806212999425E-2</v>
      </c>
      <c r="XEW299" s="221">
        <v>3279.26001</v>
      </c>
      <c r="XEX299" s="198">
        <f t="shared" si="125"/>
        <v>-3.2614020202536009E-3</v>
      </c>
    </row>
    <row r="300" spans="18:43 16374:16378" x14ac:dyDescent="0.2">
      <c r="S300" s="68" t="s">
        <v>293</v>
      </c>
      <c r="W300" s="12">
        <f>(195382+31106+156884+5885+15858+12334+23829+8006)/(1000)</f>
        <v>449.28399999999999</v>
      </c>
      <c r="X300" s="12">
        <f>28+468+11+188+10+14+32+16</f>
        <v>767</v>
      </c>
      <c r="Y300" s="12">
        <f>573+32+444+10+11+21+8+24+23</f>
        <v>1146</v>
      </c>
      <c r="Z300" s="12">
        <f>777+39+18+13+37+151+14</f>
        <v>1049</v>
      </c>
      <c r="AA300" s="12">
        <f>1007+27+24</f>
        <v>1058</v>
      </c>
      <c r="AK300" s="85">
        <v>5.8000000000000003E-2</v>
      </c>
      <c r="XET300" s="220">
        <v>41393</v>
      </c>
      <c r="XEU300" s="221">
        <v>3.6626669999999999</v>
      </c>
      <c r="XEV300" s="198">
        <f t="shared" si="124"/>
        <v>7.3047077446003472E-2</v>
      </c>
      <c r="XEW300" s="221">
        <v>3307.0200199999999</v>
      </c>
      <c r="XEX300" s="198">
        <f t="shared" si="125"/>
        <v>8.4653275175943232E-3</v>
      </c>
    </row>
    <row r="301" spans="18:43 16374:16378" ht="20" customHeight="1" x14ac:dyDescent="0.2">
      <c r="S301" s="84" t="s">
        <v>294</v>
      </c>
      <c r="T301" s="15"/>
      <c r="U301" s="15"/>
      <c r="V301" s="15"/>
      <c r="W301" s="16">
        <f>SUM(W299:W300)</f>
        <v>799.84899999999993</v>
      </c>
      <c r="X301" s="16">
        <f>SUM(X299:X300)</f>
        <v>2222</v>
      </c>
      <c r="Y301" s="16">
        <f>SUM(Y299:Y300)</f>
        <v>1399</v>
      </c>
      <c r="Z301" s="16">
        <f>SUM(Z299:Z300)</f>
        <v>1758</v>
      </c>
      <c r="AA301" s="16">
        <f>SUM(AA299:AA300)</f>
        <v>1088</v>
      </c>
      <c r="AK301" s="85"/>
      <c r="AL301" s="85"/>
      <c r="AM301" s="85"/>
      <c r="XET301" s="220">
        <v>41394</v>
      </c>
      <c r="XEU301" s="221">
        <v>3.5993330000000001</v>
      </c>
      <c r="XEV301" s="198">
        <f t="shared" si="124"/>
        <v>-1.7291771269405509E-2</v>
      </c>
      <c r="XEW301" s="221">
        <v>3328.790039</v>
      </c>
      <c r="XEX301" s="198">
        <f t="shared" si="125"/>
        <v>6.5829716386174297E-3</v>
      </c>
    </row>
    <row r="302" spans="18:43 16374:16378" x14ac:dyDescent="0.2">
      <c r="S302" s="68" t="s">
        <v>295</v>
      </c>
      <c r="W302" s="12">
        <v>-3.2999999999999399</v>
      </c>
      <c r="X302" s="12">
        <v>345.99999999999994</v>
      </c>
      <c r="Y302" s="12">
        <f>Y195</f>
        <v>386</v>
      </c>
      <c r="Z302" s="12">
        <f t="shared" ref="Z302:AA302" si="129">Z195</f>
        <v>374</v>
      </c>
      <c r="AA302" s="12">
        <f t="shared" si="129"/>
        <v>501</v>
      </c>
      <c r="AC302" s="12" t="s">
        <v>299</v>
      </c>
      <c r="XET302" s="220">
        <v>41395</v>
      </c>
      <c r="XEU302" s="221">
        <v>3.552</v>
      </c>
      <c r="XEV302" s="198">
        <f t="shared" si="124"/>
        <v>-1.3150492049499141E-2</v>
      </c>
      <c r="XEW302" s="221">
        <v>3299.1298830000001</v>
      </c>
      <c r="XEX302" s="198">
        <f t="shared" si="125"/>
        <v>-8.9101912864741895E-3</v>
      </c>
    </row>
    <row r="303" spans="18:43 16374:16378" x14ac:dyDescent="0.2">
      <c r="S303" s="83" t="s">
        <v>296</v>
      </c>
      <c r="T303" s="15"/>
      <c r="U303" s="15"/>
      <c r="V303" s="15"/>
      <c r="W303" s="16">
        <f>W301+W302</f>
        <v>796.54899999999998</v>
      </c>
      <c r="X303" s="16">
        <f t="shared" ref="X303:AA303" si="130">X301+X302</f>
        <v>2568</v>
      </c>
      <c r="Y303" s="16">
        <f t="shared" si="130"/>
        <v>1785</v>
      </c>
      <c r="Z303" s="16">
        <f t="shared" si="130"/>
        <v>2132</v>
      </c>
      <c r="AA303" s="16">
        <f t="shared" si="130"/>
        <v>1589</v>
      </c>
      <c r="AD303" s="1">
        <f>2017</f>
        <v>2017</v>
      </c>
      <c r="AE303" s="85">
        <v>1.4999999999999999E-2</v>
      </c>
      <c r="AF303" s="85">
        <v>2.5000000000000001E-3</v>
      </c>
      <c r="AG303" s="85">
        <v>1.2500000000000001E-2</v>
      </c>
      <c r="AH303" s="85">
        <v>2.375E-2</v>
      </c>
      <c r="AI303" s="85">
        <v>5.2999999999999999E-2</v>
      </c>
      <c r="AJ303" s="85">
        <v>1.7999999999999999E-2</v>
      </c>
      <c r="XET303" s="220">
        <v>41396</v>
      </c>
      <c r="XEU303" s="221">
        <v>3.6073330000000001</v>
      </c>
      <c r="XEV303" s="198">
        <f t="shared" si="124"/>
        <v>1.5577984234234288E-2</v>
      </c>
      <c r="XEW303" s="221">
        <v>3340.6201169999999</v>
      </c>
      <c r="XEX303" s="198">
        <f t="shared" si="125"/>
        <v>1.2576114148701301E-2</v>
      </c>
    </row>
    <row r="304" spans="18:43 16374:16378" x14ac:dyDescent="0.2">
      <c r="S304" s="86"/>
      <c r="T304" s="30"/>
      <c r="U304" s="30"/>
      <c r="V304" s="30"/>
      <c r="W304" s="87"/>
      <c r="X304" s="87"/>
      <c r="Y304" s="87"/>
      <c r="Z304" s="87"/>
      <c r="AA304" s="87"/>
      <c r="AD304" s="1">
        <f t="shared" ref="AD304:AD307" si="131">AD303+1</f>
        <v>2018</v>
      </c>
      <c r="AE304" s="85">
        <v>2.5000000000000001E-3</v>
      </c>
      <c r="AF304" s="85">
        <v>1.2500000000000001E-2</v>
      </c>
      <c r="AG304" s="85">
        <v>2.375E-2</v>
      </c>
      <c r="AH304" s="85">
        <v>5.2999999999999999E-2</v>
      </c>
      <c r="AI304" s="85">
        <f>1.625%</f>
        <v>1.6250000000000001E-2</v>
      </c>
      <c r="AJ304" s="85">
        <v>1.7999999999999999E-2</v>
      </c>
      <c r="XET304" s="220">
        <v>41397</v>
      </c>
      <c r="XEU304" s="221">
        <v>3.6366670000000001</v>
      </c>
      <c r="XEV304" s="198">
        <f t="shared" si="124"/>
        <v>8.1317693708897743E-3</v>
      </c>
      <c r="XEW304" s="221">
        <v>3378.6298830000001</v>
      </c>
      <c r="XEX304" s="198">
        <f t="shared" si="125"/>
        <v>1.1378056968097905E-2</v>
      </c>
    </row>
    <row r="305" spans="18:47 16374:16378" x14ac:dyDescent="0.2">
      <c r="R305" s="1" t="s">
        <v>298</v>
      </c>
      <c r="S305" s="86"/>
      <c r="T305" s="30"/>
      <c r="U305" s="30"/>
      <c r="V305" s="30"/>
      <c r="W305" s="85">
        <f>AVERAGE(AE297:AQ297)</f>
        <v>3.8392857142857138E-2</v>
      </c>
      <c r="X305" s="85">
        <f>AVERAGE(AE298:AQ298)</f>
        <v>7.5999999999999998E-2</v>
      </c>
      <c r="Y305" s="85">
        <f>AVERAGE(AE299:AN299)</f>
        <v>4.7333333333333331E-2</v>
      </c>
      <c r="Z305" s="85">
        <f>AVERAGE(AE300:AO300)</f>
        <v>5.8000000000000003E-2</v>
      </c>
      <c r="AA305" s="85">
        <f>AVERAGE(AE307:AI307)</f>
        <v>3.4949999999999995E-2</v>
      </c>
      <c r="AD305" s="1">
        <f t="shared" si="131"/>
        <v>2019</v>
      </c>
      <c r="AE305" s="85">
        <v>1.2500000000000001E-2</v>
      </c>
      <c r="AF305" s="85">
        <v>2.375E-2</v>
      </c>
      <c r="AG305" s="85">
        <v>0.02</v>
      </c>
      <c r="AH305" s="85">
        <v>5.2999999999999999E-2</v>
      </c>
      <c r="AI305" s="85">
        <v>2.7E-2</v>
      </c>
      <c r="AJ305" s="85">
        <v>0</v>
      </c>
      <c r="XET305" s="220">
        <v>41400</v>
      </c>
      <c r="XEU305" s="221">
        <v>3.9666670000000002</v>
      </c>
      <c r="XEV305" s="198">
        <f t="shared" si="124"/>
        <v>9.0742429812792791E-2</v>
      </c>
      <c r="XEW305" s="221">
        <v>3392.969971</v>
      </c>
      <c r="XEX305" s="198">
        <f t="shared" si="125"/>
        <v>4.2443500757967101E-3</v>
      </c>
    </row>
    <row r="306" spans="18:47 16374:16378" x14ac:dyDescent="0.2">
      <c r="S306" s="86"/>
      <c r="T306" s="30"/>
      <c r="U306" s="30"/>
      <c r="V306" s="30"/>
      <c r="W306" s="87"/>
      <c r="X306" s="87"/>
      <c r="Y306" s="87"/>
      <c r="Z306" s="87"/>
      <c r="AA306" s="87"/>
      <c r="AD306" s="1">
        <f t="shared" si="131"/>
        <v>2020</v>
      </c>
      <c r="AE306" s="85">
        <v>1.2500000000000001E-2</v>
      </c>
      <c r="AF306" s="85">
        <v>2.375E-2</v>
      </c>
      <c r="AG306" s="85">
        <v>0.02</v>
      </c>
      <c r="AH306" s="85">
        <v>5.2999999999999999E-2</v>
      </c>
      <c r="AI306" s="85">
        <v>3.3000000000000002E-2</v>
      </c>
      <c r="AJ306" s="85">
        <v>3.5999999999999997E-2</v>
      </c>
      <c r="XET306" s="220">
        <v>41401</v>
      </c>
      <c r="XEU306" s="221">
        <v>3.7006670000000002</v>
      </c>
      <c r="XEV306" s="198">
        <f t="shared" si="124"/>
        <v>-6.7058817894216971E-2</v>
      </c>
      <c r="XEW306" s="221">
        <v>3396.6298830000001</v>
      </c>
      <c r="XEX306" s="198">
        <f t="shared" si="125"/>
        <v>1.0786750343450002E-3</v>
      </c>
    </row>
    <row r="307" spans="18:47 16374:16378" ht="20" customHeight="1" x14ac:dyDescent="0.2">
      <c r="S307" s="68"/>
      <c r="W307" s="12"/>
      <c r="X307" s="12"/>
      <c r="Y307" s="12"/>
      <c r="Z307" s="12"/>
      <c r="AA307" s="12"/>
      <c r="AD307" s="1">
        <f t="shared" si="131"/>
        <v>2021</v>
      </c>
      <c r="AE307" s="85">
        <f>2.375
%</f>
        <v>2.375E-2</v>
      </c>
      <c r="AF307" s="85">
        <f>2%</f>
        <v>0.02</v>
      </c>
      <c r="AG307" s="85">
        <f>3.3%</f>
        <v>3.3000000000000002E-2</v>
      </c>
      <c r="AH307" s="85">
        <f>4%</f>
        <v>0.04</v>
      </c>
      <c r="AI307" s="85">
        <f>5.8%</f>
        <v>5.7999999999999996E-2</v>
      </c>
      <c r="AJ307" s="85"/>
      <c r="XET307" s="220">
        <v>41402</v>
      </c>
      <c r="XEU307" s="221">
        <v>3.7193329999999998</v>
      </c>
      <c r="XEV307" s="198">
        <f t="shared" si="124"/>
        <v>5.0439555896273358E-3</v>
      </c>
      <c r="XEW307" s="221">
        <v>3413.2700199999999</v>
      </c>
      <c r="XEX307" s="198">
        <f t="shared" si="125"/>
        <v>4.8990138970639308E-3</v>
      </c>
    </row>
    <row r="308" spans="18:47 16374:16378" ht="15" customHeight="1" x14ac:dyDescent="0.2">
      <c r="S308" s="65"/>
      <c r="W308" s="12"/>
      <c r="X308" s="12"/>
      <c r="Y308" s="12"/>
      <c r="Z308" s="12"/>
      <c r="AA308" s="12"/>
      <c r="AD308" s="85"/>
      <c r="AE308" s="85"/>
      <c r="AF308" s="85"/>
      <c r="AK308" s="85">
        <v>5.2999999999999999E-2</v>
      </c>
      <c r="AL308" s="85">
        <v>0.04</v>
      </c>
      <c r="AM308" s="85">
        <v>4.8000000000000001E-2</v>
      </c>
      <c r="AN308" s="85">
        <v>5.0999999999999997E-2</v>
      </c>
      <c r="AO308" s="85">
        <v>4.4999999999999998E-2</v>
      </c>
      <c r="AP308" s="85">
        <v>5.8000000000000003E-2</v>
      </c>
      <c r="AQ308" s="85">
        <v>7.6999999999999999E-2</v>
      </c>
      <c r="AR308" s="85">
        <v>7.4999999999999997E-2</v>
      </c>
      <c r="XET308" s="220">
        <v>41403</v>
      </c>
      <c r="XEU308" s="221">
        <v>4.6266670000000003</v>
      </c>
      <c r="XEV308" s="198">
        <f t="shared" si="124"/>
        <v>0.24395072987549127</v>
      </c>
      <c r="XEW308" s="221">
        <v>3409.169922</v>
      </c>
      <c r="XEX308" s="198">
        <f t="shared" si="125"/>
        <v>-1.2012228672140246E-3</v>
      </c>
    </row>
    <row r="309" spans="18:47 16374:16378" ht="15" customHeight="1" x14ac:dyDescent="0.2">
      <c r="R309" s="30" t="str">
        <f>S127</f>
        <v>Debt and finance leases, net of current portion</v>
      </c>
      <c r="S309" s="65"/>
      <c r="W309" s="12"/>
      <c r="X309" s="12"/>
      <c r="Y309" s="12"/>
      <c r="Z309" s="12"/>
      <c r="AA309" s="12"/>
      <c r="AD309" s="85"/>
      <c r="AF309" s="85"/>
      <c r="AK309" s="85">
        <v>3.5999999999999997E-2</v>
      </c>
      <c r="AL309" s="85">
        <v>5.0999999999999997E-2</v>
      </c>
      <c r="AM309" s="85">
        <v>7.6999999999999999E-2</v>
      </c>
      <c r="AN309" s="85">
        <v>7.9000000000000001E-2</v>
      </c>
      <c r="AO309" s="85">
        <v>5.8000000000000003E-2</v>
      </c>
      <c r="AP309" s="85">
        <v>6.0999999999999999E-2</v>
      </c>
      <c r="AQ309" s="85">
        <v>7.4999999999999997E-2</v>
      </c>
      <c r="AR309" s="85">
        <v>4.2000000000000003E-2</v>
      </c>
      <c r="AS309" s="85">
        <v>5.8999999999999997E-2</v>
      </c>
      <c r="AT309" s="85">
        <v>7.9000000000000001E-2</v>
      </c>
      <c r="XET309" s="220">
        <v>41404</v>
      </c>
      <c r="XEU309" s="221">
        <v>5.1173330000000004</v>
      </c>
      <c r="XEV309" s="198">
        <f t="shared" si="124"/>
        <v>0.10605172146601438</v>
      </c>
      <c r="XEW309" s="221">
        <v>3436.580078</v>
      </c>
      <c r="XEX309" s="198">
        <f t="shared" si="125"/>
        <v>8.0401260796996166E-3</v>
      </c>
    </row>
    <row r="310" spans="18:47 16374:16378" ht="20" customHeight="1" x14ac:dyDescent="0.2">
      <c r="S310" s="68" t="s">
        <v>292</v>
      </c>
      <c r="W310" s="12">
        <f>(869092+1186131+841973+1775550+1109000+261+511389+86475+24940)/(1000)</f>
        <v>6404.8109999999997</v>
      </c>
      <c r="X310" s="12">
        <f>1244+871+1779+1540+92+100</f>
        <v>5626</v>
      </c>
      <c r="Y310" s="12">
        <f>1304+902+1383+1782+1586+53</f>
        <v>7010</v>
      </c>
      <c r="Z310" s="12">
        <f>366+856+1785+1895+49</f>
        <v>4951</v>
      </c>
      <c r="AA310" s="12">
        <f>89+1250+7</f>
        <v>1346</v>
      </c>
      <c r="AD310" s="85"/>
      <c r="AF310" s="85"/>
      <c r="AK310" s="85">
        <v>5.3999999999999999E-2</v>
      </c>
      <c r="AL310" s="85">
        <v>4.2000000000000003E-2</v>
      </c>
      <c r="AM310" s="85">
        <v>4.4999999999999998E-2</v>
      </c>
      <c r="AN310" s="85">
        <v>7.9000000000000001E-2</v>
      </c>
      <c r="AO310" s="85">
        <v>7.6999999999999999E-2</v>
      </c>
      <c r="AP310" s="85">
        <v>0.04</v>
      </c>
      <c r="AQ310" s="85">
        <v>5.8000000000000003E-2</v>
      </c>
      <c r="AR310" s="85">
        <v>7.4999999999999997E-2</v>
      </c>
      <c r="AS310" s="85">
        <v>3.5999999999999997E-2</v>
      </c>
      <c r="AT310" s="85">
        <v>5.8999999999999997E-2</v>
      </c>
      <c r="AU310" s="85">
        <v>7.3999999999999996E-2</v>
      </c>
      <c r="XET310" s="220">
        <v>41407</v>
      </c>
      <c r="XEU310" s="221">
        <v>5.8533330000000001</v>
      </c>
      <c r="XEV310" s="198">
        <f t="shared" si="124"/>
        <v>0.14382491817515097</v>
      </c>
      <c r="XEW310" s="221">
        <v>3438.790039</v>
      </c>
      <c r="XEX310" s="198">
        <f t="shared" si="125"/>
        <v>6.430698397361656E-4</v>
      </c>
    </row>
    <row r="311" spans="18:47 16374:16378" x14ac:dyDescent="0.2">
      <c r="S311" s="68" t="s">
        <v>293</v>
      </c>
      <c r="W311" s="12">
        <f>(477867+55603+169352+158733+22774+856586+454421+228838)/(1000)</f>
        <v>2424.174</v>
      </c>
      <c r="X311" s="12">
        <f>1155+704+442+162+193+78+41+10</f>
        <v>2785</v>
      </c>
      <c r="Y311" s="12">
        <f>997+1123+297+430+164+146+152+16+67</f>
        <v>3392</v>
      </c>
      <c r="Z311" s="12">
        <f>921+1076+616+408+133+257+19+81</f>
        <v>3511</v>
      </c>
      <c r="AA311" s="12">
        <f>1706+800+388+14</f>
        <v>2908</v>
      </c>
      <c r="AD311" s="85"/>
      <c r="AK311" s="85">
        <v>3.6999999999999998E-2</v>
      </c>
      <c r="AL311" s="85">
        <v>1.9E-2</v>
      </c>
      <c r="AM311" s="85">
        <v>2.7E-2</v>
      </c>
      <c r="AN311" s="85">
        <v>7.9000000000000001E-2</v>
      </c>
      <c r="AO311" s="85">
        <v>7.6999999999999999E-2</v>
      </c>
      <c r="AP311" s="85">
        <v>5.8000000000000003E-2</v>
      </c>
      <c r="AQ311" s="85">
        <v>7.4999999999999997E-2</v>
      </c>
      <c r="AR311" s="85">
        <v>1.7999999999999999E-2</v>
      </c>
      <c r="AS311" s="85">
        <v>5.8999999999999997E-2</v>
      </c>
      <c r="AT311" s="85">
        <v>5.0999999999999997E-2</v>
      </c>
      <c r="XET311" s="220">
        <v>41408</v>
      </c>
      <c r="XEU311" s="221">
        <v>5.5493329999999998</v>
      </c>
      <c r="XEV311" s="198">
        <f t="shared" si="124"/>
        <v>-5.1936221636459168E-2</v>
      </c>
      <c r="XEW311" s="221">
        <v>3462.610107</v>
      </c>
      <c r="XEX311" s="198">
        <f t="shared" si="125"/>
        <v>6.9268747814934528E-3</v>
      </c>
    </row>
    <row r="312" spans="18:47 16374:16378" ht="20" customHeight="1" x14ac:dyDescent="0.2">
      <c r="S312" s="84" t="s">
        <v>294</v>
      </c>
      <c r="T312" s="15"/>
      <c r="U312" s="15"/>
      <c r="V312" s="15"/>
      <c r="W312" s="16">
        <f>SUM(W310:W311)</f>
        <v>8828.9850000000006</v>
      </c>
      <c r="X312" s="16">
        <f>SUM(X310:X311)</f>
        <v>8411</v>
      </c>
      <c r="Y312" s="16">
        <f>SUM(Y310:Y311)</f>
        <v>10402</v>
      </c>
      <c r="Z312" s="16">
        <f>SUM(Z310:Z311)</f>
        <v>8462</v>
      </c>
      <c r="AA312" s="16">
        <f>SUM(AA310:AA311)</f>
        <v>4254</v>
      </c>
      <c r="AD312" s="85"/>
      <c r="AK312" s="85">
        <v>5.0999999999999997E-2</v>
      </c>
      <c r="AL312" s="85"/>
      <c r="AM312" s="85"/>
      <c r="AN312" s="85"/>
      <c r="AO312" s="85"/>
      <c r="XET312" s="220">
        <v>41409</v>
      </c>
      <c r="XEU312" s="221">
        <v>5.6559999999999997</v>
      </c>
      <c r="XEV312" s="198">
        <f t="shared" si="124"/>
        <v>1.9221589333348721E-2</v>
      </c>
      <c r="XEW312" s="221">
        <v>3471.6201169999999</v>
      </c>
      <c r="XEX312" s="198">
        <f t="shared" si="125"/>
        <v>2.6020862071030049E-3</v>
      </c>
    </row>
    <row r="313" spans="18:47 16374:16378" x14ac:dyDescent="0.2">
      <c r="S313" s="68" t="s">
        <v>295</v>
      </c>
      <c r="W313" s="12">
        <v>589.33400000000199</v>
      </c>
      <c r="X313" s="12">
        <v>992.99999999999943</v>
      </c>
      <c r="Y313" s="12">
        <f t="shared" ref="Y313:AA313" si="132">Y196</f>
        <v>1232</v>
      </c>
      <c r="Z313" s="12">
        <f t="shared" si="132"/>
        <v>1094</v>
      </c>
      <c r="AA313" s="12">
        <f t="shared" si="132"/>
        <v>991</v>
      </c>
      <c r="AD313" s="85"/>
      <c r="AE313" s="85"/>
      <c r="XET313" s="220">
        <v>41410</v>
      </c>
      <c r="XEU313" s="221">
        <v>6.15</v>
      </c>
      <c r="XEV313" s="198">
        <f t="shared" si="124"/>
        <v>8.7340876944837387E-2</v>
      </c>
      <c r="XEW313" s="221">
        <v>3465.23999</v>
      </c>
      <c r="XEX313" s="198">
        <f t="shared" si="125"/>
        <v>-1.8377952612836923E-3</v>
      </c>
    </row>
    <row r="314" spans="18:47 16374:16378" x14ac:dyDescent="0.2">
      <c r="S314" s="83" t="s">
        <v>297</v>
      </c>
      <c r="T314" s="15"/>
      <c r="U314" s="15"/>
      <c r="V314" s="15"/>
      <c r="W314" s="16">
        <f>W312+W313</f>
        <v>9418.3190000000031</v>
      </c>
      <c r="X314" s="16">
        <f t="shared" ref="X314" si="133">X312+X313</f>
        <v>9404</v>
      </c>
      <c r="Y314" s="16">
        <f t="shared" ref="Y314" si="134">Y312+Y313</f>
        <v>11634</v>
      </c>
      <c r="Z314" s="16">
        <f t="shared" ref="Z314" si="135">Z312+Z313</f>
        <v>9556</v>
      </c>
      <c r="AA314" s="16">
        <f t="shared" ref="AA314" si="136">AA312+AA313</f>
        <v>5245</v>
      </c>
      <c r="AD314" s="1">
        <f>2017</f>
        <v>2017</v>
      </c>
      <c r="AE314" s="85">
        <v>3.1E-2</v>
      </c>
      <c r="AF314" s="85">
        <v>3.5999999999999997E-2</v>
      </c>
      <c r="AG314" s="85">
        <v>4.8000000000000001E-2</v>
      </c>
      <c r="AH314" s="85">
        <v>4.9000000000000002E-2</v>
      </c>
      <c r="AI314" s="85">
        <v>4.1000000000000002E-2</v>
      </c>
      <c r="AJ314" s="85">
        <v>7.2999999999999995E-2</v>
      </c>
      <c r="XET314" s="220">
        <v>41411</v>
      </c>
      <c r="XEU314" s="221">
        <v>6.1</v>
      </c>
      <c r="XEV314" s="198">
        <f t="shared" si="124"/>
        <v>-8.1300813008131634E-3</v>
      </c>
      <c r="XEW314" s="221">
        <v>3498.969971</v>
      </c>
      <c r="XEX314" s="198">
        <f t="shared" si="125"/>
        <v>9.733808076017203E-3</v>
      </c>
    </row>
    <row r="315" spans="18:47 16374:16378" x14ac:dyDescent="0.2">
      <c r="S315" s="82"/>
      <c r="W315" s="12"/>
      <c r="X315" s="12"/>
      <c r="Y315" s="12"/>
      <c r="Z315" s="12"/>
      <c r="AA315" s="12"/>
      <c r="AD315" s="1">
        <f t="shared" ref="AD315:AD318" si="137">AD314+1</f>
        <v>2018</v>
      </c>
      <c r="AE315" s="85">
        <v>0.04</v>
      </c>
      <c r="AF315" s="85">
        <v>2.3E-2</v>
      </c>
      <c r="AG315" s="85">
        <v>5.2999999999999999E-2</v>
      </c>
      <c r="AH315" s="85">
        <v>0.06</v>
      </c>
      <c r="AI315" s="85">
        <v>4.8000000000000001E-2</v>
      </c>
      <c r="AJ315" s="85">
        <v>3.9E-2</v>
      </c>
      <c r="XET315" s="220">
        <v>41414</v>
      </c>
      <c r="XEU315" s="221">
        <v>5.9960000000000004</v>
      </c>
      <c r="XEV315" s="198">
        <f t="shared" si="124"/>
        <v>-1.7049180327868729E-2</v>
      </c>
      <c r="XEW315" s="221">
        <v>3496.429932</v>
      </c>
      <c r="XEX315" s="198">
        <f t="shared" si="125"/>
        <v>-7.2593906808349207E-4</v>
      </c>
    </row>
    <row r="316" spans="18:47 16374:16378" x14ac:dyDescent="0.2">
      <c r="S316" s="65"/>
      <c r="W316" s="85">
        <f>AVERAGE(AE308:AR308)</f>
        <v>5.5875000000000001E-2</v>
      </c>
      <c r="X316" s="85">
        <f>AVERAGE(AE309:AT309)</f>
        <v>6.1699999999999998E-2</v>
      </c>
      <c r="Y316" s="85">
        <f>AVERAGE(AE310:AU310)</f>
        <v>5.8090909090909082E-2</v>
      </c>
      <c r="Z316" s="85">
        <f>AVERAGE(AE311:AT311)</f>
        <v>0.05</v>
      </c>
      <c r="AA316" s="85">
        <f>AVERAGE(AE312:AK312)</f>
        <v>5.0999999999999997E-2</v>
      </c>
      <c r="AD316" s="1">
        <f t="shared" si="137"/>
        <v>2019</v>
      </c>
      <c r="AE316" s="85">
        <v>0.02</v>
      </c>
      <c r="AF316" s="85">
        <v>0.04</v>
      </c>
      <c r="AG316" s="85">
        <v>3.6999999999999998E-2</v>
      </c>
      <c r="AH316" s="85">
        <v>5.2999999999999999E-2</v>
      </c>
      <c r="AI316" s="85">
        <v>4.8000000000000001E-2</v>
      </c>
      <c r="AJ316" s="85">
        <v>3.1E-2</v>
      </c>
      <c r="XET316" s="220">
        <v>41415</v>
      </c>
      <c r="XEU316" s="221">
        <v>5.8393329999999999</v>
      </c>
      <c r="XEV316" s="198">
        <f t="shared" si="124"/>
        <v>-2.6128585723815934E-2</v>
      </c>
      <c r="XEW316" s="221">
        <v>3502.1201169999999</v>
      </c>
      <c r="XEX316" s="198">
        <f t="shared" si="125"/>
        <v>1.6274271501688364E-3</v>
      </c>
    </row>
    <row r="317" spans="18:47 16374:16378" x14ac:dyDescent="0.2">
      <c r="R317" s="1" t="s">
        <v>298</v>
      </c>
      <c r="S317" s="65"/>
      <c r="W317" s="12"/>
      <c r="X317" s="12"/>
      <c r="Y317" s="12"/>
      <c r="Z317" s="12"/>
      <c r="AA317" s="12"/>
      <c r="AD317" s="1">
        <f t="shared" si="137"/>
        <v>2020</v>
      </c>
      <c r="AE317" s="85">
        <v>6.0000000000000001E-3</v>
      </c>
      <c r="AF317" s="85">
        <v>0.03</v>
      </c>
      <c r="AG317" s="85">
        <v>0.04</v>
      </c>
      <c r="AH317" s="85">
        <v>5.2999999999999999E-2</v>
      </c>
      <c r="AI317" s="85">
        <v>4.8000000000000001E-2</v>
      </c>
      <c r="AJ317" s="85">
        <v>1.7000000000000001E-2</v>
      </c>
      <c r="XET317" s="220">
        <v>41416</v>
      </c>
      <c r="XEU317" s="221">
        <v>5.8159999999999998</v>
      </c>
      <c r="XEV317" s="198">
        <f t="shared" si="124"/>
        <v>-3.9958330857308155E-3</v>
      </c>
      <c r="XEW317" s="221">
        <v>3463.3000489999999</v>
      </c>
      <c r="XEX317" s="198">
        <f t="shared" si="125"/>
        <v>-1.1084733448050388E-2</v>
      </c>
    </row>
    <row r="318" spans="18:47 16374:16378" x14ac:dyDescent="0.2">
      <c r="S318" s="65"/>
      <c r="W318" s="12"/>
      <c r="X318" s="12"/>
      <c r="Y318" s="12"/>
      <c r="Z318" s="12"/>
      <c r="AA318" s="12"/>
      <c r="AD318" s="1">
        <f t="shared" si="137"/>
        <v>2021</v>
      </c>
      <c r="AE318" s="85">
        <f>0.1%</f>
        <v>1E-3</v>
      </c>
      <c r="AF318" s="85">
        <v>5.5E-2</v>
      </c>
      <c r="AG318" s="85">
        <v>2.9000000000000001E-2</v>
      </c>
      <c r="AH318" s="85">
        <v>7.6999999999999999E-2</v>
      </c>
      <c r="AI318" s="85">
        <v>5.2999999999999999E-2</v>
      </c>
      <c r="AJ318" s="85">
        <v>5.8000000000000003E-2</v>
      </c>
      <c r="XET318" s="220">
        <v>41417</v>
      </c>
      <c r="XEU318" s="221">
        <v>6.1820000000000004</v>
      </c>
      <c r="XEV318" s="198">
        <f t="shared" si="124"/>
        <v>6.2929848693260126E-2</v>
      </c>
      <c r="XEW318" s="221">
        <v>3459.419922</v>
      </c>
      <c r="XEX318" s="198">
        <f t="shared" si="125"/>
        <v>-1.1203554254908266E-3</v>
      </c>
    </row>
    <row r="319" spans="18:47 16374:16378" x14ac:dyDescent="0.2">
      <c r="R319" s="30" t="s">
        <v>301</v>
      </c>
      <c r="S319" s="65"/>
      <c r="W319" s="12"/>
      <c r="X319" s="12"/>
      <c r="Y319" s="12"/>
      <c r="Z319" s="12"/>
      <c r="AA319" s="12"/>
      <c r="AD319" s="85"/>
      <c r="AF319" s="85"/>
      <c r="AG319" s="85"/>
      <c r="XET319" s="220">
        <v>41418</v>
      </c>
      <c r="XEU319" s="221">
        <v>6.4720000000000004</v>
      </c>
      <c r="XEV319" s="198">
        <f t="shared" si="124"/>
        <v>4.6910384988676723E-2</v>
      </c>
      <c r="XEW319" s="221">
        <v>3459.139893</v>
      </c>
      <c r="XEX319" s="198">
        <f t="shared" si="125"/>
        <v>-8.094680793713227E-5</v>
      </c>
    </row>
    <row r="320" spans="18:47 16374:16378" x14ac:dyDescent="0.2">
      <c r="S320" s="68" t="s">
        <v>302</v>
      </c>
      <c r="W320" s="12">
        <v>276.28899999999999</v>
      </c>
      <c r="X320" s="12">
        <v>547</v>
      </c>
      <c r="Y320" s="12">
        <v>745</v>
      </c>
      <c r="Z320" s="12">
        <f>989</f>
        <v>989</v>
      </c>
      <c r="AA320" s="12">
        <f>1398</f>
        <v>1398</v>
      </c>
      <c r="AD320" s="85"/>
      <c r="AE320" s="85"/>
      <c r="AF320" s="85"/>
      <c r="AG320" s="85"/>
      <c r="XET320" s="220">
        <v>41422</v>
      </c>
      <c r="XEU320" s="221">
        <v>7.3553329999999999</v>
      </c>
      <c r="XEV320" s="198">
        <f t="shared" si="124"/>
        <v>0.13648532138442504</v>
      </c>
      <c r="XEW320" s="221">
        <v>3488.889893</v>
      </c>
      <c r="XEX320" s="198">
        <f t="shared" si="125"/>
        <v>8.6004038345492972E-3</v>
      </c>
    </row>
    <row r="321" spans="18:33 16374:16378" x14ac:dyDescent="0.2">
      <c r="S321" s="68" t="s">
        <v>308</v>
      </c>
      <c r="W321" s="12">
        <v>1665.768</v>
      </c>
      <c r="X321" s="12">
        <v>1662</v>
      </c>
      <c r="Y321" s="12">
        <v>0</v>
      </c>
      <c r="Z321" s="12">
        <v>0</v>
      </c>
      <c r="AA321" s="12">
        <v>0</v>
      </c>
      <c r="AD321" s="85"/>
      <c r="AE321" s="85"/>
      <c r="AF321" s="85"/>
      <c r="AG321" s="85"/>
      <c r="XET321" s="220">
        <v>41423</v>
      </c>
      <c r="XEU321" s="221">
        <v>6.975333</v>
      </c>
      <c r="XEV321" s="198">
        <f t="shared" si="124"/>
        <v>-5.1663194582760585E-2</v>
      </c>
      <c r="XEW321" s="221">
        <v>3467.5200199999999</v>
      </c>
      <c r="XEX321" s="198">
        <f t="shared" si="125"/>
        <v>-6.1251210715694837E-3</v>
      </c>
    </row>
    <row r="322" spans="18:33 16374:16378" x14ac:dyDescent="0.2">
      <c r="S322" s="68" t="s">
        <v>309</v>
      </c>
      <c r="W322" s="12">
        <v>0</v>
      </c>
      <c r="X322" s="12">
        <v>0</v>
      </c>
      <c r="Y322" s="12">
        <v>956</v>
      </c>
      <c r="Z322" s="12">
        <f>1254</f>
        <v>1254</v>
      </c>
      <c r="AA322" s="12">
        <f>1671</f>
        <v>1671</v>
      </c>
      <c r="AD322" s="85"/>
      <c r="AE322" s="85"/>
      <c r="AF322" s="85"/>
      <c r="AG322" s="85"/>
      <c r="XET322" s="220">
        <v>41424</v>
      </c>
      <c r="XEU322" s="221">
        <v>6.9966670000000004</v>
      </c>
      <c r="XEV322" s="198">
        <f t="shared" si="124"/>
        <v>3.0584919745051398E-3</v>
      </c>
      <c r="XEW322" s="221">
        <v>3491.3000489999999</v>
      </c>
      <c r="XEX322" s="198">
        <f t="shared" si="125"/>
        <v>6.8579356032096861E-3</v>
      </c>
    </row>
    <row r="323" spans="18:33 16374:16378" x14ac:dyDescent="0.2">
      <c r="S323" s="68" t="s">
        <v>303</v>
      </c>
      <c r="W323" s="12">
        <v>46.82</v>
      </c>
      <c r="X323" s="12">
        <v>59</v>
      </c>
      <c r="Y323" s="12">
        <v>0</v>
      </c>
      <c r="Z323" s="12">
        <f>151</f>
        <v>151</v>
      </c>
      <c r="AA323" s="12">
        <f>24</f>
        <v>24</v>
      </c>
      <c r="AD323" s="85"/>
      <c r="AE323" s="85"/>
      <c r="AF323" s="85"/>
      <c r="AG323" s="85"/>
      <c r="XET323" s="220">
        <v>41425</v>
      </c>
      <c r="XEU323" s="221">
        <v>6.5173329999999998</v>
      </c>
      <c r="XEV323" s="198">
        <f t="shared" si="124"/>
        <v>-6.8508905740404802E-2</v>
      </c>
      <c r="XEW323" s="221">
        <v>3455.9099120000001</v>
      </c>
      <c r="XEX323" s="198">
        <f t="shared" si="125"/>
        <v>-1.0136664423940456E-2</v>
      </c>
    </row>
    <row r="324" spans="18:33 16374:16378" x14ac:dyDescent="0.2">
      <c r="S324" s="68" t="s">
        <v>304</v>
      </c>
      <c r="W324" s="12">
        <v>67.929000000000002</v>
      </c>
      <c r="X324" s="12">
        <v>50</v>
      </c>
      <c r="Y324" s="12">
        <v>37</v>
      </c>
      <c r="Z324" s="12">
        <v>0</v>
      </c>
      <c r="AA324" s="12">
        <v>0</v>
      </c>
      <c r="AC324" s="12">
        <v>1000</v>
      </c>
      <c r="AD324" s="85"/>
      <c r="AE324" s="85"/>
      <c r="AF324" s="85"/>
      <c r="AG324" s="85"/>
      <c r="XET324" s="220">
        <v>41428</v>
      </c>
      <c r="XEU324" s="221">
        <v>6.1726669999999997</v>
      </c>
      <c r="XEV324" s="198">
        <f t="shared" si="124"/>
        <v>-5.2884515798103382E-2</v>
      </c>
      <c r="XEW324" s="221">
        <v>3465.3701169999999</v>
      </c>
      <c r="XEX324" s="198">
        <f t="shared" si="125"/>
        <v>2.737399191787615E-3</v>
      </c>
    </row>
    <row r="325" spans="18:33 16374:16378" x14ac:dyDescent="0.2">
      <c r="S325" s="68" t="s">
        <v>306</v>
      </c>
      <c r="W325" s="12">
        <v>0</v>
      </c>
      <c r="X325" s="12">
        <v>84</v>
      </c>
      <c r="Y325" s="12">
        <v>545</v>
      </c>
      <c r="Z325" s="12">
        <f>500</f>
        <v>500</v>
      </c>
      <c r="AA325" s="12">
        <f>133</f>
        <v>133</v>
      </c>
      <c r="AD325" s="85"/>
      <c r="AE325" s="85"/>
      <c r="AF325" s="85"/>
      <c r="AG325" s="85"/>
      <c r="XET325" s="220">
        <v>41429</v>
      </c>
      <c r="XEU325" s="221">
        <v>6.322667</v>
      </c>
      <c r="XEV325" s="198">
        <f t="shared" si="124"/>
        <v>2.4300679106778356E-2</v>
      </c>
      <c r="XEW325" s="221">
        <v>3445.26001</v>
      </c>
      <c r="XEX325" s="198">
        <f t="shared" si="125"/>
        <v>-5.8031628140804425E-3</v>
      </c>
    </row>
    <row r="326" spans="18:33 16374:16378" ht="20" customHeight="1" x14ac:dyDescent="0.2">
      <c r="S326" s="68" t="s">
        <v>307</v>
      </c>
      <c r="W326" s="12">
        <v>356.45100000000002</v>
      </c>
      <c r="X326" s="12">
        <v>308</v>
      </c>
      <c r="Y326" s="12">
        <v>372</v>
      </c>
      <c r="Z326" s="12">
        <f>417</f>
        <v>417</v>
      </c>
      <c r="AA326" s="12">
        <f>320</f>
        <v>320</v>
      </c>
      <c r="AD326" s="85"/>
      <c r="AE326" s="85"/>
      <c r="AF326" s="85"/>
      <c r="AG326" s="85"/>
      <c r="XET326" s="220">
        <v>41430</v>
      </c>
      <c r="XEU326" s="221">
        <v>6.3579999999999997</v>
      </c>
      <c r="XEV326" s="198">
        <f t="shared" si="124"/>
        <v>5.5883063270609767E-3</v>
      </c>
      <c r="XEW326" s="221">
        <v>3401.4799800000001</v>
      </c>
      <c r="XEX326" s="198">
        <f t="shared" si="125"/>
        <v>-1.2707322487396255E-2</v>
      </c>
    </row>
    <row r="327" spans="18:33 16374:16378" x14ac:dyDescent="0.2">
      <c r="S327" s="68" t="s">
        <v>305</v>
      </c>
      <c r="W327" s="12">
        <v>29.713000000000001</v>
      </c>
      <c r="X327" s="12">
        <v>0</v>
      </c>
      <c r="Y327" s="12">
        <v>0</v>
      </c>
      <c r="Z327" s="12">
        <v>0</v>
      </c>
      <c r="AA327" s="12">
        <v>0</v>
      </c>
      <c r="AD327" s="85"/>
      <c r="AE327" s="85"/>
      <c r="AF327" s="85"/>
      <c r="AG327" s="85"/>
      <c r="XET327" s="220">
        <v>41431</v>
      </c>
      <c r="XEU327" s="221">
        <v>6.49</v>
      </c>
      <c r="XEV327" s="198">
        <f t="shared" si="124"/>
        <v>2.076124567474058E-2</v>
      </c>
      <c r="XEW327" s="221">
        <v>3424.0500489999999</v>
      </c>
      <c r="XEX327" s="198">
        <f t="shared" si="125"/>
        <v>6.6353672909167383E-3</v>
      </c>
    </row>
    <row r="328" spans="18:33 16374:16378" ht="20" customHeight="1" x14ac:dyDescent="0.2">
      <c r="S328" s="89" t="s">
        <v>71</v>
      </c>
      <c r="T328" s="15"/>
      <c r="U328" s="15"/>
      <c r="V328" s="15"/>
      <c r="W328" s="16">
        <f>SUM(W320:W327)</f>
        <v>2442.9700000000003</v>
      </c>
      <c r="X328" s="16">
        <f>SUM(X320:X326)</f>
        <v>2710</v>
      </c>
      <c r="Y328" s="16">
        <f>SUM(Y320:Y326)</f>
        <v>2655</v>
      </c>
      <c r="Z328" s="16">
        <f>SUM(Z320:Z326)</f>
        <v>3311</v>
      </c>
      <c r="AA328" s="16">
        <f>SUM(AA320:AA326)</f>
        <v>3546</v>
      </c>
      <c r="AD328" s="85"/>
      <c r="AE328" s="85"/>
      <c r="AF328" s="85"/>
      <c r="AG328" s="85"/>
      <c r="XET328" s="220">
        <v>41432</v>
      </c>
      <c r="XEU328" s="221">
        <v>6.8026669999999996</v>
      </c>
      <c r="XEV328" s="198">
        <f t="shared" si="124"/>
        <v>4.8176733436055441E-2</v>
      </c>
      <c r="XEW328" s="221">
        <v>3469.219971</v>
      </c>
      <c r="XEX328" s="198">
        <f t="shared" si="125"/>
        <v>1.3191957288472445E-2</v>
      </c>
    </row>
    <row r="329" spans="18:33 16374:16378" x14ac:dyDescent="0.2">
      <c r="S329" s="65" t="s">
        <v>310</v>
      </c>
      <c r="W329" s="12">
        <f>(2309222)/1000</f>
        <v>2309.2220000000002</v>
      </c>
      <c r="X329" s="12">
        <f>329</f>
        <v>329</v>
      </c>
      <c r="Y329" s="12">
        <f>36</f>
        <v>36</v>
      </c>
      <c r="Z329" s="12">
        <f>19</f>
        <v>19</v>
      </c>
      <c r="AA329" s="12">
        <v>0</v>
      </c>
      <c r="AD329" s="85"/>
      <c r="AE329" s="85"/>
      <c r="AF329" s="85"/>
      <c r="AG329" s="85"/>
      <c r="XET329" s="220">
        <v>41435</v>
      </c>
      <c r="XEU329" s="221">
        <v>6.67</v>
      </c>
      <c r="XEV329" s="198">
        <f t="shared" si="124"/>
        <v>-1.9502204062024409E-2</v>
      </c>
      <c r="XEW329" s="221">
        <v>3473.7700199999999</v>
      </c>
      <c r="XEX329" s="198">
        <f t="shared" si="125"/>
        <v>1.3115481399377238E-3</v>
      </c>
    </row>
    <row r="330" spans="18:33 16374:16378" ht="16" thickBot="1" x14ac:dyDescent="0.25">
      <c r="S330" s="70" t="s">
        <v>311</v>
      </c>
      <c r="T330" s="17"/>
      <c r="U330" s="17"/>
      <c r="V330" s="17"/>
      <c r="W330" s="18">
        <f t="shared" ref="W330:AA330" si="138">W328+W329</f>
        <v>4752.1920000000009</v>
      </c>
      <c r="X330" s="18">
        <f t="shared" si="138"/>
        <v>3039</v>
      </c>
      <c r="Y330" s="18">
        <f t="shared" si="138"/>
        <v>2691</v>
      </c>
      <c r="Z330" s="18">
        <f t="shared" si="138"/>
        <v>3330</v>
      </c>
      <c r="AA330" s="18">
        <f t="shared" si="138"/>
        <v>3546</v>
      </c>
      <c r="AD330" s="85"/>
      <c r="AE330" s="85"/>
      <c r="AF330" s="85"/>
      <c r="AG330" s="85"/>
      <c r="XET330" s="220">
        <v>41436</v>
      </c>
      <c r="XEU330" s="221">
        <v>6.298</v>
      </c>
      <c r="XEV330" s="198">
        <f t="shared" si="124"/>
        <v>-5.5772113943028501E-2</v>
      </c>
      <c r="XEW330" s="221">
        <v>3436.9499510000001</v>
      </c>
      <c r="XEX330" s="198">
        <f t="shared" si="125"/>
        <v>-1.0599454997887281E-2</v>
      </c>
    </row>
    <row r="331" spans="18:33 16374:16378" ht="16" thickTop="1" x14ac:dyDescent="0.2">
      <c r="S331" s="65"/>
      <c r="W331" s="12"/>
      <c r="X331" s="12"/>
      <c r="Y331" s="12"/>
      <c r="Z331" s="12"/>
      <c r="AA331" s="12"/>
      <c r="AD331" s="85"/>
      <c r="AE331" s="85"/>
      <c r="AF331" s="85"/>
      <c r="AG331" s="85"/>
      <c r="XET331" s="220">
        <v>41437</v>
      </c>
      <c r="XEU331" s="221">
        <v>6.515333</v>
      </c>
      <c r="XEV331" s="198">
        <f t="shared" si="124"/>
        <v>3.4508256589393493E-2</v>
      </c>
      <c r="XEW331" s="221">
        <v>3400.429932</v>
      </c>
      <c r="XEX331" s="198">
        <f t="shared" si="125"/>
        <v>-1.0625705791663997E-2</v>
      </c>
    </row>
    <row r="332" spans="18:33 16374:16378" x14ac:dyDescent="0.2">
      <c r="S332" s="65"/>
      <c r="W332" s="12"/>
      <c r="X332" s="12"/>
      <c r="Y332" s="12"/>
      <c r="Z332" s="12"/>
      <c r="AA332" s="12"/>
      <c r="AD332" s="85"/>
      <c r="AE332" s="85"/>
      <c r="AF332" s="85"/>
      <c r="AG332" s="85"/>
      <c r="XET332" s="220">
        <v>41438</v>
      </c>
      <c r="XEU332" s="221">
        <v>6.5453330000000003</v>
      </c>
      <c r="XEV332" s="198">
        <f t="shared" ref="XEV332:XEV395" si="139">XEU332/XEU331-1</f>
        <v>4.6045229000575283E-3</v>
      </c>
      <c r="XEW332" s="221">
        <v>3445.360107</v>
      </c>
      <c r="XEX332" s="198">
        <f t="shared" ref="XEX332:XEX395" si="140">XEW332/XEW331-1</f>
        <v>1.3213086550374564E-2</v>
      </c>
    </row>
    <row r="333" spans="18:33 16374:16378" x14ac:dyDescent="0.2">
      <c r="X333" s="12"/>
      <c r="Y333" s="12"/>
      <c r="Z333" s="12"/>
      <c r="AD333" s="85"/>
      <c r="AE333" s="85"/>
      <c r="AF333" s="85"/>
      <c r="AG333" s="85"/>
      <c r="XET333" s="220">
        <v>41439</v>
      </c>
      <c r="XEU333" s="221">
        <v>6.6866669999999999</v>
      </c>
      <c r="XEV333" s="198">
        <f t="shared" si="139"/>
        <v>2.1593095416230002E-2</v>
      </c>
      <c r="XEW333" s="221">
        <v>3423.5600589999999</v>
      </c>
      <c r="XEX333" s="198">
        <f t="shared" si="140"/>
        <v>-6.3273641427810112E-3</v>
      </c>
    </row>
    <row r="334" spans="18:33 16374:16378" x14ac:dyDescent="0.2">
      <c r="R334" s="1" t="s">
        <v>197</v>
      </c>
      <c r="W334" s="12"/>
      <c r="X334" s="12"/>
      <c r="Y334" s="12"/>
      <c r="Z334" s="12"/>
      <c r="AA334" s="12"/>
      <c r="AD334" s="85"/>
      <c r="AE334" s="85"/>
      <c r="AF334" s="85"/>
      <c r="AG334" s="85"/>
      <c r="XET334" s="220">
        <v>41442</v>
      </c>
      <c r="XEU334" s="221">
        <v>6.8133330000000001</v>
      </c>
      <c r="XEV334" s="198">
        <f t="shared" si="139"/>
        <v>1.8943069843316618E-2</v>
      </c>
      <c r="XEW334" s="221">
        <v>3452.1298830000001</v>
      </c>
      <c r="XEX334" s="198">
        <f t="shared" si="140"/>
        <v>8.3450628899863766E-3</v>
      </c>
    </row>
    <row r="335" spans="18:33 16374:16378" x14ac:dyDescent="0.2">
      <c r="W335" s="12"/>
      <c r="X335" s="53" t="s">
        <v>167</v>
      </c>
      <c r="Y335" s="12"/>
      <c r="Z335" s="12"/>
      <c r="AA335" s="53" t="s">
        <v>194</v>
      </c>
      <c r="AD335" s="85"/>
      <c r="AE335" s="85"/>
      <c r="AF335" s="85"/>
      <c r="AG335" s="85"/>
      <c r="XET335" s="220">
        <v>41443</v>
      </c>
      <c r="XEU335" s="221">
        <v>6.8926670000000003</v>
      </c>
      <c r="XEV335" s="198">
        <f t="shared" si="139"/>
        <v>1.1643934033460646E-2</v>
      </c>
      <c r="XEW335" s="221">
        <v>3482.179932</v>
      </c>
      <c r="XEX335" s="198">
        <f t="shared" si="140"/>
        <v>8.704785166972151E-3</v>
      </c>
    </row>
    <row r="336" spans="18:33 16374:16378" x14ac:dyDescent="0.2">
      <c r="S336" s="50">
        <f>$AA$96+1</f>
        <v>2022</v>
      </c>
      <c r="W336" s="12"/>
      <c r="X336" s="12">
        <v>1024</v>
      </c>
      <c r="Y336" s="12"/>
      <c r="Z336" s="12"/>
      <c r="AA336" s="12">
        <v>91</v>
      </c>
      <c r="AD336" s="85"/>
      <c r="AE336" s="85"/>
      <c r="AF336" s="85"/>
      <c r="AG336" s="85"/>
      <c r="XET336" s="220">
        <v>41444</v>
      </c>
      <c r="XEU336" s="221">
        <v>6.9786669999999997</v>
      </c>
      <c r="XEV336" s="198">
        <f t="shared" si="139"/>
        <v>1.2477028122785949E-2</v>
      </c>
      <c r="XEW336" s="221">
        <v>3443.1999510000001</v>
      </c>
      <c r="XEX336" s="198">
        <f t="shared" si="140"/>
        <v>-1.1194131768375248E-2</v>
      </c>
    </row>
    <row r="337" spans="18:33 16374:16378" ht="20" customHeight="1" x14ac:dyDescent="0.2">
      <c r="S337" s="50">
        <f t="shared" ref="S337:S340" si="141">S336+1</f>
        <v>2023</v>
      </c>
      <c r="W337" s="12"/>
      <c r="X337" s="12">
        <v>779</v>
      </c>
      <c r="Y337" s="12"/>
      <c r="Z337" s="12"/>
      <c r="AA337" s="12">
        <v>91</v>
      </c>
      <c r="AD337" s="85"/>
      <c r="AE337" s="85"/>
      <c r="AF337" s="85"/>
      <c r="AG337" s="85"/>
      <c r="XET337" s="220">
        <v>41445</v>
      </c>
      <c r="XEU337" s="221">
        <v>6.71</v>
      </c>
      <c r="XEV337" s="198">
        <f t="shared" si="139"/>
        <v>-3.8498326399583171E-2</v>
      </c>
      <c r="XEW337" s="221">
        <v>3364.639893</v>
      </c>
      <c r="XEX337" s="198">
        <f t="shared" si="140"/>
        <v>-2.2816002299600457E-2</v>
      </c>
    </row>
    <row r="338" spans="18:33 16374:16378" x14ac:dyDescent="0.2">
      <c r="S338" s="50">
        <f t="shared" si="141"/>
        <v>2024</v>
      </c>
      <c r="W338" s="12"/>
      <c r="X338" s="12">
        <v>458</v>
      </c>
      <c r="Y338" s="12"/>
      <c r="Z338" s="12"/>
      <c r="AA338" s="12">
        <v>100</v>
      </c>
      <c r="AF338" s="85"/>
      <c r="AG338" s="85"/>
      <c r="XET338" s="220">
        <v>41446</v>
      </c>
      <c r="XEU338" s="221">
        <v>6.6366670000000001</v>
      </c>
      <c r="XEV338" s="198">
        <f t="shared" si="139"/>
        <v>-1.0928912071535013E-2</v>
      </c>
      <c r="XEW338" s="221">
        <v>3357.25</v>
      </c>
      <c r="XEX338" s="198">
        <f t="shared" si="140"/>
        <v>-2.1963399457322064E-3</v>
      </c>
    </row>
    <row r="339" spans="18:33 16374:16378" ht="20" customHeight="1" x14ac:dyDescent="0.2">
      <c r="S339" s="50">
        <f t="shared" si="141"/>
        <v>2025</v>
      </c>
      <c r="W339" s="12"/>
      <c r="X339" s="12">
        <v>218</v>
      </c>
      <c r="Y339" s="12"/>
      <c r="Z339" s="12"/>
      <c r="AA339" s="12">
        <v>95</v>
      </c>
      <c r="AF339" s="85"/>
      <c r="AG339" s="85"/>
      <c r="XET339" s="220">
        <v>41449</v>
      </c>
      <c r="XEU339" s="221">
        <v>6.766</v>
      </c>
      <c r="XEV339" s="198">
        <f t="shared" si="139"/>
        <v>1.948764342101228E-2</v>
      </c>
      <c r="XEW339" s="221">
        <v>3320.76001</v>
      </c>
      <c r="XEX339" s="198">
        <f t="shared" si="140"/>
        <v>-1.0869011840047627E-2</v>
      </c>
    </row>
    <row r="340" spans="18:33 16374:16378" x14ac:dyDescent="0.2">
      <c r="S340" s="50">
        <f t="shared" si="141"/>
        <v>2026</v>
      </c>
      <c r="W340" s="12"/>
      <c r="X340" s="12">
        <v>192</v>
      </c>
      <c r="Y340" s="12"/>
      <c r="Z340" s="12"/>
      <c r="AA340" s="12">
        <v>39</v>
      </c>
      <c r="AF340" s="85"/>
      <c r="AG340" s="85"/>
      <c r="XET340" s="220">
        <v>41450</v>
      </c>
      <c r="XEU340" s="221">
        <v>6.8266669999999996</v>
      </c>
      <c r="XEV340" s="198">
        <f t="shared" si="139"/>
        <v>8.9664498965413841E-3</v>
      </c>
      <c r="XEW340" s="221">
        <v>3347.889893</v>
      </c>
      <c r="XEX340" s="198">
        <f t="shared" si="140"/>
        <v>8.1697812905185963E-3</v>
      </c>
    </row>
    <row r="341" spans="18:33 16374:16378" x14ac:dyDescent="0.2">
      <c r="S341" s="61" t="s">
        <v>188</v>
      </c>
      <c r="W341" s="12"/>
      <c r="X341" s="12">
        <v>1906</v>
      </c>
      <c r="Y341" s="12"/>
      <c r="Z341" s="12"/>
      <c r="AA341" s="12">
        <v>11</v>
      </c>
      <c r="AF341" s="85"/>
      <c r="XET341" s="220">
        <v>41451</v>
      </c>
      <c r="XEU341" s="221">
        <v>7.048</v>
      </c>
      <c r="XEV341" s="198">
        <f t="shared" si="139"/>
        <v>3.2421824588778181E-2</v>
      </c>
      <c r="XEW341" s="221">
        <v>3376.219971</v>
      </c>
      <c r="XEX341" s="198">
        <f t="shared" si="140"/>
        <v>8.462069812760209E-3</v>
      </c>
    </row>
    <row r="342" spans="18:33 16374:16378" ht="16" thickBot="1" x14ac:dyDescent="0.25">
      <c r="S342" s="17" t="s">
        <v>195</v>
      </c>
      <c r="T342" s="17"/>
      <c r="U342" s="17"/>
      <c r="V342" s="17"/>
      <c r="W342" s="18"/>
      <c r="X342" s="18">
        <f>SUM(X336:X341)</f>
        <v>4577</v>
      </c>
      <c r="Y342" s="18"/>
      <c r="Z342" s="18"/>
      <c r="AA342" s="18">
        <f>SUM(AA336:AA341)</f>
        <v>427</v>
      </c>
      <c r="AF342" s="85"/>
      <c r="AG342" s="85"/>
      <c r="XET342" s="220">
        <v>41452</v>
      </c>
      <c r="XEU342" s="221">
        <v>7.2833329999999998</v>
      </c>
      <c r="XEV342" s="198">
        <f t="shared" si="139"/>
        <v>3.3390039727582366E-2</v>
      </c>
      <c r="XEW342" s="221">
        <v>3401.860107</v>
      </c>
      <c r="XEX342" s="198">
        <f t="shared" si="140"/>
        <v>7.5943321881382087E-3</v>
      </c>
    </row>
    <row r="343" spans="18:33 16374:16378" ht="16" thickTop="1" x14ac:dyDescent="0.2">
      <c r="S343" s="64" t="s">
        <v>199</v>
      </c>
      <c r="W343" s="12"/>
      <c r="X343" s="12">
        <f>X342-X344</f>
        <v>66</v>
      </c>
      <c r="Y343" s="12"/>
      <c r="Z343" s="12"/>
      <c r="AA343" s="12"/>
      <c r="AF343" s="85"/>
      <c r="AG343" s="85"/>
      <c r="XET343" s="220">
        <v>41453</v>
      </c>
      <c r="XEU343" s="221">
        <v>7.1573330000000004</v>
      </c>
      <c r="XEV343" s="198">
        <f t="shared" si="139"/>
        <v>-1.7299771958799504E-2</v>
      </c>
      <c r="XEW343" s="221">
        <v>3403.25</v>
      </c>
      <c r="XEX343" s="198">
        <f t="shared" si="140"/>
        <v>4.0856853494353196E-4</v>
      </c>
    </row>
    <row r="344" spans="18:33 16374:16378" x14ac:dyDescent="0.2">
      <c r="S344" s="15" t="s">
        <v>196</v>
      </c>
      <c r="T344" s="15"/>
      <c r="U344" s="15"/>
      <c r="V344" s="15"/>
      <c r="W344" s="16"/>
      <c r="X344" s="16">
        <v>4511</v>
      </c>
      <c r="Y344" s="16"/>
      <c r="Z344" s="16"/>
      <c r="AA344" s="16"/>
      <c r="XET344" s="220">
        <v>41456</v>
      </c>
      <c r="XEU344" s="221">
        <v>7.8120000000000003</v>
      </c>
      <c r="XEV344" s="198">
        <f t="shared" si="139"/>
        <v>9.1468009103390813E-2</v>
      </c>
      <c r="XEW344" s="221">
        <v>3434.48999</v>
      </c>
      <c r="XEX344" s="198">
        <f t="shared" si="140"/>
        <v>9.1794578711525965E-3</v>
      </c>
    </row>
    <row r="345" spans="18:33 16374:16378" x14ac:dyDescent="0.2">
      <c r="W345" s="12"/>
      <c r="X345" s="12"/>
      <c r="Y345" s="12"/>
      <c r="Z345" s="12"/>
      <c r="AA345" s="12"/>
      <c r="XET345" s="220">
        <v>41457</v>
      </c>
      <c r="XEU345" s="221">
        <v>7.8546670000000001</v>
      </c>
      <c r="XEV345" s="198">
        <f t="shared" si="139"/>
        <v>5.4617255504352258E-3</v>
      </c>
      <c r="XEW345" s="221">
        <v>3433.3999020000001</v>
      </c>
      <c r="XEX345" s="198">
        <f t="shared" si="140"/>
        <v>-3.1739443212064344E-4</v>
      </c>
    </row>
    <row r="346" spans="18:33 16374:16378" x14ac:dyDescent="0.2">
      <c r="W346" s="12"/>
      <c r="X346" s="12"/>
      <c r="Y346" s="12"/>
      <c r="Z346" s="12"/>
      <c r="AA346" s="12"/>
      <c r="XET346" s="220">
        <v>41458</v>
      </c>
      <c r="XEU346" s="221">
        <v>7.6826670000000004</v>
      </c>
      <c r="XEV346" s="198">
        <f t="shared" si="139"/>
        <v>-2.1897809289687209E-2</v>
      </c>
      <c r="XEW346" s="221">
        <v>3443.669922</v>
      </c>
      <c r="XEX346" s="198">
        <f t="shared" si="140"/>
        <v>2.9912099647984025E-3</v>
      </c>
    </row>
    <row r="347" spans="18:33 16374:16378" x14ac:dyDescent="0.2">
      <c r="R347" s="1" t="s">
        <v>198</v>
      </c>
      <c r="W347" s="12"/>
      <c r="X347" s="12"/>
      <c r="Y347" s="12"/>
      <c r="Z347" s="12"/>
      <c r="AA347" s="12"/>
      <c r="XET347" s="220">
        <v>41460</v>
      </c>
      <c r="XEU347" s="221">
        <v>8.0060000000000002</v>
      </c>
      <c r="XEV347" s="198">
        <f t="shared" si="139"/>
        <v>4.2086036008068595E-2</v>
      </c>
      <c r="XEW347" s="221">
        <v>3479.3798830000001</v>
      </c>
      <c r="XEX347" s="198">
        <f t="shared" si="140"/>
        <v>1.0369739785995646E-2</v>
      </c>
    </row>
    <row r="348" spans="18:33 16374:16378" x14ac:dyDescent="0.2">
      <c r="W348" s="12"/>
      <c r="X348" s="53" t="s">
        <v>167</v>
      </c>
      <c r="Y348" s="12"/>
      <c r="Z348" s="12"/>
      <c r="AA348" s="53" t="s">
        <v>194</v>
      </c>
      <c r="XET348" s="220">
        <v>41463</v>
      </c>
      <c r="XEU348" s="221">
        <v>8.1073330000000006</v>
      </c>
      <c r="XEV348" s="198">
        <f t="shared" si="139"/>
        <v>1.2657132150886818E-2</v>
      </c>
      <c r="XEW348" s="221">
        <v>3484.830078</v>
      </c>
      <c r="XEX348" s="198">
        <f t="shared" si="140"/>
        <v>1.566427117265734E-3</v>
      </c>
    </row>
    <row r="349" spans="18:33 16374:16378" x14ac:dyDescent="0.2">
      <c r="S349" s="29">
        <f>$AA$96</f>
        <v>2021</v>
      </c>
      <c r="W349" s="12"/>
      <c r="X349" s="12">
        <v>774</v>
      </c>
      <c r="Y349" s="12"/>
      <c r="Z349" s="12"/>
      <c r="AA349" s="12">
        <v>21</v>
      </c>
      <c r="XET349" s="220">
        <v>41464</v>
      </c>
      <c r="XEU349" s="221">
        <v>8.23</v>
      </c>
      <c r="XEV349" s="198">
        <f t="shared" si="139"/>
        <v>1.5130376413550639E-2</v>
      </c>
      <c r="XEW349" s="221">
        <v>3504.26001</v>
      </c>
      <c r="XEX349" s="198">
        <f t="shared" si="140"/>
        <v>5.5755751543418164E-3</v>
      </c>
    </row>
    <row r="350" spans="18:33 16374:16378" x14ac:dyDescent="0.2">
      <c r="S350" s="50">
        <f t="shared" ref="S350:S353" si="142">S349+1</f>
        <v>2022</v>
      </c>
      <c r="W350" s="12"/>
      <c r="X350" s="12">
        <v>594</v>
      </c>
      <c r="Y350" s="12"/>
      <c r="Z350" s="12"/>
      <c r="AA350" s="12">
        <v>21</v>
      </c>
      <c r="XET350" s="220">
        <v>41465</v>
      </c>
      <c r="XEU350" s="221">
        <v>8.1513329999999993</v>
      </c>
      <c r="XEV350" s="198">
        <f t="shared" si="139"/>
        <v>-9.5585662211422617E-3</v>
      </c>
      <c r="XEW350" s="221">
        <v>3520.76001</v>
      </c>
      <c r="XEX350" s="198">
        <f t="shared" si="140"/>
        <v>4.7085547170913067E-3</v>
      </c>
    </row>
    <row r="351" spans="18:33 16374:16378" x14ac:dyDescent="0.2">
      <c r="S351" s="50">
        <f t="shared" si="142"/>
        <v>2023</v>
      </c>
      <c r="W351" s="12"/>
      <c r="X351" s="12">
        <v>351</v>
      </c>
      <c r="Y351" s="12"/>
      <c r="Z351" s="12"/>
      <c r="AA351" s="12">
        <v>21</v>
      </c>
      <c r="XET351" s="220">
        <v>41466</v>
      </c>
      <c r="XEU351" s="221">
        <v>8.3740000000000006</v>
      </c>
      <c r="XEV351" s="198">
        <f t="shared" si="139"/>
        <v>2.7316636432348051E-2</v>
      </c>
      <c r="XEW351" s="221">
        <v>3578.3000489999999</v>
      </c>
      <c r="XEX351" s="198">
        <f t="shared" si="140"/>
        <v>1.6343073324103008E-2</v>
      </c>
    </row>
    <row r="352" spans="18:33 16374:16378" x14ac:dyDescent="0.2">
      <c r="S352" s="50">
        <f t="shared" si="142"/>
        <v>2024</v>
      </c>
      <c r="W352" s="12"/>
      <c r="X352" s="12">
        <v>206</v>
      </c>
      <c r="Y352" s="12"/>
      <c r="Z352" s="12"/>
      <c r="AA352" s="12">
        <v>30</v>
      </c>
      <c r="XET352" s="220">
        <v>41467</v>
      </c>
      <c r="XEU352" s="221">
        <v>8.66</v>
      </c>
      <c r="XEV352" s="198">
        <f t="shared" si="139"/>
        <v>3.4153331741103354E-2</v>
      </c>
      <c r="XEW352" s="221">
        <v>3600.080078</v>
      </c>
      <c r="XEX352" s="198">
        <f t="shared" si="140"/>
        <v>6.0866972310180678E-3</v>
      </c>
    </row>
    <row r="353" spans="18:27 16374:16378" x14ac:dyDescent="0.2">
      <c r="S353" s="50">
        <f t="shared" si="142"/>
        <v>2025</v>
      </c>
      <c r="W353" s="12"/>
      <c r="X353" s="12">
        <v>191</v>
      </c>
      <c r="Y353" s="12"/>
      <c r="Z353" s="12"/>
      <c r="AA353" s="12">
        <v>5</v>
      </c>
      <c r="XET353" s="220">
        <v>41470</v>
      </c>
      <c r="XEU353" s="221">
        <v>8.484</v>
      </c>
      <c r="XEV353" s="198">
        <f t="shared" si="139"/>
        <v>-2.0323325635103973E-2</v>
      </c>
      <c r="XEW353" s="221">
        <v>3607.48999</v>
      </c>
      <c r="XEX353" s="198">
        <f t="shared" si="140"/>
        <v>2.058263105113145E-3</v>
      </c>
    </row>
    <row r="354" spans="18:27 16374:16378" x14ac:dyDescent="0.2">
      <c r="S354" s="61" t="s">
        <v>188</v>
      </c>
      <c r="W354" s="12"/>
      <c r="X354" s="12">
        <v>2102</v>
      </c>
      <c r="Y354" s="12"/>
      <c r="Z354" s="12"/>
      <c r="AA354" s="12">
        <v>4</v>
      </c>
      <c r="XET354" s="220">
        <v>41471</v>
      </c>
      <c r="XEU354" s="221">
        <v>7.27</v>
      </c>
      <c r="XEV354" s="198">
        <f t="shared" si="139"/>
        <v>-0.14309288071664317</v>
      </c>
      <c r="XEW354" s="221">
        <v>3598.5</v>
      </c>
      <c r="XEX354" s="198">
        <f t="shared" si="140"/>
        <v>-2.4920346348625833E-3</v>
      </c>
    </row>
    <row r="355" spans="18:27 16374:16378" ht="16" thickBot="1" x14ac:dyDescent="0.25">
      <c r="S355" s="17" t="s">
        <v>195</v>
      </c>
      <c r="T355" s="17"/>
      <c r="U355" s="17"/>
      <c r="V355" s="17"/>
      <c r="W355" s="18"/>
      <c r="X355" s="18">
        <f>SUM(X349:X354)</f>
        <v>4218</v>
      </c>
      <c r="Y355" s="18"/>
      <c r="Z355" s="18"/>
      <c r="AA355" s="18">
        <f>SUM(AA349:AA354)</f>
        <v>102</v>
      </c>
      <c r="XET355" s="220">
        <v>41472</v>
      </c>
      <c r="XEU355" s="221">
        <v>8.016667</v>
      </c>
      <c r="XEV355" s="198">
        <f t="shared" si="139"/>
        <v>0.10270522696011009</v>
      </c>
      <c r="XEW355" s="221">
        <v>3610</v>
      </c>
      <c r="XEX355" s="198">
        <f t="shared" si="140"/>
        <v>3.1957760177852013E-3</v>
      </c>
    </row>
    <row r="356" spans="18:27 16374:16378" ht="16" thickTop="1" x14ac:dyDescent="0.2">
      <c r="S356" s="64" t="s">
        <v>199</v>
      </c>
      <c r="W356" s="12"/>
      <c r="X356" s="12">
        <f>X355-X357</f>
        <v>1127</v>
      </c>
      <c r="Y356" s="12"/>
      <c r="Z356" s="12"/>
      <c r="AA356" s="12"/>
      <c r="XET356" s="220">
        <v>41473</v>
      </c>
      <c r="XEU356" s="221">
        <v>7.935333</v>
      </c>
      <c r="XEV356" s="198">
        <f t="shared" si="139"/>
        <v>-1.0145612883758259E-2</v>
      </c>
      <c r="XEW356" s="221">
        <v>3611.280029</v>
      </c>
      <c r="XEX356" s="198">
        <f t="shared" si="140"/>
        <v>3.5457867036003954E-4</v>
      </c>
    </row>
    <row r="357" spans="18:27 16374:16378" x14ac:dyDescent="0.2">
      <c r="S357" s="15" t="s">
        <v>196</v>
      </c>
      <c r="T357" s="15"/>
      <c r="U357" s="15"/>
      <c r="V357" s="15"/>
      <c r="W357" s="16"/>
      <c r="X357" s="16">
        <v>3091</v>
      </c>
      <c r="Y357" s="16"/>
      <c r="Z357" s="16"/>
      <c r="AA357" s="16"/>
      <c r="XET357" s="220">
        <v>41474</v>
      </c>
      <c r="XEU357" s="221">
        <v>7.9786669999999997</v>
      </c>
      <c r="XEV357" s="198">
        <f t="shared" si="139"/>
        <v>5.4608924414387694E-3</v>
      </c>
      <c r="XEW357" s="221">
        <v>3587.610107</v>
      </c>
      <c r="XEX357" s="198">
        <f t="shared" si="140"/>
        <v>-6.5544410319668955E-3</v>
      </c>
    </row>
    <row r="358" spans="18:27 16374:16378" x14ac:dyDescent="0.2">
      <c r="W358" s="12"/>
      <c r="X358" s="12"/>
      <c r="Y358" s="12"/>
      <c r="Z358" s="12"/>
      <c r="AA358" s="12"/>
      <c r="XET358" s="220">
        <v>41477</v>
      </c>
      <c r="XEU358" s="221">
        <v>8.1620000000000008</v>
      </c>
      <c r="XEV358" s="198">
        <f t="shared" si="139"/>
        <v>2.2977898438423461E-2</v>
      </c>
      <c r="XEW358" s="221">
        <v>3600.389893</v>
      </c>
      <c r="XEX358" s="198">
        <f t="shared" si="140"/>
        <v>3.5622003559039328E-3</v>
      </c>
    </row>
    <row r="359" spans="18:27 16374:16378" x14ac:dyDescent="0.2">
      <c r="W359" s="12"/>
      <c r="X359" s="12"/>
      <c r="Y359" s="12"/>
      <c r="Z359" s="12"/>
      <c r="AA359" s="12"/>
      <c r="XET359" s="220">
        <v>41478</v>
      </c>
      <c r="XEU359" s="221">
        <v>8.1826670000000004</v>
      </c>
      <c r="XEV359" s="198">
        <f t="shared" si="139"/>
        <v>2.5320999754960827E-3</v>
      </c>
      <c r="XEW359" s="221">
        <v>3579.2700199999999</v>
      </c>
      <c r="XEX359" s="198">
        <f t="shared" si="140"/>
        <v>-5.865996080330671E-3</v>
      </c>
    </row>
    <row r="360" spans="18:27 16374:16378" x14ac:dyDescent="0.2">
      <c r="R360" s="1" t="s">
        <v>200</v>
      </c>
      <c r="W360" s="12"/>
      <c r="X360" s="12"/>
      <c r="Y360" s="12"/>
      <c r="Z360" s="12"/>
      <c r="AA360" s="12"/>
      <c r="XET360" s="220">
        <v>41479</v>
      </c>
      <c r="XEU360" s="221">
        <v>8.1133330000000008</v>
      </c>
      <c r="XEV360" s="198">
        <f t="shared" si="139"/>
        <v>-8.4732765001923616E-3</v>
      </c>
      <c r="XEW360" s="221">
        <v>3579.6000979999999</v>
      </c>
      <c r="XEX360" s="198">
        <f t="shared" si="140"/>
        <v>9.2219362650913794E-5</v>
      </c>
    </row>
    <row r="361" spans="18:27 16374:16378" x14ac:dyDescent="0.2">
      <c r="W361" s="12"/>
      <c r="X361" s="53" t="s">
        <v>167</v>
      </c>
      <c r="Y361" s="12"/>
      <c r="Z361" s="12"/>
      <c r="AA361" s="53"/>
      <c r="XET361" s="220">
        <v>41480</v>
      </c>
      <c r="XEU361" s="221">
        <v>8.2713330000000003</v>
      </c>
      <c r="XEV361" s="198">
        <f t="shared" si="139"/>
        <v>1.9474117480448472E-2</v>
      </c>
      <c r="XEW361" s="221">
        <v>3605.1899410000001</v>
      </c>
      <c r="XEX361" s="198">
        <f t="shared" si="140"/>
        <v>7.1487993908307956E-3</v>
      </c>
    </row>
    <row r="362" spans="18:27 16374:16378" x14ac:dyDescent="0.2">
      <c r="S362" s="29">
        <f>$AA$96-1</f>
        <v>2020</v>
      </c>
      <c r="W362" s="12"/>
      <c r="X362" s="12">
        <v>644</v>
      </c>
      <c r="Y362" s="12"/>
      <c r="Z362" s="12"/>
      <c r="AA362" s="12"/>
      <c r="XET362" s="220">
        <v>41481</v>
      </c>
      <c r="XEU362" s="221">
        <v>8.6259999999999994</v>
      </c>
      <c r="XEV362" s="198">
        <f t="shared" si="139"/>
        <v>4.2879061935966023E-2</v>
      </c>
      <c r="XEW362" s="221">
        <v>3613.1599120000001</v>
      </c>
      <c r="XEX362" s="198">
        <f t="shared" si="140"/>
        <v>2.2106937860226772E-3</v>
      </c>
    </row>
    <row r="363" spans="18:27 16374:16378" x14ac:dyDescent="0.2">
      <c r="S363" s="29">
        <f t="shared" ref="S363:S366" si="143">S362+1</f>
        <v>2021</v>
      </c>
      <c r="W363" s="12"/>
      <c r="X363" s="12">
        <v>494</v>
      </c>
      <c r="Y363" s="12"/>
      <c r="Z363" s="12"/>
      <c r="AA363" s="12"/>
      <c r="XET363" s="220">
        <v>41484</v>
      </c>
      <c r="XEU363" s="221">
        <v>8.9746670000000002</v>
      </c>
      <c r="XEV363" s="198">
        <f t="shared" si="139"/>
        <v>4.0420472988639045E-2</v>
      </c>
      <c r="XEW363" s="221">
        <v>3599.139893</v>
      </c>
      <c r="XEX363" s="198">
        <f t="shared" si="140"/>
        <v>-3.8802652917289127E-3</v>
      </c>
    </row>
    <row r="364" spans="18:27 16374:16378" x14ac:dyDescent="0.2">
      <c r="S364" s="50">
        <f t="shared" si="143"/>
        <v>2022</v>
      </c>
      <c r="W364" s="12"/>
      <c r="X364" s="12">
        <v>317</v>
      </c>
      <c r="Y364" s="12"/>
      <c r="Z364" s="12"/>
      <c r="AA364" s="12"/>
      <c r="XET364" s="220">
        <v>41485</v>
      </c>
      <c r="XEU364" s="221">
        <v>8.782667</v>
      </c>
      <c r="XEV364" s="198">
        <f t="shared" si="139"/>
        <v>-2.1393551426476365E-2</v>
      </c>
      <c r="XEW364" s="221">
        <v>3616.469971</v>
      </c>
      <c r="XEX364" s="198">
        <f t="shared" si="140"/>
        <v>4.8150609632333641E-3</v>
      </c>
    </row>
    <row r="365" spans="18:27 16374:16378" x14ac:dyDescent="0.2">
      <c r="S365" s="50">
        <f t="shared" si="143"/>
        <v>2023</v>
      </c>
      <c r="W365" s="12"/>
      <c r="X365" s="12">
        <v>190</v>
      </c>
      <c r="Y365" s="12"/>
      <c r="Z365" s="12"/>
      <c r="AA365" s="12"/>
      <c r="XET365" s="220">
        <v>41486</v>
      </c>
      <c r="XEU365" s="221">
        <v>8.952</v>
      </c>
      <c r="XEV365" s="198">
        <f t="shared" si="139"/>
        <v>1.9280362104130866E-2</v>
      </c>
      <c r="XEW365" s="221">
        <v>3626.3701169999999</v>
      </c>
      <c r="XEX365" s="198">
        <f t="shared" si="140"/>
        <v>2.7375164398952823E-3</v>
      </c>
    </row>
    <row r="366" spans="18:27 16374:16378" x14ac:dyDescent="0.2">
      <c r="S366" s="50">
        <f t="shared" si="143"/>
        <v>2024</v>
      </c>
      <c r="W366" s="12"/>
      <c r="X366" s="12">
        <v>191</v>
      </c>
      <c r="Y366" s="12"/>
      <c r="Z366" s="12"/>
      <c r="AA366" s="12"/>
      <c r="XET366" s="220">
        <v>41487</v>
      </c>
      <c r="XEU366" s="221">
        <v>9.0366669999999996</v>
      </c>
      <c r="XEV366" s="198">
        <f t="shared" si="139"/>
        <v>9.4578865058088102E-3</v>
      </c>
      <c r="XEW366" s="221">
        <v>3675.73999</v>
      </c>
      <c r="XEX366" s="198">
        <f t="shared" si="140"/>
        <v>1.361412966882769E-2</v>
      </c>
    </row>
    <row r="367" spans="18:27 16374:16378" x14ac:dyDescent="0.2">
      <c r="S367" s="61" t="s">
        <v>188</v>
      </c>
      <c r="W367" s="12"/>
      <c r="X367" s="12">
        <v>2294</v>
      </c>
      <c r="Y367" s="12"/>
      <c r="Z367" s="12"/>
      <c r="AA367" s="12"/>
      <c r="XET367" s="220">
        <v>41488</v>
      </c>
      <c r="XEU367" s="221">
        <v>9.1999999999999993</v>
      </c>
      <c r="XEV367" s="198">
        <f t="shared" si="139"/>
        <v>1.8074473696994664E-2</v>
      </c>
      <c r="XEW367" s="221">
        <v>3689.5900879999999</v>
      </c>
      <c r="XEX367" s="198">
        <f t="shared" si="140"/>
        <v>3.767975438327964E-3</v>
      </c>
    </row>
    <row r="368" spans="18:27 16374:16378" ht="16" thickBot="1" x14ac:dyDescent="0.25">
      <c r="S368" s="17" t="s">
        <v>195</v>
      </c>
      <c r="T368" s="17"/>
      <c r="U368" s="17"/>
      <c r="V368" s="17"/>
      <c r="W368" s="18"/>
      <c r="X368" s="18">
        <f>SUM(X362:X367)</f>
        <v>4130</v>
      </c>
      <c r="Y368" s="18"/>
      <c r="Z368" s="18"/>
      <c r="AA368" s="18"/>
      <c r="XET368" s="220">
        <v>41491</v>
      </c>
      <c r="XEU368" s="221">
        <v>9.6453330000000008</v>
      </c>
      <c r="XEV368" s="198">
        <f t="shared" si="139"/>
        <v>4.8405760869565384E-2</v>
      </c>
      <c r="XEW368" s="221">
        <v>3692.9499510000001</v>
      </c>
      <c r="XEX368" s="198">
        <f t="shared" si="140"/>
        <v>9.1063313806261093E-4</v>
      </c>
    </row>
    <row r="369" spans="18:27 16374:16378" ht="16" thickTop="1" x14ac:dyDescent="0.2">
      <c r="S369" s="64" t="s">
        <v>199</v>
      </c>
      <c r="W369" s="12"/>
      <c r="X369" s="12">
        <f>X368-X370</f>
        <v>1683</v>
      </c>
      <c r="Y369" s="12"/>
      <c r="Z369" s="12"/>
      <c r="AA369" s="12"/>
      <c r="XET369" s="220">
        <v>41492</v>
      </c>
      <c r="XEU369" s="221">
        <v>9.4766670000000008</v>
      </c>
      <c r="XEV369" s="198">
        <f t="shared" si="139"/>
        <v>-1.7486799056082303E-2</v>
      </c>
      <c r="XEW369" s="221">
        <v>3665.7700199999999</v>
      </c>
      <c r="XEX369" s="198">
        <f t="shared" si="140"/>
        <v>-7.3599510853484817E-3</v>
      </c>
    </row>
    <row r="370" spans="18:27 16374:16378" x14ac:dyDescent="0.2">
      <c r="S370" s="15" t="s">
        <v>196</v>
      </c>
      <c r="T370" s="15"/>
      <c r="U370" s="15"/>
      <c r="V370" s="15"/>
      <c r="W370" s="16"/>
      <c r="X370" s="60">
        <v>2447</v>
      </c>
      <c r="Y370" s="16"/>
      <c r="Z370" s="16"/>
      <c r="AA370" s="16"/>
      <c r="XET370" s="220">
        <v>41493</v>
      </c>
      <c r="XEU370" s="221">
        <v>8.9486670000000004</v>
      </c>
      <c r="XEV370" s="198">
        <f t="shared" si="139"/>
        <v>-5.5715791216468857E-2</v>
      </c>
      <c r="XEW370" s="221">
        <v>3654.01001</v>
      </c>
      <c r="XEX370" s="198">
        <f t="shared" si="140"/>
        <v>-3.2080599535264653E-3</v>
      </c>
    </row>
    <row r="371" spans="18:27 16374:16378" x14ac:dyDescent="0.2">
      <c r="W371" s="12"/>
      <c r="X371" s="12"/>
      <c r="Y371" s="12"/>
      <c r="Z371" s="12"/>
      <c r="AA371" s="12"/>
      <c r="XET371" s="220">
        <v>41494</v>
      </c>
      <c r="XEU371" s="221">
        <v>10.231999999999999</v>
      </c>
      <c r="XEV371" s="198">
        <f t="shared" si="139"/>
        <v>0.14341052136591959</v>
      </c>
      <c r="XEW371" s="221">
        <v>3669.1201169999999</v>
      </c>
      <c r="XEX371" s="198">
        <f t="shared" si="140"/>
        <v>4.1352122623221632E-3</v>
      </c>
    </row>
    <row r="372" spans="18:27 16374:16378" x14ac:dyDescent="0.2">
      <c r="W372" s="12"/>
      <c r="X372" s="12"/>
      <c r="Y372" s="12"/>
      <c r="Z372" s="12"/>
      <c r="AA372" s="12"/>
      <c r="XET372" s="220">
        <v>41495</v>
      </c>
      <c r="XEU372" s="221">
        <v>10.199999999999999</v>
      </c>
      <c r="XEV372" s="198">
        <f t="shared" si="139"/>
        <v>-3.1274433150899617E-3</v>
      </c>
      <c r="XEW372" s="221">
        <v>3660.110107</v>
      </c>
      <c r="XEX372" s="198">
        <f t="shared" si="140"/>
        <v>-2.4556323349170794E-3</v>
      </c>
    </row>
    <row r="373" spans="18:27 16374:16378" x14ac:dyDescent="0.2">
      <c r="R373" s="1" t="s">
        <v>201</v>
      </c>
      <c r="W373" s="12"/>
      <c r="X373" s="12"/>
      <c r="Y373" s="12"/>
      <c r="Z373" s="12"/>
      <c r="AA373" s="12"/>
      <c r="XET373" s="220">
        <v>41498</v>
      </c>
      <c r="XEU373" s="221">
        <v>9.8253330000000005</v>
      </c>
      <c r="XEV373" s="198">
        <f t="shared" si="139"/>
        <v>-3.6732058823529257E-2</v>
      </c>
      <c r="XEW373" s="221">
        <v>3669.9499510000001</v>
      </c>
      <c r="XEX373" s="198">
        <f t="shared" si="140"/>
        <v>2.6884010896779387E-3</v>
      </c>
    </row>
    <row r="374" spans="18:27 16374:16378" x14ac:dyDescent="0.2">
      <c r="W374" s="12"/>
      <c r="X374" s="53" t="s">
        <v>167</v>
      </c>
      <c r="Y374" s="12"/>
      <c r="Z374" s="12"/>
      <c r="AA374" s="53"/>
      <c r="XET374" s="220">
        <v>41499</v>
      </c>
      <c r="XEU374" s="221">
        <v>9.6953329999999998</v>
      </c>
      <c r="XEV374" s="198">
        <f t="shared" si="139"/>
        <v>-1.3231103719334558E-2</v>
      </c>
      <c r="XEW374" s="221">
        <v>3684.4399410000001</v>
      </c>
      <c r="XEX374" s="198">
        <f t="shared" si="140"/>
        <v>3.9482800020342879E-3</v>
      </c>
    </row>
    <row r="375" spans="18:27 16374:16378" x14ac:dyDescent="0.2">
      <c r="S375" s="29">
        <f>$AA$96-2</f>
        <v>2019</v>
      </c>
      <c r="W375" s="12"/>
      <c r="X375" s="12">
        <v>502</v>
      </c>
      <c r="Y375" s="12"/>
      <c r="Z375" s="12"/>
      <c r="AA375" s="12"/>
      <c r="XET375" s="220">
        <v>41500</v>
      </c>
      <c r="XEU375" s="221">
        <v>9.2906669999999991</v>
      </c>
      <c r="XEV375" s="198">
        <f t="shared" si="139"/>
        <v>-4.1738226010390789E-2</v>
      </c>
      <c r="XEW375" s="221">
        <v>3669.2700199999999</v>
      </c>
      <c r="XEX375" s="198">
        <f t="shared" si="140"/>
        <v>-4.1172936030768881E-3</v>
      </c>
    </row>
    <row r="376" spans="18:27 16374:16378" x14ac:dyDescent="0.2">
      <c r="S376" s="29">
        <f t="shared" ref="S376:S379" si="144">S375+1</f>
        <v>2020</v>
      </c>
      <c r="W376" s="12"/>
      <c r="X376" s="12">
        <v>418</v>
      </c>
      <c r="Y376" s="12"/>
      <c r="Z376" s="12"/>
      <c r="AA376" s="12"/>
      <c r="XET376" s="220">
        <v>41501</v>
      </c>
      <c r="XEU376" s="221">
        <v>9.3113329999999994</v>
      </c>
      <c r="XEV376" s="198">
        <f t="shared" si="139"/>
        <v>2.2243828134191901E-3</v>
      </c>
      <c r="XEW376" s="221">
        <v>3606.1201169999999</v>
      </c>
      <c r="XEX376" s="198">
        <f t="shared" si="140"/>
        <v>-1.7210481282595835E-2</v>
      </c>
    </row>
    <row r="377" spans="18:27 16374:16378" x14ac:dyDescent="0.2">
      <c r="S377" s="29">
        <f t="shared" si="144"/>
        <v>2021</v>
      </c>
      <c r="W377" s="12"/>
      <c r="X377" s="12">
        <v>271</v>
      </c>
      <c r="Y377" s="12"/>
      <c r="Z377" s="12"/>
      <c r="AA377" s="12"/>
      <c r="XET377" s="220">
        <v>41502</v>
      </c>
      <c r="XEU377" s="221">
        <v>9.4666669999999993</v>
      </c>
      <c r="XEV377" s="198">
        <f t="shared" si="139"/>
        <v>1.6682251617464505E-2</v>
      </c>
      <c r="XEW377" s="221">
        <v>3602.780029</v>
      </c>
      <c r="XEX377" s="198">
        <f t="shared" si="140"/>
        <v>-9.2622760519101011E-4</v>
      </c>
    </row>
    <row r="378" spans="18:27 16374:16378" x14ac:dyDescent="0.2">
      <c r="S378" s="50">
        <f t="shared" si="144"/>
        <v>2022</v>
      </c>
      <c r="W378" s="12"/>
      <c r="X378" s="12">
        <v>187</v>
      </c>
      <c r="Y378" s="12"/>
      <c r="Z378" s="12"/>
      <c r="AA378" s="12"/>
      <c r="XET378" s="220">
        <v>41505</v>
      </c>
      <c r="XEU378" s="221">
        <v>9.66</v>
      </c>
      <c r="XEV378" s="198">
        <f t="shared" si="139"/>
        <v>2.0422499280897899E-2</v>
      </c>
      <c r="XEW378" s="221">
        <v>3589.0900879999999</v>
      </c>
      <c r="XEX378" s="198">
        <f t="shared" si="140"/>
        <v>-3.7998270473925677E-3</v>
      </c>
    </row>
    <row r="379" spans="18:27 16374:16378" x14ac:dyDescent="0.2">
      <c r="S379" s="50">
        <f t="shared" si="144"/>
        <v>2023</v>
      </c>
      <c r="W379" s="12"/>
      <c r="X379" s="12">
        <v>189</v>
      </c>
      <c r="Y379" s="12"/>
      <c r="Z379" s="12"/>
      <c r="AA379" s="12"/>
      <c r="XET379" s="220">
        <v>41506</v>
      </c>
      <c r="XEU379" s="221">
        <v>9.9719999999999995</v>
      </c>
      <c r="XEV379" s="198">
        <f t="shared" si="139"/>
        <v>3.2298136645962705E-2</v>
      </c>
      <c r="XEW379" s="221">
        <v>3613.5900879999999</v>
      </c>
      <c r="XEX379" s="198">
        <f t="shared" si="140"/>
        <v>6.8262426964189604E-3</v>
      </c>
    </row>
    <row r="380" spans="18:27 16374:16378" x14ac:dyDescent="0.2">
      <c r="S380" s="61" t="s">
        <v>188</v>
      </c>
      <c r="W380" s="12"/>
      <c r="X380" s="12">
        <v>2469</v>
      </c>
      <c r="Y380" s="12"/>
      <c r="Z380" s="12"/>
      <c r="AA380" s="12"/>
      <c r="XET380" s="220">
        <v>41507</v>
      </c>
      <c r="XEU380" s="221">
        <v>9.8573330000000006</v>
      </c>
      <c r="XEV380" s="198">
        <f t="shared" si="139"/>
        <v>-1.1498896911351641E-2</v>
      </c>
      <c r="XEW380" s="221">
        <v>3599.790039</v>
      </c>
      <c r="XEX380" s="198">
        <f t="shared" si="140"/>
        <v>-3.8189303888748194E-3</v>
      </c>
    </row>
    <row r="381" spans="18:27 16374:16378" ht="16" thickBot="1" x14ac:dyDescent="0.25">
      <c r="S381" s="17" t="s">
        <v>195</v>
      </c>
      <c r="T381" s="17"/>
      <c r="U381" s="17"/>
      <c r="V381" s="17"/>
      <c r="W381" s="18"/>
      <c r="X381" s="18">
        <f>SUM(X375:X380)</f>
        <v>4036</v>
      </c>
      <c r="Y381" s="18"/>
      <c r="Z381" s="18"/>
      <c r="AA381" s="18"/>
      <c r="XET381" s="220">
        <v>41508</v>
      </c>
      <c r="XEU381" s="221">
        <v>10.473333</v>
      </c>
      <c r="XEV381" s="198">
        <f t="shared" si="139"/>
        <v>6.2491548170281019E-2</v>
      </c>
      <c r="XEW381" s="221">
        <v>3638.709961</v>
      </c>
      <c r="XEX381" s="198">
        <f t="shared" si="140"/>
        <v>1.0811720010984738E-2</v>
      </c>
    </row>
    <row r="382" spans="18:27 16374:16378" ht="16" thickTop="1" x14ac:dyDescent="0.2">
      <c r="S382" s="64" t="s">
        <v>199</v>
      </c>
      <c r="W382" s="12"/>
      <c r="X382" s="12">
        <f>X381-X383</f>
        <v>1946</v>
      </c>
      <c r="Y382" s="12"/>
      <c r="Z382" s="12"/>
      <c r="AA382" s="12"/>
      <c r="XET382" s="220">
        <v>41509</v>
      </c>
      <c r="XEU382" s="221">
        <v>10.789332999999999</v>
      </c>
      <c r="XEV382" s="198">
        <f t="shared" si="139"/>
        <v>3.0171866014381266E-2</v>
      </c>
      <c r="XEW382" s="221">
        <v>3657.790039</v>
      </c>
      <c r="XEX382" s="198">
        <f t="shared" si="140"/>
        <v>5.2436380487870249E-3</v>
      </c>
    </row>
    <row r="383" spans="18:27 16374:16378" x14ac:dyDescent="0.2">
      <c r="S383" s="15" t="s">
        <v>196</v>
      </c>
      <c r="T383" s="15"/>
      <c r="U383" s="15"/>
      <c r="V383" s="15"/>
      <c r="W383" s="16"/>
      <c r="X383" s="60">
        <v>2090</v>
      </c>
      <c r="Y383" s="16"/>
      <c r="Z383" s="16"/>
      <c r="AA383" s="16"/>
      <c r="XET383" s="220">
        <v>41512</v>
      </c>
      <c r="XEU383" s="221">
        <v>10.948</v>
      </c>
      <c r="XEV383" s="198">
        <f t="shared" si="139"/>
        <v>1.470591370198715E-2</v>
      </c>
      <c r="XEW383" s="221">
        <v>3657.570068</v>
      </c>
      <c r="XEX383" s="198">
        <f t="shared" si="140"/>
        <v>-6.0137678121074956E-5</v>
      </c>
    </row>
    <row r="384" spans="18:27 16374:16378" x14ac:dyDescent="0.2">
      <c r="W384" s="12"/>
      <c r="X384" s="12"/>
      <c r="Y384" s="12"/>
      <c r="Z384" s="12"/>
      <c r="AA384" s="12"/>
      <c r="XET384" s="220">
        <v>41513</v>
      </c>
      <c r="XEU384" s="221">
        <v>11.134</v>
      </c>
      <c r="XEV384" s="198">
        <f t="shared" si="139"/>
        <v>1.6989404457435242E-2</v>
      </c>
      <c r="XEW384" s="221">
        <v>3578.5200199999999</v>
      </c>
      <c r="XEX384" s="198">
        <f t="shared" si="140"/>
        <v>-2.1612722799655204E-2</v>
      </c>
    </row>
    <row r="385" spans="2:29 16374:16378" x14ac:dyDescent="0.2">
      <c r="W385" s="12"/>
      <c r="X385" s="12"/>
      <c r="Y385" s="12"/>
      <c r="Z385" s="12"/>
      <c r="AA385" s="12"/>
      <c r="XET385" s="220">
        <v>41514</v>
      </c>
      <c r="XEU385" s="221">
        <v>11.096667</v>
      </c>
      <c r="XEV385" s="198">
        <f t="shared" si="139"/>
        <v>-3.3530626908568895E-3</v>
      </c>
      <c r="XEW385" s="221">
        <v>3593.3500979999999</v>
      </c>
      <c r="XEX385" s="198">
        <f t="shared" si="140"/>
        <v>4.1441931069592375E-3</v>
      </c>
    </row>
    <row r="386" spans="2:29 16374:16378" x14ac:dyDescent="0.2">
      <c r="R386" s="1" t="s">
        <v>202</v>
      </c>
      <c r="W386" s="12"/>
      <c r="X386" s="12"/>
      <c r="Y386" s="12"/>
      <c r="Z386" s="12"/>
      <c r="AA386" s="12"/>
      <c r="XET386" s="220">
        <v>41515</v>
      </c>
      <c r="XEU386" s="221">
        <v>11.070667</v>
      </c>
      <c r="XEV386" s="198">
        <f t="shared" si="139"/>
        <v>-2.3430458893647366E-3</v>
      </c>
      <c r="XEW386" s="221">
        <v>3620.3000489999999</v>
      </c>
      <c r="XEX386" s="198">
        <f t="shared" si="140"/>
        <v>7.4999513726758948E-3</v>
      </c>
    </row>
    <row r="387" spans="2:29 16374:16378" x14ac:dyDescent="0.2">
      <c r="W387" s="12"/>
      <c r="X387" s="53" t="s">
        <v>167</v>
      </c>
      <c r="Y387" s="12"/>
      <c r="Z387" s="12"/>
      <c r="AA387" s="53"/>
      <c r="AC387" s="12">
        <v>4116.6040000000003</v>
      </c>
      <c r="XET387" s="220">
        <v>41516</v>
      </c>
      <c r="XEU387" s="221">
        <v>11.266667</v>
      </c>
      <c r="XEV387" s="198">
        <f t="shared" si="139"/>
        <v>1.7704443643729917E-2</v>
      </c>
      <c r="XEW387" s="221">
        <v>3589.8701169999999</v>
      </c>
      <c r="XEX387" s="198">
        <f t="shared" si="140"/>
        <v>-8.4053618728109347E-3</v>
      </c>
    </row>
    <row r="388" spans="2:29 16374:16378" x14ac:dyDescent="0.2">
      <c r="S388" s="29">
        <f>$AA$96-3</f>
        <v>2018</v>
      </c>
      <c r="W388" s="12"/>
      <c r="X388" s="12">
        <f>387343/1000</f>
        <v>387.34300000000002</v>
      </c>
      <c r="Y388" s="12"/>
      <c r="Z388" s="12"/>
      <c r="AA388" s="12"/>
      <c r="XET388" s="220">
        <v>41520</v>
      </c>
      <c r="XEU388" s="221">
        <v>11.262667</v>
      </c>
      <c r="XEV388" s="198">
        <f t="shared" si="139"/>
        <v>-3.5502957529498502E-4</v>
      </c>
      <c r="XEW388" s="221">
        <v>3612.610107</v>
      </c>
      <c r="XEX388" s="198">
        <f t="shared" si="140"/>
        <v>6.3344882290625737E-3</v>
      </c>
    </row>
    <row r="389" spans="2:29 16374:16378" x14ac:dyDescent="0.2">
      <c r="S389" s="29">
        <f t="shared" ref="S389:S392" si="145">S388+1</f>
        <v>2019</v>
      </c>
      <c r="W389" s="12"/>
      <c r="X389" s="12">
        <f>328490/1000</f>
        <v>328.49</v>
      </c>
      <c r="Y389" s="12"/>
      <c r="Z389" s="12"/>
      <c r="AA389" s="12"/>
      <c r="XET389" s="220">
        <v>41521</v>
      </c>
      <c r="XEU389" s="221">
        <v>11.374667000000001</v>
      </c>
      <c r="XEV389" s="198">
        <f t="shared" si="139"/>
        <v>9.944358649687457E-3</v>
      </c>
      <c r="XEW389" s="221">
        <v>3649.040039</v>
      </c>
      <c r="XEX389" s="198">
        <f t="shared" si="140"/>
        <v>1.0084102884341473E-2</v>
      </c>
    </row>
    <row r="390" spans="2:29 16374:16378" x14ac:dyDescent="0.2">
      <c r="S390" s="29">
        <f t="shared" si="145"/>
        <v>2020</v>
      </c>
      <c r="W390" s="12"/>
      <c r="X390" s="12">
        <f>242683/1000</f>
        <v>242.68299999999999</v>
      </c>
      <c r="Y390" s="12"/>
      <c r="Z390" s="12"/>
      <c r="AA390" s="12"/>
      <c r="XET390" s="220">
        <v>41522</v>
      </c>
      <c r="XEU390" s="221">
        <v>11.328666999999999</v>
      </c>
      <c r="XEV390" s="198">
        <f t="shared" si="139"/>
        <v>-4.0440744331241563E-3</v>
      </c>
      <c r="XEW390" s="221">
        <v>3658.780029</v>
      </c>
      <c r="XEX390" s="198">
        <f t="shared" si="140"/>
        <v>2.6691924166086789E-3</v>
      </c>
    </row>
    <row r="391" spans="2:29 16374:16378" x14ac:dyDescent="0.2">
      <c r="S391" s="29">
        <f t="shared" si="145"/>
        <v>2021</v>
      </c>
      <c r="W391" s="12"/>
      <c r="X391" s="12">
        <f>177123/1000</f>
        <v>177.12299999999999</v>
      </c>
      <c r="Y391" s="12"/>
      <c r="Z391" s="12"/>
      <c r="AA391" s="12"/>
      <c r="XET391" s="220">
        <v>41523</v>
      </c>
      <c r="XEU391" s="221">
        <v>11.131333</v>
      </c>
      <c r="XEV391" s="198">
        <f t="shared" si="139"/>
        <v>-1.7418995544665528E-2</v>
      </c>
      <c r="XEW391" s="221">
        <v>3660.01001</v>
      </c>
      <c r="XEX391" s="198">
        <f t="shared" si="140"/>
        <v>3.3617243732919633E-4</v>
      </c>
    </row>
    <row r="392" spans="2:29 16374:16378" x14ac:dyDescent="0.2">
      <c r="S392" s="50">
        <f t="shared" si="145"/>
        <v>2022</v>
      </c>
      <c r="W392" s="12"/>
      <c r="X392" s="12">
        <f>176752/1000</f>
        <v>176.75200000000001</v>
      </c>
      <c r="Y392" s="12"/>
      <c r="Z392" s="12"/>
      <c r="AA392" s="12"/>
      <c r="XET392" s="220">
        <v>41526</v>
      </c>
      <c r="XEU392" s="221">
        <v>10.713333</v>
      </c>
      <c r="XEV392" s="198">
        <f t="shared" si="139"/>
        <v>-3.7551657110608372E-2</v>
      </c>
      <c r="XEW392" s="221">
        <v>3706.179932</v>
      </c>
      <c r="XEX392" s="198">
        <f t="shared" si="140"/>
        <v>1.2614698286030013E-2</v>
      </c>
    </row>
    <row r="393" spans="2:29 16374:16378" x14ac:dyDescent="0.2">
      <c r="S393" s="61" t="s">
        <v>188</v>
      </c>
      <c r="W393" s="12"/>
      <c r="X393" s="12">
        <f>2492490/1000</f>
        <v>2492.4899999999998</v>
      </c>
      <c r="Y393" s="12"/>
      <c r="Z393" s="12"/>
      <c r="AA393" s="12"/>
      <c r="XET393" s="220">
        <v>41527</v>
      </c>
      <c r="XEU393" s="221">
        <v>11.091333000000001</v>
      </c>
      <c r="XEV393" s="198">
        <f t="shared" si="139"/>
        <v>3.5283137376575624E-2</v>
      </c>
      <c r="XEW393" s="221">
        <v>3729.0200199999999</v>
      </c>
      <c r="XEX393" s="198">
        <f t="shared" si="140"/>
        <v>6.1627034895941346E-3</v>
      </c>
    </row>
    <row r="394" spans="2:29 16374:16378" ht="16" thickBot="1" x14ac:dyDescent="0.25">
      <c r="S394" s="17" t="s">
        <v>195</v>
      </c>
      <c r="T394" s="17"/>
      <c r="U394" s="17"/>
      <c r="V394" s="17"/>
      <c r="W394" s="18"/>
      <c r="X394" s="18">
        <f>SUM(X388:X393)</f>
        <v>3804.8809999999999</v>
      </c>
      <c r="Y394" s="18"/>
      <c r="Z394" s="18"/>
      <c r="AA394" s="18"/>
      <c r="XET394" s="220">
        <v>41528</v>
      </c>
      <c r="XEU394" s="221">
        <v>10.901332999999999</v>
      </c>
      <c r="XEV394" s="198">
        <f t="shared" si="139"/>
        <v>-1.713049279108303E-2</v>
      </c>
      <c r="XEW394" s="221">
        <v>3725.01001</v>
      </c>
      <c r="XEX394" s="198">
        <f t="shared" si="140"/>
        <v>-1.0753522315495312E-3</v>
      </c>
    </row>
    <row r="395" spans="2:29 16374:16378" ht="16" thickTop="1" x14ac:dyDescent="0.2">
      <c r="S395" s="64" t="s">
        <v>199</v>
      </c>
      <c r="W395" s="12"/>
      <c r="X395" s="12">
        <f>X394-X396</f>
        <v>1714.8809999999999</v>
      </c>
      <c r="Y395" s="12"/>
      <c r="Z395" s="12"/>
      <c r="AA395" s="12"/>
      <c r="XET395" s="220">
        <v>41529</v>
      </c>
      <c r="XEU395" s="221">
        <v>10.995333</v>
      </c>
      <c r="XEV395" s="198">
        <f t="shared" si="139"/>
        <v>8.6227986981042282E-3</v>
      </c>
      <c r="XEW395" s="221">
        <v>3715.969971</v>
      </c>
      <c r="XEX395" s="198">
        <f t="shared" si="140"/>
        <v>-2.4268495858350558E-3</v>
      </c>
    </row>
    <row r="396" spans="2:29 16374:16378" ht="18" customHeight="1" x14ac:dyDescent="0.2">
      <c r="S396" s="15" t="s">
        <v>196</v>
      </c>
      <c r="T396" s="15"/>
      <c r="U396" s="15"/>
      <c r="V396" s="15"/>
      <c r="W396" s="16"/>
      <c r="X396" s="60">
        <v>2090</v>
      </c>
      <c r="Y396" s="16"/>
      <c r="Z396" s="16"/>
      <c r="AA396" s="16"/>
      <c r="XET396" s="220">
        <v>41530</v>
      </c>
      <c r="XEU396" s="221">
        <v>11.036</v>
      </c>
      <c r="XEV396" s="198">
        <f t="shared" ref="XEV396:XEV459" si="146">XEU396/XEU395-1</f>
        <v>3.6985692020423677E-3</v>
      </c>
      <c r="XEW396" s="221">
        <v>3722.179932</v>
      </c>
      <c r="XEX396" s="198">
        <f t="shared" ref="XEX396:XEX459" si="147">XEW396/XEW395-1</f>
        <v>1.6711547855507991E-3</v>
      </c>
    </row>
    <row r="397" spans="2:29 16374:16378" ht="20" customHeight="1" x14ac:dyDescent="0.25">
      <c r="B397" s="2" t="str">
        <f>'Cover Page'!$C$18</f>
        <v>Tesla, Inc.</v>
      </c>
      <c r="C397" s="3"/>
      <c r="D397" s="3"/>
      <c r="E397" s="3"/>
      <c r="F397" s="3"/>
      <c r="G397" s="3"/>
      <c r="H397" s="3"/>
      <c r="I397" s="3"/>
      <c r="J397" s="3"/>
      <c r="K397" s="3"/>
      <c r="L397" s="3"/>
      <c r="M397" s="3"/>
      <c r="N397" s="3"/>
      <c r="W397" s="12"/>
      <c r="X397" s="12"/>
      <c r="Y397" s="12"/>
      <c r="Z397" s="12"/>
      <c r="AA397" s="12"/>
      <c r="XET397" s="220">
        <v>41533</v>
      </c>
      <c r="XEU397" s="221">
        <v>11.105333</v>
      </c>
      <c r="XEV397" s="198">
        <f t="shared" si="146"/>
        <v>6.2824392895977077E-3</v>
      </c>
      <c r="XEW397" s="221">
        <v>3717.8500979999999</v>
      </c>
      <c r="XEX397" s="198">
        <f t="shared" si="147"/>
        <v>-1.1632522014253244E-3</v>
      </c>
    </row>
    <row r="398" spans="2:29 16374:16378" ht="15" customHeight="1" x14ac:dyDescent="0.2">
      <c r="B398" s="4" t="s">
        <v>45</v>
      </c>
      <c r="C398" s="4"/>
      <c r="D398" s="4"/>
      <c r="E398" s="4"/>
      <c r="F398" s="4"/>
      <c r="G398" s="4"/>
      <c r="H398" s="4"/>
      <c r="I398" s="4"/>
      <c r="J398" s="4"/>
      <c r="K398" s="4"/>
      <c r="L398" s="4"/>
      <c r="M398" s="4"/>
      <c r="N398" s="4"/>
      <c r="XET398" s="220">
        <v>41534</v>
      </c>
      <c r="XEU398" s="221">
        <v>11.082000000000001</v>
      </c>
      <c r="XEV398" s="198">
        <f t="shared" si="146"/>
        <v>-2.1010626155919532E-3</v>
      </c>
      <c r="XEW398" s="221">
        <v>3745.6999510000001</v>
      </c>
      <c r="XEX398" s="198">
        <f t="shared" si="147"/>
        <v>7.4908488147442664E-3</v>
      </c>
    </row>
    <row r="399" spans="2:29 16374:16378" ht="15" customHeight="1" thickBot="1" x14ac:dyDescent="0.25">
      <c r="B399" s="5"/>
      <c r="C399" s="5"/>
      <c r="D399" s="5"/>
      <c r="E399" s="5"/>
      <c r="F399" s="5"/>
      <c r="G399" s="5"/>
      <c r="H399" s="5"/>
      <c r="I399" s="5"/>
      <c r="J399" s="5"/>
      <c r="K399" s="5"/>
      <c r="L399" s="5"/>
      <c r="M399" s="5"/>
      <c r="N399" s="5"/>
      <c r="W399" s="12"/>
      <c r="X399" s="12"/>
      <c r="Y399" s="12"/>
      <c r="Z399" s="12"/>
      <c r="AA399" s="12"/>
      <c r="XET399" s="220">
        <v>41535</v>
      </c>
      <c r="XEU399" s="221">
        <v>11.081333000000001</v>
      </c>
      <c r="XEV399" s="198">
        <f t="shared" si="146"/>
        <v>-6.0187691752422445E-5</v>
      </c>
      <c r="XEW399" s="221">
        <v>3783.639893</v>
      </c>
      <c r="XEX399" s="198">
        <f t="shared" si="147"/>
        <v>1.0128932508294275E-2</v>
      </c>
    </row>
    <row r="400" spans="2:29 16374:16378" ht="15" customHeight="1" x14ac:dyDescent="0.2">
      <c r="W400" s="12"/>
      <c r="X400" s="12"/>
      <c r="Y400" s="12"/>
      <c r="Z400" s="12"/>
      <c r="AA400" s="12"/>
      <c r="XET400" s="220">
        <v>41536</v>
      </c>
      <c r="XEU400" s="221">
        <v>11.861333</v>
      </c>
      <c r="XEV400" s="198">
        <f t="shared" si="146"/>
        <v>7.0388643676712936E-2</v>
      </c>
      <c r="XEW400" s="221">
        <v>3789.3798830000001</v>
      </c>
      <c r="XEX400" s="198">
        <f t="shared" si="147"/>
        <v>1.5170550481349299E-3</v>
      </c>
    </row>
    <row r="401" spans="5:27 16374:16378" ht="18" customHeight="1" x14ac:dyDescent="0.2">
      <c r="W401" s="12"/>
      <c r="X401" s="12"/>
      <c r="Y401" s="12"/>
      <c r="Z401" s="12"/>
      <c r="AA401" s="12"/>
      <c r="XET401" s="220">
        <v>41537</v>
      </c>
      <c r="XEU401" s="221">
        <v>12.226000000000001</v>
      </c>
      <c r="XEV401" s="198">
        <f t="shared" si="146"/>
        <v>3.0744183642765988E-2</v>
      </c>
      <c r="XEW401" s="221">
        <v>3774.7299800000001</v>
      </c>
      <c r="XEX401" s="198">
        <f t="shared" si="147"/>
        <v>-3.8660423215214346E-3</v>
      </c>
    </row>
    <row r="402" spans="5:27 16374:16378" ht="18" customHeight="1" x14ac:dyDescent="0.2">
      <c r="E402" s="6" t="s">
        <v>8</v>
      </c>
      <c r="F402" s="7"/>
      <c r="G402" s="7"/>
      <c r="H402" s="7"/>
      <c r="I402" s="7"/>
      <c r="J402" s="23" t="s">
        <v>9</v>
      </c>
      <c r="K402" s="24"/>
      <c r="L402" s="24"/>
      <c r="M402" s="24"/>
      <c r="N402" s="24"/>
      <c r="W402" s="12"/>
      <c r="X402" s="12"/>
      <c r="Y402" s="12"/>
      <c r="Z402" s="12"/>
      <c r="AA402" s="12"/>
      <c r="XET402" s="220">
        <v>41540</v>
      </c>
      <c r="XEU402" s="221">
        <v>12.074</v>
      </c>
      <c r="XEV402" s="198">
        <f t="shared" si="146"/>
        <v>-1.2432520857189711E-2</v>
      </c>
      <c r="XEW402" s="221">
        <v>3765.290039</v>
      </c>
      <c r="XEX402" s="198">
        <f t="shared" si="147"/>
        <v>-2.5008255027555437E-3</v>
      </c>
    </row>
    <row r="403" spans="5:27 16374:16378" ht="18" customHeight="1" x14ac:dyDescent="0.2">
      <c r="E403" s="10">
        <f t="shared" ref="E403" si="148">F403-1</f>
        <v>2017</v>
      </c>
      <c r="F403" s="10">
        <f t="shared" ref="F403" si="149">G403-1</f>
        <v>2018</v>
      </c>
      <c r="G403" s="10">
        <f t="shared" ref="G403" si="150">H403-1</f>
        <v>2019</v>
      </c>
      <c r="H403" s="10">
        <f t="shared" ref="H403" si="151">I403-1</f>
        <v>2020</v>
      </c>
      <c r="I403" s="10">
        <f>2021</f>
        <v>2021</v>
      </c>
      <c r="J403" s="25">
        <v>2017</v>
      </c>
      <c r="K403" s="10">
        <v>2018</v>
      </c>
      <c r="L403" s="10">
        <v>2019</v>
      </c>
      <c r="M403" s="10">
        <v>2020</v>
      </c>
      <c r="N403" s="10">
        <v>2021</v>
      </c>
      <c r="W403" s="12"/>
      <c r="X403" s="12"/>
      <c r="Y403" s="12"/>
      <c r="Z403" s="12"/>
      <c r="AA403" s="12"/>
      <c r="XET403" s="220">
        <v>41541</v>
      </c>
      <c r="XEU403" s="221">
        <v>12.155333000000001</v>
      </c>
      <c r="XEV403" s="198">
        <f t="shared" si="146"/>
        <v>6.7362100380985446E-3</v>
      </c>
      <c r="XEW403" s="221">
        <v>3768.25</v>
      </c>
      <c r="XEX403" s="198">
        <f t="shared" si="147"/>
        <v>7.8611766141301054E-4</v>
      </c>
    </row>
    <row r="404" spans="5:27 16374:16378" x14ac:dyDescent="0.2">
      <c r="W404" s="12"/>
      <c r="X404" s="12"/>
      <c r="Y404" s="12"/>
      <c r="Z404" s="12"/>
      <c r="AA404" s="12"/>
      <c r="XET404" s="220">
        <v>41542</v>
      </c>
      <c r="XEU404" s="221">
        <v>12.349333</v>
      </c>
      <c r="XEV404" s="198">
        <f t="shared" si="146"/>
        <v>1.5960072833874461E-2</v>
      </c>
      <c r="XEW404" s="221">
        <v>3761.1000979999999</v>
      </c>
      <c r="XEX404" s="198">
        <f t="shared" si="147"/>
        <v>-1.8974064884230701E-3</v>
      </c>
    </row>
    <row r="405" spans="5:27 16374:16378" x14ac:dyDescent="0.2">
      <c r="W405" s="29">
        <f t="shared" ref="W405:AA405" si="152">W$8</f>
        <v>2017</v>
      </c>
      <c r="X405" s="29">
        <f t="shared" si="152"/>
        <v>2018</v>
      </c>
      <c r="Y405" s="29">
        <f t="shared" si="152"/>
        <v>2019</v>
      </c>
      <c r="Z405" s="29">
        <f t="shared" si="152"/>
        <v>2020</v>
      </c>
      <c r="AA405" s="29">
        <f t="shared" si="152"/>
        <v>2021</v>
      </c>
      <c r="XET405" s="220">
        <v>41543</v>
      </c>
      <c r="XEU405" s="221">
        <v>12.576000000000001</v>
      </c>
      <c r="XEV405" s="198">
        <f t="shared" si="146"/>
        <v>1.8354594535591628E-2</v>
      </c>
      <c r="XEW405" s="221">
        <v>3787.429932</v>
      </c>
      <c r="XEX405" s="198">
        <f t="shared" si="147"/>
        <v>7.0005672047923628E-3</v>
      </c>
    </row>
    <row r="406" spans="5:27 16374:16378" x14ac:dyDescent="0.2">
      <c r="W406" s="12"/>
      <c r="X406" s="12"/>
      <c r="Y406" s="12"/>
      <c r="Z406" s="12"/>
      <c r="AA406" s="12"/>
      <c r="XET406" s="220">
        <v>41544</v>
      </c>
      <c r="XEU406" s="221">
        <v>12.726667000000001</v>
      </c>
      <c r="XEV406" s="198">
        <f t="shared" si="146"/>
        <v>1.1980518447837207E-2</v>
      </c>
      <c r="XEW406" s="221">
        <v>3781.5900879999999</v>
      </c>
      <c r="XEX406" s="198">
        <f t="shared" si="147"/>
        <v>-1.5419015281733506E-3</v>
      </c>
    </row>
    <row r="407" spans="5:27 16374:16378" x14ac:dyDescent="0.2">
      <c r="W407" s="12"/>
      <c r="X407" s="12"/>
      <c r="Y407" s="12"/>
      <c r="Z407" s="12"/>
      <c r="AA407" s="12"/>
      <c r="XET407" s="220">
        <v>41547</v>
      </c>
      <c r="XEU407" s="221">
        <v>12.891332999999999</v>
      </c>
      <c r="XEV407" s="198">
        <f t="shared" si="146"/>
        <v>1.2938658644875201E-2</v>
      </c>
      <c r="XEW407" s="221">
        <v>3771.4799800000001</v>
      </c>
      <c r="XEX407" s="198">
        <f t="shared" si="147"/>
        <v>-2.6735071133389132E-3</v>
      </c>
    </row>
    <row r="408" spans="5:27 16374:16378" x14ac:dyDescent="0.2">
      <c r="R408" s="30" t="s">
        <v>313</v>
      </c>
      <c r="W408" s="12"/>
      <c r="X408" s="12"/>
      <c r="Y408" s="12"/>
      <c r="Z408" s="12"/>
      <c r="AA408" s="12"/>
      <c r="XET408" s="220">
        <v>41548</v>
      </c>
      <c r="XEU408" s="221">
        <v>12.866667</v>
      </c>
      <c r="XEV408" s="198">
        <f t="shared" si="146"/>
        <v>-1.9133785466560749E-3</v>
      </c>
      <c r="XEW408" s="221">
        <v>3817.9799800000001</v>
      </c>
      <c r="XEX408" s="198">
        <f t="shared" si="147"/>
        <v>1.2329377392054974E-2</v>
      </c>
    </row>
    <row r="409" spans="5:27 16374:16378" x14ac:dyDescent="0.2">
      <c r="S409" s="1" t="s">
        <v>314</v>
      </c>
      <c r="W409" s="12">
        <f>W$29</f>
        <v>-2241</v>
      </c>
      <c r="X409" s="12">
        <f t="shared" ref="X409:AA409" si="153">X$29</f>
        <v>-1063</v>
      </c>
      <c r="Y409" s="12">
        <f t="shared" si="153"/>
        <v>-775</v>
      </c>
      <c r="Z409" s="12">
        <f t="shared" si="153"/>
        <v>862</v>
      </c>
      <c r="AA409" s="12">
        <f t="shared" si="153"/>
        <v>5644</v>
      </c>
      <c r="XET409" s="220">
        <v>41549</v>
      </c>
      <c r="XEU409" s="221">
        <v>12.063333</v>
      </c>
      <c r="XEV409" s="198">
        <f t="shared" si="146"/>
        <v>-6.243528335659887E-2</v>
      </c>
      <c r="XEW409" s="221">
        <v>3815.0200199999999</v>
      </c>
      <c r="XEX409" s="198">
        <f t="shared" si="147"/>
        <v>-7.7526860159182753E-4</v>
      </c>
    </row>
    <row r="410" spans="5:27 16374:16378" x14ac:dyDescent="0.2">
      <c r="S410" s="1" t="s">
        <v>315</v>
      </c>
      <c r="W410" s="12"/>
      <c r="X410" s="12"/>
      <c r="Y410" s="12"/>
      <c r="Z410" s="12"/>
      <c r="AA410" s="12"/>
      <c r="XET410" s="220">
        <v>41550</v>
      </c>
      <c r="XEU410" s="221">
        <v>11.554</v>
      </c>
      <c r="XEV410" s="198">
        <f t="shared" si="146"/>
        <v>-4.2221581713776768E-2</v>
      </c>
      <c r="XEW410" s="221">
        <v>3774.3400879999999</v>
      </c>
      <c r="XEX410" s="198">
        <f t="shared" si="147"/>
        <v>-1.0663097909509811E-2</v>
      </c>
    </row>
    <row r="411" spans="5:27 16374:16378" x14ac:dyDescent="0.2">
      <c r="S411" s="1" t="s">
        <v>316</v>
      </c>
      <c r="W411" s="12">
        <v>1636</v>
      </c>
      <c r="X411" s="12">
        <v>1901</v>
      </c>
      <c r="Y411" s="12">
        <v>2154</v>
      </c>
      <c r="Z411" s="12">
        <v>2322</v>
      </c>
      <c r="AA411" s="12">
        <f>2911</f>
        <v>2911</v>
      </c>
      <c r="XET411" s="220">
        <v>41551</v>
      </c>
      <c r="XEU411" s="221">
        <v>12.065333000000001</v>
      </c>
      <c r="XEV411" s="198">
        <f t="shared" si="146"/>
        <v>4.4255928682707335E-2</v>
      </c>
      <c r="XEW411" s="221">
        <v>3807.75</v>
      </c>
      <c r="XEX411" s="198">
        <f t="shared" si="147"/>
        <v>8.8518552173457721E-3</v>
      </c>
    </row>
    <row r="412" spans="5:27 16374:16378" x14ac:dyDescent="0.2">
      <c r="S412" s="1" t="s">
        <v>317</v>
      </c>
      <c r="W412" s="12">
        <v>467</v>
      </c>
      <c r="X412" s="12">
        <v>749</v>
      </c>
      <c r="Y412" s="12">
        <v>898</v>
      </c>
      <c r="Z412" s="12">
        <v>1734</v>
      </c>
      <c r="AA412" s="12">
        <f>2121</f>
        <v>2121</v>
      </c>
      <c r="XET412" s="220">
        <v>41554</v>
      </c>
      <c r="XEU412" s="221">
        <v>12.204667000000001</v>
      </c>
      <c r="XEV412" s="198">
        <f t="shared" si="146"/>
        <v>1.1548292948068584E-2</v>
      </c>
      <c r="XEW412" s="221">
        <v>3770.3798830000001</v>
      </c>
      <c r="XEX412" s="198">
        <f t="shared" si="147"/>
        <v>-9.8142254612303415E-3</v>
      </c>
    </row>
    <row r="413" spans="5:27 16374:16378" x14ac:dyDescent="0.2">
      <c r="S413" s="1" t="s">
        <v>318</v>
      </c>
      <c r="W413" s="12">
        <v>91</v>
      </c>
      <c r="X413" s="12">
        <v>159</v>
      </c>
      <c r="Y413" s="12">
        <v>188</v>
      </c>
      <c r="Z413" s="12">
        <v>180</v>
      </c>
      <c r="AA413" s="12"/>
      <c r="XET413" s="220">
        <v>41555</v>
      </c>
      <c r="XEU413" s="221">
        <v>11.648667</v>
      </c>
      <c r="XEV413" s="198">
        <f t="shared" si="146"/>
        <v>-4.5556343323418846E-2</v>
      </c>
      <c r="XEW413" s="221">
        <v>3694.830078</v>
      </c>
      <c r="XEX413" s="198">
        <f t="shared" si="147"/>
        <v>-2.0037716979300013E-2</v>
      </c>
    </row>
    <row r="414" spans="5:27 16374:16378" x14ac:dyDescent="0.2">
      <c r="S414" s="1" t="s">
        <v>319</v>
      </c>
      <c r="W414" s="12">
        <v>132</v>
      </c>
      <c r="X414" s="12">
        <v>85</v>
      </c>
      <c r="Y414" s="12">
        <v>193</v>
      </c>
      <c r="Z414" s="12">
        <v>202</v>
      </c>
      <c r="AA414" s="12">
        <f>140</f>
        <v>140</v>
      </c>
      <c r="XET414" s="220">
        <v>41556</v>
      </c>
      <c r="XEU414" s="221">
        <v>11.252000000000001</v>
      </c>
      <c r="XEV414" s="198">
        <f t="shared" si="146"/>
        <v>-3.4052565842941473E-2</v>
      </c>
      <c r="XEW414" s="221">
        <v>3677.780029</v>
      </c>
      <c r="XEX414" s="198">
        <f t="shared" si="147"/>
        <v>-4.6145691791134036E-3</v>
      </c>
    </row>
    <row r="415" spans="5:27 16374:16378" x14ac:dyDescent="0.2">
      <c r="S415" s="1" t="s">
        <v>320</v>
      </c>
      <c r="W415" s="12">
        <v>106</v>
      </c>
      <c r="X415" s="12">
        <v>162</v>
      </c>
      <c r="Y415" s="12">
        <v>146</v>
      </c>
      <c r="Z415" s="12">
        <v>117</v>
      </c>
      <c r="AA415" s="12"/>
      <c r="XET415" s="220">
        <v>41557</v>
      </c>
      <c r="XEU415" s="221">
        <v>11.528667</v>
      </c>
      <c r="XEV415" s="198">
        <f t="shared" si="146"/>
        <v>2.4588250977603865E-2</v>
      </c>
      <c r="XEW415" s="221">
        <v>3760.75</v>
      </c>
      <c r="XEX415" s="198">
        <f t="shared" si="147"/>
        <v>2.2559797036735718E-2</v>
      </c>
    </row>
    <row r="416" spans="5:27 16374:16378" x14ac:dyDescent="0.2">
      <c r="S416" s="1" t="s">
        <v>321</v>
      </c>
      <c r="W416" s="12">
        <v>52</v>
      </c>
      <c r="X416" s="12">
        <v>-2</v>
      </c>
      <c r="Y416" s="12">
        <v>-48</v>
      </c>
      <c r="Z416" s="12">
        <v>114</v>
      </c>
      <c r="AA416" s="12">
        <v>-55</v>
      </c>
      <c r="XET416" s="220">
        <v>41558</v>
      </c>
      <c r="XEU416" s="221">
        <v>11.913333</v>
      </c>
      <c r="XEV416" s="198">
        <f t="shared" si="146"/>
        <v>3.3366043099345211E-2</v>
      </c>
      <c r="XEW416" s="221">
        <v>3791.8701169999999</v>
      </c>
      <c r="XEX416" s="198">
        <f t="shared" si="147"/>
        <v>8.2749762680316419E-3</v>
      </c>
    </row>
    <row r="417" spans="19:27 16374:16378" x14ac:dyDescent="0.2">
      <c r="S417" s="1" t="s">
        <v>322</v>
      </c>
      <c r="W417" s="12">
        <v>58</v>
      </c>
      <c r="X417" s="12">
        <v>0</v>
      </c>
      <c r="Y417" s="12">
        <v>0</v>
      </c>
      <c r="Z417" s="12">
        <v>0</v>
      </c>
      <c r="AA417" s="12"/>
      <c r="XET417" s="220">
        <v>41561</v>
      </c>
      <c r="XEU417" s="221">
        <v>11.981332999999999</v>
      </c>
      <c r="XEV417" s="198">
        <f t="shared" si="146"/>
        <v>5.7078904786762585E-3</v>
      </c>
      <c r="XEW417" s="221">
        <v>3815.280029</v>
      </c>
      <c r="XEX417" s="198">
        <f t="shared" si="147"/>
        <v>6.1737114610140864E-3</v>
      </c>
    </row>
    <row r="418" spans="19:27 16374:16378" x14ac:dyDescent="0.2">
      <c r="S418" s="1" t="s">
        <v>323</v>
      </c>
      <c r="W418" s="12">
        <v>135</v>
      </c>
      <c r="X418" s="12">
        <v>49</v>
      </c>
      <c r="Y418" s="12">
        <v>186</v>
      </c>
      <c r="Z418" s="12">
        <v>228</v>
      </c>
      <c r="AA418" s="12">
        <v>245</v>
      </c>
      <c r="XET418" s="220">
        <v>41562</v>
      </c>
      <c r="XEU418" s="221">
        <v>12.262667</v>
      </c>
      <c r="XEV418" s="198">
        <f t="shared" si="146"/>
        <v>2.3481026693774387E-2</v>
      </c>
      <c r="XEW418" s="221">
        <v>3794.01001</v>
      </c>
      <c r="XEX418" s="198">
        <f t="shared" si="147"/>
        <v>-5.5749561862632468E-3</v>
      </c>
    </row>
    <row r="419" spans="19:27 16374:16378" x14ac:dyDescent="0.2">
      <c r="S419" s="1" t="s">
        <v>360</v>
      </c>
      <c r="W419" s="12">
        <v>0</v>
      </c>
      <c r="X419" s="12">
        <v>0</v>
      </c>
      <c r="Y419" s="12">
        <v>0</v>
      </c>
      <c r="Z419" s="12">
        <v>0</v>
      </c>
      <c r="AA419" s="12">
        <v>-27</v>
      </c>
      <c r="XET419" s="220">
        <v>41563</v>
      </c>
      <c r="XEU419" s="221">
        <v>12.237333</v>
      </c>
      <c r="XEV419" s="198">
        <f t="shared" si="146"/>
        <v>-2.0659453608257161E-3</v>
      </c>
      <c r="XEW419" s="221">
        <v>3839.429932</v>
      </c>
      <c r="XEX419" s="198">
        <f t="shared" si="147"/>
        <v>1.1971481857002253E-2</v>
      </c>
    </row>
    <row r="420" spans="19:27 16374:16378" x14ac:dyDescent="0.2">
      <c r="S420" s="1" t="s">
        <v>324</v>
      </c>
      <c r="W420" s="12">
        <v>0</v>
      </c>
      <c r="X420" s="12">
        <v>0</v>
      </c>
      <c r="Y420" s="12">
        <v>-188</v>
      </c>
      <c r="Z420" s="12">
        <v>0</v>
      </c>
      <c r="AA420" s="12">
        <v>0</v>
      </c>
      <c r="XET420" s="220">
        <v>41564</v>
      </c>
      <c r="XEU420" s="221">
        <v>12.186667</v>
      </c>
      <c r="XEV420" s="198">
        <f t="shared" si="146"/>
        <v>-4.1402812197722794E-3</v>
      </c>
      <c r="XEW420" s="221">
        <v>3863.1499020000001</v>
      </c>
      <c r="XEX420" s="198">
        <f t="shared" si="147"/>
        <v>6.1779926760232584E-3</v>
      </c>
    </row>
    <row r="421" spans="19:27 16374:16378" x14ac:dyDescent="0.2">
      <c r="S421" s="1" t="s">
        <v>325</v>
      </c>
      <c r="W421" s="12"/>
      <c r="X421" s="12"/>
      <c r="Y421" s="12"/>
      <c r="Z421" s="12"/>
      <c r="AA421" s="12"/>
      <c r="XET421" s="220">
        <v>41565</v>
      </c>
      <c r="XEU421" s="221">
        <v>12.226667000000001</v>
      </c>
      <c r="XEV421" s="198">
        <f t="shared" si="146"/>
        <v>3.2822756213819471E-3</v>
      </c>
      <c r="XEW421" s="221">
        <v>3914.280029</v>
      </c>
      <c r="XEX421" s="198">
        <f t="shared" si="147"/>
        <v>1.3235346361664346E-2</v>
      </c>
    </row>
    <row r="422" spans="19:27 16374:16378" x14ac:dyDescent="0.2">
      <c r="S422" s="1" t="s">
        <v>326</v>
      </c>
      <c r="W422" s="12">
        <v>-25</v>
      </c>
      <c r="X422" s="12">
        <v>-497</v>
      </c>
      <c r="Y422" s="12">
        <v>-367</v>
      </c>
      <c r="Z422" s="12">
        <v>-652</v>
      </c>
      <c r="AA422" s="12">
        <v>-130</v>
      </c>
      <c r="XET422" s="220">
        <v>41568</v>
      </c>
      <c r="XEU422" s="221">
        <v>11.506667</v>
      </c>
      <c r="XEV422" s="198">
        <f t="shared" si="146"/>
        <v>-5.8887675602844247E-2</v>
      </c>
      <c r="XEW422" s="221">
        <v>3920.0500489999999</v>
      </c>
      <c r="XEX422" s="198">
        <f t="shared" si="147"/>
        <v>1.4740948417719668E-3</v>
      </c>
    </row>
    <row r="423" spans="19:27 16374:16378" x14ac:dyDescent="0.2">
      <c r="S423" s="1" t="s">
        <v>51</v>
      </c>
      <c r="W423" s="12">
        <v>-179</v>
      </c>
      <c r="X423" s="12">
        <v>-1023</v>
      </c>
      <c r="Y423" s="12">
        <v>-429</v>
      </c>
      <c r="Z423" s="12">
        <v>-422</v>
      </c>
      <c r="AA423" s="12">
        <f>-1709</f>
        <v>-1709</v>
      </c>
      <c r="XET423" s="220">
        <v>41569</v>
      </c>
      <c r="XEU423" s="221">
        <v>11.436</v>
      </c>
      <c r="XEV423" s="198">
        <f t="shared" si="146"/>
        <v>-6.1413961140963647E-3</v>
      </c>
      <c r="XEW423" s="221">
        <v>3929.570068</v>
      </c>
      <c r="XEX423" s="198">
        <f t="shared" si="147"/>
        <v>2.4285452688106446E-3</v>
      </c>
    </row>
    <row r="424" spans="19:27 16374:16378" x14ac:dyDescent="0.2">
      <c r="S424" s="1" t="s">
        <v>327</v>
      </c>
      <c r="W424" s="12">
        <v>-1523</v>
      </c>
      <c r="X424" s="12">
        <v>-215</v>
      </c>
      <c r="Y424" s="12">
        <v>-764</v>
      </c>
      <c r="Z424" s="12">
        <v>-1072</v>
      </c>
      <c r="AA424" s="12">
        <v>-2114</v>
      </c>
      <c r="XET424" s="220">
        <v>41570</v>
      </c>
      <c r="XEU424" s="221">
        <v>10.966666999999999</v>
      </c>
      <c r="XEV424" s="198">
        <f t="shared" si="146"/>
        <v>-4.1039961525008772E-2</v>
      </c>
      <c r="XEW424" s="221">
        <v>3907.070068</v>
      </c>
      <c r="XEX424" s="198">
        <f t="shared" si="147"/>
        <v>-5.725817229530028E-3</v>
      </c>
    </row>
    <row r="425" spans="19:27 16374:16378" x14ac:dyDescent="0.2">
      <c r="S425" s="1" t="s">
        <v>370</v>
      </c>
      <c r="W425" s="12">
        <v>-72</v>
      </c>
      <c r="X425" s="12">
        <v>-82</v>
      </c>
      <c r="Y425" s="12">
        <v>-288</v>
      </c>
      <c r="Z425" s="12">
        <v>-251</v>
      </c>
      <c r="AA425" s="12">
        <v>-271</v>
      </c>
      <c r="XET425" s="220">
        <v>41571</v>
      </c>
      <c r="XEU425" s="221">
        <v>11.543333000000001</v>
      </c>
      <c r="XEV425" s="198">
        <f t="shared" si="146"/>
        <v>5.2583524237582946E-2</v>
      </c>
      <c r="XEW425" s="221">
        <v>3928.959961</v>
      </c>
      <c r="XEX425" s="198">
        <f t="shared" si="147"/>
        <v>5.6026364050352218E-3</v>
      </c>
    </row>
    <row r="426" spans="19:27 16374:16378" x14ac:dyDescent="0.2">
      <c r="S426" s="1" t="s">
        <v>59</v>
      </c>
      <c r="W426" s="12">
        <v>-15</v>
      </c>
      <c r="X426" s="12">
        <v>-207</v>
      </c>
      <c r="Y426" s="12">
        <v>115</v>
      </c>
      <c r="Z426" s="12">
        <v>-344</v>
      </c>
      <c r="AA426" s="12">
        <v>-1291</v>
      </c>
      <c r="XET426" s="220">
        <v>41572</v>
      </c>
      <c r="XEU426" s="221">
        <v>11.310667</v>
      </c>
      <c r="XEV426" s="198">
        <f t="shared" si="146"/>
        <v>-2.0155876989774058E-2</v>
      </c>
      <c r="XEW426" s="221">
        <v>3943.360107</v>
      </c>
      <c r="XEX426" s="198">
        <f t="shared" si="147"/>
        <v>3.6651292308753636E-3</v>
      </c>
    </row>
    <row r="427" spans="19:27 16374:16378" x14ac:dyDescent="0.2">
      <c r="S427" s="1" t="s">
        <v>371</v>
      </c>
      <c r="W427" s="12">
        <v>388</v>
      </c>
      <c r="X427" s="12">
        <v>1723</v>
      </c>
      <c r="Y427" s="12">
        <v>682</v>
      </c>
      <c r="Z427" s="12">
        <v>2102</v>
      </c>
      <c r="AA427" s="12">
        <f>4578</f>
        <v>4578</v>
      </c>
      <c r="XET427" s="220">
        <v>41575</v>
      </c>
      <c r="XEU427" s="221">
        <v>10.857333000000001</v>
      </c>
      <c r="XEV427" s="198">
        <f t="shared" si="146"/>
        <v>-4.0080218080861152E-2</v>
      </c>
      <c r="XEW427" s="221">
        <v>3940.1298830000001</v>
      </c>
      <c r="XEX427" s="198">
        <f t="shared" si="147"/>
        <v>-8.1915521594533303E-4</v>
      </c>
    </row>
    <row r="428" spans="19:27 16374:16378" x14ac:dyDescent="0.2">
      <c r="S428" s="1" t="s">
        <v>65</v>
      </c>
      <c r="W428" s="12">
        <v>469</v>
      </c>
      <c r="X428" s="12">
        <v>406</v>
      </c>
      <c r="Y428" s="12">
        <v>801</v>
      </c>
      <c r="Z428" s="12">
        <v>321</v>
      </c>
      <c r="AA428" s="12">
        <f>793</f>
        <v>793</v>
      </c>
      <c r="XET428" s="220">
        <v>41576</v>
      </c>
      <c r="XEU428" s="221">
        <v>10.964667</v>
      </c>
      <c r="XEV428" s="198">
        <f t="shared" si="146"/>
        <v>9.8858531832817231E-3</v>
      </c>
      <c r="XEW428" s="221">
        <v>3952.3400879999999</v>
      </c>
      <c r="XEX428" s="198">
        <f t="shared" si="147"/>
        <v>3.0989346449419308E-3</v>
      </c>
    </row>
    <row r="429" spans="19:27 16374:16378" x14ac:dyDescent="0.2">
      <c r="S429" s="1" t="s">
        <v>66</v>
      </c>
      <c r="W429" s="12">
        <v>170</v>
      </c>
      <c r="X429" s="12">
        <v>-96</v>
      </c>
      <c r="Y429" s="12">
        <v>-58</v>
      </c>
      <c r="Z429" s="12">
        <v>7</v>
      </c>
      <c r="AA429" s="12">
        <f>186</f>
        <v>186</v>
      </c>
      <c r="XET429" s="220">
        <v>41577</v>
      </c>
      <c r="XEU429" s="221">
        <v>10.614667000000001</v>
      </c>
      <c r="XEV429" s="198">
        <f t="shared" si="146"/>
        <v>-3.1920714053605082E-2</v>
      </c>
      <c r="XEW429" s="221">
        <v>3930.6201169999999</v>
      </c>
      <c r="XEX429" s="198">
        <f t="shared" si="147"/>
        <v>-5.4954711680671453E-3</v>
      </c>
    </row>
    <row r="430" spans="19:27 16374:16378" x14ac:dyDescent="0.2">
      <c r="S430" s="1" t="s">
        <v>328</v>
      </c>
      <c r="W430" s="12">
        <v>209</v>
      </c>
      <c r="X430" s="12">
        <v>-111</v>
      </c>
      <c r="Y430" s="12">
        <v>-150</v>
      </c>
      <c r="Z430" s="12">
        <v>0</v>
      </c>
      <c r="AA430" s="12">
        <v>0</v>
      </c>
      <c r="XET430" s="220">
        <v>41578</v>
      </c>
      <c r="XEU430" s="221">
        <v>10.662667000000001</v>
      </c>
      <c r="XEV430" s="198">
        <f t="shared" si="146"/>
        <v>4.5220448272187408E-3</v>
      </c>
      <c r="XEW430" s="221">
        <v>3919.709961</v>
      </c>
      <c r="XEX430" s="198">
        <f t="shared" si="147"/>
        <v>-2.7756831429253115E-3</v>
      </c>
    </row>
    <row r="431" spans="19:27 16374:16378" x14ac:dyDescent="0.2">
      <c r="S431" s="1" t="s">
        <v>71</v>
      </c>
      <c r="W431" s="12">
        <f>81-0.0409999999974389</f>
        <v>80.959000000002561</v>
      </c>
      <c r="X431" s="12">
        <f>160+0.0409999999974389</f>
        <v>160.04099999999744</v>
      </c>
      <c r="Y431" s="12">
        <v>109</v>
      </c>
      <c r="Z431" s="12">
        <v>495</v>
      </c>
      <c r="AA431" s="12">
        <f>476</f>
        <v>476</v>
      </c>
      <c r="XET431" s="220">
        <v>41579</v>
      </c>
      <c r="XEU431" s="221">
        <v>10.811332999999999</v>
      </c>
      <c r="XEV431" s="198">
        <f t="shared" si="146"/>
        <v>1.3942665563878132E-2</v>
      </c>
      <c r="XEW431" s="221">
        <v>3922.040039</v>
      </c>
      <c r="XEX431" s="198">
        <f t="shared" si="147"/>
        <v>5.9445163626481445E-4</v>
      </c>
    </row>
    <row r="432" spans="19:27 16374:16378" x14ac:dyDescent="0.2">
      <c r="S432" s="15" t="s">
        <v>329</v>
      </c>
      <c r="T432" s="15"/>
      <c r="U432" s="15"/>
      <c r="V432" s="15"/>
      <c r="W432" s="16">
        <f t="shared" ref="W432:AA432" si="154">SUM(W409:W431)</f>
        <v>-61.040999999997439</v>
      </c>
      <c r="X432" s="16">
        <f t="shared" si="154"/>
        <v>2098.0409999999974</v>
      </c>
      <c r="Y432" s="16">
        <f t="shared" si="154"/>
        <v>2405</v>
      </c>
      <c r="Z432" s="16">
        <f>SUM(Z409:Z431)</f>
        <v>5943</v>
      </c>
      <c r="AA432" s="16">
        <f t="shared" si="154"/>
        <v>11497</v>
      </c>
      <c r="XET432" s="220">
        <v>41582</v>
      </c>
      <c r="XEU432" s="221">
        <v>11.68</v>
      </c>
      <c r="XEV432" s="198">
        <f t="shared" si="146"/>
        <v>8.0347816499593661E-2</v>
      </c>
      <c r="XEW432" s="221">
        <v>3936.5900879999999</v>
      </c>
      <c r="XEX432" s="198">
        <f t="shared" si="147"/>
        <v>3.7098165381579395E-3</v>
      </c>
    </row>
    <row r="433" spans="18:27 16374:16378" x14ac:dyDescent="0.2">
      <c r="W433" s="12"/>
      <c r="X433" s="12"/>
      <c r="Y433" s="12"/>
      <c r="Z433" s="12"/>
      <c r="AA433" s="12"/>
      <c r="XET433" s="220">
        <v>41583</v>
      </c>
      <c r="XEU433" s="221">
        <v>11.787333</v>
      </c>
      <c r="XEV433" s="198">
        <f t="shared" si="146"/>
        <v>9.1894691780822768E-3</v>
      </c>
      <c r="XEW433" s="221">
        <v>3939.860107</v>
      </c>
      <c r="XEX433" s="198">
        <f t="shared" si="147"/>
        <v>8.3067297506245197E-4</v>
      </c>
    </row>
    <row r="434" spans="18:27 16374:16378" x14ac:dyDescent="0.2">
      <c r="W434" s="12"/>
      <c r="X434" s="12"/>
      <c r="Y434" s="12"/>
      <c r="Z434" s="12"/>
      <c r="AA434" s="12"/>
      <c r="XET434" s="220">
        <v>41584</v>
      </c>
      <c r="XEU434" s="221">
        <v>10.077332999999999</v>
      </c>
      <c r="XEV434" s="198">
        <f t="shared" si="146"/>
        <v>-0.14507098425063591</v>
      </c>
      <c r="XEW434" s="221">
        <v>3931.9499510000001</v>
      </c>
      <c r="XEX434" s="198">
        <f t="shared" si="147"/>
        <v>-2.0077250930675694E-3</v>
      </c>
    </row>
    <row r="435" spans="18:27 16374:16378" x14ac:dyDescent="0.2">
      <c r="R435" s="30" t="s">
        <v>330</v>
      </c>
      <c r="S435" s="1" t="s">
        <v>373</v>
      </c>
      <c r="W435" s="12">
        <v>-3415</v>
      </c>
      <c r="X435" s="12">
        <v>-2101</v>
      </c>
      <c r="Y435" s="12">
        <v>-1327</v>
      </c>
      <c r="Z435" s="12">
        <v>-3157</v>
      </c>
      <c r="AA435" s="12">
        <v>-6482</v>
      </c>
      <c r="XET435" s="220">
        <v>41585</v>
      </c>
      <c r="XEU435" s="221">
        <v>9.3179999999999996</v>
      </c>
      <c r="XEV435" s="198">
        <f t="shared" si="146"/>
        <v>-7.5350591272512313E-2</v>
      </c>
      <c r="XEW435" s="221">
        <v>3857.330078</v>
      </c>
      <c r="XEX435" s="198">
        <f t="shared" si="147"/>
        <v>-1.8977828794850882E-2</v>
      </c>
    </row>
    <row r="436" spans="18:27 16374:16378" x14ac:dyDescent="0.2">
      <c r="S436" s="1" t="s">
        <v>331</v>
      </c>
      <c r="W436" s="12">
        <v>-666</v>
      </c>
      <c r="X436" s="12">
        <v>-218</v>
      </c>
      <c r="Y436" s="12">
        <v>-105</v>
      </c>
      <c r="Z436" s="12">
        <v>-75</v>
      </c>
      <c r="AA436" s="12">
        <v>-32</v>
      </c>
      <c r="XET436" s="220">
        <v>41586</v>
      </c>
      <c r="XEU436" s="221">
        <v>9.1966669999999997</v>
      </c>
      <c r="XEV436" s="198">
        <f t="shared" si="146"/>
        <v>-1.3021356514273386E-2</v>
      </c>
      <c r="XEW436" s="221">
        <v>3919.2299800000001</v>
      </c>
      <c r="XEX436" s="198">
        <f t="shared" si="147"/>
        <v>1.6047343822879423E-2</v>
      </c>
    </row>
    <row r="437" spans="18:27 16374:16378" x14ac:dyDescent="0.2">
      <c r="S437" s="1" t="s">
        <v>361</v>
      </c>
      <c r="W437" s="12">
        <v>0</v>
      </c>
      <c r="X437" s="12">
        <v>0</v>
      </c>
      <c r="Y437" s="12">
        <v>0</v>
      </c>
      <c r="Z437" s="12">
        <v>0</v>
      </c>
      <c r="AA437" s="12">
        <v>-1500</v>
      </c>
      <c r="XET437" s="220">
        <v>41589</v>
      </c>
      <c r="XEU437" s="221">
        <v>9.6466670000000008</v>
      </c>
      <c r="XEV437" s="198">
        <f t="shared" si="146"/>
        <v>4.8930770245350974E-2</v>
      </c>
      <c r="XEW437" s="221">
        <v>3919.790039</v>
      </c>
      <c r="XEX437" s="198">
        <f t="shared" si="147"/>
        <v>1.4290026430141545E-4</v>
      </c>
    </row>
    <row r="438" spans="18:27 16374:16378" x14ac:dyDescent="0.2">
      <c r="S438" s="1" t="s">
        <v>362</v>
      </c>
      <c r="W438" s="12">
        <v>0</v>
      </c>
      <c r="X438" s="12">
        <v>0</v>
      </c>
      <c r="Y438" s="12">
        <v>0</v>
      </c>
      <c r="Z438" s="12">
        <v>0</v>
      </c>
      <c r="AA438" s="12">
        <f>272</f>
        <v>272</v>
      </c>
      <c r="XET438" s="220">
        <v>41590</v>
      </c>
      <c r="XEU438" s="221">
        <v>9.1866669999999999</v>
      </c>
      <c r="XEV438" s="198">
        <f t="shared" si="146"/>
        <v>-4.768486359070967E-2</v>
      </c>
      <c r="XEW438" s="221">
        <v>3919.919922</v>
      </c>
      <c r="XEX438" s="198">
        <f t="shared" si="147"/>
        <v>3.31351931373014E-5</v>
      </c>
    </row>
    <row r="439" spans="18:27 16374:16378" x14ac:dyDescent="0.2">
      <c r="S439" s="65" t="s">
        <v>363</v>
      </c>
      <c r="W439" s="12">
        <v>0</v>
      </c>
      <c r="X439" s="12">
        <v>0</v>
      </c>
      <c r="Y439" s="12">
        <v>0</v>
      </c>
      <c r="Z439" s="12">
        <v>0</v>
      </c>
      <c r="AA439" s="12">
        <v>-132</v>
      </c>
      <c r="XET439" s="220">
        <v>41591</v>
      </c>
      <c r="XEU439" s="221">
        <v>9.2466670000000004</v>
      </c>
      <c r="XEV439" s="198">
        <f t="shared" si="146"/>
        <v>6.531204407431046E-3</v>
      </c>
      <c r="XEW439" s="221">
        <v>3965.580078</v>
      </c>
      <c r="XEX439" s="198">
        <f t="shared" si="147"/>
        <v>1.1648236930488887E-2</v>
      </c>
    </row>
    <row r="440" spans="18:27 16374:16378" x14ac:dyDescent="0.2">
      <c r="S440" s="1" t="s">
        <v>332</v>
      </c>
      <c r="W440" s="12">
        <v>0</v>
      </c>
      <c r="X440" s="12">
        <v>0</v>
      </c>
      <c r="Y440" s="12">
        <v>-5</v>
      </c>
      <c r="Z440" s="12">
        <v>-10</v>
      </c>
      <c r="AA440" s="12">
        <v>0</v>
      </c>
      <c r="XET440" s="220">
        <v>41592</v>
      </c>
      <c r="XEU440" s="221">
        <v>9.1733329999999995</v>
      </c>
      <c r="XEV440" s="198">
        <f t="shared" si="146"/>
        <v>-7.930857680935266E-3</v>
      </c>
      <c r="XEW440" s="221">
        <v>3972.73999</v>
      </c>
      <c r="XEX440" s="198">
        <f t="shared" si="147"/>
        <v>1.8055144163451331E-3</v>
      </c>
    </row>
    <row r="441" spans="18:27 16374:16378" ht="20" customHeight="1" x14ac:dyDescent="0.2">
      <c r="S441" s="1" t="s">
        <v>333</v>
      </c>
      <c r="W441" s="12">
        <v>0</v>
      </c>
      <c r="X441" s="12">
        <v>0</v>
      </c>
      <c r="Y441" s="12">
        <v>46</v>
      </c>
      <c r="Z441" s="12">
        <v>123</v>
      </c>
      <c r="AA441" s="12">
        <v>6</v>
      </c>
      <c r="XET441" s="220">
        <v>41593</v>
      </c>
      <c r="XEU441" s="221">
        <v>9.0299999999999994</v>
      </c>
      <c r="XEV441" s="198">
        <f t="shared" si="146"/>
        <v>-1.5624964230558258E-2</v>
      </c>
      <c r="XEW441" s="221">
        <v>3985.969971</v>
      </c>
      <c r="XEX441" s="198">
        <f t="shared" si="147"/>
        <v>3.3301905066280835E-3</v>
      </c>
    </row>
    <row r="442" spans="18:27 16374:16378" x14ac:dyDescent="0.2">
      <c r="S442" s="1" t="s">
        <v>334</v>
      </c>
      <c r="W442" s="12">
        <v>-115</v>
      </c>
      <c r="X442" s="12">
        <v>-18</v>
      </c>
      <c r="Y442" s="12">
        <v>-45</v>
      </c>
      <c r="Z442" s="12">
        <v>-13</v>
      </c>
      <c r="AA442" s="12">
        <v>0</v>
      </c>
      <c r="XET442" s="220">
        <v>41596</v>
      </c>
      <c r="XEU442" s="221">
        <v>8.1053329999999999</v>
      </c>
      <c r="XEV442" s="198">
        <f t="shared" si="146"/>
        <v>-0.10239944629014386</v>
      </c>
      <c r="XEW442" s="221">
        <v>3949.070068</v>
      </c>
      <c r="XEX442" s="198">
        <f t="shared" si="147"/>
        <v>-9.257446310048989E-3</v>
      </c>
    </row>
    <row r="443" spans="18:27 16374:16378" x14ac:dyDescent="0.2">
      <c r="S443" s="15" t="s">
        <v>335</v>
      </c>
      <c r="T443" s="15"/>
      <c r="U443" s="15"/>
      <c r="V443" s="15"/>
      <c r="W443" s="16">
        <f t="shared" ref="W443:AA443" si="155">SUM(W435:W442)</f>
        <v>-4196</v>
      </c>
      <c r="X443" s="16">
        <f t="shared" si="155"/>
        <v>-2337</v>
      </c>
      <c r="Y443" s="16">
        <f t="shared" si="155"/>
        <v>-1436</v>
      </c>
      <c r="Z443" s="16">
        <f t="shared" si="155"/>
        <v>-3132</v>
      </c>
      <c r="AA443" s="16">
        <f t="shared" si="155"/>
        <v>-7868</v>
      </c>
      <c r="XET443" s="220">
        <v>41597</v>
      </c>
      <c r="XEU443" s="221">
        <v>8.4060000000000006</v>
      </c>
      <c r="XEV443" s="198">
        <f t="shared" si="146"/>
        <v>3.7094959577848474E-2</v>
      </c>
      <c r="XEW443" s="221">
        <v>3931.5500489999999</v>
      </c>
      <c r="XEX443" s="198">
        <f t="shared" si="147"/>
        <v>-4.4364923129542877E-3</v>
      </c>
    </row>
    <row r="444" spans="18:27 16374:16378" x14ac:dyDescent="0.2">
      <c r="W444" s="12"/>
      <c r="X444" s="12"/>
      <c r="Y444" s="12"/>
      <c r="Z444" s="12"/>
      <c r="AA444" s="12"/>
      <c r="XET444" s="220">
        <v>41598</v>
      </c>
      <c r="XEU444" s="221">
        <v>8.0739999999999998</v>
      </c>
      <c r="XEV444" s="198">
        <f t="shared" si="146"/>
        <v>-3.9495598382108144E-2</v>
      </c>
      <c r="XEW444" s="221">
        <v>3921.2700199999999</v>
      </c>
      <c r="XEX444" s="198">
        <f t="shared" si="147"/>
        <v>-2.614752164382228E-3</v>
      </c>
    </row>
    <row r="445" spans="18:27 16374:16378" x14ac:dyDescent="0.2">
      <c r="W445" s="12"/>
      <c r="X445" s="12"/>
      <c r="Y445" s="12"/>
      <c r="Z445" s="12"/>
      <c r="AA445" s="12"/>
      <c r="XET445" s="220">
        <v>41599</v>
      </c>
      <c r="XEU445" s="221">
        <v>8.14</v>
      </c>
      <c r="XEV445" s="198">
        <f t="shared" si="146"/>
        <v>8.1743869209809361E-3</v>
      </c>
      <c r="XEW445" s="221">
        <v>3969.1599120000001</v>
      </c>
      <c r="XEX445" s="198">
        <f t="shared" si="147"/>
        <v>1.2212852406425334E-2</v>
      </c>
    </row>
    <row r="446" spans="18:27 16374:16378" x14ac:dyDescent="0.2">
      <c r="R446" s="30" t="s">
        <v>336</v>
      </c>
      <c r="S446" s="1" t="s">
        <v>358</v>
      </c>
      <c r="W446" s="12">
        <v>400</v>
      </c>
      <c r="X446" s="12">
        <v>0</v>
      </c>
      <c r="Y446" s="12">
        <v>848</v>
      </c>
      <c r="Z446" s="12">
        <v>12269</v>
      </c>
      <c r="AA446" s="12">
        <v>0</v>
      </c>
      <c r="XET446" s="220">
        <v>41600</v>
      </c>
      <c r="XEU446" s="221">
        <v>8.0920000000000005</v>
      </c>
      <c r="XEV446" s="198">
        <f t="shared" si="146"/>
        <v>-5.8968058968058568E-3</v>
      </c>
      <c r="XEW446" s="221">
        <v>3991.6499020000001</v>
      </c>
      <c r="XEX446" s="198">
        <f t="shared" si="147"/>
        <v>5.6661839025446969E-3</v>
      </c>
    </row>
    <row r="447" spans="18:27 16374:16378" x14ac:dyDescent="0.2">
      <c r="S447" s="1" t="s">
        <v>337</v>
      </c>
      <c r="W447" s="12">
        <v>7138</v>
      </c>
      <c r="X447" s="12">
        <v>6176</v>
      </c>
      <c r="Y447" s="12">
        <v>10669</v>
      </c>
      <c r="Z447" s="12">
        <v>9713</v>
      </c>
      <c r="AA447" s="12">
        <f>8883</f>
        <v>8883</v>
      </c>
      <c r="XET447" s="220">
        <v>41603</v>
      </c>
      <c r="XEU447" s="221">
        <v>8.0559999999999992</v>
      </c>
      <c r="XEV447" s="198">
        <f t="shared" si="146"/>
        <v>-4.4488383588731084E-3</v>
      </c>
      <c r="XEW447" s="221">
        <v>3994.570068</v>
      </c>
      <c r="XEX447" s="198">
        <f t="shared" si="147"/>
        <v>7.3156866751689087E-4</v>
      </c>
    </row>
    <row r="448" spans="18:27 16374:16378" x14ac:dyDescent="0.2">
      <c r="S448" s="1" t="s">
        <v>338</v>
      </c>
      <c r="W448" s="12">
        <v>-3996</v>
      </c>
      <c r="X448" s="12">
        <v>-5247</v>
      </c>
      <c r="Y448" s="12">
        <v>-9161</v>
      </c>
      <c r="Z448" s="12">
        <v>-11623</v>
      </c>
      <c r="AA448" s="12">
        <v>-14167</v>
      </c>
      <c r="XET448" s="220">
        <v>41604</v>
      </c>
      <c r="XEU448" s="221">
        <v>8.0333330000000007</v>
      </c>
      <c r="XEV448" s="198">
        <f t="shared" si="146"/>
        <v>-2.813679245282863E-3</v>
      </c>
      <c r="XEW448" s="221">
        <v>4017.75</v>
      </c>
      <c r="XEX448" s="198">
        <f t="shared" si="147"/>
        <v>5.8028602841870836E-3</v>
      </c>
    </row>
    <row r="449" spans="19:27 16374:16378" x14ac:dyDescent="0.2">
      <c r="S449" s="1" t="s">
        <v>339</v>
      </c>
      <c r="W449" s="12">
        <v>-165</v>
      </c>
      <c r="X449" s="12">
        <v>-100</v>
      </c>
      <c r="Y449" s="12">
        <v>0</v>
      </c>
      <c r="Z449" s="12">
        <v>0</v>
      </c>
      <c r="AA449" s="12">
        <v>0</v>
      </c>
      <c r="XET449" s="220">
        <v>41605</v>
      </c>
      <c r="XEU449" s="221">
        <v>8.4626669999999997</v>
      </c>
      <c r="XEV449" s="198">
        <f t="shared" si="146"/>
        <v>5.3444068607637618E-2</v>
      </c>
      <c r="XEW449" s="221">
        <v>4044.75</v>
      </c>
      <c r="XEX449" s="198">
        <f t="shared" si="147"/>
        <v>6.7201792047788533E-3</v>
      </c>
    </row>
    <row r="450" spans="19:27 16374:16378" x14ac:dyDescent="0.2">
      <c r="S450" s="1" t="s">
        <v>340</v>
      </c>
      <c r="W450" s="12">
        <v>511</v>
      </c>
      <c r="X450" s="12">
        <v>-559</v>
      </c>
      <c r="Y450" s="12">
        <v>-389</v>
      </c>
      <c r="Z450" s="12">
        <v>-240</v>
      </c>
      <c r="AA450" s="12">
        <v>-9</v>
      </c>
      <c r="XET450" s="220">
        <v>41607</v>
      </c>
      <c r="XEU450" s="221">
        <v>8.4853330000000007</v>
      </c>
      <c r="XEV450" s="198">
        <f t="shared" si="146"/>
        <v>2.6783518718154209E-3</v>
      </c>
      <c r="XEW450" s="221">
        <v>4059.889893</v>
      </c>
      <c r="XEX450" s="198">
        <f t="shared" si="147"/>
        <v>3.7430973484147145E-3</v>
      </c>
    </row>
    <row r="451" spans="19:27 16374:16378" x14ac:dyDescent="0.2">
      <c r="S451" s="1" t="s">
        <v>341</v>
      </c>
      <c r="W451" s="12">
        <v>259</v>
      </c>
      <c r="X451" s="12">
        <v>296</v>
      </c>
      <c r="Y451" s="12">
        <v>263</v>
      </c>
      <c r="Z451" s="12">
        <v>417</v>
      </c>
      <c r="AA451" s="12">
        <f>707</f>
        <v>707</v>
      </c>
      <c r="XET451" s="220">
        <v>41610</v>
      </c>
      <c r="XEU451" s="221">
        <v>8.2780000000000005</v>
      </c>
      <c r="XEV451" s="198">
        <f t="shared" si="146"/>
        <v>-2.4434279715362939E-2</v>
      </c>
      <c r="XEW451" s="221">
        <v>4045.26001</v>
      </c>
      <c r="XEX451" s="198">
        <f t="shared" si="147"/>
        <v>-3.603517185336691E-3</v>
      </c>
    </row>
    <row r="452" spans="19:27 16374:16378" x14ac:dyDescent="0.2">
      <c r="S452" s="1" t="s">
        <v>342</v>
      </c>
      <c r="W452" s="12">
        <v>-103</v>
      </c>
      <c r="X452" s="12">
        <v>-181</v>
      </c>
      <c r="Y452" s="12">
        <v>-321</v>
      </c>
      <c r="Z452" s="12">
        <v>-338</v>
      </c>
      <c r="AA452" s="12">
        <v>-439</v>
      </c>
      <c r="XET452" s="220">
        <v>41611</v>
      </c>
      <c r="XEU452" s="221">
        <v>9.6466670000000008</v>
      </c>
      <c r="XEV452" s="198">
        <f t="shared" si="146"/>
        <v>0.1653378835467505</v>
      </c>
      <c r="XEW452" s="221">
        <v>4037.1999510000001</v>
      </c>
      <c r="XEX452" s="198">
        <f t="shared" si="147"/>
        <v>-1.9924699475621921E-3</v>
      </c>
    </row>
    <row r="453" spans="19:27 16374:16378" x14ac:dyDescent="0.2">
      <c r="S453" s="1" t="s">
        <v>343</v>
      </c>
      <c r="W453" s="12">
        <v>-63</v>
      </c>
      <c r="X453" s="12">
        <v>-15</v>
      </c>
      <c r="Y453" s="12">
        <v>-37</v>
      </c>
      <c r="Z453" s="12">
        <v>-6</v>
      </c>
      <c r="AA453" s="12">
        <v>-9</v>
      </c>
      <c r="XET453" s="220">
        <v>41612</v>
      </c>
      <c r="XEU453" s="221">
        <v>9.2633329999999994</v>
      </c>
      <c r="XEV453" s="198">
        <f t="shared" si="146"/>
        <v>-3.9737455434089464E-2</v>
      </c>
      <c r="XEW453" s="221">
        <v>4038</v>
      </c>
      <c r="XEX453" s="198">
        <f t="shared" si="147"/>
        <v>1.9816927814075846E-4</v>
      </c>
    </row>
    <row r="454" spans="19:27 16374:16378" x14ac:dyDescent="0.2">
      <c r="S454" s="1" t="s">
        <v>344</v>
      </c>
      <c r="W454" s="12">
        <v>-204</v>
      </c>
      <c r="X454" s="12">
        <v>0</v>
      </c>
      <c r="Y454" s="12">
        <v>-476</v>
      </c>
      <c r="Z454" s="12">
        <v>0</v>
      </c>
      <c r="AA454" s="12">
        <v>0</v>
      </c>
      <c r="XET454" s="220">
        <v>41613</v>
      </c>
      <c r="XEU454" s="221">
        <v>9.3653329999999997</v>
      </c>
      <c r="XEV454" s="198">
        <f t="shared" si="146"/>
        <v>1.1011155487986812E-2</v>
      </c>
      <c r="XEW454" s="221">
        <v>4033.169922</v>
      </c>
      <c r="XEX454" s="198">
        <f t="shared" si="147"/>
        <v>-1.1961560178306296E-3</v>
      </c>
    </row>
    <row r="455" spans="19:27 16374:16378" x14ac:dyDescent="0.2">
      <c r="S455" s="1" t="s">
        <v>345</v>
      </c>
      <c r="W455" s="12">
        <v>287</v>
      </c>
      <c r="X455" s="12">
        <v>0</v>
      </c>
      <c r="Y455" s="12">
        <v>0</v>
      </c>
      <c r="Z455" s="12">
        <v>0</v>
      </c>
      <c r="AA455" s="12">
        <v>0</v>
      </c>
      <c r="XET455" s="220">
        <v>41614</v>
      </c>
      <c r="XEU455" s="221">
        <v>9.1573329999999995</v>
      </c>
      <c r="XEV455" s="198">
        <f t="shared" si="146"/>
        <v>-2.2209567988666357E-2</v>
      </c>
      <c r="XEW455" s="221">
        <v>4062.5200199999999</v>
      </c>
      <c r="XEX455" s="198">
        <f t="shared" si="147"/>
        <v>7.2771786380489978E-3</v>
      </c>
    </row>
    <row r="456" spans="19:27 16374:16378" x14ac:dyDescent="0.2">
      <c r="S456" s="1" t="s">
        <v>346</v>
      </c>
      <c r="W456" s="12">
        <v>53</v>
      </c>
      <c r="X456" s="12">
        <v>0</v>
      </c>
      <c r="Y456" s="12">
        <v>174</v>
      </c>
      <c r="Z456" s="12">
        <v>0</v>
      </c>
      <c r="AA456" s="12">
        <v>0</v>
      </c>
      <c r="XET456" s="220">
        <v>41617</v>
      </c>
      <c r="XEU456" s="221">
        <v>9.44</v>
      </c>
      <c r="XEV456" s="198">
        <f t="shared" si="146"/>
        <v>3.0867830185928646E-2</v>
      </c>
      <c r="XEW456" s="221">
        <v>4068.75</v>
      </c>
      <c r="XEX456" s="198">
        <f t="shared" si="147"/>
        <v>1.5335259812454538E-3</v>
      </c>
    </row>
    <row r="457" spans="19:27 16374:16378" x14ac:dyDescent="0.2">
      <c r="S457" s="1" t="s">
        <v>347</v>
      </c>
      <c r="W457" s="12">
        <v>-230</v>
      </c>
      <c r="X457" s="12">
        <v>0</v>
      </c>
      <c r="Y457" s="12">
        <v>0</v>
      </c>
      <c r="Z457" s="12">
        <v>0</v>
      </c>
      <c r="AA457" s="12">
        <v>0</v>
      </c>
      <c r="XET457" s="220">
        <v>41618</v>
      </c>
      <c r="XEU457" s="221">
        <v>9.4793330000000005</v>
      </c>
      <c r="XEV457" s="198">
        <f t="shared" si="146"/>
        <v>4.1666313559323154E-3</v>
      </c>
      <c r="XEW457" s="221">
        <v>4060.48999</v>
      </c>
      <c r="XEX457" s="198">
        <f t="shared" si="147"/>
        <v>-2.0301099846390391E-3</v>
      </c>
    </row>
    <row r="458" spans="19:27 16374:16378" x14ac:dyDescent="0.2">
      <c r="S458" s="1" t="s">
        <v>348</v>
      </c>
      <c r="W458" s="12">
        <v>790</v>
      </c>
      <c r="X458" s="12">
        <v>437</v>
      </c>
      <c r="Y458" s="12">
        <v>279</v>
      </c>
      <c r="Z458" s="12">
        <v>24</v>
      </c>
      <c r="AA458" s="12">
        <v>2</v>
      </c>
      <c r="XET458" s="220">
        <v>41619</v>
      </c>
      <c r="XEU458" s="221">
        <v>9.31</v>
      </c>
      <c r="XEV458" s="198">
        <f t="shared" si="146"/>
        <v>-1.7863387645523199E-2</v>
      </c>
      <c r="XEW458" s="221">
        <v>4003.8100589999999</v>
      </c>
      <c r="XEX458" s="198">
        <f t="shared" si="147"/>
        <v>-1.3958889478754788E-2</v>
      </c>
    </row>
    <row r="459" spans="19:27 16374:16378" ht="20" customHeight="1" x14ac:dyDescent="0.2">
      <c r="S459" s="1" t="s">
        <v>349</v>
      </c>
      <c r="W459" s="12">
        <v>-262</v>
      </c>
      <c r="X459" s="12">
        <v>-227</v>
      </c>
      <c r="Y459" s="12">
        <v>-311</v>
      </c>
      <c r="Z459" s="12">
        <v>-208</v>
      </c>
      <c r="AA459" s="12">
        <v>-161</v>
      </c>
      <c r="XET459" s="220">
        <v>41620</v>
      </c>
      <c r="XEU459" s="221">
        <v>9.8313330000000008</v>
      </c>
      <c r="XEV459" s="198">
        <f t="shared" si="146"/>
        <v>5.599709989258872E-2</v>
      </c>
      <c r="XEW459" s="221">
        <v>3998.3999020000001</v>
      </c>
      <c r="XEX459" s="198">
        <f t="shared" si="147"/>
        <v>-1.3512521623842977E-3</v>
      </c>
    </row>
    <row r="460" spans="19:27 16374:16378" x14ac:dyDescent="0.2">
      <c r="S460" s="1" t="s">
        <v>350</v>
      </c>
      <c r="W460" s="12">
        <v>0</v>
      </c>
      <c r="X460" s="12">
        <v>-6</v>
      </c>
      <c r="Y460" s="12">
        <v>-9</v>
      </c>
      <c r="Z460" s="12">
        <v>-35</v>
      </c>
      <c r="AA460" s="12">
        <v>-10</v>
      </c>
      <c r="XET460" s="220">
        <v>41621</v>
      </c>
      <c r="XEU460" s="221">
        <v>9.8433329999999994</v>
      </c>
      <c r="XEV460" s="198">
        <f t="shared" ref="XEV460:XEV523" si="156">XEU460/XEU459-1</f>
        <v>1.2205872794663897E-3</v>
      </c>
      <c r="XEW460" s="221">
        <v>4000.9799800000001</v>
      </c>
      <c r="XEX460" s="198">
        <f t="shared" ref="XEX460:XEX523" si="157">XEW460/XEW459-1</f>
        <v>6.4527762685995249E-4</v>
      </c>
    </row>
    <row r="461" spans="19:27 16374:16378" x14ac:dyDescent="0.2">
      <c r="S461" s="15" t="s">
        <v>351</v>
      </c>
      <c r="T461" s="15"/>
      <c r="U461" s="15"/>
      <c r="V461" s="15"/>
      <c r="W461" s="16">
        <f t="shared" ref="W461:AA461" si="158">SUM(W446:W460)</f>
        <v>4415</v>
      </c>
      <c r="X461" s="16">
        <f t="shared" si="158"/>
        <v>574</v>
      </c>
      <c r="Y461" s="16">
        <f t="shared" si="158"/>
        <v>1529</v>
      </c>
      <c r="Z461" s="16">
        <f>SUM(Z446:Z460)</f>
        <v>9973</v>
      </c>
      <c r="AA461" s="16">
        <f t="shared" si="158"/>
        <v>-5203</v>
      </c>
      <c r="XET461" s="220">
        <v>41624</v>
      </c>
      <c r="XEU461" s="221">
        <v>9.8626670000000001</v>
      </c>
      <c r="XEV461" s="198">
        <f t="shared" si="156"/>
        <v>1.9641720949601371E-3</v>
      </c>
      <c r="XEW461" s="221">
        <v>4029.5200199999999</v>
      </c>
      <c r="XEX461" s="198">
        <f t="shared" si="157"/>
        <v>7.133262386381567E-3</v>
      </c>
    </row>
    <row r="462" spans="19:27 16374:16378" x14ac:dyDescent="0.2">
      <c r="W462" s="12"/>
      <c r="X462" s="12"/>
      <c r="Y462" s="12"/>
      <c r="Z462" s="12"/>
      <c r="AA462" s="12"/>
      <c r="XET462" s="220">
        <v>41625</v>
      </c>
      <c r="XEU462" s="221">
        <v>10.164</v>
      </c>
      <c r="XEV462" s="198">
        <f t="shared" si="156"/>
        <v>3.0552892032144952E-2</v>
      </c>
      <c r="XEW462" s="221">
        <v>4023.679932</v>
      </c>
      <c r="XEX462" s="198">
        <f t="shared" si="157"/>
        <v>-1.4493259671159997E-3</v>
      </c>
    </row>
    <row r="463" spans="19:27 16374:16378" x14ac:dyDescent="0.2">
      <c r="S463" s="1" t="s">
        <v>352</v>
      </c>
      <c r="W463" s="12">
        <v>40</v>
      </c>
      <c r="X463" s="12">
        <v>-23</v>
      </c>
      <c r="Y463" s="12">
        <v>8</v>
      </c>
      <c r="Z463" s="12">
        <v>334</v>
      </c>
      <c r="AA463" s="12">
        <v>-183</v>
      </c>
      <c r="XET463" s="220">
        <v>41626</v>
      </c>
      <c r="XEU463" s="221">
        <v>9.8653329999999997</v>
      </c>
      <c r="XEV463" s="198">
        <f t="shared" si="156"/>
        <v>-2.9384789452971294E-2</v>
      </c>
      <c r="XEW463" s="221">
        <v>4070.0600589999999</v>
      </c>
      <c r="XEX463" s="198">
        <f t="shared" si="157"/>
        <v>1.1526793329445173E-2</v>
      </c>
    </row>
    <row r="464" spans="19:27 16374:16378" ht="20" customHeight="1" x14ac:dyDescent="0.2">
      <c r="S464" s="1" t="s">
        <v>353</v>
      </c>
      <c r="W464" s="12">
        <f>SUM(W463,W461,W443,W432)</f>
        <v>197.95900000000256</v>
      </c>
      <c r="X464" s="12">
        <f t="shared" ref="X464" si="159">SUM(X463,X461,X443,X432)</f>
        <v>312.04099999999744</v>
      </c>
      <c r="Y464" s="12">
        <f t="shared" ref="Y464" si="160">SUM(Y463,Y461,Y443,Y432)</f>
        <v>2506</v>
      </c>
      <c r="Z464" s="12">
        <f t="shared" ref="Z464" si="161">SUM(Z463,Z461,Z443,Z432)</f>
        <v>13118</v>
      </c>
      <c r="AA464" s="12">
        <f t="shared" ref="AA464" si="162">SUM(AA463,AA461,AA443,AA432)</f>
        <v>-1757</v>
      </c>
      <c r="XET464" s="220">
        <v>41627</v>
      </c>
      <c r="XEU464" s="221">
        <v>9.3813329999999997</v>
      </c>
      <c r="XEV464" s="198">
        <f t="shared" si="156"/>
        <v>-4.90606855338791E-2</v>
      </c>
      <c r="XEW464" s="221">
        <v>4058.139893</v>
      </c>
      <c r="XEX464" s="198">
        <f t="shared" si="157"/>
        <v>-2.9287444969371412E-3</v>
      </c>
    </row>
    <row r="465" spans="19:27 16374:16378" x14ac:dyDescent="0.2">
      <c r="S465" s="1" t="s">
        <v>354</v>
      </c>
      <c r="W465" s="12">
        <v>3767</v>
      </c>
      <c r="X465" s="12">
        <f t="shared" ref="X465:AA465" si="163">W466</f>
        <v>3964.9590000000026</v>
      </c>
      <c r="Y465" s="12">
        <f t="shared" si="163"/>
        <v>4277</v>
      </c>
      <c r="Z465" s="12">
        <f t="shared" si="163"/>
        <v>6783</v>
      </c>
      <c r="AA465" s="12">
        <f t="shared" si="163"/>
        <v>19901</v>
      </c>
      <c r="XET465" s="220">
        <v>41628</v>
      </c>
      <c r="XEU465" s="221">
        <v>9.5493330000000007</v>
      </c>
      <c r="XEV465" s="198">
        <f t="shared" si="156"/>
        <v>1.7907902853464552E-2</v>
      </c>
      <c r="XEW465" s="221">
        <v>4104.7402339999999</v>
      </c>
      <c r="XEX465" s="198">
        <f t="shared" si="157"/>
        <v>1.1483177571177894E-2</v>
      </c>
    </row>
    <row r="466" spans="19:27 16374:16378" ht="16" thickBot="1" x14ac:dyDescent="0.25">
      <c r="S466" s="17" t="s">
        <v>355</v>
      </c>
      <c r="T466" s="17"/>
      <c r="U466" s="17"/>
      <c r="V466" s="17"/>
      <c r="W466" s="18">
        <f>SUM(W464:W465)</f>
        <v>3964.9590000000026</v>
      </c>
      <c r="X466" s="18">
        <f t="shared" ref="X466:AA466" si="164">SUM(X464:X465)</f>
        <v>4277</v>
      </c>
      <c r="Y466" s="18">
        <f t="shared" si="164"/>
        <v>6783</v>
      </c>
      <c r="Z466" s="18">
        <f t="shared" si="164"/>
        <v>19901</v>
      </c>
      <c r="AA466" s="18">
        <f t="shared" si="164"/>
        <v>18144</v>
      </c>
      <c r="XET466" s="220">
        <v>41631</v>
      </c>
      <c r="XEU466" s="221">
        <v>9.57</v>
      </c>
      <c r="XEV466" s="198">
        <f t="shared" si="156"/>
        <v>2.1642349261461469E-3</v>
      </c>
      <c r="XEW466" s="221">
        <v>4148.8999020000001</v>
      </c>
      <c r="XEX466" s="198">
        <f t="shared" si="157"/>
        <v>1.0758212574384363E-2</v>
      </c>
    </row>
    <row r="467" spans="19:27 16374:16378" ht="16" thickTop="1" x14ac:dyDescent="0.2">
      <c r="W467" s="12"/>
      <c r="X467" s="12"/>
      <c r="Y467" s="12"/>
      <c r="Z467" s="12"/>
      <c r="AA467" s="12"/>
      <c r="XET467" s="220">
        <v>41632</v>
      </c>
      <c r="XEU467" s="221">
        <v>10.093999999999999</v>
      </c>
      <c r="XEV467" s="198">
        <f t="shared" si="156"/>
        <v>5.4754440961337414E-2</v>
      </c>
      <c r="XEW467" s="221">
        <v>4155.419922</v>
      </c>
      <c r="XEX467" s="198">
        <f t="shared" si="157"/>
        <v>1.5715057374261487E-3</v>
      </c>
    </row>
    <row r="468" spans="19:27 16374:16378" x14ac:dyDescent="0.2">
      <c r="W468" s="12"/>
      <c r="X468" s="12"/>
      <c r="Y468" s="12"/>
      <c r="Z468" s="12"/>
      <c r="AA468" s="12"/>
      <c r="XET468" s="220">
        <v>41634</v>
      </c>
      <c r="XEU468" s="221">
        <v>10.366667</v>
      </c>
      <c r="XEV468" s="198">
        <f t="shared" si="156"/>
        <v>2.7012779869229231E-2</v>
      </c>
      <c r="XEW468" s="221">
        <v>4167.1801759999998</v>
      </c>
      <c r="XEX468" s="198">
        <f t="shared" si="157"/>
        <v>2.8301000189505654E-3</v>
      </c>
    </row>
    <row r="469" spans="19:27 16374:16378" x14ac:dyDescent="0.2">
      <c r="W469" s="12"/>
      <c r="X469" s="12"/>
      <c r="Y469" s="12"/>
      <c r="Z469" s="12"/>
      <c r="AA469" s="12"/>
      <c r="XET469" s="220">
        <v>41635</v>
      </c>
      <c r="XEU469" s="221">
        <v>10.074667</v>
      </c>
      <c r="XEV469" s="198">
        <f t="shared" si="156"/>
        <v>-2.8167201666649433E-2</v>
      </c>
      <c r="XEW469" s="221">
        <v>4156.5898440000001</v>
      </c>
      <c r="XEX469" s="198">
        <f t="shared" si="157"/>
        <v>-2.5413664763027644E-3</v>
      </c>
    </row>
    <row r="470" spans="19:27 16374:16378" x14ac:dyDescent="0.2">
      <c r="W470" s="12"/>
      <c r="X470" s="12"/>
      <c r="Y470" s="12"/>
      <c r="Z470" s="12"/>
      <c r="AA470" s="12"/>
      <c r="XET470" s="220">
        <v>41638</v>
      </c>
      <c r="XEU470" s="221">
        <v>10.162667000000001</v>
      </c>
      <c r="XEV470" s="198">
        <f t="shared" si="156"/>
        <v>8.7347800180395119E-3</v>
      </c>
      <c r="XEW470" s="221">
        <v>4154.2001950000003</v>
      </c>
      <c r="XEX470" s="198">
        <f t="shared" si="157"/>
        <v>-5.7490613452015893E-4</v>
      </c>
    </row>
    <row r="471" spans="19:27 16374:16378" x14ac:dyDescent="0.2">
      <c r="W471" s="12"/>
      <c r="X471" s="12"/>
      <c r="Y471" s="12"/>
      <c r="Z471" s="12"/>
      <c r="AA471" s="12"/>
      <c r="XET471" s="220">
        <v>41639</v>
      </c>
      <c r="XEU471" s="221">
        <v>10.028667</v>
      </c>
      <c r="XEV471" s="198">
        <f t="shared" si="156"/>
        <v>-1.3185515180217933E-2</v>
      </c>
      <c r="XEW471" s="221">
        <v>4176.5898440000001</v>
      </c>
      <c r="XEX471" s="198">
        <f t="shared" si="157"/>
        <v>5.3896413145779754E-3</v>
      </c>
    </row>
    <row r="472" spans="19:27 16374:16378" x14ac:dyDescent="0.2">
      <c r="W472" s="12"/>
      <c r="X472" s="12"/>
      <c r="Y472" s="12"/>
      <c r="Z472" s="12"/>
      <c r="AA472" s="12"/>
      <c r="XET472" s="220">
        <v>41641</v>
      </c>
      <c r="XEU472" s="221">
        <v>10.006667</v>
      </c>
      <c r="XEV472" s="198">
        <f t="shared" si="156"/>
        <v>-2.1937112878511744E-3</v>
      </c>
      <c r="XEW472" s="221">
        <v>4143.0698240000002</v>
      </c>
      <c r="XEX472" s="198">
        <f t="shared" si="157"/>
        <v>-8.0256911145235588E-3</v>
      </c>
    </row>
    <row r="473" spans="19:27 16374:16378" x14ac:dyDescent="0.2">
      <c r="W473" s="12"/>
      <c r="X473" s="12"/>
      <c r="Y473" s="12"/>
      <c r="Z473" s="12"/>
      <c r="AA473" s="12"/>
      <c r="XET473" s="220">
        <v>41642</v>
      </c>
      <c r="XEU473" s="221">
        <v>9.9706670000000006</v>
      </c>
      <c r="XEV473" s="198">
        <f t="shared" si="156"/>
        <v>-3.597601479093826E-3</v>
      </c>
      <c r="XEW473" s="221">
        <v>4131.9101559999999</v>
      </c>
      <c r="XEX473" s="198">
        <f t="shared" si="157"/>
        <v>-2.693574685938005E-3</v>
      </c>
    </row>
    <row r="474" spans="19:27 16374:16378" x14ac:dyDescent="0.2">
      <c r="W474" s="12"/>
      <c r="X474" s="12"/>
      <c r="Y474" s="12"/>
      <c r="Z474" s="12"/>
      <c r="AA474" s="12"/>
      <c r="XET474" s="220">
        <v>41645</v>
      </c>
      <c r="XEU474" s="221">
        <v>9.8000000000000007</v>
      </c>
      <c r="XEV474" s="198">
        <f t="shared" si="156"/>
        <v>-1.7116909029255556E-2</v>
      </c>
      <c r="XEW474" s="221">
        <v>4113.6801759999998</v>
      </c>
      <c r="XEX474" s="198">
        <f t="shared" si="157"/>
        <v>-4.4119981586550061E-3</v>
      </c>
    </row>
    <row r="475" spans="19:27 16374:16378" x14ac:dyDescent="0.2">
      <c r="W475" s="12"/>
      <c r="X475" s="12"/>
      <c r="Y475" s="12"/>
      <c r="Z475" s="12"/>
      <c r="AA475" s="12"/>
      <c r="XET475" s="220">
        <v>41646</v>
      </c>
      <c r="XEU475" s="221">
        <v>9.9573330000000002</v>
      </c>
      <c r="XEV475" s="198">
        <f t="shared" si="156"/>
        <v>1.605438775510204E-2</v>
      </c>
      <c r="XEW475" s="221">
        <v>4153.1801759999998</v>
      </c>
      <c r="XEX475" s="198">
        <f t="shared" si="157"/>
        <v>9.6021076773178393E-3</v>
      </c>
    </row>
    <row r="476" spans="19:27 16374:16378" x14ac:dyDescent="0.2">
      <c r="W476" s="12"/>
      <c r="X476" s="12"/>
      <c r="Y476" s="12"/>
      <c r="Z476" s="12"/>
      <c r="AA476" s="12"/>
      <c r="XET476" s="220">
        <v>41647</v>
      </c>
      <c r="XEU476" s="221">
        <v>10.085333</v>
      </c>
      <c r="XEV476" s="198">
        <f t="shared" si="156"/>
        <v>1.2854847779018685E-2</v>
      </c>
      <c r="XEW476" s="221">
        <v>4165.6098629999997</v>
      </c>
      <c r="XEX476" s="198">
        <f t="shared" si="157"/>
        <v>2.9928118870996556E-3</v>
      </c>
    </row>
    <row r="477" spans="19:27 16374:16378" x14ac:dyDescent="0.2">
      <c r="W477" s="12"/>
      <c r="X477" s="12"/>
      <c r="Y477" s="12"/>
      <c r="Z477" s="12"/>
      <c r="AA477" s="12"/>
      <c r="XET477" s="220">
        <v>41648</v>
      </c>
      <c r="XEU477" s="221">
        <v>9.8353330000000003</v>
      </c>
      <c r="XEV477" s="198">
        <f t="shared" si="156"/>
        <v>-2.4788472527382144E-2</v>
      </c>
      <c r="XEW477" s="221">
        <v>4156.1899409999996</v>
      </c>
      <c r="XEX477" s="198">
        <f t="shared" si="157"/>
        <v>-2.2613548339392997E-3</v>
      </c>
    </row>
    <row r="478" spans="19:27 16374:16378" x14ac:dyDescent="0.2">
      <c r="W478" s="12"/>
      <c r="X478" s="12"/>
      <c r="Y478" s="12"/>
      <c r="Z478" s="12"/>
      <c r="AA478" s="12"/>
      <c r="XET478" s="220">
        <v>41649</v>
      </c>
      <c r="XEU478" s="221">
        <v>9.7146670000000004</v>
      </c>
      <c r="XEV478" s="198">
        <f t="shared" si="156"/>
        <v>-1.2268623746648943E-2</v>
      </c>
      <c r="XEW478" s="221">
        <v>4174.669922</v>
      </c>
      <c r="XEX478" s="198">
        <f t="shared" si="157"/>
        <v>4.446375469441044E-3</v>
      </c>
    </row>
    <row r="479" spans="19:27 16374:16378" x14ac:dyDescent="0.2">
      <c r="W479" s="12">
        <v>4.0999999997438898E-2</v>
      </c>
      <c r="X479" s="12"/>
      <c r="Y479" s="12"/>
      <c r="Z479" s="12"/>
      <c r="AA479" s="12"/>
      <c r="XET479" s="220">
        <v>41652</v>
      </c>
      <c r="XEU479" s="221">
        <v>9.2893329999999992</v>
      </c>
      <c r="XEV479" s="198">
        <f t="shared" si="156"/>
        <v>-4.3782663883383921E-2</v>
      </c>
      <c r="XEW479" s="221">
        <v>4113.2998049999997</v>
      </c>
      <c r="XEX479" s="198">
        <f t="shared" si="157"/>
        <v>-1.4700591459120504E-2</v>
      </c>
    </row>
    <row r="480" spans="19:27 16374:16378" x14ac:dyDescent="0.2">
      <c r="XET480" s="220">
        <v>41653</v>
      </c>
      <c r="XEU480" s="221">
        <v>10.751333000000001</v>
      </c>
      <c r="XEV480" s="198">
        <f t="shared" si="156"/>
        <v>0.15738481977123664</v>
      </c>
      <c r="XEW480" s="221">
        <v>4183.0200199999999</v>
      </c>
      <c r="XEX480" s="198">
        <f t="shared" si="157"/>
        <v>1.694994731851307E-2</v>
      </c>
    </row>
    <row r="481" spans="16374:16378" x14ac:dyDescent="0.2">
      <c r="XET481" s="220">
        <v>41654</v>
      </c>
      <c r="XEU481" s="221">
        <v>10.942</v>
      </c>
      <c r="XEV481" s="198">
        <f t="shared" si="156"/>
        <v>1.7734266067286786E-2</v>
      </c>
      <c r="XEW481" s="221">
        <v>4214.8798829999996</v>
      </c>
      <c r="XEX481" s="198">
        <f t="shared" si="157"/>
        <v>7.6164739464956721E-3</v>
      </c>
    </row>
    <row r="482" spans="16374:16378" x14ac:dyDescent="0.2">
      <c r="XET482" s="220">
        <v>41655</v>
      </c>
      <c r="XEU482" s="221">
        <v>11.398</v>
      </c>
      <c r="XEV482" s="198">
        <f t="shared" si="156"/>
        <v>4.1674282580880906E-2</v>
      </c>
      <c r="XEW482" s="221">
        <v>4218.6899409999996</v>
      </c>
      <c r="XEX482" s="198">
        <f t="shared" si="157"/>
        <v>9.0395411156718453E-4</v>
      </c>
    </row>
    <row r="483" spans="16374:16378" x14ac:dyDescent="0.2">
      <c r="XET483" s="220">
        <v>41656</v>
      </c>
      <c r="XEU483" s="221">
        <v>11.334</v>
      </c>
      <c r="XEV483" s="198">
        <f t="shared" si="156"/>
        <v>-5.6150201789787468E-3</v>
      </c>
      <c r="XEW483" s="221">
        <v>4197.580078</v>
      </c>
      <c r="XEX483" s="198">
        <f t="shared" si="157"/>
        <v>-5.0038906142023665E-3</v>
      </c>
    </row>
    <row r="484" spans="16374:16378" x14ac:dyDescent="0.2">
      <c r="XET484" s="220">
        <v>41660</v>
      </c>
      <c r="XEU484" s="221">
        <v>11.778667</v>
      </c>
      <c r="XEV484" s="198">
        <f t="shared" si="156"/>
        <v>3.9233015704958518E-2</v>
      </c>
      <c r="XEW484" s="221">
        <v>4225.7597660000001</v>
      </c>
      <c r="XEX484" s="198">
        <f t="shared" si="157"/>
        <v>6.7133175487688046E-3</v>
      </c>
    </row>
    <row r="485" spans="16374:16378" x14ac:dyDescent="0.2">
      <c r="XET485" s="220">
        <v>41661</v>
      </c>
      <c r="XEU485" s="221">
        <v>11.904</v>
      </c>
      <c r="XEV485" s="198">
        <f t="shared" si="156"/>
        <v>1.0640677760904493E-2</v>
      </c>
      <c r="XEW485" s="221">
        <v>4243</v>
      </c>
      <c r="XEX485" s="198">
        <f t="shared" si="157"/>
        <v>4.0797951030517865E-3</v>
      </c>
    </row>
    <row r="486" spans="16374:16378" x14ac:dyDescent="0.2">
      <c r="XET486" s="220">
        <v>41662</v>
      </c>
      <c r="XEU486" s="221">
        <v>12.1</v>
      </c>
      <c r="XEV486" s="198">
        <f t="shared" si="156"/>
        <v>1.6465053763440762E-2</v>
      </c>
      <c r="XEW486" s="221">
        <v>4218.8798829999996</v>
      </c>
      <c r="XEX486" s="198">
        <f t="shared" si="157"/>
        <v>-5.6846846570823839E-3</v>
      </c>
    </row>
    <row r="487" spans="16374:16378" x14ac:dyDescent="0.2">
      <c r="XET487" s="220">
        <v>41663</v>
      </c>
      <c r="XEU487" s="221">
        <v>11.64</v>
      </c>
      <c r="XEV487" s="198">
        <f t="shared" si="156"/>
        <v>-3.8016528925619797E-2</v>
      </c>
      <c r="XEW487" s="221">
        <v>4128.169922</v>
      </c>
      <c r="XEX487" s="198">
        <f t="shared" si="157"/>
        <v>-2.150095843342581E-2</v>
      </c>
    </row>
    <row r="488" spans="16374:16378" x14ac:dyDescent="0.2">
      <c r="XET488" s="220">
        <v>41666</v>
      </c>
      <c r="XEU488" s="221">
        <v>11.308</v>
      </c>
      <c r="XEV488" s="198">
        <f t="shared" si="156"/>
        <v>-2.852233676975946E-2</v>
      </c>
      <c r="XEW488" s="221">
        <v>4083.610107</v>
      </c>
      <c r="XEX488" s="198">
        <f t="shared" si="157"/>
        <v>-1.0794084507648294E-2</v>
      </c>
    </row>
    <row r="489" spans="16374:16378" x14ac:dyDescent="0.2">
      <c r="XET489" s="220">
        <v>41667</v>
      </c>
      <c r="XEU489" s="221">
        <v>11.891999999999999</v>
      </c>
      <c r="XEV489" s="198">
        <f t="shared" si="156"/>
        <v>5.1644853201273433E-2</v>
      </c>
      <c r="XEW489" s="221">
        <v>4097.9599609999996</v>
      </c>
      <c r="XEX489" s="198">
        <f t="shared" si="157"/>
        <v>3.5140117748757582E-3</v>
      </c>
    </row>
    <row r="490" spans="16374:16378" x14ac:dyDescent="0.2">
      <c r="XET490" s="220">
        <v>41668</v>
      </c>
      <c r="XEU490" s="221">
        <v>11.682</v>
      </c>
      <c r="XEV490" s="198">
        <f t="shared" si="156"/>
        <v>-1.7658930373360193E-2</v>
      </c>
      <c r="XEW490" s="221">
        <v>4051.429932</v>
      </c>
      <c r="XEX490" s="198">
        <f t="shared" si="157"/>
        <v>-1.1354437193828781E-2</v>
      </c>
    </row>
    <row r="491" spans="16374:16378" x14ac:dyDescent="0.2">
      <c r="XET491" s="220">
        <v>41669</v>
      </c>
      <c r="XEU491" s="221">
        <v>12.189333</v>
      </c>
      <c r="XEV491" s="198">
        <f t="shared" si="156"/>
        <v>4.3428608115048783E-2</v>
      </c>
      <c r="XEW491" s="221">
        <v>4123.1298829999996</v>
      </c>
      <c r="XEX491" s="198">
        <f t="shared" si="157"/>
        <v>1.7697443175230809E-2</v>
      </c>
    </row>
    <row r="492" spans="16374:16378" x14ac:dyDescent="0.2">
      <c r="XET492" s="220">
        <v>41670</v>
      </c>
      <c r="XEU492" s="221">
        <v>12.093999999999999</v>
      </c>
      <c r="XEV492" s="198">
        <f t="shared" si="156"/>
        <v>-7.821018590598805E-3</v>
      </c>
      <c r="XEW492" s="221">
        <v>4103.8798829999996</v>
      </c>
      <c r="XEX492" s="198">
        <f t="shared" si="157"/>
        <v>-4.6687833141927371E-3</v>
      </c>
    </row>
    <row r="493" spans="16374:16378" x14ac:dyDescent="0.2">
      <c r="XET493" s="220">
        <v>41673</v>
      </c>
      <c r="XEU493" s="221">
        <v>11.807333</v>
      </c>
      <c r="XEV493" s="198">
        <f t="shared" si="156"/>
        <v>-2.370324127666612E-2</v>
      </c>
      <c r="XEW493" s="221">
        <v>3996.959961</v>
      </c>
      <c r="XEX493" s="198">
        <f t="shared" si="157"/>
        <v>-2.6053375110442922E-2</v>
      </c>
    </row>
    <row r="494" spans="16374:16378" x14ac:dyDescent="0.2">
      <c r="XET494" s="220">
        <v>41674</v>
      </c>
      <c r="XEU494" s="221">
        <v>11.915333</v>
      </c>
      <c r="XEV494" s="198">
        <f t="shared" si="156"/>
        <v>9.146858143155745E-3</v>
      </c>
      <c r="XEW494" s="221">
        <v>4031.5200199999999</v>
      </c>
      <c r="XEX494" s="198">
        <f t="shared" si="157"/>
        <v>8.6465862398463766E-3</v>
      </c>
    </row>
    <row r="495" spans="16374:16378" x14ac:dyDescent="0.2">
      <c r="XET495" s="220">
        <v>41675</v>
      </c>
      <c r="XEU495" s="221">
        <v>11.628</v>
      </c>
      <c r="XEV495" s="198">
        <f t="shared" si="156"/>
        <v>-2.4114558946862874E-2</v>
      </c>
      <c r="XEW495" s="221">
        <v>4011.5500489999999</v>
      </c>
      <c r="XEX495" s="198">
        <f t="shared" si="157"/>
        <v>-4.9534594646511998E-3</v>
      </c>
    </row>
    <row r="496" spans="16374:16378" x14ac:dyDescent="0.2">
      <c r="XET496" s="220">
        <v>41676</v>
      </c>
      <c r="XEU496" s="221">
        <v>11.891999999999999</v>
      </c>
      <c r="XEV496" s="198">
        <f t="shared" si="156"/>
        <v>2.270381836945301E-2</v>
      </c>
      <c r="XEW496" s="221">
        <v>4057.1201169999999</v>
      </c>
      <c r="XEX496" s="198">
        <f t="shared" si="157"/>
        <v>1.1359715681812155E-2</v>
      </c>
    </row>
    <row r="497" spans="16374:16378" x14ac:dyDescent="0.2">
      <c r="XET497" s="220">
        <v>41677</v>
      </c>
      <c r="XEU497" s="221">
        <v>12.435333</v>
      </c>
      <c r="XEV497" s="198">
        <f t="shared" si="156"/>
        <v>4.5688950554994889E-2</v>
      </c>
      <c r="XEW497" s="221">
        <v>4125.8598629999997</v>
      </c>
      <c r="XEX497" s="198">
        <f t="shared" si="157"/>
        <v>1.6942990105707878E-2</v>
      </c>
    </row>
    <row r="498" spans="16374:16378" x14ac:dyDescent="0.2">
      <c r="XET498" s="220">
        <v>41680</v>
      </c>
      <c r="XEU498" s="221">
        <v>13.103999999999999</v>
      </c>
      <c r="XEV498" s="198">
        <f t="shared" si="156"/>
        <v>5.3771539531751955E-2</v>
      </c>
      <c r="XEW498" s="221">
        <v>4148.169922</v>
      </c>
      <c r="XEX498" s="198">
        <f t="shared" si="157"/>
        <v>5.4073719759784034E-3</v>
      </c>
    </row>
    <row r="499" spans="16374:16378" x14ac:dyDescent="0.2">
      <c r="XET499" s="220">
        <v>41681</v>
      </c>
      <c r="XEU499" s="221">
        <v>13.108000000000001</v>
      </c>
      <c r="XEV499" s="198">
        <f t="shared" si="156"/>
        <v>3.0525030525030417E-4</v>
      </c>
      <c r="XEW499" s="221">
        <v>4191.0498049999997</v>
      </c>
      <c r="XEX499" s="198">
        <f t="shared" si="157"/>
        <v>1.0337060392001884E-2</v>
      </c>
    </row>
    <row r="500" spans="16374:16378" x14ac:dyDescent="0.2">
      <c r="XET500" s="220">
        <v>41682</v>
      </c>
      <c r="XEU500" s="221">
        <v>13.021333</v>
      </c>
      <c r="XEV500" s="198">
        <f t="shared" si="156"/>
        <v>-6.6117638083613706E-3</v>
      </c>
      <c r="XEW500" s="221">
        <v>4201.2900390000004</v>
      </c>
      <c r="XEX500" s="198">
        <f t="shared" si="157"/>
        <v>2.4433577448266242E-3</v>
      </c>
    </row>
    <row r="501" spans="16374:16378" x14ac:dyDescent="0.2">
      <c r="XET501" s="220">
        <v>41683</v>
      </c>
      <c r="XEU501" s="221">
        <v>13.308667</v>
      </c>
      <c r="XEV501" s="198">
        <f t="shared" si="156"/>
        <v>2.206640441497032E-2</v>
      </c>
      <c r="XEW501" s="221">
        <v>4240.669922</v>
      </c>
      <c r="XEX501" s="198">
        <f t="shared" si="157"/>
        <v>9.3732835949056348E-3</v>
      </c>
    </row>
    <row r="502" spans="16374:16378" x14ac:dyDescent="0.2">
      <c r="XET502" s="220">
        <v>41684</v>
      </c>
      <c r="XEU502" s="221">
        <v>13.215332999999999</v>
      </c>
      <c r="XEV502" s="198">
        <f t="shared" si="156"/>
        <v>-7.0130239189244437E-3</v>
      </c>
      <c r="XEW502" s="221">
        <v>4244.0200199999999</v>
      </c>
      <c r="XEX502" s="198">
        <f t="shared" si="157"/>
        <v>7.8999263362145022E-4</v>
      </c>
    </row>
    <row r="503" spans="16374:16378" x14ac:dyDescent="0.2">
      <c r="XET503" s="220">
        <v>41688</v>
      </c>
      <c r="XEU503" s="221">
        <v>13.58</v>
      </c>
      <c r="XEV503" s="198">
        <f t="shared" si="156"/>
        <v>2.7594234666655781E-2</v>
      </c>
      <c r="XEW503" s="221">
        <v>4272.7797849999997</v>
      </c>
      <c r="XEX503" s="198">
        <f t="shared" si="157"/>
        <v>6.7765384857916278E-3</v>
      </c>
    </row>
    <row r="504" spans="16374:16378" x14ac:dyDescent="0.2">
      <c r="XET504" s="220">
        <v>41689</v>
      </c>
      <c r="XEU504" s="221">
        <v>12.909333</v>
      </c>
      <c r="XEV504" s="198">
        <f t="shared" si="156"/>
        <v>-4.9386377025036787E-2</v>
      </c>
      <c r="XEW504" s="221">
        <v>4237.9501950000003</v>
      </c>
      <c r="XEX504" s="198">
        <f t="shared" si="157"/>
        <v>-8.1515059873368267E-3</v>
      </c>
    </row>
    <row r="505" spans="16374:16378" x14ac:dyDescent="0.2">
      <c r="XET505" s="220">
        <v>41690</v>
      </c>
      <c r="XEU505" s="221">
        <v>13.997999999999999</v>
      </c>
      <c r="XEV505" s="198">
        <f t="shared" si="156"/>
        <v>8.4331777637155936E-2</v>
      </c>
      <c r="XEW505" s="221">
        <v>4267.5498049999997</v>
      </c>
      <c r="XEX505" s="198">
        <f t="shared" si="157"/>
        <v>6.9844166726926726E-3</v>
      </c>
    </row>
    <row r="506" spans="16374:16378" x14ac:dyDescent="0.2">
      <c r="XET506" s="220">
        <v>41691</v>
      </c>
      <c r="XEU506" s="221">
        <v>13.973333</v>
      </c>
      <c r="XEV506" s="198">
        <f t="shared" si="156"/>
        <v>-1.7621803114730161E-3</v>
      </c>
      <c r="XEW506" s="221">
        <v>4263.4101559999999</v>
      </c>
      <c r="XEX506" s="198">
        <f t="shared" si="157"/>
        <v>-9.7002945229829329E-4</v>
      </c>
    </row>
    <row r="507" spans="16374:16378" x14ac:dyDescent="0.2">
      <c r="XET507" s="220">
        <v>41694</v>
      </c>
      <c r="XEU507" s="221">
        <v>14.51</v>
      </c>
      <c r="XEV507" s="198">
        <f t="shared" si="156"/>
        <v>3.8406513320766056E-2</v>
      </c>
      <c r="XEW507" s="221">
        <v>4292.9702150000003</v>
      </c>
      <c r="XEX507" s="198">
        <f t="shared" si="157"/>
        <v>6.9334307322976851E-3</v>
      </c>
    </row>
    <row r="508" spans="16374:16378" x14ac:dyDescent="0.2">
      <c r="XET508" s="220">
        <v>41695</v>
      </c>
      <c r="XEU508" s="221">
        <v>16.533332999999999</v>
      </c>
      <c r="XEV508" s="198">
        <f t="shared" si="156"/>
        <v>0.13944403859407295</v>
      </c>
      <c r="XEW508" s="221">
        <v>4287.5898440000001</v>
      </c>
      <c r="XEX508" s="198">
        <f t="shared" si="157"/>
        <v>-1.2532980036061847E-3</v>
      </c>
    </row>
    <row r="509" spans="16374:16378" x14ac:dyDescent="0.2">
      <c r="XET509" s="220">
        <v>41696</v>
      </c>
      <c r="XEU509" s="221">
        <v>16.866667</v>
      </c>
      <c r="XEV509" s="198">
        <f t="shared" si="156"/>
        <v>2.0161331051639753E-2</v>
      </c>
      <c r="XEW509" s="221">
        <v>4292.0600590000004</v>
      </c>
      <c r="XEX509" s="198">
        <f t="shared" si="157"/>
        <v>1.0425938960219039E-3</v>
      </c>
    </row>
    <row r="510" spans="16374:16378" x14ac:dyDescent="0.2">
      <c r="XET510" s="220">
        <v>41697</v>
      </c>
      <c r="XEU510" s="221">
        <v>16.835999999999999</v>
      </c>
      <c r="XEV510" s="198">
        <f t="shared" si="156"/>
        <v>-1.8182015450949329E-3</v>
      </c>
      <c r="XEW510" s="221">
        <v>4318.9301759999998</v>
      </c>
      <c r="XEX510" s="198">
        <f t="shared" si="157"/>
        <v>6.2604242789323639E-3</v>
      </c>
    </row>
    <row r="511" spans="16374:16378" x14ac:dyDescent="0.2">
      <c r="XET511" s="220">
        <v>41698</v>
      </c>
      <c r="XEU511" s="221">
        <v>16.320667</v>
      </c>
      <c r="XEV511" s="198">
        <f t="shared" si="156"/>
        <v>-3.0608992634830079E-2</v>
      </c>
      <c r="XEW511" s="221">
        <v>4308.1201170000004</v>
      </c>
      <c r="XEX511" s="198">
        <f t="shared" si="157"/>
        <v>-2.5029483134666464E-3</v>
      </c>
    </row>
    <row r="512" spans="16374:16378" x14ac:dyDescent="0.2">
      <c r="XET512" s="220">
        <v>41701</v>
      </c>
      <c r="XEU512" s="221">
        <v>16.704000000000001</v>
      </c>
      <c r="XEV512" s="198">
        <f t="shared" si="156"/>
        <v>2.348758172689891E-2</v>
      </c>
      <c r="XEW512" s="221">
        <v>4277.2998049999997</v>
      </c>
      <c r="XEX512" s="198">
        <f t="shared" si="157"/>
        <v>-7.1540048009298696E-3</v>
      </c>
    </row>
    <row r="513" spans="16374:16378" x14ac:dyDescent="0.2">
      <c r="XET513" s="220">
        <v>41702</v>
      </c>
      <c r="XEU513" s="221">
        <v>16.989332000000001</v>
      </c>
      <c r="XEV513" s="198">
        <f t="shared" si="156"/>
        <v>1.7081657088122704E-2</v>
      </c>
      <c r="XEW513" s="221">
        <v>4351.9702150000003</v>
      </c>
      <c r="XEX513" s="198">
        <f t="shared" si="157"/>
        <v>1.7457371099569352E-2</v>
      </c>
    </row>
    <row r="514" spans="16374:16378" x14ac:dyDescent="0.2">
      <c r="XET514" s="220">
        <v>41703</v>
      </c>
      <c r="XEU514" s="221">
        <v>16.844000000000001</v>
      </c>
      <c r="XEV514" s="198">
        <f t="shared" si="156"/>
        <v>-8.5543092571267465E-3</v>
      </c>
      <c r="XEW514" s="221">
        <v>4357.9702150000003</v>
      </c>
      <c r="XEX514" s="198">
        <f t="shared" si="157"/>
        <v>1.3786859062867585E-3</v>
      </c>
    </row>
    <row r="515" spans="16374:16378" x14ac:dyDescent="0.2">
      <c r="XET515" s="220">
        <v>41704</v>
      </c>
      <c r="XEU515" s="221">
        <v>16.862666999999998</v>
      </c>
      <c r="XEV515" s="198">
        <f t="shared" si="156"/>
        <v>1.1082284492993644E-3</v>
      </c>
      <c r="XEW515" s="221">
        <v>4352.1298829999996</v>
      </c>
      <c r="XEX515" s="198">
        <f t="shared" si="157"/>
        <v>-1.3401495907195971E-3</v>
      </c>
    </row>
    <row r="516" spans="16374:16378" x14ac:dyDescent="0.2">
      <c r="XET516" s="220">
        <v>41705</v>
      </c>
      <c r="XEU516" s="221">
        <v>16.414000000000001</v>
      </c>
      <c r="XEV516" s="198">
        <f t="shared" si="156"/>
        <v>-2.6607119739718299E-2</v>
      </c>
      <c r="XEW516" s="221">
        <v>4336.2202150000003</v>
      </c>
      <c r="XEX516" s="198">
        <f t="shared" si="157"/>
        <v>-3.6556050549283459E-3</v>
      </c>
    </row>
    <row r="517" spans="16374:16378" x14ac:dyDescent="0.2">
      <c r="XET517" s="220">
        <v>41708</v>
      </c>
      <c r="XEU517" s="221">
        <v>15.922667000000001</v>
      </c>
      <c r="XEV517" s="198">
        <f t="shared" si="156"/>
        <v>-2.9933776044839822E-2</v>
      </c>
      <c r="XEW517" s="221">
        <v>4334.4501950000003</v>
      </c>
      <c r="XEX517" s="198">
        <f t="shared" si="157"/>
        <v>-4.0819421344817641E-4</v>
      </c>
    </row>
    <row r="518" spans="16374:16378" x14ac:dyDescent="0.2">
      <c r="XET518" s="220">
        <v>41709</v>
      </c>
      <c r="XEU518" s="221">
        <v>15.627333</v>
      </c>
      <c r="XEV518" s="198">
        <f t="shared" si="156"/>
        <v>-1.8548023393317292E-2</v>
      </c>
      <c r="XEW518" s="221">
        <v>4307.1899409999996</v>
      </c>
      <c r="XEX518" s="198">
        <f t="shared" si="157"/>
        <v>-6.2892068829044634E-3</v>
      </c>
    </row>
    <row r="519" spans="16374:16378" x14ac:dyDescent="0.2">
      <c r="XET519" s="220">
        <v>41710</v>
      </c>
      <c r="XEU519" s="221">
        <v>16.099333000000001</v>
      </c>
      <c r="XEV519" s="198">
        <f t="shared" si="156"/>
        <v>3.0203490256462961E-2</v>
      </c>
      <c r="XEW519" s="221">
        <v>4323.330078</v>
      </c>
      <c r="XEX519" s="198">
        <f t="shared" si="157"/>
        <v>3.7472545258250278E-3</v>
      </c>
    </row>
    <row r="520" spans="16374:16378" x14ac:dyDescent="0.2">
      <c r="XET520" s="220">
        <v>41711</v>
      </c>
      <c r="XEU520" s="221">
        <v>15.852667</v>
      </c>
      <c r="XEV520" s="198">
        <f t="shared" si="156"/>
        <v>-1.5321504313253298E-2</v>
      </c>
      <c r="XEW520" s="221">
        <v>4260.419922</v>
      </c>
      <c r="XEX520" s="198">
        <f t="shared" si="157"/>
        <v>-1.4551319206490554E-2</v>
      </c>
    </row>
    <row r="521" spans="16374:16378" x14ac:dyDescent="0.2">
      <c r="XET521" s="220">
        <v>41712</v>
      </c>
      <c r="XEU521" s="221">
        <v>15.398</v>
      </c>
      <c r="XEV521" s="198">
        <f t="shared" si="156"/>
        <v>-2.868078916941863E-2</v>
      </c>
      <c r="XEW521" s="221">
        <v>4245.3999020000001</v>
      </c>
      <c r="XEX521" s="198">
        <f t="shared" si="157"/>
        <v>-3.5254787732165171E-3</v>
      </c>
    </row>
    <row r="522" spans="16374:16378" x14ac:dyDescent="0.2">
      <c r="XET522" s="220">
        <v>41715</v>
      </c>
      <c r="XEU522" s="221">
        <v>15.598667000000001</v>
      </c>
      <c r="XEV522" s="198">
        <f t="shared" si="156"/>
        <v>1.3032017145083952E-2</v>
      </c>
      <c r="XEW522" s="221">
        <v>4279.9501950000003</v>
      </c>
      <c r="XEX522" s="198">
        <f t="shared" si="157"/>
        <v>8.1382893950046054E-3</v>
      </c>
    </row>
    <row r="523" spans="16374:16378" x14ac:dyDescent="0.2">
      <c r="XET523" s="220">
        <v>41716</v>
      </c>
      <c r="XEU523" s="221">
        <v>16.002666000000001</v>
      </c>
      <c r="XEV523" s="198">
        <f t="shared" si="156"/>
        <v>2.589958488119537E-2</v>
      </c>
      <c r="XEW523" s="221">
        <v>4333.3100590000004</v>
      </c>
      <c r="XEX523" s="198">
        <f t="shared" si="157"/>
        <v>1.246740302313265E-2</v>
      </c>
    </row>
    <row r="524" spans="16374:16378" x14ac:dyDescent="0.2">
      <c r="XET524" s="220">
        <v>41717</v>
      </c>
      <c r="XEU524" s="221">
        <v>15.722667</v>
      </c>
      <c r="XEV524" s="198">
        <f t="shared" ref="XEV524:XEV587" si="165">XEU524/XEU523-1</f>
        <v>-1.7497022058699629E-2</v>
      </c>
      <c r="XEW524" s="221">
        <v>4307.6000979999999</v>
      </c>
      <c r="XEX524" s="198">
        <f t="shared" ref="XEX524:XEX587" si="166">XEW524/XEW523-1</f>
        <v>-5.9330997897559801E-3</v>
      </c>
    </row>
    <row r="525" spans="16374:16378" x14ac:dyDescent="0.2">
      <c r="XET525" s="220">
        <v>41718</v>
      </c>
      <c r="XEU525" s="221">
        <v>15.660667</v>
      </c>
      <c r="XEV525" s="198">
        <f t="shared" si="165"/>
        <v>-3.9433513410923604E-3</v>
      </c>
      <c r="XEW525" s="221">
        <v>4319.2900390000004</v>
      </c>
      <c r="XEX525" s="198">
        <f t="shared" si="166"/>
        <v>2.7137943945698684E-3</v>
      </c>
    </row>
    <row r="526" spans="16374:16378" x14ac:dyDescent="0.2">
      <c r="XET526" s="220">
        <v>41719</v>
      </c>
      <c r="XEU526" s="221">
        <v>15.259333</v>
      </c>
      <c r="XEV526" s="198">
        <f t="shared" si="165"/>
        <v>-2.5626877833492046E-2</v>
      </c>
      <c r="XEW526" s="221">
        <v>4276.7900390000004</v>
      </c>
      <c r="XEX526" s="198">
        <f t="shared" si="166"/>
        <v>-9.8395800273323175E-3</v>
      </c>
    </row>
    <row r="527" spans="16374:16378" x14ac:dyDescent="0.2">
      <c r="XET527" s="220">
        <v>41722</v>
      </c>
      <c r="XEU527" s="221">
        <v>14.678000000000001</v>
      </c>
      <c r="XEV527" s="198">
        <f t="shared" si="165"/>
        <v>-3.8096881429876328E-2</v>
      </c>
      <c r="XEW527" s="221">
        <v>4226.3901370000003</v>
      </c>
      <c r="XEX527" s="198">
        <f t="shared" si="166"/>
        <v>-1.1784516317238869E-2</v>
      </c>
    </row>
    <row r="528" spans="16374:16378" x14ac:dyDescent="0.2">
      <c r="XET528" s="220">
        <v>41723</v>
      </c>
      <c r="XEU528" s="221">
        <v>14.696</v>
      </c>
      <c r="XEV528" s="198">
        <f t="shared" si="165"/>
        <v>1.2263251124131624E-3</v>
      </c>
      <c r="XEW528" s="221">
        <v>4234.2700199999999</v>
      </c>
      <c r="XEX528" s="198">
        <f t="shared" si="166"/>
        <v>1.8644476123996778E-3</v>
      </c>
    </row>
    <row r="529" spans="16374:16378" x14ac:dyDescent="0.2">
      <c r="XET529" s="220">
        <v>41724</v>
      </c>
      <c r="XEU529" s="221">
        <v>14.197333</v>
      </c>
      <c r="XEV529" s="198">
        <f t="shared" si="165"/>
        <v>-3.3932158410451829E-2</v>
      </c>
      <c r="XEW529" s="221">
        <v>4173.580078</v>
      </c>
      <c r="XEX529" s="198">
        <f t="shared" si="166"/>
        <v>-1.4333035378787717E-2</v>
      </c>
    </row>
    <row r="530" spans="16374:16378" x14ac:dyDescent="0.2">
      <c r="XET530" s="220">
        <v>41725</v>
      </c>
      <c r="XEU530" s="221">
        <v>13.821332999999999</v>
      </c>
      <c r="XEV530" s="198">
        <f t="shared" si="165"/>
        <v>-2.6483847353584E-2</v>
      </c>
      <c r="XEW530" s="221">
        <v>4151.2299800000001</v>
      </c>
      <c r="XEX530" s="198">
        <f t="shared" si="166"/>
        <v>-5.3551381744926241E-3</v>
      </c>
    </row>
    <row r="531" spans="16374:16378" x14ac:dyDescent="0.2">
      <c r="XET531" s="220">
        <v>41726</v>
      </c>
      <c r="XEU531" s="221">
        <v>14.157999999999999</v>
      </c>
      <c r="XEV531" s="198">
        <f t="shared" si="165"/>
        <v>2.435850434976139E-2</v>
      </c>
      <c r="XEW531" s="221">
        <v>4155.7597660000001</v>
      </c>
      <c r="XEX531" s="198">
        <f t="shared" si="166"/>
        <v>1.0911912907316523E-3</v>
      </c>
    </row>
    <row r="532" spans="16374:16378" x14ac:dyDescent="0.2">
      <c r="XET532" s="220">
        <v>41729</v>
      </c>
      <c r="XEU532" s="221">
        <v>13.896667000000001</v>
      </c>
      <c r="XEV532" s="198">
        <f t="shared" si="165"/>
        <v>-1.8458327447379519E-2</v>
      </c>
      <c r="XEW532" s="221">
        <v>4198.9902339999999</v>
      </c>
      <c r="XEX532" s="198">
        <f t="shared" si="166"/>
        <v>1.0402542599715847E-2</v>
      </c>
    </row>
    <row r="533" spans="16374:16378" x14ac:dyDescent="0.2">
      <c r="XET533" s="220">
        <v>41730</v>
      </c>
      <c r="XEU533" s="221">
        <v>14.464667</v>
      </c>
      <c r="XEV533" s="198">
        <f t="shared" si="165"/>
        <v>4.087311007740202E-2</v>
      </c>
      <c r="XEW533" s="221">
        <v>4268.0400390000004</v>
      </c>
      <c r="XEX533" s="198">
        <f t="shared" si="166"/>
        <v>1.6444383328375389E-2</v>
      </c>
    </row>
    <row r="534" spans="16374:16378" x14ac:dyDescent="0.2">
      <c r="XET534" s="220">
        <v>41731</v>
      </c>
      <c r="XEU534" s="221">
        <v>15.352667</v>
      </c>
      <c r="XEV534" s="198">
        <f t="shared" si="165"/>
        <v>6.1390974296193557E-2</v>
      </c>
      <c r="XEW534" s="221">
        <v>4276.4599609999996</v>
      </c>
      <c r="XEX534" s="198">
        <f t="shared" si="166"/>
        <v>1.9727842107994942E-3</v>
      </c>
    </row>
    <row r="535" spans="16374:16378" x14ac:dyDescent="0.2">
      <c r="XET535" s="220">
        <v>41732</v>
      </c>
      <c r="XEU535" s="221">
        <v>15.026667</v>
      </c>
      <c r="XEV535" s="198">
        <f t="shared" si="165"/>
        <v>-2.1234095678620557E-2</v>
      </c>
      <c r="XEW535" s="221">
        <v>4237.7402339999999</v>
      </c>
      <c r="XEX535" s="198">
        <f t="shared" si="166"/>
        <v>-9.0541539855655273E-3</v>
      </c>
    </row>
    <row r="536" spans="16374:16378" x14ac:dyDescent="0.2">
      <c r="XET536" s="220">
        <v>41733</v>
      </c>
      <c r="XEU536" s="221">
        <v>14.148667</v>
      </c>
      <c r="XEV536" s="198">
        <f t="shared" si="165"/>
        <v>-5.842945744388961E-2</v>
      </c>
      <c r="XEW536" s="221">
        <v>4127.7299800000001</v>
      </c>
      <c r="XEX536" s="198">
        <f t="shared" si="166"/>
        <v>-2.5959650173309701E-2</v>
      </c>
    </row>
    <row r="537" spans="16374:16378" x14ac:dyDescent="0.2">
      <c r="XET537" s="220">
        <v>41736</v>
      </c>
      <c r="XEU537" s="221">
        <v>13.834667</v>
      </c>
      <c r="XEV537" s="198">
        <f t="shared" si="165"/>
        <v>-2.2192903402136754E-2</v>
      </c>
      <c r="XEW537" s="221">
        <v>4079.75</v>
      </c>
      <c r="XEX537" s="198">
        <f t="shared" si="166"/>
        <v>-1.1623817505620915E-2</v>
      </c>
    </row>
    <row r="538" spans="16374:16378" x14ac:dyDescent="0.2">
      <c r="XET538" s="220">
        <v>41737</v>
      </c>
      <c r="XEU538" s="221">
        <v>14.364000000000001</v>
      </c>
      <c r="XEV538" s="198">
        <f t="shared" si="165"/>
        <v>3.8261347381906674E-2</v>
      </c>
      <c r="XEW538" s="221">
        <v>4112.9902339999999</v>
      </c>
      <c r="XEX538" s="198">
        <f t="shared" si="166"/>
        <v>8.1476154176114424E-3</v>
      </c>
    </row>
    <row r="539" spans="16374:16378" x14ac:dyDescent="0.2">
      <c r="XET539" s="220">
        <v>41738</v>
      </c>
      <c r="XEU539" s="221">
        <v>14.462</v>
      </c>
      <c r="XEV539" s="198">
        <f t="shared" si="165"/>
        <v>6.8226120857699524E-3</v>
      </c>
      <c r="XEW539" s="221">
        <v>4183.8999020000001</v>
      </c>
      <c r="XEX539" s="198">
        <f t="shared" si="166"/>
        <v>1.7240417303650668E-2</v>
      </c>
    </row>
    <row r="540" spans="16374:16378" x14ac:dyDescent="0.2">
      <c r="XET540" s="220">
        <v>41739</v>
      </c>
      <c r="XEU540" s="221">
        <v>13.612667</v>
      </c>
      <c r="XEV540" s="198">
        <f t="shared" si="165"/>
        <v>-5.8728599087263134E-2</v>
      </c>
      <c r="XEW540" s="221">
        <v>4054.110107</v>
      </c>
      <c r="XEX540" s="198">
        <f t="shared" si="166"/>
        <v>-3.102124764934211E-2</v>
      </c>
    </row>
    <row r="541" spans="16374:16378" x14ac:dyDescent="0.2">
      <c r="XET541" s="220">
        <v>41740</v>
      </c>
      <c r="XEU541" s="221">
        <v>13.585333</v>
      </c>
      <c r="XEV541" s="198">
        <f t="shared" si="165"/>
        <v>-2.0079827119843241E-3</v>
      </c>
      <c r="XEW541" s="221">
        <v>3999.7299800000001</v>
      </c>
      <c r="XEX541" s="198">
        <f t="shared" si="166"/>
        <v>-1.3413579198577996E-2</v>
      </c>
    </row>
    <row r="542" spans="16374:16378" x14ac:dyDescent="0.2">
      <c r="XET542" s="220">
        <v>41743</v>
      </c>
      <c r="XEU542" s="221">
        <v>13.206</v>
      </c>
      <c r="XEV542" s="198">
        <f t="shared" si="165"/>
        <v>-2.7922245262593126E-2</v>
      </c>
      <c r="XEW542" s="221">
        <v>4022.6899410000001</v>
      </c>
      <c r="XEX542" s="198">
        <f t="shared" si="166"/>
        <v>5.740377754200221E-3</v>
      </c>
    </row>
    <row r="543" spans="16374:16378" x14ac:dyDescent="0.2">
      <c r="XET543" s="220">
        <v>41744</v>
      </c>
      <c r="XEU543" s="221">
        <v>12.927333000000001</v>
      </c>
      <c r="XEV543" s="198">
        <f t="shared" si="165"/>
        <v>-2.1101544752385126E-2</v>
      </c>
      <c r="XEW543" s="221">
        <v>4034.1599120000001</v>
      </c>
      <c r="XEX543" s="198">
        <f t="shared" si="166"/>
        <v>2.8513186868059925E-3</v>
      </c>
    </row>
    <row r="544" spans="16374:16378" x14ac:dyDescent="0.2">
      <c r="XET544" s="220">
        <v>41745</v>
      </c>
      <c r="XEU544" s="221">
        <v>13.273999999999999</v>
      </c>
      <c r="XEV544" s="198">
        <f t="shared" si="165"/>
        <v>2.6816590862167589E-2</v>
      </c>
      <c r="XEW544" s="221">
        <v>4086.2299800000001</v>
      </c>
      <c r="XEX544" s="198">
        <f t="shared" si="166"/>
        <v>1.2907289035596348E-2</v>
      </c>
    </row>
    <row r="545" spans="16374:16378" x14ac:dyDescent="0.2">
      <c r="XET545" s="220">
        <v>41746</v>
      </c>
      <c r="XEU545" s="221">
        <v>13.208</v>
      </c>
      <c r="XEV545" s="198">
        <f t="shared" si="165"/>
        <v>-4.9721259605242096E-3</v>
      </c>
      <c r="XEW545" s="221">
        <v>4095.5200199999999</v>
      </c>
      <c r="XEX545" s="198">
        <f t="shared" si="166"/>
        <v>2.2734990554789114E-3</v>
      </c>
    </row>
    <row r="546" spans="16374:16378" x14ac:dyDescent="0.2">
      <c r="XET546" s="220">
        <v>41750</v>
      </c>
      <c r="XEU546" s="221">
        <v>13.625332999999999</v>
      </c>
      <c r="XEV546" s="198">
        <f t="shared" si="165"/>
        <v>3.1596986674742533E-2</v>
      </c>
      <c r="XEW546" s="221">
        <v>4121.5498049999997</v>
      </c>
      <c r="XEX546" s="198">
        <f t="shared" si="166"/>
        <v>6.355672752882624E-3</v>
      </c>
    </row>
    <row r="547" spans="16374:16378" x14ac:dyDescent="0.2">
      <c r="XET547" s="220">
        <v>41751</v>
      </c>
      <c r="XEU547" s="221">
        <v>14.576000000000001</v>
      </c>
      <c r="XEV547" s="198">
        <f t="shared" si="165"/>
        <v>6.9772019516880945E-2</v>
      </c>
      <c r="XEW547" s="221">
        <v>4161.4599609999996</v>
      </c>
      <c r="XEX547" s="198">
        <f t="shared" si="166"/>
        <v>9.6832885415052417E-3</v>
      </c>
    </row>
    <row r="548" spans="16374:16378" x14ac:dyDescent="0.2">
      <c r="XET548" s="220">
        <v>41752</v>
      </c>
      <c r="XEU548" s="221">
        <v>13.866</v>
      </c>
      <c r="XEV548" s="198">
        <f t="shared" si="165"/>
        <v>-4.8710208562019797E-2</v>
      </c>
      <c r="XEW548" s="221">
        <v>4126.9702150000003</v>
      </c>
      <c r="XEX548" s="198">
        <f t="shared" si="166"/>
        <v>-8.2878956720062735E-3</v>
      </c>
    </row>
    <row r="549" spans="16374:16378" x14ac:dyDescent="0.2">
      <c r="XET549" s="220">
        <v>41753</v>
      </c>
      <c r="XEU549" s="221">
        <v>13.857333000000001</v>
      </c>
      <c r="XEV549" s="198">
        <f t="shared" si="165"/>
        <v>-6.2505408913882121E-4</v>
      </c>
      <c r="XEW549" s="221">
        <v>4148.3398440000001</v>
      </c>
      <c r="XEX549" s="198">
        <f t="shared" si="166"/>
        <v>5.1780429435446251E-3</v>
      </c>
    </row>
    <row r="550" spans="16374:16378" x14ac:dyDescent="0.2">
      <c r="XET550" s="220">
        <v>41754</v>
      </c>
      <c r="XEU550" s="221">
        <v>13.323333</v>
      </c>
      <c r="XEV550" s="198">
        <f t="shared" si="165"/>
        <v>-3.853555370286621E-2</v>
      </c>
      <c r="XEW550" s="221">
        <v>4075.5600589999999</v>
      </c>
      <c r="XEX550" s="198">
        <f t="shared" si="166"/>
        <v>-1.754431597624917E-2</v>
      </c>
    </row>
    <row r="551" spans="16374:16378" x14ac:dyDescent="0.2">
      <c r="XET551" s="220">
        <v>41757</v>
      </c>
      <c r="XEU551" s="221">
        <v>13.234</v>
      </c>
      <c r="XEV551" s="198">
        <f t="shared" si="165"/>
        <v>-6.7050039205654999E-3</v>
      </c>
      <c r="XEW551" s="221">
        <v>4074.3999020000001</v>
      </c>
      <c r="XEX551" s="198">
        <f t="shared" si="166"/>
        <v>-2.8466198098042739E-4</v>
      </c>
    </row>
    <row r="552" spans="16374:16378" x14ac:dyDescent="0.2">
      <c r="XET552" s="220">
        <v>41758</v>
      </c>
      <c r="XEU552" s="221">
        <v>13.794667</v>
      </c>
      <c r="XEV552" s="198">
        <f t="shared" si="165"/>
        <v>4.2365649085688517E-2</v>
      </c>
      <c r="XEW552" s="221">
        <v>4103.5400390000004</v>
      </c>
      <c r="XEX552" s="198">
        <f t="shared" si="166"/>
        <v>7.1520070932891144E-3</v>
      </c>
    </row>
    <row r="553" spans="16374:16378" x14ac:dyDescent="0.2">
      <c r="XET553" s="220">
        <v>41759</v>
      </c>
      <c r="XEU553" s="221">
        <v>13.859332999999999</v>
      </c>
      <c r="XEV553" s="198">
        <f t="shared" si="165"/>
        <v>4.6877536079703575E-3</v>
      </c>
      <c r="XEW553" s="221">
        <v>4114.5600590000004</v>
      </c>
      <c r="XEX553" s="198">
        <f t="shared" si="166"/>
        <v>2.6854910382902997E-3</v>
      </c>
    </row>
    <row r="554" spans="16374:16378" x14ac:dyDescent="0.2">
      <c r="XET554" s="220">
        <v>41760</v>
      </c>
      <c r="XEU554" s="221">
        <v>13.848667000000001</v>
      </c>
      <c r="XEV554" s="198">
        <f t="shared" si="165"/>
        <v>-7.6958970536311622E-4</v>
      </c>
      <c r="XEW554" s="221">
        <v>4127.4501950000003</v>
      </c>
      <c r="XEX554" s="198">
        <f t="shared" si="166"/>
        <v>3.1328102677234959E-3</v>
      </c>
    </row>
    <row r="555" spans="16374:16378" x14ac:dyDescent="0.2">
      <c r="XET555" s="220">
        <v>41761</v>
      </c>
      <c r="XEU555" s="221">
        <v>14.060667</v>
      </c>
      <c r="XEV555" s="198">
        <f t="shared" si="165"/>
        <v>1.5308332563704452E-2</v>
      </c>
      <c r="XEW555" s="221">
        <v>4123.8999020000001</v>
      </c>
      <c r="XEX555" s="198">
        <f t="shared" si="166"/>
        <v>-8.6016616367678989E-4</v>
      </c>
    </row>
    <row r="556" spans="16374:16378" x14ac:dyDescent="0.2">
      <c r="XET556" s="220">
        <v>41764</v>
      </c>
      <c r="XEU556" s="221">
        <v>14.440666999999999</v>
      </c>
      <c r="XEV556" s="198">
        <f t="shared" si="165"/>
        <v>2.7025744937988927E-2</v>
      </c>
      <c r="XEW556" s="221">
        <v>4138.0600590000004</v>
      </c>
      <c r="XEX556" s="198">
        <f t="shared" si="166"/>
        <v>3.4336810631927506E-3</v>
      </c>
    </row>
    <row r="557" spans="16374:16378" x14ac:dyDescent="0.2">
      <c r="XET557" s="220">
        <v>41765</v>
      </c>
      <c r="XEU557" s="221">
        <v>13.818667</v>
      </c>
      <c r="XEV557" s="198">
        <f t="shared" si="165"/>
        <v>-4.3072802662093124E-2</v>
      </c>
      <c r="XEW557" s="221">
        <v>4080.76001</v>
      </c>
      <c r="XEX557" s="198">
        <f t="shared" si="166"/>
        <v>-1.3847080076901386E-2</v>
      </c>
    </row>
    <row r="558" spans="16374:16378" x14ac:dyDescent="0.2">
      <c r="XET558" s="220">
        <v>41766</v>
      </c>
      <c r="XEU558" s="221">
        <v>13.423333</v>
      </c>
      <c r="XEV558" s="198">
        <f t="shared" si="165"/>
        <v>-2.8608692864514396E-2</v>
      </c>
      <c r="XEW558" s="221">
        <v>4067.669922</v>
      </c>
      <c r="XEX558" s="198">
        <f t="shared" si="166"/>
        <v>-3.2077573706668083E-3</v>
      </c>
    </row>
    <row r="559" spans="16374:16378" x14ac:dyDescent="0.2">
      <c r="XET559" s="220">
        <v>41767</v>
      </c>
      <c r="XEU559" s="221">
        <v>11.906000000000001</v>
      </c>
      <c r="XEV559" s="198">
        <f t="shared" si="165"/>
        <v>-0.11303697822291969</v>
      </c>
      <c r="XEW559" s="221">
        <v>4051.5</v>
      </c>
      <c r="XEX559" s="198">
        <f t="shared" si="166"/>
        <v>-3.9752296302473233E-3</v>
      </c>
    </row>
    <row r="560" spans="16374:16378" x14ac:dyDescent="0.2">
      <c r="XET560" s="220">
        <v>41768</v>
      </c>
      <c r="XEU560" s="221">
        <v>12.150667</v>
      </c>
      <c r="XEV560" s="198">
        <f t="shared" si="165"/>
        <v>2.0549890811355498E-2</v>
      </c>
      <c r="XEW560" s="221">
        <v>4071.8701169999999</v>
      </c>
      <c r="XEX560" s="198">
        <f t="shared" si="166"/>
        <v>5.0277963717142438E-3</v>
      </c>
    </row>
    <row r="561" spans="16374:16378" x14ac:dyDescent="0.2">
      <c r="XET561" s="220">
        <v>41771</v>
      </c>
      <c r="XEU561" s="221">
        <v>12.311332999999999</v>
      </c>
      <c r="XEV561" s="198">
        <f t="shared" si="165"/>
        <v>1.3222813200295835E-2</v>
      </c>
      <c r="XEW561" s="221">
        <v>4143.8598629999997</v>
      </c>
      <c r="XEX561" s="198">
        <f t="shared" si="166"/>
        <v>1.7679774632163081E-2</v>
      </c>
    </row>
    <row r="562" spans="16374:16378" x14ac:dyDescent="0.2">
      <c r="XET562" s="220">
        <v>41772</v>
      </c>
      <c r="XEU562" s="221">
        <v>12.677333000000001</v>
      </c>
      <c r="XEV562" s="198">
        <f t="shared" si="165"/>
        <v>2.9728706062942312E-2</v>
      </c>
      <c r="XEW562" s="221">
        <v>4130.169922</v>
      </c>
      <c r="XEX562" s="198">
        <f t="shared" si="166"/>
        <v>-3.3036689107746042E-3</v>
      </c>
    </row>
    <row r="563" spans="16374:16378" x14ac:dyDescent="0.2">
      <c r="XET563" s="220">
        <v>41773</v>
      </c>
      <c r="XEU563" s="221">
        <v>12.708</v>
      </c>
      <c r="XEV563" s="198">
        <f t="shared" si="165"/>
        <v>2.4190419230920579E-3</v>
      </c>
      <c r="XEW563" s="221">
        <v>4100.6298829999996</v>
      </c>
      <c r="XEX563" s="198">
        <f t="shared" si="166"/>
        <v>-7.1522575482065864E-3</v>
      </c>
    </row>
    <row r="564" spans="16374:16378" x14ac:dyDescent="0.2">
      <c r="XET564" s="220">
        <v>41774</v>
      </c>
      <c r="XEU564" s="221">
        <v>12.572666999999999</v>
      </c>
      <c r="XEV564" s="198">
        <f t="shared" si="165"/>
        <v>-1.0649433427762145E-2</v>
      </c>
      <c r="XEW564" s="221">
        <v>4069.290039</v>
      </c>
      <c r="XEX564" s="198">
        <f t="shared" si="166"/>
        <v>-7.6426902437416455E-3</v>
      </c>
    </row>
    <row r="565" spans="16374:16378" x14ac:dyDescent="0.2">
      <c r="XET565" s="220">
        <v>41775</v>
      </c>
      <c r="XEU565" s="221">
        <v>12.770667</v>
      </c>
      <c r="XEV565" s="198">
        <f t="shared" si="165"/>
        <v>1.5748448598853493E-2</v>
      </c>
      <c r="XEW565" s="221">
        <v>4090.5900879999999</v>
      </c>
      <c r="XEX565" s="198">
        <f t="shared" si="166"/>
        <v>5.2343403384522702E-3</v>
      </c>
    </row>
    <row r="566" spans="16374:16378" x14ac:dyDescent="0.2">
      <c r="XET566" s="220">
        <v>41778</v>
      </c>
      <c r="XEU566" s="221">
        <v>13.072666999999999</v>
      </c>
      <c r="XEV566" s="198">
        <f t="shared" si="165"/>
        <v>2.3647942585927506E-2</v>
      </c>
      <c r="XEW566" s="221">
        <v>4125.8100590000004</v>
      </c>
      <c r="XEX566" s="198">
        <f t="shared" si="166"/>
        <v>8.6099976390496824E-3</v>
      </c>
    </row>
    <row r="567" spans="16374:16378" x14ac:dyDescent="0.2">
      <c r="XET567" s="220">
        <v>41779</v>
      </c>
      <c r="XEU567" s="221">
        <v>13.02</v>
      </c>
      <c r="XEV567" s="198">
        <f t="shared" si="165"/>
        <v>-4.0287876987916693E-3</v>
      </c>
      <c r="XEW567" s="221">
        <v>4096.8901370000003</v>
      </c>
      <c r="XEX567" s="198">
        <f t="shared" si="166"/>
        <v>-7.0095136679678705E-3</v>
      </c>
    </row>
    <row r="568" spans="16374:16378" x14ac:dyDescent="0.2">
      <c r="XET568" s="220">
        <v>41780</v>
      </c>
      <c r="XEU568" s="221">
        <v>13.296666999999999</v>
      </c>
      <c r="XEV568" s="198">
        <f t="shared" si="165"/>
        <v>2.1249385560675904E-2</v>
      </c>
      <c r="XEW568" s="221">
        <v>4131.5400390000004</v>
      </c>
      <c r="XEX568" s="198">
        <f t="shared" si="166"/>
        <v>8.4576107343148355E-3</v>
      </c>
    </row>
    <row r="569" spans="16374:16378" x14ac:dyDescent="0.2">
      <c r="XET569" s="220">
        <v>41781</v>
      </c>
      <c r="XEU569" s="221">
        <v>13.658666999999999</v>
      </c>
      <c r="XEV569" s="198">
        <f t="shared" si="165"/>
        <v>2.7224867705568645E-2</v>
      </c>
      <c r="XEW569" s="221">
        <v>4154.3398440000001</v>
      </c>
      <c r="XEX569" s="198">
        <f t="shared" si="166"/>
        <v>5.5184761093391987E-3</v>
      </c>
    </row>
    <row r="570" spans="16374:16378" x14ac:dyDescent="0.2">
      <c r="XET570" s="220">
        <v>41782</v>
      </c>
      <c r="XEU570" s="221">
        <v>13.82</v>
      </c>
      <c r="XEV570" s="198">
        <f t="shared" si="165"/>
        <v>1.1811767575855114E-2</v>
      </c>
      <c r="XEW570" s="221">
        <v>4185.8100590000004</v>
      </c>
      <c r="XEX570" s="198">
        <f t="shared" si="166"/>
        <v>7.5752625403171514E-3</v>
      </c>
    </row>
    <row r="571" spans="16374:16378" x14ac:dyDescent="0.2">
      <c r="XET571" s="220">
        <v>41786</v>
      </c>
      <c r="XEU571" s="221">
        <v>14.103999999999999</v>
      </c>
      <c r="XEV571" s="198">
        <f t="shared" si="165"/>
        <v>2.0549927641099863E-2</v>
      </c>
      <c r="XEW571" s="221">
        <v>4237.0698240000002</v>
      </c>
      <c r="XEX571" s="198">
        <f t="shared" si="166"/>
        <v>1.224608003647587E-2</v>
      </c>
    </row>
    <row r="572" spans="16374:16378" x14ac:dyDescent="0.2">
      <c r="XET572" s="220">
        <v>41787</v>
      </c>
      <c r="XEU572" s="221">
        <v>14.016</v>
      </c>
      <c r="XEV572" s="198">
        <f t="shared" si="165"/>
        <v>-6.2393647192284796E-3</v>
      </c>
      <c r="XEW572" s="221">
        <v>4225.080078</v>
      </c>
      <c r="XEX572" s="198">
        <f t="shared" si="166"/>
        <v>-2.829725847822151E-3</v>
      </c>
    </row>
    <row r="573" spans="16374:16378" x14ac:dyDescent="0.2">
      <c r="XET573" s="220">
        <v>41788</v>
      </c>
      <c r="XEU573" s="221">
        <v>14.016</v>
      </c>
      <c r="XEV573" s="198">
        <f t="shared" si="165"/>
        <v>0</v>
      </c>
      <c r="XEW573" s="221">
        <v>4247.9501950000003</v>
      </c>
      <c r="XEX573" s="198">
        <f t="shared" si="166"/>
        <v>5.4129428502633914E-3</v>
      </c>
    </row>
    <row r="574" spans="16374:16378" x14ac:dyDescent="0.2">
      <c r="XET574" s="220">
        <v>41789</v>
      </c>
      <c r="XEU574" s="221">
        <v>13.851333</v>
      </c>
      <c r="XEV574" s="198">
        <f t="shared" si="165"/>
        <v>-1.1748501712328774E-2</v>
      </c>
      <c r="XEW574" s="221">
        <v>4242.6201170000004</v>
      </c>
      <c r="XEX574" s="198">
        <f t="shared" si="166"/>
        <v>-1.2547411705234879E-3</v>
      </c>
    </row>
    <row r="575" spans="16374:16378" x14ac:dyDescent="0.2">
      <c r="XET575" s="220">
        <v>41792</v>
      </c>
      <c r="XEU575" s="221">
        <v>13.646667000000001</v>
      </c>
      <c r="XEV575" s="198">
        <f t="shared" si="165"/>
        <v>-1.4775906405542272E-2</v>
      </c>
      <c r="XEW575" s="221">
        <v>4237.2001950000003</v>
      </c>
      <c r="XEX575" s="198">
        <f t="shared" si="166"/>
        <v>-1.2774940603997864E-3</v>
      </c>
    </row>
    <row r="576" spans="16374:16378" x14ac:dyDescent="0.2">
      <c r="XET576" s="220">
        <v>41793</v>
      </c>
      <c r="XEU576" s="221">
        <v>13.662667000000001</v>
      </c>
      <c r="XEV576" s="198">
        <f t="shared" si="165"/>
        <v>1.1724474554848374E-3</v>
      </c>
      <c r="XEW576" s="221">
        <v>4234.080078</v>
      </c>
      <c r="XEX576" s="198">
        <f t="shared" si="166"/>
        <v>-7.3636289446088465E-4</v>
      </c>
    </row>
    <row r="577" spans="16374:16378" x14ac:dyDescent="0.2">
      <c r="XET577" s="220">
        <v>41794</v>
      </c>
      <c r="XEU577" s="221">
        <v>13.599333</v>
      </c>
      <c r="XEV577" s="198">
        <f t="shared" si="165"/>
        <v>-4.6355517557443715E-3</v>
      </c>
      <c r="XEW577" s="221">
        <v>4251.6401370000003</v>
      </c>
      <c r="XEX577" s="198">
        <f t="shared" si="166"/>
        <v>4.1473138619274597E-3</v>
      </c>
    </row>
    <row r="578" spans="16374:16378" x14ac:dyDescent="0.2">
      <c r="XET578" s="220">
        <v>41795</v>
      </c>
      <c r="XEU578" s="221">
        <v>13.793333000000001</v>
      </c>
      <c r="XEV578" s="198">
        <f t="shared" si="165"/>
        <v>1.4265405516579399E-2</v>
      </c>
      <c r="XEW578" s="221">
        <v>4296.2299800000001</v>
      </c>
      <c r="XEX578" s="198">
        <f t="shared" si="166"/>
        <v>1.0487680415836698E-2</v>
      </c>
    </row>
    <row r="579" spans="16374:16378" x14ac:dyDescent="0.2">
      <c r="XET579" s="220">
        <v>41796</v>
      </c>
      <c r="XEU579" s="221">
        <v>13.878</v>
      </c>
      <c r="XEV579" s="198">
        <f t="shared" si="165"/>
        <v>6.1382553440854082E-3</v>
      </c>
      <c r="XEW579" s="221">
        <v>4321.3999020000001</v>
      </c>
      <c r="XEX579" s="198">
        <f t="shared" si="166"/>
        <v>5.858606759221896E-3</v>
      </c>
    </row>
    <row r="580" spans="16374:16378" x14ac:dyDescent="0.2">
      <c r="XET580" s="220">
        <v>41799</v>
      </c>
      <c r="XEU580" s="221">
        <v>13.687333000000001</v>
      </c>
      <c r="XEV580" s="198">
        <f t="shared" si="165"/>
        <v>-1.3738795215448851E-2</v>
      </c>
      <c r="XEW580" s="221">
        <v>4336.2402339999999</v>
      </c>
      <c r="XEX580" s="198">
        <f t="shared" si="166"/>
        <v>3.4341491962202042E-3</v>
      </c>
    </row>
    <row r="581" spans="16374:16378" x14ac:dyDescent="0.2">
      <c r="XET581" s="220">
        <v>41800</v>
      </c>
      <c r="XEU581" s="221">
        <v>13.486667000000001</v>
      </c>
      <c r="XEV581" s="198">
        <f t="shared" si="165"/>
        <v>-1.4660708554398383E-2</v>
      </c>
      <c r="XEW581" s="221">
        <v>4338</v>
      </c>
      <c r="XEX581" s="198">
        <f t="shared" si="166"/>
        <v>4.0582760756713299E-4</v>
      </c>
    </row>
    <row r="582" spans="16374:16378" x14ac:dyDescent="0.2">
      <c r="XET582" s="220">
        <v>41801</v>
      </c>
      <c r="XEU582" s="221">
        <v>13.631333</v>
      </c>
      <c r="XEV582" s="198">
        <f t="shared" si="165"/>
        <v>1.0726593901962511E-2</v>
      </c>
      <c r="XEW582" s="221">
        <v>4331.9301759999998</v>
      </c>
      <c r="XEX582" s="198">
        <f t="shared" si="166"/>
        <v>-1.399221761180347E-3</v>
      </c>
    </row>
    <row r="583" spans="16374:16378" x14ac:dyDescent="0.2">
      <c r="XET583" s="220">
        <v>41802</v>
      </c>
      <c r="XEU583" s="221">
        <v>13.568</v>
      </c>
      <c r="XEV583" s="198">
        <f t="shared" si="165"/>
        <v>-4.6461340207887281E-3</v>
      </c>
      <c r="XEW583" s="221">
        <v>4297.6298829999996</v>
      </c>
      <c r="XEX583" s="198">
        <f t="shared" si="166"/>
        <v>-7.9180161282452755E-3</v>
      </c>
    </row>
    <row r="584" spans="16374:16378" x14ac:dyDescent="0.2">
      <c r="XET584" s="220">
        <v>41803</v>
      </c>
      <c r="XEU584" s="221">
        <v>13.761333</v>
      </c>
      <c r="XEV584" s="198">
        <f t="shared" si="165"/>
        <v>1.424918926886809E-2</v>
      </c>
      <c r="XEW584" s="221">
        <v>4310.6499020000001</v>
      </c>
      <c r="XEX584" s="198">
        <f t="shared" si="166"/>
        <v>3.0295812702492153E-3</v>
      </c>
    </row>
    <row r="585" spans="16374:16378" x14ac:dyDescent="0.2">
      <c r="XET585" s="220">
        <v>41806</v>
      </c>
      <c r="XEU585" s="221">
        <v>14.974</v>
      </c>
      <c r="XEV585" s="198">
        <f t="shared" si="165"/>
        <v>8.8121332431967181E-2</v>
      </c>
      <c r="XEW585" s="221">
        <v>4321.1000979999999</v>
      </c>
      <c r="XEX585" s="198">
        <f t="shared" si="166"/>
        <v>2.424273888526951E-3</v>
      </c>
    </row>
    <row r="586" spans="16374:16378" x14ac:dyDescent="0.2">
      <c r="XET586" s="220">
        <v>41807</v>
      </c>
      <c r="XEU586" s="221">
        <v>15.444667000000001</v>
      </c>
      <c r="XEV586" s="198">
        <f t="shared" si="165"/>
        <v>3.1432282623213625E-2</v>
      </c>
      <c r="XEW586" s="221">
        <v>4337.2299800000001</v>
      </c>
      <c r="XEX586" s="198">
        <f t="shared" si="166"/>
        <v>3.7328184106324436E-3</v>
      </c>
    </row>
    <row r="587" spans="16374:16378" x14ac:dyDescent="0.2">
      <c r="XET587" s="220">
        <v>41808</v>
      </c>
      <c r="XEU587" s="221">
        <v>15.141332999999999</v>
      </c>
      <c r="XEV587" s="198">
        <f t="shared" si="165"/>
        <v>-1.964004792074836E-2</v>
      </c>
      <c r="XEW587" s="221">
        <v>4362.8398440000001</v>
      </c>
      <c r="XEX587" s="198">
        <f t="shared" si="166"/>
        <v>5.9046589915898728E-3</v>
      </c>
    </row>
    <row r="588" spans="16374:16378" x14ac:dyDescent="0.2">
      <c r="XET588" s="220">
        <v>41809</v>
      </c>
      <c r="XEU588" s="221">
        <v>15.186</v>
      </c>
      <c r="XEV588" s="198">
        <f t="shared" ref="XEV588:XEV651" si="167">XEU588/XEU587-1</f>
        <v>2.9500044679025006E-3</v>
      </c>
      <c r="XEW588" s="221">
        <v>4359.330078</v>
      </c>
      <c r="XEX588" s="198">
        <f t="shared" ref="XEX588:XEX651" si="168">XEW588/XEW587-1</f>
        <v>-8.0446821920976408E-4</v>
      </c>
    </row>
    <row r="589" spans="16374:16378" x14ac:dyDescent="0.2">
      <c r="XET589" s="220">
        <v>41810</v>
      </c>
      <c r="XEU589" s="221">
        <v>15.305999999999999</v>
      </c>
      <c r="XEV589" s="198">
        <f t="shared" si="167"/>
        <v>7.9020150138284784E-3</v>
      </c>
      <c r="XEW589" s="221">
        <v>4368.0400390000004</v>
      </c>
      <c r="XEX589" s="198">
        <f t="shared" si="168"/>
        <v>1.9980044741179093E-3</v>
      </c>
    </row>
    <row r="590" spans="16374:16378" x14ac:dyDescent="0.2">
      <c r="XET590" s="220">
        <v>41813</v>
      </c>
      <c r="XEU590" s="221">
        <v>15.814667</v>
      </c>
      <c r="XEV590" s="198">
        <f t="shared" si="167"/>
        <v>3.3233176532079023E-2</v>
      </c>
      <c r="XEW590" s="221">
        <v>4368.6801759999998</v>
      </c>
      <c r="XEX590" s="198">
        <f t="shared" si="168"/>
        <v>1.465501676458647E-4</v>
      </c>
    </row>
    <row r="591" spans="16374:16378" x14ac:dyDescent="0.2">
      <c r="XET591" s="220">
        <v>41814</v>
      </c>
      <c r="XEU591" s="221">
        <v>15.5</v>
      </c>
      <c r="XEV591" s="198">
        <f t="shared" si="167"/>
        <v>-1.9897162551699599E-2</v>
      </c>
      <c r="XEW591" s="221">
        <v>4350.3500979999999</v>
      </c>
      <c r="XEX591" s="198">
        <f t="shared" si="168"/>
        <v>-4.1957930682815503E-3</v>
      </c>
    </row>
    <row r="592" spans="16374:16378" x14ac:dyDescent="0.2">
      <c r="XET592" s="220">
        <v>41815</v>
      </c>
      <c r="XEU592" s="221">
        <v>15.792667</v>
      </c>
      <c r="XEV592" s="198">
        <f t="shared" si="167"/>
        <v>1.8881741935483864E-2</v>
      </c>
      <c r="XEW592" s="221">
        <v>4379.7597660000001</v>
      </c>
      <c r="XEX592" s="198">
        <f t="shared" si="168"/>
        <v>6.760299133975689E-3</v>
      </c>
    </row>
    <row r="593" spans="16374:16378" x14ac:dyDescent="0.2">
      <c r="XET593" s="220">
        <v>41816</v>
      </c>
      <c r="XEU593" s="221">
        <v>15.706666999999999</v>
      </c>
      <c r="XEV593" s="198">
        <f t="shared" si="167"/>
        <v>-5.4455653373809421E-3</v>
      </c>
      <c r="XEW593" s="221">
        <v>4379.0498049999997</v>
      </c>
      <c r="XEX593" s="198">
        <f t="shared" si="168"/>
        <v>-1.6210044338771379E-4</v>
      </c>
    </row>
    <row r="594" spans="16374:16378" x14ac:dyDescent="0.2">
      <c r="XET594" s="220">
        <v>41817</v>
      </c>
      <c r="XEU594" s="221">
        <v>15.937333000000001</v>
      </c>
      <c r="XEV594" s="198">
        <f t="shared" si="167"/>
        <v>1.4685865562694023E-2</v>
      </c>
      <c r="XEW594" s="221">
        <v>4397.9301759999998</v>
      </c>
      <c r="XEX594" s="198">
        <f t="shared" si="168"/>
        <v>4.311522325789241E-3</v>
      </c>
    </row>
    <row r="595" spans="16374:16378" x14ac:dyDescent="0.2">
      <c r="XET595" s="220">
        <v>41820</v>
      </c>
      <c r="XEU595" s="221">
        <v>16.004000000000001</v>
      </c>
      <c r="XEV595" s="198">
        <f t="shared" si="167"/>
        <v>4.1830712830057681E-3</v>
      </c>
      <c r="XEW595" s="221">
        <v>4408.1801759999998</v>
      </c>
      <c r="XEX595" s="198">
        <f t="shared" si="168"/>
        <v>2.3306418223589809E-3</v>
      </c>
    </row>
    <row r="596" spans="16374:16378" x14ac:dyDescent="0.2">
      <c r="XET596" s="220">
        <v>41821</v>
      </c>
      <c r="XEU596" s="221">
        <v>15.981332999999999</v>
      </c>
      <c r="XEV596" s="198">
        <f t="shared" si="167"/>
        <v>-1.4163334166459318E-3</v>
      </c>
      <c r="XEW596" s="221">
        <v>4458.6499020000001</v>
      </c>
      <c r="XEX596" s="198">
        <f t="shared" si="168"/>
        <v>1.1449106884237281E-2</v>
      </c>
    </row>
    <row r="597" spans="16374:16378" x14ac:dyDescent="0.2">
      <c r="XET597" s="220">
        <v>41822</v>
      </c>
      <c r="XEU597" s="221">
        <v>15.295332999999999</v>
      </c>
      <c r="XEV597" s="198">
        <f t="shared" si="167"/>
        <v>-4.2925080154452733E-2</v>
      </c>
      <c r="XEW597" s="221">
        <v>4457.7299800000001</v>
      </c>
      <c r="XEX597" s="198">
        <f t="shared" si="168"/>
        <v>-2.0632299467771009E-4</v>
      </c>
    </row>
    <row r="598" spans="16374:16378" x14ac:dyDescent="0.2">
      <c r="XET598" s="220">
        <v>41823</v>
      </c>
      <c r="XEU598" s="221">
        <v>15.283333000000001</v>
      </c>
      <c r="XEV598" s="198">
        <f t="shared" si="167"/>
        <v>-7.8455303980629054E-4</v>
      </c>
      <c r="XEW598" s="221">
        <v>4485.9301759999998</v>
      </c>
      <c r="XEX598" s="198">
        <f t="shared" si="168"/>
        <v>6.3261337332056744E-3</v>
      </c>
    </row>
    <row r="599" spans="16374:16378" x14ac:dyDescent="0.2">
      <c r="XET599" s="220">
        <v>41827</v>
      </c>
      <c r="XEU599" s="221">
        <v>14.843999999999999</v>
      </c>
      <c r="XEV599" s="198">
        <f t="shared" si="167"/>
        <v>-2.8745889394675928E-2</v>
      </c>
      <c r="XEW599" s="221">
        <v>4451.5297849999997</v>
      </c>
      <c r="XEX599" s="198">
        <f t="shared" si="168"/>
        <v>-7.6685079014480184E-3</v>
      </c>
    </row>
    <row r="600" spans="16374:16378" x14ac:dyDescent="0.2">
      <c r="XET600" s="220">
        <v>41828</v>
      </c>
      <c r="XEU600" s="221">
        <v>14.604666999999999</v>
      </c>
      <c r="XEV600" s="198">
        <f t="shared" si="167"/>
        <v>-1.6123214766909255E-2</v>
      </c>
      <c r="XEW600" s="221">
        <v>4391.4599609999996</v>
      </c>
      <c r="XEX600" s="198">
        <f t="shared" si="168"/>
        <v>-1.3494197927735541E-2</v>
      </c>
    </row>
    <row r="601" spans="16374:16378" x14ac:dyDescent="0.2">
      <c r="XET601" s="220">
        <v>41829</v>
      </c>
      <c r="XEU601" s="221">
        <v>14.870666999999999</v>
      </c>
      <c r="XEV601" s="198">
        <f t="shared" si="167"/>
        <v>1.821335604570784E-2</v>
      </c>
      <c r="XEW601" s="221">
        <v>4419.0297849999997</v>
      </c>
      <c r="XEX601" s="198">
        <f t="shared" si="168"/>
        <v>6.2780542791791571E-3</v>
      </c>
    </row>
    <row r="602" spans="16374:16378" x14ac:dyDescent="0.2">
      <c r="XET602" s="220">
        <v>41830</v>
      </c>
      <c r="XEU602" s="221">
        <v>14.630667000000001</v>
      </c>
      <c r="XEV602" s="198">
        <f t="shared" si="167"/>
        <v>-1.6139155022434348E-2</v>
      </c>
      <c r="XEW602" s="221">
        <v>4396.2001950000003</v>
      </c>
      <c r="XEX602" s="198">
        <f t="shared" si="168"/>
        <v>-5.1661996208969274E-3</v>
      </c>
    </row>
    <row r="603" spans="16374:16378" x14ac:dyDescent="0.2">
      <c r="XET603" s="220">
        <v>41831</v>
      </c>
      <c r="XEU603" s="221">
        <v>14.542</v>
      </c>
      <c r="XEV603" s="198">
        <f t="shared" si="167"/>
        <v>-6.0603525457862961E-3</v>
      </c>
      <c r="XEW603" s="221">
        <v>4415.4902339999999</v>
      </c>
      <c r="XEX603" s="198">
        <f t="shared" si="168"/>
        <v>4.3878891188664504E-3</v>
      </c>
    </row>
    <row r="604" spans="16374:16378" x14ac:dyDescent="0.2">
      <c r="XET604" s="220">
        <v>41834</v>
      </c>
      <c r="XEU604" s="221">
        <v>15.113333000000001</v>
      </c>
      <c r="XEV604" s="198">
        <f t="shared" si="167"/>
        <v>3.9288474762756209E-2</v>
      </c>
      <c r="XEW604" s="221">
        <v>4440.419922</v>
      </c>
      <c r="XEX604" s="198">
        <f t="shared" si="168"/>
        <v>5.6459615306216904E-3</v>
      </c>
    </row>
    <row r="605" spans="16374:16378" x14ac:dyDescent="0.2">
      <c r="XET605" s="220">
        <v>41835</v>
      </c>
      <c r="XEU605" s="221">
        <v>14.638667</v>
      </c>
      <c r="XEV605" s="198">
        <f t="shared" si="167"/>
        <v>-3.1407102589481761E-2</v>
      </c>
      <c r="XEW605" s="221">
        <v>4416.3901370000003</v>
      </c>
      <c r="XEX605" s="198">
        <f t="shared" si="168"/>
        <v>-5.411601925517151E-3</v>
      </c>
    </row>
    <row r="606" spans="16374:16378" x14ac:dyDescent="0.2">
      <c r="XET606" s="220">
        <v>41836</v>
      </c>
      <c r="XEU606" s="221">
        <v>14.477333</v>
      </c>
      <c r="XEV606" s="198">
        <f t="shared" si="167"/>
        <v>-1.1021085458122637E-2</v>
      </c>
      <c r="XEW606" s="221">
        <v>4425.9702150000003</v>
      </c>
      <c r="XEX606" s="198">
        <f t="shared" si="168"/>
        <v>2.1692100794581393E-3</v>
      </c>
    </row>
    <row r="607" spans="16374:16378" x14ac:dyDescent="0.2">
      <c r="XET607" s="220">
        <v>41837</v>
      </c>
      <c r="XEU607" s="221">
        <v>14.36</v>
      </c>
      <c r="XEV607" s="198">
        <f t="shared" si="167"/>
        <v>-8.1046004813180028E-3</v>
      </c>
      <c r="XEW607" s="221">
        <v>4363.4501950000003</v>
      </c>
      <c r="XEX607" s="198">
        <f t="shared" si="168"/>
        <v>-1.4125720907048556E-2</v>
      </c>
    </row>
    <row r="608" spans="16374:16378" x14ac:dyDescent="0.2">
      <c r="XET608" s="220">
        <v>41838</v>
      </c>
      <c r="XEU608" s="221">
        <v>14.667999999999999</v>
      </c>
      <c r="XEV608" s="198">
        <f t="shared" si="167"/>
        <v>2.1448467966573848E-2</v>
      </c>
      <c r="XEW608" s="221">
        <v>4432.1499020000001</v>
      </c>
      <c r="XEX608" s="198">
        <f t="shared" si="168"/>
        <v>1.5744354565733643E-2</v>
      </c>
    </row>
    <row r="609" spans="16374:16378" x14ac:dyDescent="0.2">
      <c r="XET609" s="220">
        <v>41841</v>
      </c>
      <c r="XEU609" s="221">
        <v>14.702667</v>
      </c>
      <c r="XEV609" s="198">
        <f t="shared" si="167"/>
        <v>2.3634442323425819E-3</v>
      </c>
      <c r="XEW609" s="221">
        <v>4424.7001950000003</v>
      </c>
      <c r="XEX609" s="198">
        <f t="shared" si="168"/>
        <v>-1.6808337183357169E-3</v>
      </c>
    </row>
    <row r="610" spans="16374:16378" x14ac:dyDescent="0.2">
      <c r="XET610" s="220">
        <v>41842</v>
      </c>
      <c r="XEU610" s="221">
        <v>14.638667</v>
      </c>
      <c r="XEV610" s="198">
        <f t="shared" si="167"/>
        <v>-4.3529517467817413E-3</v>
      </c>
      <c r="XEW610" s="221">
        <v>4456.0200199999999</v>
      </c>
      <c r="XEX610" s="198">
        <f t="shared" si="168"/>
        <v>7.0784061336837123E-3</v>
      </c>
    </row>
    <row r="611" spans="16374:16378" x14ac:dyDescent="0.2">
      <c r="XET611" s="220">
        <v>41843</v>
      </c>
      <c r="XEU611" s="221">
        <v>14.832667000000001</v>
      </c>
      <c r="XEV611" s="198">
        <f t="shared" si="167"/>
        <v>1.325257279231784E-2</v>
      </c>
      <c r="XEW611" s="221">
        <v>4473.7001950000003</v>
      </c>
      <c r="XEX611" s="198">
        <f t="shared" si="168"/>
        <v>3.9677054682534241E-3</v>
      </c>
    </row>
    <row r="612" spans="16374:16378" x14ac:dyDescent="0.2">
      <c r="XET612" s="220">
        <v>41844</v>
      </c>
      <c r="XEU612" s="221">
        <v>14.902666999999999</v>
      </c>
      <c r="XEV612" s="198">
        <f t="shared" si="167"/>
        <v>4.7193131215039763E-3</v>
      </c>
      <c r="XEW612" s="221">
        <v>4472.1098629999997</v>
      </c>
      <c r="XEX612" s="198">
        <f t="shared" si="168"/>
        <v>-3.5548470632384976E-4</v>
      </c>
    </row>
    <row r="613" spans="16374:16378" x14ac:dyDescent="0.2">
      <c r="XET613" s="220">
        <v>41845</v>
      </c>
      <c r="XEU613" s="221">
        <v>14.904667</v>
      </c>
      <c r="XEV613" s="198">
        <f t="shared" si="167"/>
        <v>1.3420416627440979E-4</v>
      </c>
      <c r="XEW613" s="221">
        <v>4449.5600590000004</v>
      </c>
      <c r="XEX613" s="198">
        <f t="shared" si="168"/>
        <v>-5.0423188809749497E-3</v>
      </c>
    </row>
    <row r="614" spans="16374:16378" x14ac:dyDescent="0.2">
      <c r="XET614" s="220">
        <v>41848</v>
      </c>
      <c r="XEU614" s="221">
        <v>14.988</v>
      </c>
      <c r="XEV614" s="198">
        <f t="shared" si="167"/>
        <v>5.5910675495132178E-3</v>
      </c>
      <c r="XEW614" s="221">
        <v>4444.9101559999999</v>
      </c>
      <c r="XEX614" s="198">
        <f t="shared" si="168"/>
        <v>-1.0450253369644891E-3</v>
      </c>
    </row>
    <row r="615" spans="16374:16378" x14ac:dyDescent="0.2">
      <c r="XET615" s="220">
        <v>41849</v>
      </c>
      <c r="XEU615" s="221">
        <v>15.000667</v>
      </c>
      <c r="XEV615" s="198">
        <f t="shared" si="167"/>
        <v>8.45142780891317E-4</v>
      </c>
      <c r="XEW615" s="221">
        <v>4442.7001950000003</v>
      </c>
      <c r="XEX615" s="198">
        <f t="shared" si="168"/>
        <v>-4.9718912698748507E-4</v>
      </c>
    </row>
    <row r="616" spans="16374:16378" x14ac:dyDescent="0.2">
      <c r="XET616" s="220">
        <v>41850</v>
      </c>
      <c r="XEU616" s="221">
        <v>15.261333</v>
      </c>
      <c r="XEV616" s="198">
        <f t="shared" si="167"/>
        <v>1.7376960637816907E-2</v>
      </c>
      <c r="XEW616" s="221">
        <v>4462.8999020000001</v>
      </c>
      <c r="XEX616" s="198">
        <f t="shared" si="168"/>
        <v>4.5467184625092028E-3</v>
      </c>
    </row>
    <row r="617" spans="16374:16378" x14ac:dyDescent="0.2">
      <c r="XET617" s="220">
        <v>41851</v>
      </c>
      <c r="XEU617" s="221">
        <v>14.886666999999999</v>
      </c>
      <c r="XEV617" s="198">
        <f t="shared" si="167"/>
        <v>-2.4550018009567132E-2</v>
      </c>
      <c r="XEW617" s="221">
        <v>4369.7700199999999</v>
      </c>
      <c r="XEX617" s="198">
        <f t="shared" si="168"/>
        <v>-2.0867571320222766E-2</v>
      </c>
    </row>
    <row r="618" spans="16374:16378" x14ac:dyDescent="0.2">
      <c r="XET618" s="220">
        <v>41852</v>
      </c>
      <c r="XEU618" s="221">
        <v>15.551333</v>
      </c>
      <c r="XEV618" s="198">
        <f t="shared" si="167"/>
        <v>4.4648409210738649E-2</v>
      </c>
      <c r="XEW618" s="221">
        <v>4352.6401370000003</v>
      </c>
      <c r="XEX618" s="198">
        <f t="shared" si="168"/>
        <v>-3.9200879958436463E-3</v>
      </c>
    </row>
    <row r="619" spans="16374:16378" x14ac:dyDescent="0.2">
      <c r="XET619" s="220">
        <v>41855</v>
      </c>
      <c r="XEU619" s="221">
        <v>15.901332999999999</v>
      </c>
      <c r="XEV619" s="198">
        <f t="shared" si="167"/>
        <v>2.2506109283364939E-2</v>
      </c>
      <c r="XEW619" s="221">
        <v>4383.8901370000003</v>
      </c>
      <c r="XEX619" s="198">
        <f t="shared" si="168"/>
        <v>7.1795505753753375E-3</v>
      </c>
    </row>
    <row r="620" spans="16374:16378" x14ac:dyDescent="0.2">
      <c r="XET620" s="220">
        <v>41856</v>
      </c>
      <c r="XEU620" s="221">
        <v>15.899333</v>
      </c>
      <c r="XEV620" s="198">
        <f t="shared" si="167"/>
        <v>-1.2577561893700739E-4</v>
      </c>
      <c r="XEW620" s="221">
        <v>4352.8398440000001</v>
      </c>
      <c r="XEX620" s="198">
        <f t="shared" si="168"/>
        <v>-7.0828173219799062E-3</v>
      </c>
    </row>
    <row r="621" spans="16374:16378" x14ac:dyDescent="0.2">
      <c r="XET621" s="220">
        <v>41857</v>
      </c>
      <c r="XEU621" s="221">
        <v>16.595333</v>
      </c>
      <c r="XEV621" s="198">
        <f t="shared" si="167"/>
        <v>4.3775421270816794E-2</v>
      </c>
      <c r="XEW621" s="221">
        <v>4355.0498049999997</v>
      </c>
      <c r="XEX621" s="198">
        <f t="shared" si="168"/>
        <v>5.0770556216206408E-4</v>
      </c>
    </row>
    <row r="622" spans="16374:16378" x14ac:dyDescent="0.2">
      <c r="XET622" s="220">
        <v>41858</v>
      </c>
      <c r="XEU622" s="221">
        <v>16.826000000000001</v>
      </c>
      <c r="XEV622" s="198">
        <f t="shared" si="167"/>
        <v>1.3899510181567321E-2</v>
      </c>
      <c r="XEW622" s="221">
        <v>4334.9702150000003</v>
      </c>
      <c r="XEX622" s="198">
        <f t="shared" si="168"/>
        <v>-4.6106453195887687E-3</v>
      </c>
    </row>
    <row r="623" spans="16374:16378" x14ac:dyDescent="0.2">
      <c r="XET623" s="220">
        <v>41859</v>
      </c>
      <c r="XEU623" s="221">
        <v>16.542000000000002</v>
      </c>
      <c r="XEV623" s="198">
        <f t="shared" si="167"/>
        <v>-1.6878640199690875E-2</v>
      </c>
      <c r="XEW623" s="221">
        <v>4370.8999020000001</v>
      </c>
      <c r="XEX623" s="198">
        <f t="shared" si="168"/>
        <v>8.2883353790239589E-3</v>
      </c>
    </row>
    <row r="624" spans="16374:16378" x14ac:dyDescent="0.2">
      <c r="XET624" s="220">
        <v>41862</v>
      </c>
      <c r="XEU624" s="221">
        <v>17.288</v>
      </c>
      <c r="XEV624" s="198">
        <f t="shared" si="167"/>
        <v>4.509732801354116E-2</v>
      </c>
      <c r="XEW624" s="221">
        <v>4401.330078</v>
      </c>
      <c r="XEX624" s="198">
        <f t="shared" si="168"/>
        <v>6.9619933382769617E-3</v>
      </c>
    </row>
    <row r="625" spans="16374:16378" x14ac:dyDescent="0.2">
      <c r="XET625" s="220">
        <v>41863</v>
      </c>
      <c r="XEU625" s="221">
        <v>17.330666999999998</v>
      </c>
      <c r="XEV625" s="198">
        <f t="shared" si="167"/>
        <v>2.4680124942155768E-3</v>
      </c>
      <c r="XEW625" s="221">
        <v>4389.25</v>
      </c>
      <c r="XEX625" s="198">
        <f t="shared" si="168"/>
        <v>-2.7446425934700702E-3</v>
      </c>
    </row>
    <row r="626" spans="16374:16378" x14ac:dyDescent="0.2">
      <c r="XET626" s="220">
        <v>41864</v>
      </c>
      <c r="XEU626" s="221">
        <v>17.353999999999999</v>
      </c>
      <c r="XEV626" s="198">
        <f t="shared" si="167"/>
        <v>1.3463417189887306E-3</v>
      </c>
      <c r="XEW626" s="221">
        <v>4434.1298829999996</v>
      </c>
      <c r="XEX626" s="198">
        <f t="shared" si="168"/>
        <v>1.0224954832830147E-2</v>
      </c>
    </row>
    <row r="627" spans="16374:16378" x14ac:dyDescent="0.2">
      <c r="XET627" s="220">
        <v>41865</v>
      </c>
      <c r="XEU627" s="221">
        <v>17.425332999999998</v>
      </c>
      <c r="XEV627" s="198">
        <f t="shared" si="167"/>
        <v>4.1104644462370832E-3</v>
      </c>
      <c r="XEW627" s="221">
        <v>4453</v>
      </c>
      <c r="XEX627" s="198">
        <f t="shared" si="168"/>
        <v>4.2556527431336644E-3</v>
      </c>
    </row>
    <row r="628" spans="16374:16378" x14ac:dyDescent="0.2">
      <c r="XET628" s="220">
        <v>41866</v>
      </c>
      <c r="XEU628" s="221">
        <v>17.467333</v>
      </c>
      <c r="XEV628" s="198">
        <f t="shared" si="167"/>
        <v>2.4102839239859009E-3</v>
      </c>
      <c r="XEW628" s="221">
        <v>4464.9301759999998</v>
      </c>
      <c r="XEX628" s="198">
        <f t="shared" si="168"/>
        <v>2.679132270379414E-3</v>
      </c>
    </row>
    <row r="629" spans="16374:16378" x14ac:dyDescent="0.2">
      <c r="XET629" s="220">
        <v>41869</v>
      </c>
      <c r="XEU629" s="221">
        <v>17.329332000000001</v>
      </c>
      <c r="XEV629" s="198">
        <f t="shared" si="167"/>
        <v>-7.9005192149252945E-3</v>
      </c>
      <c r="XEW629" s="221">
        <v>4508.3100590000004</v>
      </c>
      <c r="XEX629" s="198">
        <f t="shared" si="168"/>
        <v>9.7156912404088303E-3</v>
      </c>
    </row>
    <row r="630" spans="16374:16378" x14ac:dyDescent="0.2">
      <c r="XET630" s="220">
        <v>41870</v>
      </c>
      <c r="XEU630" s="221">
        <v>17.117332000000001</v>
      </c>
      <c r="XEV630" s="198">
        <f t="shared" si="167"/>
        <v>-1.2233593308732305E-2</v>
      </c>
      <c r="XEW630" s="221">
        <v>4527.5097660000001</v>
      </c>
      <c r="XEX630" s="198">
        <f t="shared" si="168"/>
        <v>4.2587370319995266E-3</v>
      </c>
    </row>
    <row r="631" spans="16374:16378" x14ac:dyDescent="0.2">
      <c r="XET631" s="220">
        <v>41871</v>
      </c>
      <c r="XEU631" s="221">
        <v>17.047332999999998</v>
      </c>
      <c r="XEV631" s="198">
        <f t="shared" si="167"/>
        <v>-4.0893639265746629E-3</v>
      </c>
      <c r="XEW631" s="221">
        <v>4526.4799800000001</v>
      </c>
      <c r="XEX631" s="198">
        <f t="shared" si="168"/>
        <v>-2.2745086222308863E-4</v>
      </c>
    </row>
    <row r="632" spans="16374:16378" x14ac:dyDescent="0.2">
      <c r="XET632" s="220">
        <v>41872</v>
      </c>
      <c r="XEU632" s="221">
        <v>16.955998999999998</v>
      </c>
      <c r="XEV632" s="198">
        <f t="shared" si="167"/>
        <v>-5.3576709037126413E-3</v>
      </c>
      <c r="XEW632" s="221">
        <v>4532.1000979999999</v>
      </c>
      <c r="XEX632" s="198">
        <f t="shared" si="168"/>
        <v>1.2416089378131101E-3</v>
      </c>
    </row>
    <row r="633" spans="16374:16378" x14ac:dyDescent="0.2">
      <c r="XET633" s="220">
        <v>41873</v>
      </c>
      <c r="XEU633" s="221">
        <v>17.118668</v>
      </c>
      <c r="XEV633" s="198">
        <f t="shared" si="167"/>
        <v>9.5935957533379579E-3</v>
      </c>
      <c r="XEW633" s="221">
        <v>4538.5498049999997</v>
      </c>
      <c r="XEX633" s="198">
        <f t="shared" si="168"/>
        <v>1.4231166259646155E-3</v>
      </c>
    </row>
    <row r="634" spans="16374:16378" x14ac:dyDescent="0.2">
      <c r="XET634" s="220">
        <v>41876</v>
      </c>
      <c r="XEU634" s="221">
        <v>17.503332</v>
      </c>
      <c r="XEV634" s="198">
        <f t="shared" si="167"/>
        <v>2.2470439873008896E-2</v>
      </c>
      <c r="XEW634" s="221">
        <v>4557.3500979999999</v>
      </c>
      <c r="XEX634" s="198">
        <f t="shared" si="168"/>
        <v>4.1423568778045095E-3</v>
      </c>
    </row>
    <row r="635" spans="16374:16378" x14ac:dyDescent="0.2">
      <c r="XET635" s="220">
        <v>41877</v>
      </c>
      <c r="XEU635" s="221">
        <v>17.449332999999999</v>
      </c>
      <c r="XEV635" s="198">
        <f t="shared" si="167"/>
        <v>-3.085069745577651E-3</v>
      </c>
      <c r="XEW635" s="221">
        <v>4570.6401370000003</v>
      </c>
      <c r="XEX635" s="198">
        <f t="shared" si="168"/>
        <v>2.9161768822265621E-3</v>
      </c>
    </row>
    <row r="636" spans="16374:16378" x14ac:dyDescent="0.2">
      <c r="XET636" s="220">
        <v>41878</v>
      </c>
      <c r="XEU636" s="221">
        <v>17.549999</v>
      </c>
      <c r="XEV636" s="198">
        <f t="shared" si="167"/>
        <v>5.7690457279944152E-3</v>
      </c>
      <c r="XEW636" s="221">
        <v>4569.6201170000004</v>
      </c>
      <c r="XEX636" s="198">
        <f t="shared" si="168"/>
        <v>-2.2316786476861417E-4</v>
      </c>
    </row>
    <row r="637" spans="16374:16378" x14ac:dyDescent="0.2">
      <c r="XET637" s="220">
        <v>41879</v>
      </c>
      <c r="XEU637" s="221">
        <v>17.590668000000001</v>
      </c>
      <c r="XEV637" s="198">
        <f t="shared" si="167"/>
        <v>2.3173220693630814E-3</v>
      </c>
      <c r="XEW637" s="221">
        <v>4557.7001950000003</v>
      </c>
      <c r="XEX637" s="198">
        <f t="shared" si="168"/>
        <v>-2.6085148644315881E-3</v>
      </c>
    </row>
    <row r="638" spans="16374:16378" x14ac:dyDescent="0.2">
      <c r="XET638" s="220">
        <v>41880</v>
      </c>
      <c r="XEU638" s="221">
        <v>17.98</v>
      </c>
      <c r="XEV638" s="198">
        <f t="shared" si="167"/>
        <v>2.2132871815896848E-2</v>
      </c>
      <c r="XEW638" s="221">
        <v>4580.2700199999999</v>
      </c>
      <c r="XEX638" s="198">
        <f t="shared" si="168"/>
        <v>4.9520205442121767E-3</v>
      </c>
    </row>
    <row r="639" spans="16374:16378" x14ac:dyDescent="0.2">
      <c r="XET639" s="220">
        <v>41884</v>
      </c>
      <c r="XEU639" s="221">
        <v>18.941334000000001</v>
      </c>
      <c r="XEV639" s="198">
        <f t="shared" si="167"/>
        <v>5.3466852057842074E-2</v>
      </c>
      <c r="XEW639" s="221">
        <v>4598.1899409999996</v>
      </c>
      <c r="XEX639" s="198">
        <f t="shared" si="168"/>
        <v>3.9124158448631263E-3</v>
      </c>
    </row>
    <row r="640" spans="16374:16378" x14ac:dyDescent="0.2">
      <c r="XET640" s="220">
        <v>41885</v>
      </c>
      <c r="XEU640" s="221">
        <v>18.745999999999999</v>
      </c>
      <c r="XEV640" s="198">
        <f t="shared" si="167"/>
        <v>-1.0312578828925223E-2</v>
      </c>
      <c r="XEW640" s="221">
        <v>4572.5600590000004</v>
      </c>
      <c r="XEX640" s="198">
        <f t="shared" si="168"/>
        <v>-5.5739067608906456E-3</v>
      </c>
    </row>
    <row r="641" spans="16374:16378" x14ac:dyDescent="0.2">
      <c r="XET641" s="220">
        <v>41886</v>
      </c>
      <c r="XEU641" s="221">
        <v>19.069331999999999</v>
      </c>
      <c r="XEV641" s="198">
        <f t="shared" si="167"/>
        <v>1.7248052917955947E-2</v>
      </c>
      <c r="XEW641" s="221">
        <v>4562.2900390000004</v>
      </c>
      <c r="XEX641" s="198">
        <f t="shared" si="168"/>
        <v>-2.2460109583002374E-3</v>
      </c>
    </row>
    <row r="642" spans="16374:16378" x14ac:dyDescent="0.2">
      <c r="XET642" s="220">
        <v>41887</v>
      </c>
      <c r="XEU642" s="221">
        <v>18.492666</v>
      </c>
      <c r="XEV642" s="198">
        <f t="shared" si="167"/>
        <v>-3.0240492954865972E-2</v>
      </c>
      <c r="XEW642" s="221">
        <v>4582.8999020000001</v>
      </c>
      <c r="XEX642" s="198">
        <f t="shared" si="168"/>
        <v>4.5174381338799474E-3</v>
      </c>
    </row>
    <row r="643" spans="16374:16378" x14ac:dyDescent="0.2">
      <c r="XET643" s="220">
        <v>41890</v>
      </c>
      <c r="XEU643" s="221">
        <v>18.807333</v>
      </c>
      <c r="XEV643" s="198">
        <f t="shared" si="167"/>
        <v>1.701577263116083E-2</v>
      </c>
      <c r="XEW643" s="221">
        <v>4592.2900390000004</v>
      </c>
      <c r="XEX643" s="198">
        <f t="shared" si="168"/>
        <v>2.0489509264434158E-3</v>
      </c>
    </row>
    <row r="644" spans="16374:16378" x14ac:dyDescent="0.2">
      <c r="XET644" s="220">
        <v>41891</v>
      </c>
      <c r="XEU644" s="221">
        <v>18.565332000000001</v>
      </c>
      <c r="XEV644" s="198">
        <f t="shared" si="167"/>
        <v>-1.2867374656470365E-2</v>
      </c>
      <c r="XEW644" s="221">
        <v>4552.2900390000004</v>
      </c>
      <c r="XEX644" s="198">
        <f t="shared" si="168"/>
        <v>-8.7102512385541786E-3</v>
      </c>
    </row>
    <row r="645" spans="16374:16378" x14ac:dyDescent="0.2">
      <c r="XET645" s="220">
        <v>41892</v>
      </c>
      <c r="XEU645" s="221">
        <v>18.739999999999998</v>
      </c>
      <c r="XEV645" s="198">
        <f t="shared" si="167"/>
        <v>9.4082885240078795E-3</v>
      </c>
      <c r="XEW645" s="221">
        <v>4586.5200199999999</v>
      </c>
      <c r="XEX645" s="198">
        <f t="shared" si="168"/>
        <v>7.5192882498142932E-3</v>
      </c>
    </row>
    <row r="646" spans="16374:16378" x14ac:dyDescent="0.2">
      <c r="XET646" s="220">
        <v>41893</v>
      </c>
      <c r="XEU646" s="221">
        <v>18.687332000000001</v>
      </c>
      <c r="XEV646" s="198">
        <f t="shared" si="167"/>
        <v>-2.8104589114192891E-3</v>
      </c>
      <c r="XEW646" s="221">
        <v>4591.8100590000004</v>
      </c>
      <c r="XEX646" s="198">
        <f t="shared" si="168"/>
        <v>1.1533884027394858E-3</v>
      </c>
    </row>
    <row r="647" spans="16374:16378" x14ac:dyDescent="0.2">
      <c r="XET647" s="220">
        <v>41894</v>
      </c>
      <c r="XEU647" s="221">
        <v>18.613333000000001</v>
      </c>
      <c r="XEV647" s="198">
        <f t="shared" si="167"/>
        <v>-3.9598483079339442E-3</v>
      </c>
      <c r="XEW647" s="221">
        <v>4567.6000979999999</v>
      </c>
      <c r="XEX647" s="198">
        <f t="shared" si="168"/>
        <v>-5.2724221361353241E-3</v>
      </c>
    </row>
    <row r="648" spans="16374:16378" x14ac:dyDescent="0.2">
      <c r="XET648" s="220">
        <v>41897</v>
      </c>
      <c r="XEU648" s="221">
        <v>16.923999999999999</v>
      </c>
      <c r="XEV648" s="198">
        <f t="shared" si="167"/>
        <v>-9.0759296037953074E-2</v>
      </c>
      <c r="XEW648" s="221">
        <v>4518.8999020000001</v>
      </c>
      <c r="XEX648" s="198">
        <f t="shared" si="168"/>
        <v>-1.0662097152796757E-2</v>
      </c>
    </row>
    <row r="649" spans="16374:16378" x14ac:dyDescent="0.2">
      <c r="XET649" s="220">
        <v>41898</v>
      </c>
      <c r="XEU649" s="221">
        <v>17.382667999999999</v>
      </c>
      <c r="XEV649" s="198">
        <f t="shared" si="167"/>
        <v>2.7101630820137057E-2</v>
      </c>
      <c r="XEW649" s="221">
        <v>4552.7597660000001</v>
      </c>
      <c r="XEX649" s="198">
        <f t="shared" si="168"/>
        <v>7.4929440205158127E-3</v>
      </c>
    </row>
    <row r="650" spans="16374:16378" x14ac:dyDescent="0.2">
      <c r="XET650" s="220">
        <v>41899</v>
      </c>
      <c r="XEU650" s="221">
        <v>17.425332999999998</v>
      </c>
      <c r="XEV650" s="198">
        <f t="shared" si="167"/>
        <v>2.4544563584829593E-3</v>
      </c>
      <c r="XEW650" s="221">
        <v>4562.1899409999996</v>
      </c>
      <c r="XEX650" s="198">
        <f t="shared" si="168"/>
        <v>2.0713095978452944E-3</v>
      </c>
    </row>
    <row r="651" spans="16374:16378" x14ac:dyDescent="0.2">
      <c r="XET651" s="220">
        <v>41900</v>
      </c>
      <c r="XEU651" s="221">
        <v>17.587999</v>
      </c>
      <c r="XEV651" s="198">
        <f t="shared" si="167"/>
        <v>9.3350296375973585E-3</v>
      </c>
      <c r="XEW651" s="221">
        <v>4593.4301759999998</v>
      </c>
      <c r="XEX651" s="198">
        <f t="shared" si="168"/>
        <v>6.8476401473878123E-3</v>
      </c>
    </row>
    <row r="652" spans="16374:16378" x14ac:dyDescent="0.2">
      <c r="XET652" s="220">
        <v>41901</v>
      </c>
      <c r="XEU652" s="221">
        <v>17.288</v>
      </c>
      <c r="XEV652" s="198">
        <f t="shared" ref="XEV652:XEV715" si="169">XEU652/XEU651-1</f>
        <v>-1.7057028488573378E-2</v>
      </c>
      <c r="XEW652" s="221">
        <v>4579.7900390000004</v>
      </c>
      <c r="XEX652" s="198">
        <f t="shared" ref="XEX652:XEX715" si="170">XEW652/XEW651-1</f>
        <v>-2.9694882641880804E-3</v>
      </c>
    </row>
    <row r="653" spans="16374:16378" x14ac:dyDescent="0.2">
      <c r="XET653" s="220">
        <v>41904</v>
      </c>
      <c r="XEU653" s="221">
        <v>16.668666999999999</v>
      </c>
      <c r="XEV653" s="198">
        <f t="shared" si="169"/>
        <v>-3.5824444701527125E-2</v>
      </c>
      <c r="XEW653" s="221">
        <v>4527.6899409999996</v>
      </c>
      <c r="XEX653" s="198">
        <f t="shared" si="170"/>
        <v>-1.1376088763094705E-2</v>
      </c>
    </row>
    <row r="654" spans="16374:16378" x14ac:dyDescent="0.2">
      <c r="XET654" s="220">
        <v>41905</v>
      </c>
      <c r="XEU654" s="221">
        <v>16.693999999999999</v>
      </c>
      <c r="XEV654" s="198">
        <f t="shared" si="169"/>
        <v>1.5197975938927577E-3</v>
      </c>
      <c r="XEW654" s="221">
        <v>4508.6899409999996</v>
      </c>
      <c r="XEX654" s="198">
        <f t="shared" si="170"/>
        <v>-4.1964004266166199E-3</v>
      </c>
    </row>
    <row r="655" spans="16374:16378" x14ac:dyDescent="0.2">
      <c r="XET655" s="220">
        <v>41906</v>
      </c>
      <c r="XEU655" s="221">
        <v>16.809334</v>
      </c>
      <c r="XEV655" s="198">
        <f t="shared" si="169"/>
        <v>6.9087097160656086E-3</v>
      </c>
      <c r="XEW655" s="221">
        <v>4555.2202150000003</v>
      </c>
      <c r="XEX655" s="198">
        <f t="shared" si="170"/>
        <v>1.0320131703197344E-2</v>
      </c>
    </row>
    <row r="656" spans="16374:16378" x14ac:dyDescent="0.2">
      <c r="XET656" s="220">
        <v>41907</v>
      </c>
      <c r="XEU656" s="221">
        <v>16.463332999999999</v>
      </c>
      <c r="XEV656" s="198">
        <f t="shared" si="169"/>
        <v>-2.0583861323714592E-2</v>
      </c>
      <c r="XEW656" s="221">
        <v>4466.75</v>
      </c>
      <c r="XEX656" s="198">
        <f t="shared" si="170"/>
        <v>-1.942172075647941E-2</v>
      </c>
    </row>
    <row r="657" spans="16374:16378" x14ac:dyDescent="0.2">
      <c r="XET657" s="220">
        <v>41908</v>
      </c>
      <c r="XEU657" s="221">
        <v>16.440000999999999</v>
      </c>
      <c r="XEV657" s="198">
        <f t="shared" si="169"/>
        <v>-1.4172099902249879E-3</v>
      </c>
      <c r="XEW657" s="221">
        <v>4512.1899409999996</v>
      </c>
      <c r="XEX657" s="198">
        <f t="shared" si="170"/>
        <v>1.0172931325908019E-2</v>
      </c>
    </row>
    <row r="658" spans="16374:16378" x14ac:dyDescent="0.2">
      <c r="XET658" s="220">
        <v>41911</v>
      </c>
      <c r="XEU658" s="221">
        <v>16.350667999999999</v>
      </c>
      <c r="XEV658" s="198">
        <f t="shared" si="169"/>
        <v>-5.4338804480608127E-3</v>
      </c>
      <c r="XEW658" s="221">
        <v>4505.8500979999999</v>
      </c>
      <c r="XEX658" s="198">
        <f t="shared" si="170"/>
        <v>-1.4050478997775784E-3</v>
      </c>
    </row>
    <row r="659" spans="16374:16378" x14ac:dyDescent="0.2">
      <c r="XET659" s="220">
        <v>41912</v>
      </c>
      <c r="XEU659" s="221">
        <v>16.178667000000001</v>
      </c>
      <c r="XEV659" s="198">
        <f t="shared" si="169"/>
        <v>-1.0519509050027631E-2</v>
      </c>
      <c r="XEW659" s="221">
        <v>4493.3901370000003</v>
      </c>
      <c r="XEX659" s="198">
        <f t="shared" si="170"/>
        <v>-2.7652852911218551E-3</v>
      </c>
    </row>
    <row r="660" spans="16374:16378" x14ac:dyDescent="0.2">
      <c r="XET660" s="220">
        <v>41913</v>
      </c>
      <c r="XEU660" s="221">
        <v>16.016000999999999</v>
      </c>
      <c r="XEV660" s="198">
        <f t="shared" si="169"/>
        <v>-1.0054351202110845E-2</v>
      </c>
      <c r="XEW660" s="221">
        <v>4422.0898440000001</v>
      </c>
      <c r="XEX660" s="198">
        <f t="shared" si="170"/>
        <v>-1.5867817132745987E-2</v>
      </c>
    </row>
    <row r="661" spans="16374:16378" x14ac:dyDescent="0.2">
      <c r="XET661" s="220">
        <v>41914</v>
      </c>
      <c r="XEU661" s="221">
        <v>16.761333</v>
      </c>
      <c r="XEV661" s="198">
        <f t="shared" si="169"/>
        <v>4.6536710381074542E-2</v>
      </c>
      <c r="XEW661" s="221">
        <v>4430.2001950000003</v>
      </c>
      <c r="XEX661" s="198">
        <f t="shared" si="170"/>
        <v>1.8340538718373267E-3</v>
      </c>
    </row>
    <row r="662" spans="16374:16378" x14ac:dyDescent="0.2">
      <c r="XET662" s="220">
        <v>41915</v>
      </c>
      <c r="XEU662" s="221">
        <v>17.013999999999999</v>
      </c>
      <c r="XEV662" s="198">
        <f t="shared" si="169"/>
        <v>1.5074397722424582E-2</v>
      </c>
      <c r="XEW662" s="221">
        <v>4475.6201170000004</v>
      </c>
      <c r="XEX662" s="198">
        <f t="shared" si="170"/>
        <v>1.0252340752289646E-2</v>
      </c>
    </row>
    <row r="663" spans="16374:16378" x14ac:dyDescent="0.2">
      <c r="XET663" s="220">
        <v>41918</v>
      </c>
      <c r="XEU663" s="221">
        <v>17.374666000000001</v>
      </c>
      <c r="XEV663" s="198">
        <f t="shared" si="169"/>
        <v>2.1198189726107985E-2</v>
      </c>
      <c r="XEW663" s="221">
        <v>4454.7998049999997</v>
      </c>
      <c r="XEX663" s="198">
        <f t="shared" si="170"/>
        <v>-4.6519390510642022E-3</v>
      </c>
    </row>
    <row r="664" spans="16374:16378" x14ac:dyDescent="0.2">
      <c r="XET664" s="220">
        <v>41919</v>
      </c>
      <c r="XEU664" s="221">
        <v>17.304666999999998</v>
      </c>
      <c r="XEV664" s="198">
        <f t="shared" si="169"/>
        <v>-4.0287968701098187E-3</v>
      </c>
      <c r="XEW664" s="221">
        <v>4385.2001950000003</v>
      </c>
      <c r="XEX664" s="198">
        <f t="shared" si="170"/>
        <v>-1.5623510156815956E-2</v>
      </c>
    </row>
    <row r="665" spans="16374:16378" x14ac:dyDescent="0.2">
      <c r="XET665" s="220">
        <v>41920</v>
      </c>
      <c r="XEU665" s="221">
        <v>17.285333999999999</v>
      </c>
      <c r="XEV665" s="198">
        <f t="shared" si="169"/>
        <v>-1.1172130616555753E-3</v>
      </c>
      <c r="XEW665" s="221">
        <v>4468.5898440000001</v>
      </c>
      <c r="XEX665" s="198">
        <f t="shared" si="170"/>
        <v>1.9016155544068658E-2</v>
      </c>
    </row>
    <row r="666" spans="16374:16378" x14ac:dyDescent="0.2">
      <c r="XET666" s="220">
        <v>41921</v>
      </c>
      <c r="XEU666" s="221">
        <v>17.134001000000001</v>
      </c>
      <c r="XEV666" s="198">
        <f t="shared" si="169"/>
        <v>-8.7549942627661581E-3</v>
      </c>
      <c r="XEW666" s="221">
        <v>4378.3398440000001</v>
      </c>
      <c r="XEX666" s="198">
        <f t="shared" si="170"/>
        <v>-2.0196528021290461E-2</v>
      </c>
    </row>
    <row r="667" spans="16374:16378" x14ac:dyDescent="0.2">
      <c r="XET667" s="220">
        <v>41922</v>
      </c>
      <c r="XEU667" s="221">
        <v>15.794</v>
      </c>
      <c r="XEV667" s="198">
        <f t="shared" si="169"/>
        <v>-7.8207127453768677E-2</v>
      </c>
      <c r="XEW667" s="221">
        <v>4276.2402339999999</v>
      </c>
      <c r="XEX667" s="198">
        <f t="shared" si="170"/>
        <v>-2.3319251962571119E-2</v>
      </c>
    </row>
    <row r="668" spans="16374:16378" x14ac:dyDescent="0.2">
      <c r="XET668" s="220">
        <v>41925</v>
      </c>
      <c r="XEU668" s="221">
        <v>14.972667</v>
      </c>
      <c r="XEV668" s="198">
        <f t="shared" si="169"/>
        <v>-5.2002849183234168E-2</v>
      </c>
      <c r="XEW668" s="221">
        <v>4213.6601559999999</v>
      </c>
      <c r="XEX668" s="198">
        <f t="shared" si="170"/>
        <v>-1.463436911294913E-2</v>
      </c>
    </row>
    <row r="669" spans="16374:16378" x14ac:dyDescent="0.2">
      <c r="XET669" s="220">
        <v>41926</v>
      </c>
      <c r="XEU669" s="221">
        <v>15.137333</v>
      </c>
      <c r="XEV669" s="198">
        <f t="shared" si="169"/>
        <v>1.099777347616171E-2</v>
      </c>
      <c r="XEW669" s="221">
        <v>4227.169922</v>
      </c>
      <c r="XEX669" s="198">
        <f t="shared" si="170"/>
        <v>3.2061831044354339E-3</v>
      </c>
    </row>
    <row r="670" spans="16374:16378" x14ac:dyDescent="0.2">
      <c r="XET670" s="220">
        <v>41927</v>
      </c>
      <c r="XEU670" s="221">
        <v>15.313333</v>
      </c>
      <c r="XEV670" s="198">
        <f t="shared" si="169"/>
        <v>1.1626883018296619E-2</v>
      </c>
      <c r="XEW670" s="221">
        <v>4215.3198240000002</v>
      </c>
      <c r="XEX670" s="198">
        <f t="shared" si="170"/>
        <v>-2.8033171645944766E-3</v>
      </c>
    </row>
    <row r="671" spans="16374:16378" x14ac:dyDescent="0.2">
      <c r="XET671" s="220">
        <v>41928</v>
      </c>
      <c r="XEU671" s="221">
        <v>15.09</v>
      </c>
      <c r="XEV671" s="198">
        <f t="shared" si="169"/>
        <v>-1.4584218863391785E-2</v>
      </c>
      <c r="XEW671" s="221">
        <v>4217.3901370000003</v>
      </c>
      <c r="XEX671" s="198">
        <f t="shared" si="170"/>
        <v>4.9114019491769412E-4</v>
      </c>
    </row>
    <row r="672" spans="16374:16378" x14ac:dyDescent="0.2">
      <c r="XET672" s="220">
        <v>41929</v>
      </c>
      <c r="XEU672" s="221">
        <v>15.165333</v>
      </c>
      <c r="XEV672" s="198">
        <f t="shared" si="169"/>
        <v>4.9922465208747102E-3</v>
      </c>
      <c r="XEW672" s="221">
        <v>4258.4399409999996</v>
      </c>
      <c r="XEX672" s="198">
        <f t="shared" si="170"/>
        <v>9.7334613745740928E-3</v>
      </c>
    </row>
    <row r="673" spans="16374:16378" x14ac:dyDescent="0.2">
      <c r="XET673" s="220">
        <v>41932</v>
      </c>
      <c r="XEU673" s="221">
        <v>15.364667000000001</v>
      </c>
      <c r="XEV673" s="198">
        <f t="shared" si="169"/>
        <v>1.3144056909268009E-2</v>
      </c>
      <c r="XEW673" s="221">
        <v>4316.0698240000002</v>
      </c>
      <c r="XEX673" s="198">
        <f t="shared" si="170"/>
        <v>1.3533097518916071E-2</v>
      </c>
    </row>
    <row r="674" spans="16374:16378" x14ac:dyDescent="0.2">
      <c r="XET674" s="220">
        <v>41933</v>
      </c>
      <c r="XEU674" s="221">
        <v>15.689333</v>
      </c>
      <c r="XEV674" s="198">
        <f t="shared" si="169"/>
        <v>2.1130689002241132E-2</v>
      </c>
      <c r="XEW674" s="221">
        <v>4419.4799800000001</v>
      </c>
      <c r="XEX674" s="198">
        <f t="shared" si="170"/>
        <v>2.3959333425278784E-2</v>
      </c>
    </row>
    <row r="675" spans="16374:16378" x14ac:dyDescent="0.2">
      <c r="XET675" s="220">
        <v>41934</v>
      </c>
      <c r="XEU675" s="221">
        <v>15.406667000000001</v>
      </c>
      <c r="XEV675" s="198">
        <f t="shared" si="169"/>
        <v>-1.80164446761375E-2</v>
      </c>
      <c r="XEW675" s="221">
        <v>4382.8500979999999</v>
      </c>
      <c r="XEX675" s="198">
        <f t="shared" si="170"/>
        <v>-8.2882787490305976E-3</v>
      </c>
    </row>
    <row r="676" spans="16374:16378" x14ac:dyDescent="0.2">
      <c r="XET676" s="220">
        <v>41935</v>
      </c>
      <c r="XEU676" s="221">
        <v>15.686</v>
      </c>
      <c r="XEV676" s="198">
        <f t="shared" si="169"/>
        <v>1.8130657331660416E-2</v>
      </c>
      <c r="XEW676" s="221">
        <v>4452.7900390000004</v>
      </c>
      <c r="XEX676" s="198">
        <f t="shared" si="170"/>
        <v>1.5957639306878324E-2</v>
      </c>
    </row>
    <row r="677" spans="16374:16378" x14ac:dyDescent="0.2">
      <c r="XET677" s="220">
        <v>41936</v>
      </c>
      <c r="XEU677" s="221">
        <v>15.682667</v>
      </c>
      <c r="XEV677" s="198">
        <f t="shared" si="169"/>
        <v>-2.1248246844318697E-4</v>
      </c>
      <c r="XEW677" s="221">
        <v>4483.7202150000003</v>
      </c>
      <c r="XEX677" s="198">
        <f t="shared" si="170"/>
        <v>6.946246225197239E-3</v>
      </c>
    </row>
    <row r="678" spans="16374:16378" x14ac:dyDescent="0.2">
      <c r="XET678" s="220">
        <v>41939</v>
      </c>
      <c r="XEU678" s="221">
        <v>14.778</v>
      </c>
      <c r="XEV678" s="198">
        <f t="shared" si="169"/>
        <v>-5.7685787755360707E-2</v>
      </c>
      <c r="XEW678" s="221">
        <v>4485.9301759999998</v>
      </c>
      <c r="XEX678" s="198">
        <f t="shared" si="170"/>
        <v>4.928855713624003E-4</v>
      </c>
    </row>
    <row r="679" spans="16374:16378" x14ac:dyDescent="0.2">
      <c r="XET679" s="220">
        <v>41940</v>
      </c>
      <c r="XEU679" s="221">
        <v>16.184667999999999</v>
      </c>
      <c r="XEV679" s="198">
        <f t="shared" si="169"/>
        <v>9.5186628772499615E-2</v>
      </c>
      <c r="XEW679" s="221">
        <v>4564.2900390000004</v>
      </c>
      <c r="XEX679" s="198">
        <f t="shared" si="170"/>
        <v>1.7467918564410656E-2</v>
      </c>
    </row>
    <row r="680" spans="16374:16378" x14ac:dyDescent="0.2">
      <c r="XET680" s="220">
        <v>41941</v>
      </c>
      <c r="XEU680" s="221">
        <v>15.873333000000001</v>
      </c>
      <c r="XEV680" s="198">
        <f t="shared" si="169"/>
        <v>-1.9236415600245693E-2</v>
      </c>
      <c r="XEW680" s="221">
        <v>4549.2299800000001</v>
      </c>
      <c r="XEX680" s="198">
        <f t="shared" si="170"/>
        <v>-3.2995403165263504E-3</v>
      </c>
    </row>
    <row r="681" spans="16374:16378" x14ac:dyDescent="0.2">
      <c r="XET681" s="220">
        <v>41942</v>
      </c>
      <c r="XEU681" s="221">
        <v>15.910667</v>
      </c>
      <c r="XEV681" s="198">
        <f t="shared" si="169"/>
        <v>2.3519950094916808E-3</v>
      </c>
      <c r="XEW681" s="221">
        <v>4566.1401370000003</v>
      </c>
      <c r="XEX681" s="198">
        <f t="shared" si="170"/>
        <v>3.7171470939791895E-3</v>
      </c>
    </row>
    <row r="682" spans="16374:16378" x14ac:dyDescent="0.2">
      <c r="XET682" s="220">
        <v>41943</v>
      </c>
      <c r="XEU682" s="221">
        <v>16.113333000000001</v>
      </c>
      <c r="XEV682" s="198">
        <f t="shared" si="169"/>
        <v>1.2737743804203783E-2</v>
      </c>
      <c r="XEW682" s="221">
        <v>4630.7402339999999</v>
      </c>
      <c r="XEX682" s="198">
        <f t="shared" si="170"/>
        <v>1.414763784329276E-2</v>
      </c>
    </row>
    <row r="683" spans="16374:16378" x14ac:dyDescent="0.2">
      <c r="XET683" s="220">
        <v>41946</v>
      </c>
      <c r="XEU683" s="221">
        <v>16.172667000000001</v>
      </c>
      <c r="XEV683" s="198">
        <f t="shared" si="169"/>
        <v>3.6822921738164371E-3</v>
      </c>
      <c r="XEW683" s="221">
        <v>4638.9101559999999</v>
      </c>
      <c r="XEX683" s="198">
        <f t="shared" si="170"/>
        <v>1.7642799179307112E-3</v>
      </c>
    </row>
    <row r="684" spans="16374:16378" x14ac:dyDescent="0.2">
      <c r="XET684" s="220">
        <v>41947</v>
      </c>
      <c r="XEU684" s="221">
        <v>15.928667000000001</v>
      </c>
      <c r="XEV684" s="198">
        <f t="shared" si="169"/>
        <v>-1.5087183826885231E-2</v>
      </c>
      <c r="XEW684" s="221">
        <v>4623.6401370000003</v>
      </c>
      <c r="XEX684" s="198">
        <f t="shared" si="170"/>
        <v>-3.291725531750056E-3</v>
      </c>
    </row>
    <row r="685" spans="16374:16378" x14ac:dyDescent="0.2">
      <c r="XET685" s="220">
        <v>41948</v>
      </c>
      <c r="XEU685" s="221">
        <v>15.398</v>
      </c>
      <c r="XEV685" s="198">
        <f t="shared" si="169"/>
        <v>-3.3315217149055942E-2</v>
      </c>
      <c r="XEW685" s="221">
        <v>4620.7202150000003</v>
      </c>
      <c r="XEX685" s="198">
        <f t="shared" si="170"/>
        <v>-6.3152016884571172E-4</v>
      </c>
    </row>
    <row r="686" spans="16374:16378" x14ac:dyDescent="0.2">
      <c r="XET686" s="220">
        <v>41949</v>
      </c>
      <c r="XEU686" s="221">
        <v>16.081333000000001</v>
      </c>
      <c r="XEV686" s="198">
        <f t="shared" si="169"/>
        <v>4.4378036108585706E-2</v>
      </c>
      <c r="XEW686" s="221">
        <v>4638.4702150000003</v>
      </c>
      <c r="XEX686" s="198">
        <f t="shared" si="170"/>
        <v>3.8413925046529851E-3</v>
      </c>
    </row>
    <row r="687" spans="16374:16378" x14ac:dyDescent="0.2">
      <c r="XET687" s="220">
        <v>41950</v>
      </c>
      <c r="XEU687" s="221">
        <v>16.013331999999998</v>
      </c>
      <c r="XEV687" s="198">
        <f t="shared" si="169"/>
        <v>-4.2285673706279336E-3</v>
      </c>
      <c r="XEW687" s="221">
        <v>4632.5297849999997</v>
      </c>
      <c r="XEX687" s="198">
        <f t="shared" si="170"/>
        <v>-1.2806873224689985E-3</v>
      </c>
    </row>
    <row r="688" spans="16374:16378" x14ac:dyDescent="0.2">
      <c r="XET688" s="220">
        <v>41953</v>
      </c>
      <c r="XEU688" s="221">
        <v>16.128668000000001</v>
      </c>
      <c r="XEV688" s="198">
        <f t="shared" si="169"/>
        <v>7.2024985181100565E-3</v>
      </c>
      <c r="XEW688" s="221">
        <v>4651.6201170000004</v>
      </c>
      <c r="XEX688" s="198">
        <f t="shared" si="170"/>
        <v>4.1209302230100775E-3</v>
      </c>
    </row>
    <row r="689" spans="16374:16378" x14ac:dyDescent="0.2">
      <c r="XET689" s="220">
        <v>41954</v>
      </c>
      <c r="XEU689" s="221">
        <v>16.738667</v>
      </c>
      <c r="XEV689" s="198">
        <f t="shared" si="169"/>
        <v>3.7820792144769744E-2</v>
      </c>
      <c r="XEW689" s="221">
        <v>4660.5600590000004</v>
      </c>
      <c r="XEX689" s="198">
        <f t="shared" si="170"/>
        <v>1.9218985590263582E-3</v>
      </c>
    </row>
    <row r="690" spans="16374:16378" x14ac:dyDescent="0.2">
      <c r="XET690" s="220">
        <v>41955</v>
      </c>
      <c r="XEU690" s="221">
        <v>16.606667000000002</v>
      </c>
      <c r="XEV690" s="198">
        <f t="shared" si="169"/>
        <v>-7.8859326133913221E-3</v>
      </c>
      <c r="XEW690" s="221">
        <v>4675.1401370000003</v>
      </c>
      <c r="XEX690" s="198">
        <f t="shared" si="170"/>
        <v>3.1283961187977827E-3</v>
      </c>
    </row>
    <row r="691" spans="16374:16378" x14ac:dyDescent="0.2">
      <c r="XET691" s="220">
        <v>41956</v>
      </c>
      <c r="XEU691" s="221">
        <v>16.780000999999999</v>
      </c>
      <c r="XEV691" s="198">
        <f t="shared" si="169"/>
        <v>1.043761520598907E-2</v>
      </c>
      <c r="XEW691" s="221">
        <v>4680.1401370000003</v>
      </c>
      <c r="XEX691" s="198">
        <f t="shared" si="170"/>
        <v>1.0694866578284667E-3</v>
      </c>
    </row>
    <row r="692" spans="16374:16378" x14ac:dyDescent="0.2">
      <c r="XET692" s="220">
        <v>41957</v>
      </c>
      <c r="XEU692" s="221">
        <v>17.245332999999999</v>
      </c>
      <c r="XEV692" s="198">
        <f t="shared" si="169"/>
        <v>2.7731345188835244E-2</v>
      </c>
      <c r="XEW692" s="221">
        <v>4688.5400390000004</v>
      </c>
      <c r="XEX692" s="198">
        <f t="shared" si="170"/>
        <v>1.7947971116489825E-3</v>
      </c>
    </row>
    <row r="693" spans="16374:16378" x14ac:dyDescent="0.2">
      <c r="XET693" s="220">
        <v>41960</v>
      </c>
      <c r="XEU693" s="221">
        <v>16.931999000000001</v>
      </c>
      <c r="XEV693" s="198">
        <f t="shared" si="169"/>
        <v>-1.8169205546799128E-2</v>
      </c>
      <c r="XEW693" s="221">
        <v>4671</v>
      </c>
      <c r="XEX693" s="198">
        <f t="shared" si="170"/>
        <v>-3.741044942370042E-3</v>
      </c>
    </row>
    <row r="694" spans="16374:16378" x14ac:dyDescent="0.2">
      <c r="XET694" s="220">
        <v>41961</v>
      </c>
      <c r="XEU694" s="221">
        <v>17.18</v>
      </c>
      <c r="XEV694" s="198">
        <f t="shared" si="169"/>
        <v>1.464688250926538E-2</v>
      </c>
      <c r="XEW694" s="221">
        <v>4702.4399409999996</v>
      </c>
      <c r="XEX694" s="198">
        <f t="shared" si="170"/>
        <v>6.7308801113250549E-3</v>
      </c>
    </row>
    <row r="695" spans="16374:16378" x14ac:dyDescent="0.2">
      <c r="XET695" s="220">
        <v>41962</v>
      </c>
      <c r="XEU695" s="221">
        <v>16.516000999999999</v>
      </c>
      <c r="XEV695" s="198">
        <f t="shared" si="169"/>
        <v>-3.8649534342258485E-2</v>
      </c>
      <c r="XEW695" s="221">
        <v>4675.7099609999996</v>
      </c>
      <c r="XEX695" s="198">
        <f t="shared" si="170"/>
        <v>-5.6842788712609948E-3</v>
      </c>
    </row>
    <row r="696" spans="16374:16378" x14ac:dyDescent="0.2">
      <c r="XET696" s="220">
        <v>41963</v>
      </c>
      <c r="XEU696" s="221">
        <v>16.580666999999998</v>
      </c>
      <c r="XEV696" s="198">
        <f t="shared" si="169"/>
        <v>3.9153545703949355E-3</v>
      </c>
      <c r="XEW696" s="221">
        <v>4701.8701170000004</v>
      </c>
      <c r="XEX696" s="198">
        <f t="shared" si="170"/>
        <v>5.5949056331983105E-3</v>
      </c>
    </row>
    <row r="697" spans="16374:16378" x14ac:dyDescent="0.2">
      <c r="XET697" s="220">
        <v>41964</v>
      </c>
      <c r="XEU697" s="221">
        <v>16.185333</v>
      </c>
      <c r="XEV697" s="198">
        <f t="shared" si="169"/>
        <v>-2.3843069763116231E-2</v>
      </c>
      <c r="XEW697" s="221">
        <v>4712.9702150000003</v>
      </c>
      <c r="XEX697" s="198">
        <f t="shared" si="170"/>
        <v>2.3607836294470275E-3</v>
      </c>
    </row>
    <row r="698" spans="16374:16378" x14ac:dyDescent="0.2">
      <c r="XET698" s="220">
        <v>41967</v>
      </c>
      <c r="XEU698" s="221">
        <v>16.448</v>
      </c>
      <c r="XEV698" s="198">
        <f t="shared" si="169"/>
        <v>1.6228705334638382E-2</v>
      </c>
      <c r="XEW698" s="221">
        <v>4754.8901370000003</v>
      </c>
      <c r="XEX698" s="198">
        <f t="shared" si="170"/>
        <v>8.8945866592964329E-3</v>
      </c>
    </row>
    <row r="699" spans="16374:16378" x14ac:dyDescent="0.2">
      <c r="XET699" s="220">
        <v>41968</v>
      </c>
      <c r="XEU699" s="221">
        <v>16.539332999999999</v>
      </c>
      <c r="XEV699" s="198">
        <f t="shared" si="169"/>
        <v>5.5528331712062506E-3</v>
      </c>
      <c r="XEW699" s="221">
        <v>4758.25</v>
      </c>
      <c r="XEX699" s="198">
        <f t="shared" si="170"/>
        <v>7.0661211998457318E-4</v>
      </c>
    </row>
    <row r="700" spans="16374:16378" x14ac:dyDescent="0.2">
      <c r="XET700" s="220">
        <v>41969</v>
      </c>
      <c r="XEU700" s="221">
        <v>16.562667999999999</v>
      </c>
      <c r="XEV700" s="198">
        <f t="shared" si="169"/>
        <v>1.4108791448843583E-3</v>
      </c>
      <c r="XEW700" s="221">
        <v>4787.3198240000002</v>
      </c>
      <c r="XEX700" s="198">
        <f t="shared" si="170"/>
        <v>6.1093519676351793E-3</v>
      </c>
    </row>
    <row r="701" spans="16374:16378" x14ac:dyDescent="0.2">
      <c r="XET701" s="220">
        <v>41971</v>
      </c>
      <c r="XEU701" s="221">
        <v>16.301331999999999</v>
      </c>
      <c r="XEV701" s="198">
        <f t="shared" si="169"/>
        <v>-1.5778617309723297E-2</v>
      </c>
      <c r="XEW701" s="221">
        <v>4791.6298829999996</v>
      </c>
      <c r="XEX701" s="198">
        <f t="shared" si="170"/>
        <v>9.0030730313683804E-4</v>
      </c>
    </row>
    <row r="702" spans="16374:16378" x14ac:dyDescent="0.2">
      <c r="XET702" s="220">
        <v>41974</v>
      </c>
      <c r="XEU702" s="221">
        <v>15.442667</v>
      </c>
      <c r="XEV702" s="198">
        <f t="shared" si="169"/>
        <v>-5.2674529909580325E-2</v>
      </c>
      <c r="XEW702" s="221">
        <v>4727.3500979999999</v>
      </c>
      <c r="XEX702" s="198">
        <f t="shared" si="170"/>
        <v>-1.3415014633758493E-2</v>
      </c>
    </row>
    <row r="703" spans="16374:16378" x14ac:dyDescent="0.2">
      <c r="XET703" s="220">
        <v>41975</v>
      </c>
      <c r="XEU703" s="221">
        <v>15.428667000000001</v>
      </c>
      <c r="XEV703" s="198">
        <f t="shared" si="169"/>
        <v>-9.0657915501246578E-4</v>
      </c>
      <c r="XEW703" s="221">
        <v>4755.8100590000004</v>
      </c>
      <c r="XEX703" s="198">
        <f t="shared" si="170"/>
        <v>6.0202778321920558E-3</v>
      </c>
    </row>
    <row r="704" spans="16374:16378" x14ac:dyDescent="0.2">
      <c r="XET704" s="220">
        <v>41976</v>
      </c>
      <c r="XEU704" s="221">
        <v>15.286667</v>
      </c>
      <c r="XEV704" s="198">
        <f t="shared" si="169"/>
        <v>-9.2036466922256199E-3</v>
      </c>
      <c r="XEW704" s="221">
        <v>4774.4702150000003</v>
      </c>
      <c r="XEX704" s="198">
        <f t="shared" si="170"/>
        <v>3.92365459690458E-3</v>
      </c>
    </row>
    <row r="705" spans="16374:16378" x14ac:dyDescent="0.2">
      <c r="XET705" s="220">
        <v>41977</v>
      </c>
      <c r="XEU705" s="221">
        <v>15.218667</v>
      </c>
      <c r="XEV705" s="198">
        <f t="shared" si="169"/>
        <v>-4.4483208798883345E-3</v>
      </c>
      <c r="XEW705" s="221">
        <v>4769.4399409999996</v>
      </c>
      <c r="XEX705" s="198">
        <f t="shared" si="170"/>
        <v>-1.0535774176990698E-3</v>
      </c>
    </row>
    <row r="706" spans="16374:16378" x14ac:dyDescent="0.2">
      <c r="XET706" s="220">
        <v>41978</v>
      </c>
      <c r="XEU706" s="221">
        <v>14.914</v>
      </c>
      <c r="XEV706" s="198">
        <f t="shared" si="169"/>
        <v>-2.0019296039528345E-2</v>
      </c>
      <c r="XEW706" s="221">
        <v>4780.7597660000001</v>
      </c>
      <c r="XEX706" s="198">
        <f t="shared" si="170"/>
        <v>2.3734075992216663E-3</v>
      </c>
    </row>
    <row r="707" spans="16374:16378" x14ac:dyDescent="0.2">
      <c r="XET707" s="220">
        <v>41981</v>
      </c>
      <c r="XEU707" s="221">
        <v>14.290666999999999</v>
      </c>
      <c r="XEV707" s="198">
        <f t="shared" si="169"/>
        <v>-4.1795158911090313E-2</v>
      </c>
      <c r="XEW707" s="221">
        <v>4740.6899409999996</v>
      </c>
      <c r="XEX707" s="198">
        <f t="shared" si="170"/>
        <v>-8.381476368038987E-3</v>
      </c>
    </row>
    <row r="708" spans="16374:16378" x14ac:dyDescent="0.2">
      <c r="XET708" s="220">
        <v>41982</v>
      </c>
      <c r="XEU708" s="221">
        <v>14.459333000000001</v>
      </c>
      <c r="XEV708" s="198">
        <f t="shared" si="169"/>
        <v>1.1802528181504846E-2</v>
      </c>
      <c r="XEW708" s="221">
        <v>4766.4702150000003</v>
      </c>
      <c r="XEX708" s="198">
        <f t="shared" si="170"/>
        <v>5.4380848190553888E-3</v>
      </c>
    </row>
    <row r="709" spans="16374:16378" x14ac:dyDescent="0.2">
      <c r="XET709" s="220">
        <v>41983</v>
      </c>
      <c r="XEU709" s="221">
        <v>13.989333</v>
      </c>
      <c r="XEV709" s="198">
        <f t="shared" si="169"/>
        <v>-3.2504957178868477E-2</v>
      </c>
      <c r="XEW709" s="221">
        <v>4684.0200199999999</v>
      </c>
      <c r="XEX709" s="198">
        <f t="shared" si="170"/>
        <v>-1.729795661798772E-2</v>
      </c>
    </row>
    <row r="710" spans="16374:16378" x14ac:dyDescent="0.2">
      <c r="XET710" s="220">
        <v>41984</v>
      </c>
      <c r="XEU710" s="221">
        <v>13.925333</v>
      </c>
      <c r="XEV710" s="198">
        <f t="shared" si="169"/>
        <v>-4.5749143293679628E-3</v>
      </c>
      <c r="XEW710" s="221">
        <v>4708.1601559999999</v>
      </c>
      <c r="XEX710" s="198">
        <f t="shared" si="170"/>
        <v>5.1537217810611047E-3</v>
      </c>
    </row>
    <row r="711" spans="16374:16378" x14ac:dyDescent="0.2">
      <c r="XET711" s="220">
        <v>41985</v>
      </c>
      <c r="XEU711" s="221">
        <v>13.8</v>
      </c>
      <c r="XEV711" s="198">
        <f t="shared" si="169"/>
        <v>-9.0003592732754711E-3</v>
      </c>
      <c r="XEW711" s="221">
        <v>4653.6000979999999</v>
      </c>
      <c r="XEX711" s="198">
        <f t="shared" si="170"/>
        <v>-1.1588403153718008E-2</v>
      </c>
    </row>
    <row r="712" spans="16374:16378" x14ac:dyDescent="0.2">
      <c r="XET712" s="220">
        <v>41988</v>
      </c>
      <c r="XEU712" s="221">
        <v>13.602667</v>
      </c>
      <c r="XEV712" s="198">
        <f t="shared" si="169"/>
        <v>-1.4299492753623189E-2</v>
      </c>
      <c r="XEW712" s="221">
        <v>4605.1601559999999</v>
      </c>
      <c r="XEX712" s="198">
        <f t="shared" si="170"/>
        <v>-1.0409132925026876E-2</v>
      </c>
    </row>
    <row r="713" spans="16374:16378" x14ac:dyDescent="0.2">
      <c r="XET713" s="220">
        <v>41989</v>
      </c>
      <c r="XEU713" s="221">
        <v>13.187333000000001</v>
      </c>
      <c r="XEV713" s="198">
        <f t="shared" si="169"/>
        <v>-3.0533277040450946E-2</v>
      </c>
      <c r="XEW713" s="221">
        <v>4547.830078</v>
      </c>
      <c r="XEX713" s="198">
        <f t="shared" si="170"/>
        <v>-1.2449095375175023E-2</v>
      </c>
    </row>
    <row r="714" spans="16374:16378" x14ac:dyDescent="0.2">
      <c r="XET714" s="220">
        <v>41990</v>
      </c>
      <c r="XEU714" s="221">
        <v>13.721333</v>
      </c>
      <c r="XEV714" s="198">
        <f t="shared" si="169"/>
        <v>4.0493403783767201E-2</v>
      </c>
      <c r="XEW714" s="221">
        <v>4644.3100590000004</v>
      </c>
      <c r="XEX714" s="198">
        <f t="shared" si="170"/>
        <v>2.1214508753684358E-2</v>
      </c>
    </row>
    <row r="715" spans="16374:16378" x14ac:dyDescent="0.2">
      <c r="XET715" s="220">
        <v>41991</v>
      </c>
      <c r="XEU715" s="221">
        <v>14.550667000000001</v>
      </c>
      <c r="XEV715" s="198">
        <f t="shared" si="169"/>
        <v>6.0441212234992214E-2</v>
      </c>
      <c r="XEW715" s="221">
        <v>4748.3999020000001</v>
      </c>
      <c r="XEX715" s="198">
        <f t="shared" si="170"/>
        <v>2.2412337177680097E-2</v>
      </c>
    </row>
    <row r="716" spans="16374:16378" x14ac:dyDescent="0.2">
      <c r="XET716" s="220">
        <v>41992</v>
      </c>
      <c r="XEU716" s="221">
        <v>14.619332999999999</v>
      </c>
      <c r="XEV716" s="198">
        <f t="shared" ref="XEV716:XEV779" si="171">XEU716/XEU715-1</f>
        <v>4.7190963823169341E-3</v>
      </c>
      <c r="XEW716" s="221">
        <v>4765.3798829999996</v>
      </c>
      <c r="XEX716" s="198">
        <f t="shared" ref="XEX716:XEX779" si="172">XEW716/XEW715-1</f>
        <v>3.5759374421786561E-3</v>
      </c>
    </row>
    <row r="717" spans="16374:16378" x14ac:dyDescent="0.2">
      <c r="XET717" s="220">
        <v>41995</v>
      </c>
      <c r="XEU717" s="221">
        <v>14.84</v>
      </c>
      <c r="XEV717" s="198">
        <f t="shared" si="171"/>
        <v>1.5094190685717379E-2</v>
      </c>
      <c r="XEW717" s="221">
        <v>4781.419922</v>
      </c>
      <c r="XEX717" s="198">
        <f t="shared" si="172"/>
        <v>3.3659518010771272E-3</v>
      </c>
    </row>
    <row r="718" spans="16374:16378" x14ac:dyDescent="0.2">
      <c r="XET718" s="220">
        <v>41996</v>
      </c>
      <c r="XEU718" s="221">
        <v>14.731332999999999</v>
      </c>
      <c r="XEV718" s="198">
        <f t="shared" si="171"/>
        <v>-7.3225741239892894E-3</v>
      </c>
      <c r="XEW718" s="221">
        <v>4765.419922</v>
      </c>
      <c r="XEX718" s="198">
        <f t="shared" si="172"/>
        <v>-3.3462863042800217E-3</v>
      </c>
    </row>
    <row r="719" spans="16374:16378" x14ac:dyDescent="0.2">
      <c r="XET719" s="220">
        <v>41997</v>
      </c>
      <c r="XEU719" s="221">
        <v>14.817333</v>
      </c>
      <c r="XEV719" s="198">
        <f t="shared" si="171"/>
        <v>5.837896679139698E-3</v>
      </c>
      <c r="XEW719" s="221">
        <v>4773.4702150000003</v>
      </c>
      <c r="XEX719" s="198">
        <f t="shared" si="172"/>
        <v>1.6893145057028658E-3</v>
      </c>
    </row>
    <row r="720" spans="16374:16378" x14ac:dyDescent="0.2">
      <c r="XET720" s="220">
        <v>41999</v>
      </c>
      <c r="XEU720" s="221">
        <v>15.188000000000001</v>
      </c>
      <c r="XEV720" s="198">
        <f t="shared" si="171"/>
        <v>2.5015770381890068E-2</v>
      </c>
      <c r="XEW720" s="221">
        <v>4806.8598629999997</v>
      </c>
      <c r="XEX720" s="198">
        <f t="shared" si="172"/>
        <v>6.9948374025832205E-3</v>
      </c>
    </row>
    <row r="721" spans="16374:16378" x14ac:dyDescent="0.2">
      <c r="XET721" s="220">
        <v>42002</v>
      </c>
      <c r="XEU721" s="221">
        <v>15.047333</v>
      </c>
      <c r="XEV721" s="198">
        <f t="shared" si="171"/>
        <v>-9.2617197787727701E-3</v>
      </c>
      <c r="XEW721" s="221">
        <v>4806.9101559999999</v>
      </c>
      <c r="XEX721" s="198">
        <f t="shared" si="172"/>
        <v>1.0462755610340935E-5</v>
      </c>
    </row>
    <row r="722" spans="16374:16378" x14ac:dyDescent="0.2">
      <c r="XET722" s="220">
        <v>42003</v>
      </c>
      <c r="XEU722" s="221">
        <v>14.815333000000001</v>
      </c>
      <c r="XEV722" s="198">
        <f t="shared" si="171"/>
        <v>-1.5418014607638364E-2</v>
      </c>
      <c r="XEW722" s="221">
        <v>4777.4399409999996</v>
      </c>
      <c r="XEX722" s="198">
        <f t="shared" si="172"/>
        <v>-6.1308021251895717E-3</v>
      </c>
    </row>
    <row r="723" spans="16374:16378" x14ac:dyDescent="0.2">
      <c r="XET723" s="220">
        <v>42004</v>
      </c>
      <c r="XEU723" s="221">
        <v>14.827332999999999</v>
      </c>
      <c r="XEV723" s="198">
        <f t="shared" si="171"/>
        <v>8.0997166921581432E-4</v>
      </c>
      <c r="XEW723" s="221">
        <v>4736.0498049999997</v>
      </c>
      <c r="XEX723" s="198">
        <f t="shared" si="172"/>
        <v>-8.6636643288363624E-3</v>
      </c>
    </row>
    <row r="724" spans="16374:16378" x14ac:dyDescent="0.2">
      <c r="XET724" s="220">
        <v>42006</v>
      </c>
      <c r="XEU724" s="221">
        <v>14.620666999999999</v>
      </c>
      <c r="XEV724" s="198">
        <f t="shared" si="171"/>
        <v>-1.3938177553576292E-2</v>
      </c>
      <c r="XEW724" s="221">
        <v>4726.8100590000004</v>
      </c>
      <c r="XEX724" s="198">
        <f t="shared" si="172"/>
        <v>-1.950939365173987E-3</v>
      </c>
    </row>
    <row r="725" spans="16374:16378" x14ac:dyDescent="0.2">
      <c r="XET725" s="220">
        <v>42009</v>
      </c>
      <c r="XEU725" s="221">
        <v>14.006</v>
      </c>
      <c r="XEV725" s="198">
        <f t="shared" si="171"/>
        <v>-4.2040968445557159E-2</v>
      </c>
      <c r="XEW725" s="221">
        <v>4652.5698240000002</v>
      </c>
      <c r="XEX725" s="198">
        <f t="shared" si="172"/>
        <v>-1.5706202295699301E-2</v>
      </c>
    </row>
    <row r="726" spans="16374:16378" x14ac:dyDescent="0.2">
      <c r="XET726" s="220">
        <v>42010</v>
      </c>
      <c r="XEU726" s="221">
        <v>14.085333</v>
      </c>
      <c r="XEV726" s="198">
        <f t="shared" si="171"/>
        <v>5.6642153362844727E-3</v>
      </c>
      <c r="XEW726" s="221">
        <v>4592.7402339999999</v>
      </c>
      <c r="XEX726" s="198">
        <f t="shared" si="172"/>
        <v>-1.2859471703438596E-2</v>
      </c>
    </row>
    <row r="727" spans="16374:16378" x14ac:dyDescent="0.2">
      <c r="XET727" s="220">
        <v>42011</v>
      </c>
      <c r="XEU727" s="221">
        <v>14.063333</v>
      </c>
      <c r="XEV727" s="198">
        <f t="shared" si="171"/>
        <v>-1.5619084050054743E-3</v>
      </c>
      <c r="XEW727" s="221">
        <v>4650.4702150000003</v>
      </c>
      <c r="XEX727" s="198">
        <f t="shared" si="172"/>
        <v>1.2569833706819855E-2</v>
      </c>
    </row>
    <row r="728" spans="16374:16378" x14ac:dyDescent="0.2">
      <c r="XET728" s="220">
        <v>42012</v>
      </c>
      <c r="XEU728" s="221">
        <v>14.041333</v>
      </c>
      <c r="XEV728" s="198">
        <f t="shared" si="171"/>
        <v>-1.5643517791977812E-3</v>
      </c>
      <c r="XEW728" s="221">
        <v>4736.1899409999996</v>
      </c>
      <c r="XEX728" s="198">
        <f t="shared" si="172"/>
        <v>1.8432485756711747E-2</v>
      </c>
    </row>
    <row r="729" spans="16374:16378" x14ac:dyDescent="0.2">
      <c r="XET729" s="220">
        <v>42013</v>
      </c>
      <c r="XEU729" s="221">
        <v>13.777333</v>
      </c>
      <c r="XEV729" s="198">
        <f t="shared" si="171"/>
        <v>-1.8801633719533584E-2</v>
      </c>
      <c r="XEW729" s="221">
        <v>4704.0698240000002</v>
      </c>
      <c r="XEX729" s="198">
        <f t="shared" si="172"/>
        <v>-6.7818473076731722E-3</v>
      </c>
    </row>
    <row r="730" spans="16374:16378" x14ac:dyDescent="0.2">
      <c r="XET730" s="220">
        <v>42016</v>
      </c>
      <c r="XEU730" s="221">
        <v>13.480667</v>
      </c>
      <c r="XEV730" s="198">
        <f t="shared" si="171"/>
        <v>-2.1532904808209241E-2</v>
      </c>
      <c r="XEW730" s="221">
        <v>4664.7099609999996</v>
      </c>
      <c r="XEX730" s="198">
        <f t="shared" si="172"/>
        <v>-8.3671936158744575E-3</v>
      </c>
    </row>
    <row r="731" spans="16374:16378" x14ac:dyDescent="0.2">
      <c r="XET731" s="220">
        <v>42017</v>
      </c>
      <c r="XEU731" s="221">
        <v>13.616667</v>
      </c>
      <c r="XEV731" s="198">
        <f t="shared" si="171"/>
        <v>1.008852158428053E-2</v>
      </c>
      <c r="XEW731" s="221">
        <v>4661.5</v>
      </c>
      <c r="XEX731" s="198">
        <f t="shared" si="172"/>
        <v>-6.8813731761174779E-4</v>
      </c>
    </row>
    <row r="732" spans="16374:16378" x14ac:dyDescent="0.2">
      <c r="XET732" s="220">
        <v>42018</v>
      </c>
      <c r="XEU732" s="221">
        <v>12.846</v>
      </c>
      <c r="XEV732" s="198">
        <f t="shared" si="171"/>
        <v>-5.6597330315854788E-2</v>
      </c>
      <c r="XEW732" s="221">
        <v>4639.3198240000002</v>
      </c>
      <c r="XEX732" s="198">
        <f t="shared" si="172"/>
        <v>-4.7581628231255779E-3</v>
      </c>
    </row>
    <row r="733" spans="16374:16378" x14ac:dyDescent="0.2">
      <c r="XET733" s="220">
        <v>42019</v>
      </c>
      <c r="XEU733" s="221">
        <v>12.791333</v>
      </c>
      <c r="XEV733" s="198">
        <f t="shared" si="171"/>
        <v>-4.2555659349213792E-3</v>
      </c>
      <c r="XEW733" s="221">
        <v>4570.8198240000002</v>
      </c>
      <c r="XEX733" s="198">
        <f t="shared" si="172"/>
        <v>-1.476509544473259E-2</v>
      </c>
    </row>
    <row r="734" spans="16374:16378" x14ac:dyDescent="0.2">
      <c r="XET734" s="220">
        <v>42020</v>
      </c>
      <c r="XEU734" s="221">
        <v>12.871333</v>
      </c>
      <c r="XEV734" s="198">
        <f t="shared" si="171"/>
        <v>6.2542348010172777E-3</v>
      </c>
      <c r="XEW734" s="221">
        <v>4634.3798829999996</v>
      </c>
      <c r="XEX734" s="198">
        <f t="shared" si="172"/>
        <v>1.3905614626563256E-2</v>
      </c>
    </row>
    <row r="735" spans="16374:16378" x14ac:dyDescent="0.2">
      <c r="XET735" s="220">
        <v>42024</v>
      </c>
      <c r="XEU735" s="221">
        <v>12.795332999999999</v>
      </c>
      <c r="XEV735" s="198">
        <f t="shared" si="171"/>
        <v>-5.9045943415495517E-3</v>
      </c>
      <c r="XEW735" s="221">
        <v>4654.8500979999999</v>
      </c>
      <c r="XEX735" s="198">
        <f t="shared" si="172"/>
        <v>4.4170343210512275E-3</v>
      </c>
    </row>
    <row r="736" spans="16374:16378" x14ac:dyDescent="0.2">
      <c r="XET736" s="220">
        <v>42025</v>
      </c>
      <c r="XEU736" s="221">
        <v>13.104666999999999</v>
      </c>
      <c r="XEV736" s="198">
        <f t="shared" si="171"/>
        <v>2.4175533376114444E-2</v>
      </c>
      <c r="XEW736" s="221">
        <v>4667.419922</v>
      </c>
      <c r="XEX736" s="198">
        <f t="shared" si="172"/>
        <v>2.7003713836888377E-3</v>
      </c>
    </row>
    <row r="737" spans="16374:16378" x14ac:dyDescent="0.2">
      <c r="XET737" s="220">
        <v>42026</v>
      </c>
      <c r="XEU737" s="221">
        <v>13.441333</v>
      </c>
      <c r="XEV737" s="198">
        <f t="shared" si="171"/>
        <v>2.5690542155706986E-2</v>
      </c>
      <c r="XEW737" s="221">
        <v>4750.3999020000001</v>
      </c>
      <c r="XEX737" s="198">
        <f t="shared" si="172"/>
        <v>1.7778554616196374E-2</v>
      </c>
    </row>
    <row r="738" spans="16374:16378" x14ac:dyDescent="0.2">
      <c r="XET738" s="220">
        <v>42027</v>
      </c>
      <c r="XEU738" s="221">
        <v>13.419333</v>
      </c>
      <c r="XEV738" s="198">
        <f t="shared" si="171"/>
        <v>-1.6367424272577535E-3</v>
      </c>
      <c r="XEW738" s="221">
        <v>4757.8798829999996</v>
      </c>
      <c r="XEX738" s="198">
        <f t="shared" si="172"/>
        <v>1.5746002766736655E-3</v>
      </c>
    </row>
    <row r="739" spans="16374:16378" x14ac:dyDescent="0.2">
      <c r="XET739" s="220">
        <v>42030</v>
      </c>
      <c r="XEU739" s="221">
        <v>13.77</v>
      </c>
      <c r="XEV739" s="198">
        <f t="shared" si="171"/>
        <v>2.6131477622620913E-2</v>
      </c>
      <c r="XEW739" s="221">
        <v>4771.7597660000001</v>
      </c>
      <c r="XEX739" s="198">
        <f t="shared" si="172"/>
        <v>2.9172411539000187E-3</v>
      </c>
    </row>
    <row r="740" spans="16374:16378" x14ac:dyDescent="0.2">
      <c r="XET740" s="220">
        <v>42031</v>
      </c>
      <c r="XEU740" s="221">
        <v>13.731999999999999</v>
      </c>
      <c r="XEV740" s="198">
        <f t="shared" si="171"/>
        <v>-2.7596223674655196E-3</v>
      </c>
      <c r="XEW740" s="221">
        <v>4681.5</v>
      </c>
      <c r="XEX740" s="198">
        <f t="shared" si="172"/>
        <v>-1.891540446841522E-2</v>
      </c>
    </row>
    <row r="741" spans="16374:16378" x14ac:dyDescent="0.2">
      <c r="XET741" s="220">
        <v>42032</v>
      </c>
      <c r="XEU741" s="221">
        <v>13.291333</v>
      </c>
      <c r="XEV741" s="198">
        <f t="shared" si="171"/>
        <v>-3.2090518496941445E-2</v>
      </c>
      <c r="XEW741" s="221">
        <v>4637.9902339999999</v>
      </c>
      <c r="XEX741" s="198">
        <f t="shared" si="172"/>
        <v>-9.2939797073587904E-3</v>
      </c>
    </row>
    <row r="742" spans="16374:16378" x14ac:dyDescent="0.2">
      <c r="XET742" s="220">
        <v>42033</v>
      </c>
      <c r="XEU742" s="221">
        <v>13.68</v>
      </c>
      <c r="XEV742" s="198">
        <f t="shared" si="171"/>
        <v>2.9242138467225232E-2</v>
      </c>
      <c r="XEW742" s="221">
        <v>4683.4101559999999</v>
      </c>
      <c r="XEX742" s="198">
        <f t="shared" si="172"/>
        <v>9.7930180333363204E-3</v>
      </c>
    </row>
    <row r="743" spans="16374:16378" x14ac:dyDescent="0.2">
      <c r="XET743" s="220">
        <v>42034</v>
      </c>
      <c r="XEU743" s="221">
        <v>13.573333</v>
      </c>
      <c r="XEV743" s="198">
        <f t="shared" si="171"/>
        <v>-7.7972953216374208E-3</v>
      </c>
      <c r="XEW743" s="221">
        <v>4635.2402339999999</v>
      </c>
      <c r="XEX743" s="198">
        <f t="shared" si="172"/>
        <v>-1.0285223885054928E-2</v>
      </c>
    </row>
    <row r="744" spans="16374:16378" x14ac:dyDescent="0.2">
      <c r="XET744" s="220">
        <v>42037</v>
      </c>
      <c r="XEU744" s="221">
        <v>14.062666999999999</v>
      </c>
      <c r="XEV744" s="198">
        <f t="shared" si="171"/>
        <v>3.6051130551353783E-2</v>
      </c>
      <c r="XEW744" s="221">
        <v>4676.6899409999996</v>
      </c>
      <c r="XEX744" s="198">
        <f t="shared" si="172"/>
        <v>8.9422996236443453E-3</v>
      </c>
    </row>
    <row r="745" spans="16374:16378" x14ac:dyDescent="0.2">
      <c r="XET745" s="220">
        <v>42038</v>
      </c>
      <c r="XEU745" s="221">
        <v>14.557333</v>
      </c>
      <c r="XEV745" s="198">
        <f t="shared" si="171"/>
        <v>3.5175831156351922E-2</v>
      </c>
      <c r="XEW745" s="221">
        <v>4727.7402339999999</v>
      </c>
      <c r="XEX745" s="198">
        <f t="shared" si="172"/>
        <v>1.0915902838126712E-2</v>
      </c>
    </row>
    <row r="746" spans="16374:16378" x14ac:dyDescent="0.2">
      <c r="XET746" s="220">
        <v>42039</v>
      </c>
      <c r="XEU746" s="221">
        <v>14.57</v>
      </c>
      <c r="XEV746" s="198">
        <f t="shared" si="171"/>
        <v>8.701456509925265E-4</v>
      </c>
      <c r="XEW746" s="221">
        <v>4716.7001950000003</v>
      </c>
      <c r="XEX746" s="198">
        <f t="shared" si="172"/>
        <v>-2.3351619280188585E-3</v>
      </c>
    </row>
    <row r="747" spans="16374:16378" x14ac:dyDescent="0.2">
      <c r="XET747" s="220">
        <v>42040</v>
      </c>
      <c r="XEU747" s="221">
        <v>14.732666999999999</v>
      </c>
      <c r="XEV747" s="198">
        <f t="shared" si="171"/>
        <v>1.1164516129032132E-2</v>
      </c>
      <c r="XEW747" s="221">
        <v>4765.1000979999999</v>
      </c>
      <c r="XEX747" s="198">
        <f t="shared" si="172"/>
        <v>1.0261390590673214E-2</v>
      </c>
    </row>
    <row r="748" spans="16374:16378" x14ac:dyDescent="0.2">
      <c r="XET748" s="220">
        <v>42041</v>
      </c>
      <c r="XEU748" s="221">
        <v>14.490667</v>
      </c>
      <c r="XEV748" s="198">
        <f t="shared" si="171"/>
        <v>-1.6426082256525532E-2</v>
      </c>
      <c r="XEW748" s="221">
        <v>4744.3999020000001</v>
      </c>
      <c r="XEX748" s="198">
        <f t="shared" si="172"/>
        <v>-4.3441261619431293E-3</v>
      </c>
    </row>
    <row r="749" spans="16374:16378" x14ac:dyDescent="0.2">
      <c r="XET749" s="220">
        <v>42044</v>
      </c>
      <c r="XEU749" s="221">
        <v>14.498666999999999</v>
      </c>
      <c r="XEV749" s="198">
        <f t="shared" si="171"/>
        <v>5.5207948674818041E-4</v>
      </c>
      <c r="XEW749" s="221">
        <v>4726.0097660000001</v>
      </c>
      <c r="XEX749" s="198">
        <f t="shared" si="172"/>
        <v>-3.8761774681446148E-3</v>
      </c>
    </row>
    <row r="750" spans="16374:16378" x14ac:dyDescent="0.2">
      <c r="XET750" s="220">
        <v>42045</v>
      </c>
      <c r="XEU750" s="221">
        <v>14.419333</v>
      </c>
      <c r="XEV750" s="198">
        <f t="shared" si="171"/>
        <v>-5.4718133742915898E-3</v>
      </c>
      <c r="XEW750" s="221">
        <v>4787.6401370000003</v>
      </c>
      <c r="XEX750" s="198">
        <f t="shared" si="172"/>
        <v>1.3040677876584805E-2</v>
      </c>
    </row>
    <row r="751" spans="16374:16378" x14ac:dyDescent="0.2">
      <c r="XET751" s="220">
        <v>42046</v>
      </c>
      <c r="XEU751" s="221">
        <v>14.186667</v>
      </c>
      <c r="XEV751" s="198">
        <f t="shared" si="171"/>
        <v>-1.6135697816258232E-2</v>
      </c>
      <c r="XEW751" s="221">
        <v>4801.1801759999998</v>
      </c>
      <c r="XEX751" s="198">
        <f t="shared" si="172"/>
        <v>2.8281237963896366E-3</v>
      </c>
    </row>
    <row r="752" spans="16374:16378" x14ac:dyDescent="0.2">
      <c r="XET752" s="220">
        <v>42047</v>
      </c>
      <c r="XEU752" s="221">
        <v>13.525333</v>
      </c>
      <c r="XEV752" s="198">
        <f t="shared" si="171"/>
        <v>-4.6616587250550068E-2</v>
      </c>
      <c r="XEW752" s="221">
        <v>4857.6098629999997</v>
      </c>
      <c r="XEX752" s="198">
        <f t="shared" si="172"/>
        <v>1.1753295009022668E-2</v>
      </c>
    </row>
    <row r="753" spans="16374:16378" x14ac:dyDescent="0.2">
      <c r="XET753" s="220">
        <v>42048</v>
      </c>
      <c r="XEU753" s="221">
        <v>13.584667</v>
      </c>
      <c r="XEV753" s="198">
        <f t="shared" si="171"/>
        <v>4.3868790513328371E-3</v>
      </c>
      <c r="XEW753" s="221">
        <v>4893.8398440000001</v>
      </c>
      <c r="XEX753" s="198">
        <f t="shared" si="172"/>
        <v>7.4583966234014198E-3</v>
      </c>
    </row>
    <row r="754" spans="16374:16378" x14ac:dyDescent="0.2">
      <c r="XET754" s="220">
        <v>42052</v>
      </c>
      <c r="XEU754" s="221">
        <v>13.623333000000001</v>
      </c>
      <c r="XEV754" s="198">
        <f t="shared" si="171"/>
        <v>2.8462972261300568E-3</v>
      </c>
      <c r="XEW754" s="221">
        <v>4899.2700199999999</v>
      </c>
      <c r="XEX754" s="198">
        <f t="shared" si="172"/>
        <v>1.1095941373433504E-3</v>
      </c>
    </row>
    <row r="755" spans="16374:16378" x14ac:dyDescent="0.2">
      <c r="XET755" s="220">
        <v>42053</v>
      </c>
      <c r="XEU755" s="221">
        <v>13.630667000000001</v>
      </c>
      <c r="XEV755" s="198">
        <f t="shared" si="171"/>
        <v>5.3834109465000779E-4</v>
      </c>
      <c r="XEW755" s="221">
        <v>4906.3598629999997</v>
      </c>
      <c r="XEX755" s="198">
        <f t="shared" si="172"/>
        <v>1.4471223204799433E-3</v>
      </c>
    </row>
    <row r="756" spans="16374:16378" x14ac:dyDescent="0.2">
      <c r="XET756" s="220">
        <v>42054</v>
      </c>
      <c r="XEU756" s="221">
        <v>14.114000000000001</v>
      </c>
      <c r="XEV756" s="198">
        <f t="shared" si="171"/>
        <v>3.5459233212872032E-2</v>
      </c>
      <c r="XEW756" s="221">
        <v>4924.7001950000003</v>
      </c>
      <c r="XEX756" s="198">
        <f t="shared" si="172"/>
        <v>3.7380731361165154E-3</v>
      </c>
    </row>
    <row r="757" spans="16374:16378" x14ac:dyDescent="0.2">
      <c r="XET757" s="220">
        <v>42055</v>
      </c>
      <c r="XEU757" s="221">
        <v>14.474</v>
      </c>
      <c r="XEV757" s="198">
        <f t="shared" si="171"/>
        <v>2.5506589202210606E-2</v>
      </c>
      <c r="XEW757" s="221">
        <v>4955.9702150000003</v>
      </c>
      <c r="XEX757" s="198">
        <f t="shared" si="172"/>
        <v>6.3496291676290451E-3</v>
      </c>
    </row>
    <row r="758" spans="16374:16378" x14ac:dyDescent="0.2">
      <c r="XET758" s="220">
        <v>42058</v>
      </c>
      <c r="XEU758" s="221">
        <v>13.822666999999999</v>
      </c>
      <c r="XEV758" s="198">
        <f t="shared" si="171"/>
        <v>-4.5000207268205084E-2</v>
      </c>
      <c r="XEW758" s="221">
        <v>4960.9702150000003</v>
      </c>
      <c r="XEX758" s="198">
        <f t="shared" si="172"/>
        <v>1.0088841908022506E-3</v>
      </c>
    </row>
    <row r="759" spans="16374:16378" x14ac:dyDescent="0.2">
      <c r="XET759" s="220">
        <v>42059</v>
      </c>
      <c r="XEU759" s="221">
        <v>13.607333000000001</v>
      </c>
      <c r="XEV759" s="198">
        <f t="shared" si="171"/>
        <v>-1.557832508010204E-2</v>
      </c>
      <c r="XEW759" s="221">
        <v>4968.1201170000004</v>
      </c>
      <c r="XEX759" s="198">
        <f t="shared" si="172"/>
        <v>1.4412305839655026E-3</v>
      </c>
    </row>
    <row r="760" spans="16374:16378" x14ac:dyDescent="0.2">
      <c r="XET760" s="220">
        <v>42060</v>
      </c>
      <c r="XEU760" s="221">
        <v>13.584</v>
      </c>
      <c r="XEV760" s="198">
        <f t="shared" si="171"/>
        <v>-1.7147371935412048E-3</v>
      </c>
      <c r="XEW760" s="221">
        <v>4967.1401370000003</v>
      </c>
      <c r="XEX760" s="198">
        <f t="shared" si="172"/>
        <v>-1.9725368487910622E-4</v>
      </c>
    </row>
    <row r="761" spans="16374:16378" x14ac:dyDescent="0.2">
      <c r="XET761" s="220">
        <v>42061</v>
      </c>
      <c r="XEU761" s="221">
        <v>13.812666999999999</v>
      </c>
      <c r="XEV761" s="198">
        <f t="shared" si="171"/>
        <v>1.6833554181389765E-2</v>
      </c>
      <c r="XEW761" s="221">
        <v>4987.8901370000003</v>
      </c>
      <c r="XEX761" s="198">
        <f t="shared" si="172"/>
        <v>4.1774541139747434E-3</v>
      </c>
    </row>
    <row r="762" spans="16374:16378" x14ac:dyDescent="0.2">
      <c r="XET762" s="220">
        <v>42062</v>
      </c>
      <c r="XEU762" s="221">
        <v>13.555999999999999</v>
      </c>
      <c r="XEV762" s="198">
        <f t="shared" si="171"/>
        <v>-1.8582001578695828E-2</v>
      </c>
      <c r="XEW762" s="221">
        <v>4963.5297849999997</v>
      </c>
      <c r="XEX762" s="198">
        <f t="shared" si="172"/>
        <v>-4.8838990697281925E-3</v>
      </c>
    </row>
    <row r="763" spans="16374:16378" x14ac:dyDescent="0.2">
      <c r="XET763" s="220">
        <v>42065</v>
      </c>
      <c r="XEU763" s="221">
        <v>13.155333000000001</v>
      </c>
      <c r="XEV763" s="198">
        <f t="shared" si="171"/>
        <v>-2.9556432575981062E-2</v>
      </c>
      <c r="XEW763" s="221">
        <v>5008.1000979999999</v>
      </c>
      <c r="XEX763" s="198">
        <f t="shared" si="172"/>
        <v>8.9795598960025202E-3</v>
      </c>
    </row>
    <row r="764" spans="16374:16378" x14ac:dyDescent="0.2">
      <c r="XET764" s="220">
        <v>42066</v>
      </c>
      <c r="XEU764" s="221">
        <v>13.304</v>
      </c>
      <c r="XEV764" s="198">
        <f t="shared" si="171"/>
        <v>1.1300892193302881E-2</v>
      </c>
      <c r="XEW764" s="221">
        <v>4979.8999020000001</v>
      </c>
      <c r="XEX764" s="198">
        <f t="shared" si="172"/>
        <v>-5.6309170040873546E-3</v>
      </c>
    </row>
    <row r="765" spans="16374:16378" x14ac:dyDescent="0.2">
      <c r="XET765" s="220">
        <v>42067</v>
      </c>
      <c r="XEU765" s="221">
        <v>13.496</v>
      </c>
      <c r="XEV765" s="198">
        <f t="shared" si="171"/>
        <v>1.4431749849669329E-2</v>
      </c>
      <c r="XEW765" s="221">
        <v>4967.1401370000003</v>
      </c>
      <c r="XEX765" s="198">
        <f t="shared" si="172"/>
        <v>-2.5622533085203347E-3</v>
      </c>
    </row>
    <row r="766" spans="16374:16378" x14ac:dyDescent="0.2">
      <c r="XET766" s="220">
        <v>42068</v>
      </c>
      <c r="XEU766" s="221">
        <v>13.375332999999999</v>
      </c>
      <c r="XEV766" s="198">
        <f t="shared" si="171"/>
        <v>-8.9409454653230913E-3</v>
      </c>
      <c r="XEW766" s="221">
        <v>4982.8100590000004</v>
      </c>
      <c r="XEX766" s="198">
        <f t="shared" si="172"/>
        <v>3.1547171144368225E-3</v>
      </c>
    </row>
    <row r="767" spans="16374:16378" x14ac:dyDescent="0.2">
      <c r="XET767" s="220">
        <v>42069</v>
      </c>
      <c r="XEU767" s="221">
        <v>12.925333</v>
      </c>
      <c r="XEV767" s="198">
        <f t="shared" si="171"/>
        <v>-3.3644022171261057E-2</v>
      </c>
      <c r="XEW767" s="221">
        <v>4927.3701170000004</v>
      </c>
      <c r="XEX767" s="198">
        <f t="shared" si="172"/>
        <v>-1.1126240282802624E-2</v>
      </c>
    </row>
    <row r="768" spans="16374:16378" x14ac:dyDescent="0.2">
      <c r="XET768" s="220">
        <v>42072</v>
      </c>
      <c r="XEU768" s="221">
        <v>12.725332999999999</v>
      </c>
      <c r="XEV768" s="198">
        <f t="shared" si="171"/>
        <v>-1.5473489154979703E-2</v>
      </c>
      <c r="XEW768" s="221">
        <v>4942.4399409999996</v>
      </c>
      <c r="XEX768" s="198">
        <f t="shared" si="172"/>
        <v>3.0583909148627075E-3</v>
      </c>
    </row>
    <row r="769" spans="16374:16378" x14ac:dyDescent="0.2">
      <c r="XET769" s="220">
        <v>42073</v>
      </c>
      <c r="XEU769" s="221">
        <v>12.688000000000001</v>
      </c>
      <c r="XEV769" s="198">
        <f t="shared" si="171"/>
        <v>-2.9337542679628292E-3</v>
      </c>
      <c r="XEW769" s="221">
        <v>4859.7900390000004</v>
      </c>
      <c r="XEX769" s="198">
        <f t="shared" si="172"/>
        <v>-1.6722489901066284E-2</v>
      </c>
    </row>
    <row r="770" spans="16374:16378" x14ac:dyDescent="0.2">
      <c r="XET770" s="220">
        <v>42074</v>
      </c>
      <c r="XEU770" s="221">
        <v>12.916</v>
      </c>
      <c r="XEV770" s="198">
        <f t="shared" si="171"/>
        <v>1.7969735182849833E-2</v>
      </c>
      <c r="XEW770" s="221">
        <v>4849.9399409999996</v>
      </c>
      <c r="XEX770" s="198">
        <f t="shared" si="172"/>
        <v>-2.0268566997655446E-3</v>
      </c>
    </row>
    <row r="771" spans="16374:16378" x14ac:dyDescent="0.2">
      <c r="XET771" s="220">
        <v>42075</v>
      </c>
      <c r="XEU771" s="221">
        <v>12.738</v>
      </c>
      <c r="XEV771" s="198">
        <f t="shared" si="171"/>
        <v>-1.3781356457107541E-2</v>
      </c>
      <c r="XEW771" s="221">
        <v>4893.2900390000004</v>
      </c>
      <c r="XEX771" s="198">
        <f t="shared" si="172"/>
        <v>8.9382752214168804E-3</v>
      </c>
    </row>
    <row r="772" spans="16374:16378" x14ac:dyDescent="0.2">
      <c r="XET772" s="220">
        <v>42076</v>
      </c>
      <c r="XEU772" s="221">
        <v>12.578666999999999</v>
      </c>
      <c r="XEV772" s="198">
        <f t="shared" si="171"/>
        <v>-1.250847856806403E-2</v>
      </c>
      <c r="XEW772" s="221">
        <v>4871.7597660000001</v>
      </c>
      <c r="XEX772" s="198">
        <f t="shared" si="172"/>
        <v>-4.3999584795509916E-3</v>
      </c>
    </row>
    <row r="773" spans="16374:16378" x14ac:dyDescent="0.2">
      <c r="XET773" s="220">
        <v>42079</v>
      </c>
      <c r="XEU773" s="221">
        <v>13.046666999999999</v>
      </c>
      <c r="XEV773" s="198">
        <f t="shared" si="171"/>
        <v>3.7205850190644263E-2</v>
      </c>
      <c r="XEW773" s="221">
        <v>4929.5097660000001</v>
      </c>
      <c r="XEX773" s="198">
        <f t="shared" si="172"/>
        <v>1.1854032787707913E-2</v>
      </c>
    </row>
    <row r="774" spans="16374:16378" x14ac:dyDescent="0.2">
      <c r="XET774" s="220">
        <v>42080</v>
      </c>
      <c r="XEU774" s="221">
        <v>12.981999999999999</v>
      </c>
      <c r="XEV774" s="198">
        <f t="shared" si="171"/>
        <v>-4.9565915953859729E-3</v>
      </c>
      <c r="XEW774" s="221">
        <v>4937.4301759999998</v>
      </c>
      <c r="XEX774" s="198">
        <f t="shared" si="172"/>
        <v>1.6067338084262417E-3</v>
      </c>
    </row>
    <row r="775" spans="16374:16378" x14ac:dyDescent="0.2">
      <c r="XET775" s="220">
        <v>42081</v>
      </c>
      <c r="XEU775" s="221">
        <v>13.380667000000001</v>
      </c>
      <c r="XEV775" s="198">
        <f t="shared" si="171"/>
        <v>3.0709212756123927E-2</v>
      </c>
      <c r="XEW775" s="221">
        <v>4982.830078</v>
      </c>
      <c r="XEX775" s="198">
        <f t="shared" si="172"/>
        <v>9.195046893155423E-3</v>
      </c>
    </row>
    <row r="776" spans="16374:16378" x14ac:dyDescent="0.2">
      <c r="XET776" s="220">
        <v>42082</v>
      </c>
      <c r="XEU776" s="221">
        <v>13.043333000000001</v>
      </c>
      <c r="XEV776" s="198">
        <f t="shared" si="171"/>
        <v>-2.5210551910454071E-2</v>
      </c>
      <c r="XEW776" s="221">
        <v>4992.3798829999996</v>
      </c>
      <c r="XEX776" s="198">
        <f t="shared" si="172"/>
        <v>1.9165423766231982E-3</v>
      </c>
    </row>
    <row r="777" spans="16374:16378" x14ac:dyDescent="0.2">
      <c r="XET777" s="220">
        <v>42083</v>
      </c>
      <c r="XEU777" s="221">
        <v>13.205333</v>
      </c>
      <c r="XEV777" s="198">
        <f t="shared" si="171"/>
        <v>1.2420138318940399E-2</v>
      </c>
      <c r="XEW777" s="221">
        <v>5026.419922</v>
      </c>
      <c r="XEX777" s="198">
        <f t="shared" si="172"/>
        <v>6.8183991999313243E-3</v>
      </c>
    </row>
    <row r="778" spans="16374:16378" x14ac:dyDescent="0.2">
      <c r="XET778" s="220">
        <v>42086</v>
      </c>
      <c r="XEU778" s="221">
        <v>13.308667</v>
      </c>
      <c r="XEV778" s="198">
        <f t="shared" si="171"/>
        <v>7.8251718453445918E-3</v>
      </c>
      <c r="XEW778" s="221">
        <v>5010.9702150000003</v>
      </c>
      <c r="XEX778" s="198">
        <f t="shared" si="172"/>
        <v>-3.073700017059533E-3</v>
      </c>
    </row>
    <row r="779" spans="16374:16378" x14ac:dyDescent="0.2">
      <c r="XET779" s="220">
        <v>42087</v>
      </c>
      <c r="XEU779" s="221">
        <v>13.448</v>
      </c>
      <c r="XEV779" s="198">
        <f t="shared" si="171"/>
        <v>1.0469343022858846E-2</v>
      </c>
      <c r="XEW779" s="221">
        <v>4994.7299800000001</v>
      </c>
      <c r="XEX779" s="198">
        <f t="shared" si="172"/>
        <v>-3.2409362465148916E-3</v>
      </c>
    </row>
    <row r="780" spans="16374:16378" x14ac:dyDescent="0.2">
      <c r="XET780" s="220">
        <v>42088</v>
      </c>
      <c r="XEU780" s="221">
        <v>12.953333000000001</v>
      </c>
      <c r="XEV780" s="198">
        <f t="shared" ref="XEV780:XEV843" si="173">XEU780/XEU779-1</f>
        <v>-3.6783685306365221E-2</v>
      </c>
      <c r="XEW780" s="221">
        <v>4876.5200199999999</v>
      </c>
      <c r="XEX780" s="198">
        <f t="shared" ref="XEX780:XEX843" si="174">XEW780/XEW779-1</f>
        <v>-2.3666937046314618E-2</v>
      </c>
    </row>
    <row r="781" spans="16374:16378" x14ac:dyDescent="0.2">
      <c r="XET781" s="220">
        <v>42089</v>
      </c>
      <c r="XEU781" s="221">
        <v>12.694000000000001</v>
      </c>
      <c r="XEV781" s="198">
        <f t="shared" si="173"/>
        <v>-2.0020561503359735E-2</v>
      </c>
      <c r="XEW781" s="221">
        <v>4863.3598629999997</v>
      </c>
      <c r="XEX781" s="198">
        <f t="shared" si="174"/>
        <v>-2.6986779396017679E-3</v>
      </c>
    </row>
    <row r="782" spans="16374:16378" x14ac:dyDescent="0.2">
      <c r="XET782" s="220">
        <v>42090</v>
      </c>
      <c r="XEU782" s="221">
        <v>12.333333</v>
      </c>
      <c r="XEV782" s="198">
        <f t="shared" si="173"/>
        <v>-2.8412399558846779E-2</v>
      </c>
      <c r="XEW782" s="221">
        <v>4891.2202150000003</v>
      </c>
      <c r="XEX782" s="198">
        <f t="shared" si="174"/>
        <v>5.728622348504242E-3</v>
      </c>
    </row>
    <row r="783" spans="16374:16378" x14ac:dyDescent="0.2">
      <c r="XET783" s="220">
        <v>42093</v>
      </c>
      <c r="XEU783" s="221">
        <v>12.704667000000001</v>
      </c>
      <c r="XEV783" s="198">
        <f t="shared" si="173"/>
        <v>3.0108162975896358E-2</v>
      </c>
      <c r="XEW783" s="221">
        <v>4947.4399409999996</v>
      </c>
      <c r="XEX783" s="198">
        <f t="shared" si="174"/>
        <v>1.1494008351451646E-2</v>
      </c>
    </row>
    <row r="784" spans="16374:16378" x14ac:dyDescent="0.2">
      <c r="XET784" s="220">
        <v>42094</v>
      </c>
      <c r="XEU784" s="221">
        <v>12.584667</v>
      </c>
      <c r="XEV784" s="198">
        <f t="shared" si="173"/>
        <v>-9.4453479182099453E-3</v>
      </c>
      <c r="XEW784" s="221">
        <v>4900.8798829999996</v>
      </c>
      <c r="XEX784" s="198">
        <f t="shared" si="174"/>
        <v>-9.4109395071482194E-3</v>
      </c>
    </row>
    <row r="785" spans="16374:16378" x14ac:dyDescent="0.2">
      <c r="XET785" s="220">
        <v>42095</v>
      </c>
      <c r="XEU785" s="221">
        <v>12.506</v>
      </c>
      <c r="XEV785" s="198">
        <f t="shared" si="173"/>
        <v>-6.2510195939232682E-3</v>
      </c>
      <c r="XEW785" s="221">
        <v>4880.2299800000001</v>
      </c>
      <c r="XEX785" s="198">
        <f t="shared" si="174"/>
        <v>-4.2135093070999607E-3</v>
      </c>
    </row>
    <row r="786" spans="16374:16378" x14ac:dyDescent="0.2">
      <c r="XET786" s="220">
        <v>42096</v>
      </c>
      <c r="XEU786" s="221">
        <v>12.733333</v>
      </c>
      <c r="XEV786" s="198">
        <f t="shared" si="173"/>
        <v>1.8177914600991496E-2</v>
      </c>
      <c r="XEW786" s="221">
        <v>4886.9399409999996</v>
      </c>
      <c r="XEX786" s="198">
        <f t="shared" si="174"/>
        <v>1.3749272119343292E-3</v>
      </c>
    </row>
    <row r="787" spans="16374:16378" x14ac:dyDescent="0.2">
      <c r="XET787" s="220">
        <v>42100</v>
      </c>
      <c r="XEU787" s="221">
        <v>13.54</v>
      </c>
      <c r="XEV787" s="198">
        <f t="shared" si="173"/>
        <v>6.3350813176722864E-2</v>
      </c>
      <c r="XEW787" s="221">
        <v>4917.3198240000002</v>
      </c>
      <c r="XEX787" s="198">
        <f t="shared" si="174"/>
        <v>6.2165451932654214E-3</v>
      </c>
    </row>
    <row r="788" spans="16374:16378" x14ac:dyDescent="0.2">
      <c r="XET788" s="220">
        <v>42101</v>
      </c>
      <c r="XEU788" s="221">
        <v>13.55</v>
      </c>
      <c r="XEV788" s="198">
        <f t="shared" si="173"/>
        <v>7.3855243722320552E-4</v>
      </c>
      <c r="XEW788" s="221">
        <v>4910.2299800000001</v>
      </c>
      <c r="XEX788" s="198">
        <f t="shared" si="174"/>
        <v>-1.4418106313517365E-3</v>
      </c>
    </row>
    <row r="789" spans="16374:16378" x14ac:dyDescent="0.2">
      <c r="XET789" s="220">
        <v>42102</v>
      </c>
      <c r="XEU789" s="221">
        <v>13.844666999999999</v>
      </c>
      <c r="XEV789" s="198">
        <f t="shared" si="173"/>
        <v>2.1746642066420518E-2</v>
      </c>
      <c r="XEW789" s="221">
        <v>4950.8198240000002</v>
      </c>
      <c r="XEX789" s="198">
        <f t="shared" si="174"/>
        <v>8.26638348210329E-3</v>
      </c>
    </row>
    <row r="790" spans="16374:16378" x14ac:dyDescent="0.2">
      <c r="XET790" s="220">
        <v>42103</v>
      </c>
      <c r="XEU790" s="221">
        <v>14.006</v>
      </c>
      <c r="XEV790" s="198">
        <f t="shared" si="173"/>
        <v>1.1653079124257726E-2</v>
      </c>
      <c r="XEW790" s="221">
        <v>4974.5600590000004</v>
      </c>
      <c r="XEX790" s="198">
        <f t="shared" si="174"/>
        <v>4.7952128827057905E-3</v>
      </c>
    </row>
    <row r="791" spans="16374:16378" x14ac:dyDescent="0.2">
      <c r="XET791" s="220">
        <v>42104</v>
      </c>
      <c r="XEU791" s="221">
        <v>14.06</v>
      </c>
      <c r="XEV791" s="198">
        <f t="shared" si="173"/>
        <v>3.8554905040697474E-3</v>
      </c>
      <c r="XEW791" s="221">
        <v>4995.9799800000001</v>
      </c>
      <c r="XEX791" s="198">
        <f t="shared" si="174"/>
        <v>4.305892530384936E-3</v>
      </c>
    </row>
    <row r="792" spans="16374:16378" x14ac:dyDescent="0.2">
      <c r="XET792" s="220">
        <v>42107</v>
      </c>
      <c r="XEU792" s="221">
        <v>13.985333000000001</v>
      </c>
      <c r="XEV792" s="198">
        <f t="shared" si="173"/>
        <v>-5.3105974395447619E-3</v>
      </c>
      <c r="XEW792" s="221">
        <v>4988.25</v>
      </c>
      <c r="XEX792" s="198">
        <f t="shared" si="174"/>
        <v>-1.5472399871386822E-3</v>
      </c>
    </row>
    <row r="793" spans="16374:16378" x14ac:dyDescent="0.2">
      <c r="XET793" s="220">
        <v>42108</v>
      </c>
      <c r="XEU793" s="221">
        <v>13.830667</v>
      </c>
      <c r="XEV793" s="198">
        <f t="shared" si="173"/>
        <v>-1.1059157475907133E-2</v>
      </c>
      <c r="XEW793" s="221">
        <v>4977.2900390000004</v>
      </c>
      <c r="XEX793" s="198">
        <f t="shared" si="174"/>
        <v>-2.197155515461291E-3</v>
      </c>
    </row>
    <row r="794" spans="16374:16378" x14ac:dyDescent="0.2">
      <c r="XET794" s="220">
        <v>42109</v>
      </c>
      <c r="XEU794" s="221">
        <v>13.855333</v>
      </c>
      <c r="XEV794" s="198">
        <f t="shared" si="173"/>
        <v>1.7834280877415676E-3</v>
      </c>
      <c r="XEW794" s="221">
        <v>5011.0200199999999</v>
      </c>
      <c r="XEX794" s="198">
        <f t="shared" si="174"/>
        <v>6.776776264936446E-3</v>
      </c>
    </row>
    <row r="795" spans="16374:16378" x14ac:dyDescent="0.2">
      <c r="XET795" s="220">
        <v>42110</v>
      </c>
      <c r="XEU795" s="221">
        <v>13.78</v>
      </c>
      <c r="XEV795" s="198">
        <f t="shared" si="173"/>
        <v>-5.4371121935503641E-3</v>
      </c>
      <c r="XEW795" s="221">
        <v>5007.7900390000004</v>
      </c>
      <c r="XEX795" s="198">
        <f t="shared" si="174"/>
        <v>-6.4457555290298174E-4</v>
      </c>
    </row>
    <row r="796" spans="16374:16378" x14ac:dyDescent="0.2">
      <c r="XET796" s="220">
        <v>42111</v>
      </c>
      <c r="XEU796" s="221">
        <v>13.786</v>
      </c>
      <c r="XEV796" s="198">
        <f t="shared" si="173"/>
        <v>4.3541364296073581E-4</v>
      </c>
      <c r="XEW796" s="221">
        <v>4931.8100590000004</v>
      </c>
      <c r="XEX796" s="198">
        <f t="shared" si="174"/>
        <v>-1.5172357348905985E-2</v>
      </c>
    </row>
    <row r="797" spans="16374:16378" x14ac:dyDescent="0.2">
      <c r="XET797" s="220">
        <v>42114</v>
      </c>
      <c r="XEU797" s="221">
        <v>13.684666999999999</v>
      </c>
      <c r="XEV797" s="198">
        <f t="shared" si="173"/>
        <v>-7.3504279704047493E-3</v>
      </c>
      <c r="XEW797" s="221">
        <v>4994.6000979999999</v>
      </c>
      <c r="XEX797" s="198">
        <f t="shared" si="174"/>
        <v>1.273164178036712E-2</v>
      </c>
    </row>
    <row r="798" spans="16374:16378" x14ac:dyDescent="0.2">
      <c r="XET798" s="220">
        <v>42115</v>
      </c>
      <c r="XEU798" s="221">
        <v>13.960667000000001</v>
      </c>
      <c r="XEV798" s="198">
        <f t="shared" si="173"/>
        <v>2.0168557992679137E-2</v>
      </c>
      <c r="XEW798" s="221">
        <v>5014.1000979999999</v>
      </c>
      <c r="XEX798" s="198">
        <f t="shared" si="174"/>
        <v>3.9042164772729038E-3</v>
      </c>
    </row>
    <row r="799" spans="16374:16378" x14ac:dyDescent="0.2">
      <c r="XET799" s="220">
        <v>42116</v>
      </c>
      <c r="XEU799" s="221">
        <v>14.629333000000001</v>
      </c>
      <c r="XEV799" s="198">
        <f t="shared" si="173"/>
        <v>4.7896422140861983E-2</v>
      </c>
      <c r="XEW799" s="221">
        <v>5035.169922</v>
      </c>
      <c r="XEX799" s="198">
        <f t="shared" si="174"/>
        <v>4.2021147540323156E-3</v>
      </c>
    </row>
    <row r="800" spans="16374:16378" x14ac:dyDescent="0.2">
      <c r="XET800" s="220">
        <v>42117</v>
      </c>
      <c r="XEU800" s="221">
        <v>14.573333</v>
      </c>
      <c r="XEV800" s="198">
        <f t="shared" si="173"/>
        <v>-3.8279257160939162E-3</v>
      </c>
      <c r="XEW800" s="221">
        <v>5056.0600590000004</v>
      </c>
      <c r="XEX800" s="198">
        <f t="shared" si="174"/>
        <v>4.1488444925612544E-3</v>
      </c>
    </row>
    <row r="801" spans="16374:16378" x14ac:dyDescent="0.2">
      <c r="XET801" s="220">
        <v>42118</v>
      </c>
      <c r="XEU801" s="221">
        <v>14.561999999999999</v>
      </c>
      <c r="XEV801" s="198">
        <f t="shared" si="173"/>
        <v>-7.7765326572865057E-4</v>
      </c>
      <c r="XEW801" s="221">
        <v>5092.080078</v>
      </c>
      <c r="XEX801" s="198">
        <f t="shared" si="174"/>
        <v>7.1241279928790924E-3</v>
      </c>
    </row>
    <row r="802" spans="16374:16378" x14ac:dyDescent="0.2">
      <c r="XET802" s="220">
        <v>42121</v>
      </c>
      <c r="XEU802" s="221">
        <v>15.436667</v>
      </c>
      <c r="XEV802" s="198">
        <f t="shared" si="173"/>
        <v>6.0065032275786301E-2</v>
      </c>
      <c r="XEW802" s="221">
        <v>5060.25</v>
      </c>
      <c r="XEX802" s="198">
        <f t="shared" si="174"/>
        <v>-6.2508989474693299E-3</v>
      </c>
    </row>
    <row r="803" spans="16374:16378" x14ac:dyDescent="0.2">
      <c r="XET803" s="220">
        <v>42122</v>
      </c>
      <c r="XEU803" s="221">
        <v>15.365333</v>
      </c>
      <c r="XEV803" s="198">
        <f t="shared" si="173"/>
        <v>-4.6210752619072482E-3</v>
      </c>
      <c r="XEW803" s="221">
        <v>5055.419922</v>
      </c>
      <c r="XEX803" s="198">
        <f t="shared" si="174"/>
        <v>-9.5451370979693362E-4</v>
      </c>
    </row>
    <row r="804" spans="16374:16378" x14ac:dyDescent="0.2">
      <c r="XET804" s="220">
        <v>42123</v>
      </c>
      <c r="XEU804" s="221">
        <v>15.496667</v>
      </c>
      <c r="XEV804" s="198">
        <f t="shared" si="173"/>
        <v>8.5474229552982006E-3</v>
      </c>
      <c r="XEW804" s="221">
        <v>5023.6401370000003</v>
      </c>
      <c r="XEX804" s="198">
        <f t="shared" si="174"/>
        <v>-6.2862799708688355E-3</v>
      </c>
    </row>
    <row r="805" spans="16374:16378" x14ac:dyDescent="0.2">
      <c r="XET805" s="220">
        <v>42124</v>
      </c>
      <c r="XEU805" s="221">
        <v>15.07</v>
      </c>
      <c r="XEV805" s="198">
        <f t="shared" si="173"/>
        <v>-2.7532823671051365E-2</v>
      </c>
      <c r="XEW805" s="221">
        <v>4941.419922</v>
      </c>
      <c r="XEX805" s="198">
        <f t="shared" si="174"/>
        <v>-1.6366660978447412E-2</v>
      </c>
    </row>
    <row r="806" spans="16374:16378" x14ac:dyDescent="0.2">
      <c r="XET806" s="220">
        <v>42125</v>
      </c>
      <c r="XEU806" s="221">
        <v>15.068667</v>
      </c>
      <c r="XEV806" s="198">
        <f t="shared" si="173"/>
        <v>-8.8453881884609231E-5</v>
      </c>
      <c r="XEW806" s="221">
        <v>5005.3901370000003</v>
      </c>
      <c r="XEX806" s="198">
        <f t="shared" si="174"/>
        <v>1.2945715201251096E-2</v>
      </c>
    </row>
    <row r="807" spans="16374:16378" x14ac:dyDescent="0.2">
      <c r="XET807" s="220">
        <v>42128</v>
      </c>
      <c r="XEU807" s="221">
        <v>15.367333</v>
      </c>
      <c r="XEV807" s="198">
        <f t="shared" si="173"/>
        <v>1.9820333145592839E-2</v>
      </c>
      <c r="XEW807" s="221">
        <v>5016.9301759999998</v>
      </c>
      <c r="XEX807" s="198">
        <f t="shared" si="174"/>
        <v>2.3055223836989658E-3</v>
      </c>
    </row>
    <row r="808" spans="16374:16378" x14ac:dyDescent="0.2">
      <c r="XET808" s="220">
        <v>42129</v>
      </c>
      <c r="XEU808" s="221">
        <v>15.53</v>
      </c>
      <c r="XEV808" s="198">
        <f t="shared" si="173"/>
        <v>1.0585245989007896E-2</v>
      </c>
      <c r="XEW808" s="221">
        <v>4939.330078</v>
      </c>
      <c r="XEX808" s="198">
        <f t="shared" si="174"/>
        <v>-1.5467645607511793E-2</v>
      </c>
    </row>
    <row r="809" spans="16374:16378" x14ac:dyDescent="0.2">
      <c r="XET809" s="220">
        <v>42130</v>
      </c>
      <c r="XEU809" s="221">
        <v>15.362</v>
      </c>
      <c r="XEV809" s="198">
        <f t="shared" si="173"/>
        <v>-1.0817772054088848E-2</v>
      </c>
      <c r="XEW809" s="221">
        <v>4919.6401370000003</v>
      </c>
      <c r="XEX809" s="198">
        <f t="shared" si="174"/>
        <v>-3.9863586132256046E-3</v>
      </c>
    </row>
    <row r="810" spans="16374:16378" x14ac:dyDescent="0.2">
      <c r="XET810" s="220">
        <v>42131</v>
      </c>
      <c r="XEU810" s="221">
        <v>15.786667</v>
      </c>
      <c r="XEV810" s="198">
        <f t="shared" si="173"/>
        <v>2.7643991667751555E-2</v>
      </c>
      <c r="XEW810" s="221">
        <v>4945.5400390000004</v>
      </c>
      <c r="XEX810" s="198">
        <f t="shared" si="174"/>
        <v>5.2645927910885959E-3</v>
      </c>
    </row>
    <row r="811" spans="16374:16378" x14ac:dyDescent="0.2">
      <c r="XET811" s="220">
        <v>42132</v>
      </c>
      <c r="XEU811" s="221">
        <v>15.773999999999999</v>
      </c>
      <c r="XEV811" s="198">
        <f t="shared" si="173"/>
        <v>-8.0238596278747742E-4</v>
      </c>
      <c r="XEW811" s="221">
        <v>5003.5498049999997</v>
      </c>
      <c r="XEX811" s="198">
        <f t="shared" si="174"/>
        <v>1.1729713144073228E-2</v>
      </c>
    </row>
    <row r="812" spans="16374:16378" x14ac:dyDescent="0.2">
      <c r="XET812" s="220">
        <v>42135</v>
      </c>
      <c r="XEU812" s="221">
        <v>15.965999999999999</v>
      </c>
      <c r="XEV812" s="198">
        <f t="shared" si="173"/>
        <v>1.2171928489920214E-2</v>
      </c>
      <c r="XEW812" s="221">
        <v>4993.5698240000002</v>
      </c>
      <c r="XEX812" s="198">
        <f t="shared" si="174"/>
        <v>-1.994580125899148E-3</v>
      </c>
    </row>
    <row r="813" spans="16374:16378" x14ac:dyDescent="0.2">
      <c r="XET813" s="220">
        <v>42136</v>
      </c>
      <c r="XEU813" s="221">
        <v>16.315999999999999</v>
      </c>
      <c r="XEV813" s="198">
        <f t="shared" si="173"/>
        <v>2.1921583364649777E-2</v>
      </c>
      <c r="XEW813" s="221">
        <v>4976.1899409999996</v>
      </c>
      <c r="XEX813" s="198">
        <f t="shared" si="174"/>
        <v>-3.4804525845357759E-3</v>
      </c>
    </row>
    <row r="814" spans="16374:16378" x14ac:dyDescent="0.2">
      <c r="XET814" s="220">
        <v>42137</v>
      </c>
      <c r="XEU814" s="221">
        <v>16.212</v>
      </c>
      <c r="XEV814" s="198">
        <f t="shared" si="173"/>
        <v>-6.3741113017895534E-3</v>
      </c>
      <c r="XEW814" s="221">
        <v>4981.6899409999996</v>
      </c>
      <c r="XEX814" s="198">
        <f t="shared" si="174"/>
        <v>1.1052632767660775E-3</v>
      </c>
    </row>
    <row r="815" spans="16374:16378" x14ac:dyDescent="0.2">
      <c r="XET815" s="220">
        <v>42138</v>
      </c>
      <c r="XEU815" s="221">
        <v>16.273333000000001</v>
      </c>
      <c r="XEV815" s="198">
        <f t="shared" si="173"/>
        <v>3.7831852948433387E-3</v>
      </c>
      <c r="XEW815" s="221">
        <v>5050.7998049999997</v>
      </c>
      <c r="XEX815" s="198">
        <f t="shared" si="174"/>
        <v>1.3872775065990384E-2</v>
      </c>
    </row>
    <row r="816" spans="16374:16378" x14ac:dyDescent="0.2">
      <c r="XET816" s="220">
        <v>42139</v>
      </c>
      <c r="XEU816" s="221">
        <v>16.589333</v>
      </c>
      <c r="XEV816" s="198">
        <f t="shared" si="173"/>
        <v>1.9418271598079961E-2</v>
      </c>
      <c r="XEW816" s="221">
        <v>5048.2900390000004</v>
      </c>
      <c r="XEX816" s="198">
        <f t="shared" si="174"/>
        <v>-4.9690466795271337E-4</v>
      </c>
    </row>
    <row r="817" spans="16374:16378" x14ac:dyDescent="0.2">
      <c r="XET817" s="220">
        <v>42142</v>
      </c>
      <c r="XEU817" s="221">
        <v>16.583331999999999</v>
      </c>
      <c r="XEV817" s="198">
        <f t="shared" si="173"/>
        <v>-3.6173847375309265E-4</v>
      </c>
      <c r="XEW817" s="221">
        <v>5078.4399409999996</v>
      </c>
      <c r="XEX817" s="198">
        <f t="shared" si="174"/>
        <v>5.9722998811635453E-3</v>
      </c>
    </row>
    <row r="818" spans="16374:16378" x14ac:dyDescent="0.2">
      <c r="XET818" s="220">
        <v>42143</v>
      </c>
      <c r="XEU818" s="221">
        <v>16.475999999999999</v>
      </c>
      <c r="XEV818" s="198">
        <f t="shared" si="173"/>
        <v>-6.4722819274196652E-3</v>
      </c>
      <c r="XEW818" s="221">
        <v>5070.0297849999997</v>
      </c>
      <c r="XEX818" s="198">
        <f t="shared" si="174"/>
        <v>-1.6560510900408554E-3</v>
      </c>
    </row>
    <row r="819" spans="16374:16378" x14ac:dyDescent="0.2">
      <c r="XET819" s="220">
        <v>42144</v>
      </c>
      <c r="XEU819" s="221">
        <v>16.290001</v>
      </c>
      <c r="XEV819" s="198">
        <f t="shared" si="173"/>
        <v>-1.1289087157076882E-2</v>
      </c>
      <c r="XEW819" s="221">
        <v>5071.7402339999999</v>
      </c>
      <c r="XEX819" s="198">
        <f t="shared" si="174"/>
        <v>3.3736468473244408E-4</v>
      </c>
    </row>
    <row r="820" spans="16374:16378" x14ac:dyDescent="0.2">
      <c r="XET820" s="220">
        <v>42145</v>
      </c>
      <c r="XEU820" s="221">
        <v>16.374666000000001</v>
      </c>
      <c r="XEV820" s="198">
        <f t="shared" si="173"/>
        <v>5.1973600247170459E-3</v>
      </c>
      <c r="XEW820" s="221">
        <v>5090.7900390000004</v>
      </c>
      <c r="XEX820" s="198">
        <f t="shared" si="174"/>
        <v>3.7560687497939504E-3</v>
      </c>
    </row>
    <row r="821" spans="16374:16378" x14ac:dyDescent="0.2">
      <c r="XET821" s="220">
        <v>42146</v>
      </c>
      <c r="XEU821" s="221">
        <v>16.515332999999998</v>
      </c>
      <c r="XEV821" s="198">
        <f t="shared" si="173"/>
        <v>8.590526365545248E-3</v>
      </c>
      <c r="XEW821" s="221">
        <v>5089.3598629999997</v>
      </c>
      <c r="XEX821" s="198">
        <f t="shared" si="174"/>
        <v>-2.8093399826834009E-4</v>
      </c>
    </row>
    <row r="822" spans="16374:16378" x14ac:dyDescent="0.2">
      <c r="XET822" s="220">
        <v>42150</v>
      </c>
      <c r="XEU822" s="221">
        <v>16.497333999999999</v>
      </c>
      <c r="XEV822" s="198">
        <f t="shared" si="173"/>
        <v>-1.08983573022714E-3</v>
      </c>
      <c r="XEW822" s="221">
        <v>5032.75</v>
      </c>
      <c r="XEX822" s="198">
        <f t="shared" si="174"/>
        <v>-1.1123179441791309E-2</v>
      </c>
    </row>
    <row r="823" spans="16374:16378" x14ac:dyDescent="0.2">
      <c r="XET823" s="220">
        <v>42151</v>
      </c>
      <c r="XEU823" s="221">
        <v>16.495332999999999</v>
      </c>
      <c r="XEV823" s="198">
        <f t="shared" si="173"/>
        <v>-1.2129232517199551E-4</v>
      </c>
      <c r="XEW823" s="221">
        <v>5106.5898440000001</v>
      </c>
      <c r="XEX823" s="198">
        <f t="shared" si="174"/>
        <v>1.4671868064179749E-2</v>
      </c>
    </row>
    <row r="824" spans="16374:16378" x14ac:dyDescent="0.2">
      <c r="XET824" s="220">
        <v>42152</v>
      </c>
      <c r="XEU824" s="221">
        <v>16.763331999999998</v>
      </c>
      <c r="XEV824" s="198">
        <f t="shared" si="173"/>
        <v>1.6246959064118327E-2</v>
      </c>
      <c r="XEW824" s="221">
        <v>5097.9799800000001</v>
      </c>
      <c r="XEX824" s="198">
        <f t="shared" si="174"/>
        <v>-1.6860300637060455E-3</v>
      </c>
    </row>
    <row r="825" spans="16374:16378" x14ac:dyDescent="0.2">
      <c r="XET825" s="220">
        <v>42153</v>
      </c>
      <c r="XEU825" s="221">
        <v>16.719999000000001</v>
      </c>
      <c r="XEV825" s="198">
        <f t="shared" si="173"/>
        <v>-2.584987280571438E-3</v>
      </c>
      <c r="XEW825" s="221">
        <v>5070.0297849999997</v>
      </c>
      <c r="XEX825" s="198">
        <f t="shared" si="174"/>
        <v>-5.4826019540391568E-3</v>
      </c>
    </row>
    <row r="826" spans="16374:16378" x14ac:dyDescent="0.2">
      <c r="XET826" s="220">
        <v>42156</v>
      </c>
      <c r="XEU826" s="221">
        <v>16.629999000000002</v>
      </c>
      <c r="XEV826" s="198">
        <f t="shared" si="173"/>
        <v>-5.3827754415535223E-3</v>
      </c>
      <c r="XEW826" s="221">
        <v>5082.9301759999998</v>
      </c>
      <c r="XEX826" s="198">
        <f t="shared" si="174"/>
        <v>2.5444408705777022E-3</v>
      </c>
    </row>
    <row r="827" spans="16374:16378" x14ac:dyDescent="0.2">
      <c r="XET827" s="220">
        <v>42157</v>
      </c>
      <c r="XEU827" s="221">
        <v>16.556667000000001</v>
      </c>
      <c r="XEV827" s="198">
        <f t="shared" si="173"/>
        <v>-4.4096214317270732E-3</v>
      </c>
      <c r="XEW827" s="221">
        <v>5076.5200199999999</v>
      </c>
      <c r="XEX827" s="198">
        <f t="shared" si="174"/>
        <v>-1.2611143136033176E-3</v>
      </c>
    </row>
    <row r="828" spans="16374:16378" x14ac:dyDescent="0.2">
      <c r="XET828" s="220">
        <v>42158</v>
      </c>
      <c r="XEU828" s="221">
        <v>16.599333000000001</v>
      </c>
      <c r="XEV828" s="198">
        <f t="shared" si="173"/>
        <v>2.5769679368439213E-3</v>
      </c>
      <c r="XEW828" s="221">
        <v>5099.2299800000001</v>
      </c>
      <c r="XEX828" s="198">
        <f t="shared" si="174"/>
        <v>4.4735290928685778E-3</v>
      </c>
    </row>
    <row r="829" spans="16374:16378" x14ac:dyDescent="0.2">
      <c r="XET829" s="220">
        <v>42159</v>
      </c>
      <c r="XEU829" s="221">
        <v>16.394666999999998</v>
      </c>
      <c r="XEV829" s="198">
        <f t="shared" si="173"/>
        <v>-1.2329772527607141E-2</v>
      </c>
      <c r="XEW829" s="221">
        <v>5059.1201170000004</v>
      </c>
      <c r="XEX829" s="198">
        <f t="shared" si="174"/>
        <v>-7.8658666420845513E-3</v>
      </c>
    </row>
    <row r="830" spans="16374:16378" x14ac:dyDescent="0.2">
      <c r="XET830" s="220">
        <v>42160</v>
      </c>
      <c r="XEU830" s="221">
        <v>16.609332999999999</v>
      </c>
      <c r="XEV830" s="198">
        <f t="shared" si="173"/>
        <v>1.3093648074706365E-2</v>
      </c>
      <c r="XEW830" s="221">
        <v>5068.4599609999996</v>
      </c>
      <c r="XEX830" s="198">
        <f t="shared" si="174"/>
        <v>1.8461399974700754E-3</v>
      </c>
    </row>
    <row r="831" spans="16374:16378" x14ac:dyDescent="0.2">
      <c r="XET831" s="220">
        <v>42163</v>
      </c>
      <c r="XEU831" s="221">
        <v>17.085999999999999</v>
      </c>
      <c r="XEV831" s="198">
        <f t="shared" si="173"/>
        <v>2.8698744254209263E-2</v>
      </c>
      <c r="XEW831" s="221">
        <v>5021.6298829999996</v>
      </c>
      <c r="XEX831" s="198">
        <f t="shared" si="174"/>
        <v>-9.2395083240947029E-3</v>
      </c>
    </row>
    <row r="832" spans="16374:16378" x14ac:dyDescent="0.2">
      <c r="XET832" s="220">
        <v>42164</v>
      </c>
      <c r="XEU832" s="221">
        <v>17.066668</v>
      </c>
      <c r="XEV832" s="198">
        <f t="shared" si="173"/>
        <v>-1.1314526512933298E-3</v>
      </c>
      <c r="XEW832" s="221">
        <v>5013.8701170000004</v>
      </c>
      <c r="XEX832" s="198">
        <f t="shared" si="174"/>
        <v>-1.5452684050388799E-3</v>
      </c>
    </row>
    <row r="833" spans="16374:16378" x14ac:dyDescent="0.2">
      <c r="XET833" s="220">
        <v>42165</v>
      </c>
      <c r="XEU833" s="221">
        <v>16.713332999999999</v>
      </c>
      <c r="XEV833" s="198">
        <f t="shared" si="173"/>
        <v>-2.0703221038810948E-2</v>
      </c>
      <c r="XEW833" s="221">
        <v>5076.6899409999996</v>
      </c>
      <c r="XEX833" s="198">
        <f t="shared" si="174"/>
        <v>1.2529208482485954E-2</v>
      </c>
    </row>
    <row r="834" spans="16374:16378" x14ac:dyDescent="0.2">
      <c r="XET834" s="220">
        <v>42166</v>
      </c>
      <c r="XEU834" s="221">
        <v>16.760667999999999</v>
      </c>
      <c r="XEV834" s="198">
        <f t="shared" si="173"/>
        <v>2.8321699806974632E-3</v>
      </c>
      <c r="XEW834" s="221">
        <v>5082.5097660000001</v>
      </c>
      <c r="XEX834" s="198">
        <f t="shared" si="174"/>
        <v>1.1463818093357947E-3</v>
      </c>
    </row>
    <row r="835" spans="16374:16378" x14ac:dyDescent="0.2">
      <c r="XET835" s="220">
        <v>42167</v>
      </c>
      <c r="XEU835" s="221">
        <v>16.712667</v>
      </c>
      <c r="XEV835" s="198">
        <f t="shared" si="173"/>
        <v>-2.863907333526261E-3</v>
      </c>
      <c r="XEW835" s="221">
        <v>5051.1000979999999</v>
      </c>
      <c r="XEX835" s="198">
        <f t="shared" si="174"/>
        <v>-6.1799523161014669E-3</v>
      </c>
    </row>
    <row r="836" spans="16374:16378" x14ac:dyDescent="0.2">
      <c r="XET836" s="220">
        <v>42170</v>
      </c>
      <c r="XEU836" s="221">
        <v>16.691998999999999</v>
      </c>
      <c r="XEV836" s="198">
        <f t="shared" si="173"/>
        <v>-1.2366667749678095E-3</v>
      </c>
      <c r="XEW836" s="221">
        <v>5029.9702150000003</v>
      </c>
      <c r="XEX836" s="198">
        <f t="shared" si="174"/>
        <v>-4.1832239690451356E-3</v>
      </c>
    </row>
    <row r="837" spans="16374:16378" x14ac:dyDescent="0.2">
      <c r="XET837" s="220">
        <v>42171</v>
      </c>
      <c r="XEU837" s="221">
        <v>16.874666000000001</v>
      </c>
      <c r="XEV837" s="198">
        <f t="shared" si="173"/>
        <v>1.0943386708806013E-2</v>
      </c>
      <c r="XEW837" s="221">
        <v>5055.5498049999997</v>
      </c>
      <c r="XEX837" s="198">
        <f t="shared" si="174"/>
        <v>5.0854356798610834E-3</v>
      </c>
    </row>
    <row r="838" spans="16374:16378" x14ac:dyDescent="0.2">
      <c r="XET838" s="220">
        <v>42172</v>
      </c>
      <c r="XEU838" s="221">
        <v>17.360665999999998</v>
      </c>
      <c r="XEV838" s="198">
        <f t="shared" si="173"/>
        <v>2.8800570037949003E-2</v>
      </c>
      <c r="XEW838" s="221">
        <v>5064.8798829999996</v>
      </c>
      <c r="XEX838" s="198">
        <f t="shared" si="174"/>
        <v>1.8455120332852015E-3</v>
      </c>
    </row>
    <row r="839" spans="16374:16378" x14ac:dyDescent="0.2">
      <c r="XET839" s="220">
        <v>42173</v>
      </c>
      <c r="XEU839" s="221">
        <v>17.459333000000001</v>
      </c>
      <c r="XEV839" s="198">
        <f t="shared" si="173"/>
        <v>5.6833649123830821E-3</v>
      </c>
      <c r="XEW839" s="221">
        <v>5132.9501950000003</v>
      </c>
      <c r="XEX839" s="198">
        <f t="shared" si="174"/>
        <v>1.3439669562248735E-2</v>
      </c>
    </row>
    <row r="840" spans="16374:16378" x14ac:dyDescent="0.2">
      <c r="XET840" s="220">
        <v>42174</v>
      </c>
      <c r="XEU840" s="221">
        <v>17.500668000000001</v>
      </c>
      <c r="XEV840" s="198">
        <f t="shared" si="173"/>
        <v>2.3675016680191341E-3</v>
      </c>
      <c r="XEW840" s="221">
        <v>5117</v>
      </c>
      <c r="XEX840" s="198">
        <f t="shared" si="174"/>
        <v>-3.10741277317228E-3</v>
      </c>
    </row>
    <row r="841" spans="16374:16378" x14ac:dyDescent="0.2">
      <c r="XET841" s="220">
        <v>42177</v>
      </c>
      <c r="XEU841" s="221">
        <v>17.319331999999999</v>
      </c>
      <c r="XEV841" s="198">
        <f t="shared" si="173"/>
        <v>-1.0361661623430662E-2</v>
      </c>
      <c r="XEW841" s="221">
        <v>5153.9702150000003</v>
      </c>
      <c r="XEX841" s="198">
        <f t="shared" si="174"/>
        <v>7.2249785030291669E-3</v>
      </c>
    </row>
    <row r="842" spans="16374:16378" x14ac:dyDescent="0.2">
      <c r="XET842" s="220">
        <v>42178</v>
      </c>
      <c r="XEU842" s="221">
        <v>17.844667000000001</v>
      </c>
      <c r="XEV842" s="198">
        <f t="shared" si="173"/>
        <v>3.0332289952060609E-2</v>
      </c>
      <c r="XEW842" s="221">
        <v>5160.0898440000001</v>
      </c>
      <c r="XEX842" s="198">
        <f t="shared" si="174"/>
        <v>1.187362119825508E-3</v>
      </c>
    </row>
    <row r="843" spans="16374:16378" x14ac:dyDescent="0.2">
      <c r="XET843" s="220">
        <v>42179</v>
      </c>
      <c r="XEU843" s="221">
        <v>17.677999</v>
      </c>
      <c r="XEV843" s="198">
        <f t="shared" si="173"/>
        <v>-9.3399333257382366E-3</v>
      </c>
      <c r="XEW843" s="221">
        <v>5122.4101559999999</v>
      </c>
      <c r="XEX843" s="198">
        <f t="shared" si="174"/>
        <v>-7.3021379741697867E-3</v>
      </c>
    </row>
    <row r="844" spans="16374:16378" x14ac:dyDescent="0.2">
      <c r="XET844" s="220">
        <v>42180</v>
      </c>
      <c r="XEU844" s="221">
        <v>17.919333000000002</v>
      </c>
      <c r="XEV844" s="198">
        <f t="shared" ref="XEV844:XEV907" si="175">XEU844/XEU843-1</f>
        <v>1.3651658199550942E-2</v>
      </c>
      <c r="XEW844" s="221">
        <v>5112.1899409999996</v>
      </c>
      <c r="XEX844" s="198">
        <f t="shared" ref="XEX844:XEX907" si="176">XEW844/XEW843-1</f>
        <v>-1.9951965361518775E-3</v>
      </c>
    </row>
    <row r="845" spans="16374:16378" x14ac:dyDescent="0.2">
      <c r="XET845" s="220">
        <v>42181</v>
      </c>
      <c r="XEU845" s="221">
        <v>17.806000000000001</v>
      </c>
      <c r="XEV845" s="198">
        <f t="shared" si="175"/>
        <v>-6.3246215693407715E-3</v>
      </c>
      <c r="XEW845" s="221">
        <v>5080.5097660000001</v>
      </c>
      <c r="XEX845" s="198">
        <f t="shared" si="176"/>
        <v>-6.1969870770886004E-3</v>
      </c>
    </row>
    <row r="846" spans="16374:16378" x14ac:dyDescent="0.2">
      <c r="XET846" s="220">
        <v>42184</v>
      </c>
      <c r="XEU846" s="221">
        <v>17.468</v>
      </c>
      <c r="XEV846" s="198">
        <f t="shared" si="175"/>
        <v>-1.8982365494777054E-2</v>
      </c>
      <c r="XEW846" s="221">
        <v>4958.4702150000003</v>
      </c>
      <c r="XEX846" s="198">
        <f t="shared" si="176"/>
        <v>-2.4021123198447181E-2</v>
      </c>
    </row>
    <row r="847" spans="16374:16378" x14ac:dyDescent="0.2">
      <c r="XET847" s="220">
        <v>42185</v>
      </c>
      <c r="XEU847" s="221">
        <v>17.884001000000001</v>
      </c>
      <c r="XEV847" s="198">
        <f t="shared" si="175"/>
        <v>2.3815033203572256E-2</v>
      </c>
      <c r="XEW847" s="221">
        <v>4986.8701170000004</v>
      </c>
      <c r="XEX847" s="198">
        <f t="shared" si="176"/>
        <v>5.7275532106830784E-3</v>
      </c>
    </row>
    <row r="848" spans="16374:16378" x14ac:dyDescent="0.2">
      <c r="XET848" s="220">
        <v>42186</v>
      </c>
      <c r="XEU848" s="221">
        <v>17.943332999999999</v>
      </c>
      <c r="XEV848" s="198">
        <f t="shared" si="175"/>
        <v>3.3176021405947331E-3</v>
      </c>
      <c r="XEW848" s="221">
        <v>5013.1201170000004</v>
      </c>
      <c r="XEX848" s="198">
        <f t="shared" si="176"/>
        <v>5.2638226751715589E-3</v>
      </c>
    </row>
    <row r="849" spans="16374:16378" x14ac:dyDescent="0.2">
      <c r="XET849" s="220">
        <v>42187</v>
      </c>
      <c r="XEU849" s="221">
        <v>18.667998999999998</v>
      </c>
      <c r="XEV849" s="198">
        <f t="shared" si="175"/>
        <v>4.0386365231030341E-2</v>
      </c>
      <c r="XEW849" s="221">
        <v>5009.2099609999996</v>
      </c>
      <c r="XEX849" s="198">
        <f t="shared" si="176"/>
        <v>-7.7998450241423267E-4</v>
      </c>
    </row>
    <row r="850" spans="16374:16378" x14ac:dyDescent="0.2">
      <c r="XET850" s="220">
        <v>42191</v>
      </c>
      <c r="XEU850" s="221">
        <v>18.648001000000001</v>
      </c>
      <c r="XEV850" s="198">
        <f t="shared" si="175"/>
        <v>-1.0712449684616709E-3</v>
      </c>
      <c r="XEW850" s="221">
        <v>4991.9399409999996</v>
      </c>
      <c r="XEX850" s="198">
        <f t="shared" si="176"/>
        <v>-3.4476534492381417E-3</v>
      </c>
    </row>
    <row r="851" spans="16374:16378" x14ac:dyDescent="0.2">
      <c r="XET851" s="220">
        <v>42192</v>
      </c>
      <c r="XEU851" s="221">
        <v>17.858667000000001</v>
      </c>
      <c r="XEV851" s="198">
        <f t="shared" si="175"/>
        <v>-4.2328075808232724E-2</v>
      </c>
      <c r="XEW851" s="221">
        <v>4997.4599609999996</v>
      </c>
      <c r="XEX851" s="198">
        <f t="shared" si="176"/>
        <v>1.1057865409522805E-3</v>
      </c>
    </row>
    <row r="852" spans="16374:16378" x14ac:dyDescent="0.2">
      <c r="XET852" s="220">
        <v>42193</v>
      </c>
      <c r="XEU852" s="221">
        <v>16.997333999999999</v>
      </c>
      <c r="XEV852" s="198">
        <f t="shared" si="175"/>
        <v>-4.8230531427681744E-2</v>
      </c>
      <c r="XEW852" s="221">
        <v>4909.7597660000001</v>
      </c>
      <c r="XEX852" s="198">
        <f t="shared" si="176"/>
        <v>-1.7548954005516482E-2</v>
      </c>
    </row>
    <row r="853" spans="16374:16378" x14ac:dyDescent="0.2">
      <c r="XET853" s="220">
        <v>42194</v>
      </c>
      <c r="XEU853" s="221">
        <v>17.194668</v>
      </c>
      <c r="XEV853" s="198">
        <f t="shared" si="175"/>
        <v>1.1609703027545493E-2</v>
      </c>
      <c r="XEW853" s="221">
        <v>4922.3999020000001</v>
      </c>
      <c r="XEX853" s="198">
        <f t="shared" si="176"/>
        <v>2.5744917475458706E-3</v>
      </c>
    </row>
    <row r="854" spans="16374:16378" x14ac:dyDescent="0.2">
      <c r="XET854" s="220">
        <v>42195</v>
      </c>
      <c r="XEU854" s="221">
        <v>17.276667</v>
      </c>
      <c r="XEV854" s="198">
        <f t="shared" si="175"/>
        <v>4.7688620681713978E-3</v>
      </c>
      <c r="XEW854" s="221">
        <v>4997.7001950000003</v>
      </c>
      <c r="XEX854" s="198">
        <f t="shared" si="176"/>
        <v>1.5297475723052401E-2</v>
      </c>
    </row>
    <row r="855" spans="16374:16378" x14ac:dyDescent="0.2">
      <c r="XET855" s="220">
        <v>42198</v>
      </c>
      <c r="XEU855" s="221">
        <v>17.477333000000002</v>
      </c>
      <c r="XEV855" s="198">
        <f t="shared" si="175"/>
        <v>1.1614856036757715E-2</v>
      </c>
      <c r="XEW855" s="221">
        <v>5071.5097660000001</v>
      </c>
      <c r="XEX855" s="198">
        <f t="shared" si="176"/>
        <v>1.4768707229345868E-2</v>
      </c>
    </row>
    <row r="856" spans="16374:16378" x14ac:dyDescent="0.2">
      <c r="XET856" s="220">
        <v>42199</v>
      </c>
      <c r="XEU856" s="221">
        <v>17.709999</v>
      </c>
      <c r="XEV856" s="198">
        <f t="shared" si="175"/>
        <v>1.3312443036932464E-2</v>
      </c>
      <c r="XEW856" s="221">
        <v>5104.8901370000003</v>
      </c>
      <c r="XEX856" s="198">
        <f t="shared" si="176"/>
        <v>6.581939607764653E-3</v>
      </c>
    </row>
    <row r="857" spans="16374:16378" x14ac:dyDescent="0.2">
      <c r="XET857" s="220">
        <v>42200</v>
      </c>
      <c r="XEU857" s="221">
        <v>17.542667000000002</v>
      </c>
      <c r="XEV857" s="198">
        <f t="shared" si="175"/>
        <v>-9.4484477384780829E-3</v>
      </c>
      <c r="XEW857" s="221">
        <v>5098.9399409999996</v>
      </c>
      <c r="XEX857" s="198">
        <f t="shared" si="176"/>
        <v>-1.1655874740327254E-3</v>
      </c>
    </row>
    <row r="858" spans="16374:16378" x14ac:dyDescent="0.2">
      <c r="XET858" s="220">
        <v>42201</v>
      </c>
      <c r="XEU858" s="221">
        <v>17.778666999999999</v>
      </c>
      <c r="XEV858" s="198">
        <f t="shared" si="175"/>
        <v>1.3452914542583461E-2</v>
      </c>
      <c r="XEW858" s="221">
        <v>5163.1801759999998</v>
      </c>
      <c r="XEX858" s="198">
        <f t="shared" si="176"/>
        <v>1.2598743217870023E-2</v>
      </c>
    </row>
    <row r="859" spans="16374:16378" x14ac:dyDescent="0.2">
      <c r="XET859" s="220">
        <v>42202</v>
      </c>
      <c r="XEU859" s="221">
        <v>18.310666999999999</v>
      </c>
      <c r="XEV859" s="198">
        <f t="shared" si="175"/>
        <v>2.9923503263771023E-2</v>
      </c>
      <c r="XEW859" s="221">
        <v>5210.1401370000003</v>
      </c>
      <c r="XEX859" s="198">
        <f t="shared" si="176"/>
        <v>9.0951621673565075E-3</v>
      </c>
    </row>
    <row r="860" spans="16374:16378" x14ac:dyDescent="0.2">
      <c r="XET860" s="220">
        <v>42205</v>
      </c>
      <c r="XEU860" s="221">
        <v>18.817333000000001</v>
      </c>
      <c r="XEV860" s="198">
        <f t="shared" si="175"/>
        <v>2.7670537616133917E-2</v>
      </c>
      <c r="XEW860" s="221">
        <v>5218.8598629999997</v>
      </c>
      <c r="XEX860" s="198">
        <f t="shared" si="176"/>
        <v>1.6736068072480403E-3</v>
      </c>
    </row>
    <row r="861" spans="16374:16378" x14ac:dyDescent="0.2">
      <c r="XET861" s="220">
        <v>42206</v>
      </c>
      <c r="XEU861" s="221">
        <v>17.784666000000001</v>
      </c>
      <c r="XEV861" s="198">
        <f t="shared" si="175"/>
        <v>-5.4878499519565249E-2</v>
      </c>
      <c r="XEW861" s="221">
        <v>5208.1201170000004</v>
      </c>
      <c r="XEX861" s="198">
        <f t="shared" si="176"/>
        <v>-2.0578720797124195E-3</v>
      </c>
    </row>
    <row r="862" spans="16374:16378" x14ac:dyDescent="0.2">
      <c r="XET862" s="220">
        <v>42207</v>
      </c>
      <c r="XEU862" s="221">
        <v>17.858000000000001</v>
      </c>
      <c r="XEV862" s="198">
        <f t="shared" si="175"/>
        <v>4.1234398216980495E-3</v>
      </c>
      <c r="XEW862" s="221">
        <v>5171.7700199999999</v>
      </c>
      <c r="XEX862" s="198">
        <f t="shared" si="176"/>
        <v>-6.9795043477105523E-3</v>
      </c>
    </row>
    <row r="863" spans="16374:16378" x14ac:dyDescent="0.2">
      <c r="XET863" s="220">
        <v>42208</v>
      </c>
      <c r="XEU863" s="221">
        <v>17.813334000000001</v>
      </c>
      <c r="XEV863" s="198">
        <f t="shared" si="175"/>
        <v>-2.501175943554701E-3</v>
      </c>
      <c r="XEW863" s="221">
        <v>5146.4101559999999</v>
      </c>
      <c r="XEX863" s="198">
        <f t="shared" si="176"/>
        <v>-4.9035173454986536E-3</v>
      </c>
    </row>
    <row r="864" spans="16374:16378" x14ac:dyDescent="0.2">
      <c r="XET864" s="220">
        <v>42209</v>
      </c>
      <c r="XEU864" s="221">
        <v>17.693999999999999</v>
      </c>
      <c r="XEV864" s="198">
        <f t="shared" si="175"/>
        <v>-6.6991389708407345E-3</v>
      </c>
      <c r="XEW864" s="221">
        <v>5088.6298829999996</v>
      </c>
      <c r="XEX864" s="198">
        <f t="shared" si="176"/>
        <v>-1.1227296552070665E-2</v>
      </c>
    </row>
    <row r="865" spans="16374:16378" x14ac:dyDescent="0.2">
      <c r="XET865" s="220">
        <v>42212</v>
      </c>
      <c r="XEU865" s="221">
        <v>16.867332000000001</v>
      </c>
      <c r="XEV865" s="198">
        <f t="shared" si="175"/>
        <v>-4.672024415055942E-2</v>
      </c>
      <c r="XEW865" s="221">
        <v>5039.7797849999997</v>
      </c>
      <c r="XEX865" s="198">
        <f t="shared" si="176"/>
        <v>-9.599852833313216E-3</v>
      </c>
    </row>
    <row r="866" spans="16374:16378" x14ac:dyDescent="0.2">
      <c r="XET866" s="220">
        <v>42213</v>
      </c>
      <c r="XEU866" s="221">
        <v>17.654667</v>
      </c>
      <c r="XEV866" s="198">
        <f t="shared" si="175"/>
        <v>4.6678099417263974E-2</v>
      </c>
      <c r="XEW866" s="221">
        <v>5089.2099609999996</v>
      </c>
      <c r="XEX866" s="198">
        <f t="shared" si="176"/>
        <v>9.808003148693123E-3</v>
      </c>
    </row>
    <row r="867" spans="16374:16378" x14ac:dyDescent="0.2">
      <c r="XET867" s="220">
        <v>42214</v>
      </c>
      <c r="XEU867" s="221">
        <v>17.587999</v>
      </c>
      <c r="XEV867" s="198">
        <f t="shared" si="175"/>
        <v>-3.7762252893243087E-3</v>
      </c>
      <c r="XEW867" s="221">
        <v>5111.7299800000001</v>
      </c>
      <c r="XEX867" s="198">
        <f t="shared" si="176"/>
        <v>4.4250520557369555E-3</v>
      </c>
    </row>
    <row r="868" spans="16374:16378" x14ac:dyDescent="0.2">
      <c r="XET868" s="220">
        <v>42215</v>
      </c>
      <c r="XEU868" s="221">
        <v>17.785999</v>
      </c>
      <c r="XEV868" s="198">
        <f t="shared" si="175"/>
        <v>1.1257676328046307E-2</v>
      </c>
      <c r="XEW868" s="221">
        <v>5128.7797849999997</v>
      </c>
      <c r="XEX868" s="198">
        <f t="shared" si="176"/>
        <v>3.3354275493244767E-3</v>
      </c>
    </row>
    <row r="869" spans="16374:16378" x14ac:dyDescent="0.2">
      <c r="XET869" s="220">
        <v>42216</v>
      </c>
      <c r="XEU869" s="221">
        <v>17.743334000000001</v>
      </c>
      <c r="XEV869" s="198">
        <f t="shared" si="175"/>
        <v>-2.3987969413469257E-3</v>
      </c>
      <c r="XEW869" s="221">
        <v>5128.2797849999997</v>
      </c>
      <c r="XEX869" s="198">
        <f t="shared" si="176"/>
        <v>-9.7489075561840721E-5</v>
      </c>
    </row>
    <row r="870" spans="16374:16378" x14ac:dyDescent="0.2">
      <c r="XET870" s="220">
        <v>42219</v>
      </c>
      <c r="XEU870" s="221">
        <v>17.332666</v>
      </c>
      <c r="XEV870" s="198">
        <f t="shared" si="175"/>
        <v>-2.3144917409546606E-2</v>
      </c>
      <c r="XEW870" s="221">
        <v>5115.3798829999996</v>
      </c>
      <c r="XEX870" s="198">
        <f t="shared" si="176"/>
        <v>-2.5154442699736324E-3</v>
      </c>
    </row>
    <row r="871" spans="16374:16378" x14ac:dyDescent="0.2">
      <c r="XET871" s="220">
        <v>42220</v>
      </c>
      <c r="XEU871" s="221">
        <v>17.752001</v>
      </c>
      <c r="XEV871" s="198">
        <f t="shared" si="175"/>
        <v>2.4193335289562468E-2</v>
      </c>
      <c r="XEW871" s="221">
        <v>5105.5498049999997</v>
      </c>
      <c r="XEX871" s="198">
        <f t="shared" si="176"/>
        <v>-1.9216711612500825E-3</v>
      </c>
    </row>
    <row r="872" spans="16374:16378" x14ac:dyDescent="0.2">
      <c r="XET872" s="220">
        <v>42221</v>
      </c>
      <c r="XEU872" s="221">
        <v>18.008666999999999</v>
      </c>
      <c r="XEV872" s="198">
        <f t="shared" si="175"/>
        <v>1.4458426405000724E-2</v>
      </c>
      <c r="XEW872" s="221">
        <v>5139.9399409999996</v>
      </c>
      <c r="XEX872" s="198">
        <f t="shared" si="176"/>
        <v>6.7358340068137679E-3</v>
      </c>
    </row>
    <row r="873" spans="16374:16378" x14ac:dyDescent="0.2">
      <c r="XET873" s="220">
        <v>42222</v>
      </c>
      <c r="XEU873" s="221">
        <v>16.408667000000001</v>
      </c>
      <c r="XEV873" s="198">
        <f t="shared" si="175"/>
        <v>-8.8846109487170755E-2</v>
      </c>
      <c r="XEW873" s="221">
        <v>5056.4399409999996</v>
      </c>
      <c r="XEX873" s="198">
        <f t="shared" si="176"/>
        <v>-1.6245326007399696E-2</v>
      </c>
    </row>
    <row r="874" spans="16374:16378" x14ac:dyDescent="0.2">
      <c r="XET874" s="220">
        <v>42223</v>
      </c>
      <c r="XEU874" s="221">
        <v>16.167334</v>
      </c>
      <c r="XEV874" s="198">
        <f t="shared" si="175"/>
        <v>-1.4707654192750774E-2</v>
      </c>
      <c r="XEW874" s="221">
        <v>5043.5400390000004</v>
      </c>
      <c r="XEX874" s="198">
        <f t="shared" si="176"/>
        <v>-2.5511826800118653E-3</v>
      </c>
    </row>
    <row r="875" spans="16374:16378" x14ac:dyDescent="0.2">
      <c r="XET875" s="220">
        <v>42226</v>
      </c>
      <c r="XEU875" s="221">
        <v>16.076000000000001</v>
      </c>
      <c r="XEV875" s="198">
        <f t="shared" si="175"/>
        <v>-5.6492925797165805E-3</v>
      </c>
      <c r="XEW875" s="221">
        <v>5101.7998049999997</v>
      </c>
      <c r="XEX875" s="198">
        <f t="shared" si="176"/>
        <v>1.1551363833635975E-2</v>
      </c>
    </row>
    <row r="876" spans="16374:16378" x14ac:dyDescent="0.2">
      <c r="XET876" s="220">
        <v>42227</v>
      </c>
      <c r="XEU876" s="221">
        <v>15.824667</v>
      </c>
      <c r="XEV876" s="198">
        <f t="shared" si="175"/>
        <v>-1.5634050758895235E-2</v>
      </c>
      <c r="XEW876" s="221">
        <v>5036.7900390000004</v>
      </c>
      <c r="XEX876" s="198">
        <f t="shared" si="176"/>
        <v>-1.2742516069777277E-2</v>
      </c>
    </row>
    <row r="877" spans="16374:16378" x14ac:dyDescent="0.2">
      <c r="XET877" s="220">
        <v>42228</v>
      </c>
      <c r="XEU877" s="221">
        <v>15.878</v>
      </c>
      <c r="XEV877" s="198">
        <f t="shared" si="175"/>
        <v>3.3702446945644837E-3</v>
      </c>
      <c r="XEW877" s="221">
        <v>5044.3901370000003</v>
      </c>
      <c r="XEX877" s="198">
        <f t="shared" si="176"/>
        <v>1.5089169771127509E-3</v>
      </c>
    </row>
    <row r="878" spans="16374:16378" x14ac:dyDescent="0.2">
      <c r="XET878" s="220">
        <v>42229</v>
      </c>
      <c r="XEU878" s="221">
        <v>16.167334</v>
      </c>
      <c r="XEV878" s="198">
        <f t="shared" si="175"/>
        <v>1.8222320191459973E-2</v>
      </c>
      <c r="XEW878" s="221">
        <v>5033.5600590000004</v>
      </c>
      <c r="XEX878" s="198">
        <f t="shared" si="176"/>
        <v>-2.1469548757862E-3</v>
      </c>
    </row>
    <row r="879" spans="16374:16378" x14ac:dyDescent="0.2">
      <c r="XET879" s="220">
        <v>42230</v>
      </c>
      <c r="XEU879" s="221">
        <v>16.209999</v>
      </c>
      <c r="XEV879" s="198">
        <f t="shared" si="175"/>
        <v>2.6389632328991386E-3</v>
      </c>
      <c r="XEW879" s="221">
        <v>5048.2402339999999</v>
      </c>
      <c r="XEX879" s="198">
        <f t="shared" si="176"/>
        <v>2.9164596881587901E-3</v>
      </c>
    </row>
    <row r="880" spans="16374:16378" x14ac:dyDescent="0.2">
      <c r="XET880" s="220">
        <v>42233</v>
      </c>
      <c r="XEU880" s="221">
        <v>16.999331999999999</v>
      </c>
      <c r="XEV880" s="198">
        <f t="shared" si="175"/>
        <v>4.8694204114386297E-2</v>
      </c>
      <c r="XEW880" s="221">
        <v>5091.7001950000003</v>
      </c>
      <c r="XEX880" s="198">
        <f t="shared" si="176"/>
        <v>8.6089328133192033E-3</v>
      </c>
    </row>
    <row r="881" spans="16374:16378" x14ac:dyDescent="0.2">
      <c r="XET881" s="220">
        <v>42234</v>
      </c>
      <c r="XEU881" s="221">
        <v>17.381332</v>
      </c>
      <c r="XEV881" s="198">
        <f t="shared" si="175"/>
        <v>2.2471471231928497E-2</v>
      </c>
      <c r="XEW881" s="221">
        <v>5059.3500979999999</v>
      </c>
      <c r="XEX881" s="198">
        <f t="shared" si="176"/>
        <v>-6.3534960349330705E-3</v>
      </c>
    </row>
    <row r="882" spans="16374:16378" x14ac:dyDescent="0.2">
      <c r="XET882" s="220">
        <v>42235</v>
      </c>
      <c r="XEU882" s="221">
        <v>17.016666000000001</v>
      </c>
      <c r="XEV882" s="198">
        <f t="shared" si="175"/>
        <v>-2.0980325328346483E-2</v>
      </c>
      <c r="XEW882" s="221">
        <v>5019.0498049999997</v>
      </c>
      <c r="XEX882" s="198">
        <f t="shared" si="176"/>
        <v>-7.9655078655124223E-3</v>
      </c>
    </row>
    <row r="883" spans="16374:16378" x14ac:dyDescent="0.2">
      <c r="XET883" s="220">
        <v>42236</v>
      </c>
      <c r="XEU883" s="221">
        <v>16.145332</v>
      </c>
      <c r="XEV883" s="198">
        <f t="shared" si="175"/>
        <v>-5.1204742456601116E-2</v>
      </c>
      <c r="XEW883" s="221">
        <v>4877.4902339999999</v>
      </c>
      <c r="XEX883" s="198">
        <f t="shared" si="176"/>
        <v>-2.8204456321389237E-2</v>
      </c>
    </row>
    <row r="884" spans="16374:16378" x14ac:dyDescent="0.2">
      <c r="XET884" s="220">
        <v>42237</v>
      </c>
      <c r="XEU884" s="221">
        <v>15.384667</v>
      </c>
      <c r="XEV884" s="198">
        <f t="shared" si="175"/>
        <v>-4.7113617731738167E-2</v>
      </c>
      <c r="XEW884" s="221">
        <v>4706.0400390000004</v>
      </c>
      <c r="XEX884" s="198">
        <f t="shared" si="176"/>
        <v>-3.5151314871909922E-2</v>
      </c>
    </row>
    <row r="885" spans="16374:16378" x14ac:dyDescent="0.2">
      <c r="XET885" s="220">
        <v>42240</v>
      </c>
      <c r="XEU885" s="221">
        <v>14.591333000000001</v>
      </c>
      <c r="XEV885" s="198">
        <f t="shared" si="175"/>
        <v>-5.1566536994268386E-2</v>
      </c>
      <c r="XEW885" s="221">
        <v>4526.25</v>
      </c>
      <c r="XEX885" s="198">
        <f t="shared" si="176"/>
        <v>-3.8204103133428591E-2</v>
      </c>
    </row>
    <row r="886" spans="16374:16378" x14ac:dyDescent="0.2">
      <c r="XET886" s="220">
        <v>42241</v>
      </c>
      <c r="XEU886" s="221">
        <v>14.668666999999999</v>
      </c>
      <c r="XEV886" s="198">
        <f t="shared" si="175"/>
        <v>5.299995552153991E-3</v>
      </c>
      <c r="XEW886" s="221">
        <v>4506.4902339999999</v>
      </c>
      <c r="XEX886" s="198">
        <f t="shared" si="176"/>
        <v>-4.3655931510632184E-3</v>
      </c>
    </row>
    <row r="887" spans="16374:16378" x14ac:dyDescent="0.2">
      <c r="XET887" s="220">
        <v>42242</v>
      </c>
      <c r="XEU887" s="221">
        <v>14.989333</v>
      </c>
      <c r="XEV887" s="198">
        <f t="shared" si="175"/>
        <v>2.1860609420065291E-2</v>
      </c>
      <c r="XEW887" s="221">
        <v>4697.5400390000004</v>
      </c>
      <c r="XEX887" s="198">
        <f t="shared" si="176"/>
        <v>4.239436791820661E-2</v>
      </c>
    </row>
    <row r="888" spans="16374:16378" x14ac:dyDescent="0.2">
      <c r="XET888" s="220">
        <v>42243</v>
      </c>
      <c r="XEU888" s="221">
        <v>16.199332999999999</v>
      </c>
      <c r="XEV888" s="198">
        <f t="shared" si="175"/>
        <v>8.0724072245242695E-2</v>
      </c>
      <c r="XEW888" s="221">
        <v>4812.7099609999996</v>
      </c>
      <c r="XEX888" s="198">
        <f t="shared" si="176"/>
        <v>2.4517070859180201E-2</v>
      </c>
    </row>
    <row r="889" spans="16374:16378" x14ac:dyDescent="0.2">
      <c r="XET889" s="220">
        <v>42244</v>
      </c>
      <c r="XEU889" s="221">
        <v>16.565332000000001</v>
      </c>
      <c r="XEV889" s="198">
        <f t="shared" si="175"/>
        <v>2.2593461101145573E-2</v>
      </c>
      <c r="XEW889" s="221">
        <v>4828.3198240000002</v>
      </c>
      <c r="XEX889" s="198">
        <f t="shared" si="176"/>
        <v>3.2434663893099458E-3</v>
      </c>
    </row>
    <row r="890" spans="16374:16378" x14ac:dyDescent="0.2">
      <c r="XET890" s="220">
        <v>42247</v>
      </c>
      <c r="XEU890" s="221">
        <v>16.603999999999999</v>
      </c>
      <c r="XEV890" s="198">
        <f t="shared" si="175"/>
        <v>2.334272563930373E-3</v>
      </c>
      <c r="XEW890" s="221">
        <v>4776.5097660000001</v>
      </c>
      <c r="XEX890" s="198">
        <f t="shared" si="176"/>
        <v>-1.0730452805232438E-2</v>
      </c>
    </row>
    <row r="891" spans="16374:16378" x14ac:dyDescent="0.2">
      <c r="XET891" s="220">
        <v>42248</v>
      </c>
      <c r="XEU891" s="221">
        <v>15.908666999999999</v>
      </c>
      <c r="XEV891" s="198">
        <f t="shared" si="175"/>
        <v>-4.1877439171284059E-2</v>
      </c>
      <c r="XEW891" s="221">
        <v>4636.1000979999999</v>
      </c>
      <c r="XEX891" s="198">
        <f t="shared" si="176"/>
        <v>-2.9395871646585969E-2</v>
      </c>
    </row>
    <row r="892" spans="16374:16378" x14ac:dyDescent="0.2">
      <c r="XET892" s="220">
        <v>42249</v>
      </c>
      <c r="XEU892" s="221">
        <v>16.512667</v>
      </c>
      <c r="XEV892" s="198">
        <f t="shared" si="175"/>
        <v>3.7966725936245949E-2</v>
      </c>
      <c r="XEW892" s="221">
        <v>4749.9799800000001</v>
      </c>
      <c r="XEX892" s="198">
        <f t="shared" si="176"/>
        <v>2.4563723731747755E-2</v>
      </c>
    </row>
    <row r="893" spans="16374:16378" x14ac:dyDescent="0.2">
      <c r="XET893" s="220">
        <v>42250</v>
      </c>
      <c r="XEU893" s="221">
        <v>16.371331999999999</v>
      </c>
      <c r="XEV893" s="198">
        <f t="shared" si="175"/>
        <v>-8.5591867140542011E-3</v>
      </c>
      <c r="XEW893" s="221">
        <v>4733.5</v>
      </c>
      <c r="XEX893" s="198">
        <f t="shared" si="176"/>
        <v>-3.4694840966467133E-3</v>
      </c>
    </row>
    <row r="894" spans="16374:16378" x14ac:dyDescent="0.2">
      <c r="XET894" s="220">
        <v>42251</v>
      </c>
      <c r="XEU894" s="221">
        <v>16.128668000000001</v>
      </c>
      <c r="XEV894" s="198">
        <f t="shared" si="175"/>
        <v>-1.4822495811580794E-2</v>
      </c>
      <c r="XEW894" s="221">
        <v>4683.919922</v>
      </c>
      <c r="XEX894" s="198">
        <f t="shared" si="176"/>
        <v>-1.0474295552973523E-2</v>
      </c>
    </row>
    <row r="895" spans="16374:16378" x14ac:dyDescent="0.2">
      <c r="XET895" s="220">
        <v>42255</v>
      </c>
      <c r="XEU895" s="221">
        <v>16.544665999999999</v>
      </c>
      <c r="XEV895" s="198">
        <f t="shared" si="175"/>
        <v>2.5792458496882498E-2</v>
      </c>
      <c r="XEW895" s="221">
        <v>4811.9301759999998</v>
      </c>
      <c r="XEX895" s="198">
        <f t="shared" si="176"/>
        <v>2.7329727265136494E-2</v>
      </c>
    </row>
    <row r="896" spans="16374:16378" x14ac:dyDescent="0.2">
      <c r="XET896" s="220">
        <v>42256</v>
      </c>
      <c r="XEU896" s="221">
        <v>16.594000000000001</v>
      </c>
      <c r="XEV896" s="198">
        <f t="shared" si="175"/>
        <v>2.9818673885591007E-3</v>
      </c>
      <c r="XEW896" s="221">
        <v>4756.5297849999997</v>
      </c>
      <c r="XEX896" s="198">
        <f t="shared" si="176"/>
        <v>-1.1513132770777812E-2</v>
      </c>
    </row>
    <row r="897" spans="16374:16378" x14ac:dyDescent="0.2">
      <c r="XET897" s="220">
        <v>42257</v>
      </c>
      <c r="XEU897" s="221">
        <v>16.565332000000001</v>
      </c>
      <c r="XEV897" s="198">
        <f t="shared" si="175"/>
        <v>-1.7276123900205054E-3</v>
      </c>
      <c r="XEW897" s="221">
        <v>4796.25</v>
      </c>
      <c r="XEX897" s="198">
        <f t="shared" si="176"/>
        <v>8.350670929310855E-3</v>
      </c>
    </row>
    <row r="898" spans="16374:16378" x14ac:dyDescent="0.2">
      <c r="XET898" s="220">
        <v>42258</v>
      </c>
      <c r="XEU898" s="221">
        <v>16.682666999999999</v>
      </c>
      <c r="XEV898" s="198">
        <f t="shared" si="175"/>
        <v>7.0831662172541332E-3</v>
      </c>
      <c r="XEW898" s="221">
        <v>4822.3398440000001</v>
      </c>
      <c r="XEX898" s="198">
        <f t="shared" si="176"/>
        <v>5.4396338806359523E-3</v>
      </c>
    </row>
    <row r="899" spans="16374:16378" x14ac:dyDescent="0.2">
      <c r="XET899" s="220">
        <v>42261</v>
      </c>
      <c r="XEU899" s="221">
        <v>16.879332999999999</v>
      </c>
      <c r="XEV899" s="198">
        <f t="shared" si="175"/>
        <v>1.1788642667266647E-2</v>
      </c>
      <c r="XEW899" s="221">
        <v>4805.7597660000001</v>
      </c>
      <c r="XEX899" s="198">
        <f t="shared" si="176"/>
        <v>-3.4381811602575141E-3</v>
      </c>
    </row>
    <row r="900" spans="16374:16378" x14ac:dyDescent="0.2">
      <c r="XET900" s="220">
        <v>42262</v>
      </c>
      <c r="XEU900" s="221">
        <v>16.904667</v>
      </c>
      <c r="XEV900" s="198">
        <f t="shared" si="175"/>
        <v>1.5008886903291607E-3</v>
      </c>
      <c r="XEW900" s="221">
        <v>4860.5200199999999</v>
      </c>
      <c r="XEX900" s="198">
        <f t="shared" si="176"/>
        <v>1.1394713149712521E-2</v>
      </c>
    </row>
    <row r="901" spans="16374:16378" x14ac:dyDescent="0.2">
      <c r="XET901" s="220">
        <v>42263</v>
      </c>
      <c r="XEU901" s="221">
        <v>17.483333999999999</v>
      </c>
      <c r="XEV901" s="198">
        <f t="shared" si="175"/>
        <v>3.4231197810639991E-2</v>
      </c>
      <c r="XEW901" s="221">
        <v>4889.2402339999999</v>
      </c>
      <c r="XEX901" s="198">
        <f t="shared" si="176"/>
        <v>5.9088768036799078E-3</v>
      </c>
    </row>
    <row r="902" spans="16374:16378" x14ac:dyDescent="0.2">
      <c r="XET902" s="220">
        <v>42264</v>
      </c>
      <c r="XEU902" s="221">
        <v>17.471333000000001</v>
      </c>
      <c r="XEV902" s="198">
        <f t="shared" si="175"/>
        <v>-6.8642514065098137E-4</v>
      </c>
      <c r="XEW902" s="221">
        <v>4893.9501950000003</v>
      </c>
      <c r="XEX902" s="198">
        <f t="shared" si="176"/>
        <v>9.6333188278352466E-4</v>
      </c>
    </row>
    <row r="903" spans="16374:16378" x14ac:dyDescent="0.2">
      <c r="XET903" s="220">
        <v>42265</v>
      </c>
      <c r="XEU903" s="221">
        <v>17.374666000000001</v>
      </c>
      <c r="XEV903" s="198">
        <f t="shared" si="175"/>
        <v>-5.532892080987728E-3</v>
      </c>
      <c r="XEW903" s="221">
        <v>4827.2299800000001</v>
      </c>
      <c r="XEX903" s="198">
        <f t="shared" si="176"/>
        <v>-1.3633202697519553E-2</v>
      </c>
    </row>
    <row r="904" spans="16374:16378" x14ac:dyDescent="0.2">
      <c r="XET904" s="220">
        <v>42268</v>
      </c>
      <c r="XEU904" s="221">
        <v>17.613333000000001</v>
      </c>
      <c r="XEV904" s="198">
        <f t="shared" si="175"/>
        <v>1.3736494272753141E-2</v>
      </c>
      <c r="XEW904" s="221">
        <v>4828.9501950000003</v>
      </c>
      <c r="XEX904" s="198">
        <f t="shared" si="176"/>
        <v>3.5635654549870388E-4</v>
      </c>
    </row>
    <row r="905" spans="16374:16378" x14ac:dyDescent="0.2">
      <c r="XET905" s="220">
        <v>42269</v>
      </c>
      <c r="XEU905" s="221">
        <v>17.396000000000001</v>
      </c>
      <c r="XEV905" s="198">
        <f t="shared" si="175"/>
        <v>-1.2339118325872755E-2</v>
      </c>
      <c r="XEW905" s="221">
        <v>4756.7202150000003</v>
      </c>
      <c r="XEX905" s="198">
        <f t="shared" si="176"/>
        <v>-1.4957698274624676E-2</v>
      </c>
    </row>
    <row r="906" spans="16374:16378" x14ac:dyDescent="0.2">
      <c r="XET906" s="220">
        <v>42270</v>
      </c>
      <c r="XEU906" s="221">
        <v>17.403998999999999</v>
      </c>
      <c r="XEV906" s="198">
        <f t="shared" si="175"/>
        <v>4.5981834904562646E-4</v>
      </c>
      <c r="XEW906" s="221">
        <v>4752.7402339999999</v>
      </c>
      <c r="XEX906" s="198">
        <f t="shared" si="176"/>
        <v>-8.3670697878124312E-4</v>
      </c>
    </row>
    <row r="907" spans="16374:16378" x14ac:dyDescent="0.2">
      <c r="XET907" s="220">
        <v>42271</v>
      </c>
      <c r="XEU907" s="221">
        <v>17.541332000000001</v>
      </c>
      <c r="XEV907" s="198">
        <f t="shared" si="175"/>
        <v>7.8908876057739441E-3</v>
      </c>
      <c r="XEW907" s="221">
        <v>4734.4799800000001</v>
      </c>
      <c r="XEX907" s="198">
        <f t="shared" si="176"/>
        <v>-3.8420475559278744E-3</v>
      </c>
    </row>
    <row r="908" spans="16374:16378" x14ac:dyDescent="0.2">
      <c r="XET908" s="220">
        <v>42272</v>
      </c>
      <c r="XEU908" s="221">
        <v>17.127333</v>
      </c>
      <c r="XEV908" s="198">
        <f t="shared" ref="XEV908:XEV971" si="177">XEU908/XEU907-1</f>
        <v>-2.360134338714992E-2</v>
      </c>
      <c r="XEW908" s="221">
        <v>4686.5</v>
      </c>
      <c r="XEX908" s="198">
        <f t="shared" ref="XEX908:XEX971" si="178">XEW908/XEW907-1</f>
        <v>-1.0134160499713385E-2</v>
      </c>
    </row>
    <row r="909" spans="16374:16378" x14ac:dyDescent="0.2">
      <c r="XET909" s="220">
        <v>42275</v>
      </c>
      <c r="XEU909" s="221">
        <v>16.562000000000001</v>
      </c>
      <c r="XEV909" s="198">
        <f t="shared" si="177"/>
        <v>-3.3007649235289538E-2</v>
      </c>
      <c r="XEW909" s="221">
        <v>4543.9702150000003</v>
      </c>
      <c r="XEX909" s="198">
        <f t="shared" si="178"/>
        <v>-3.0412842206337332E-2</v>
      </c>
    </row>
    <row r="910" spans="16374:16378" x14ac:dyDescent="0.2">
      <c r="XET910" s="220">
        <v>42276</v>
      </c>
      <c r="XEU910" s="221">
        <v>16.443332999999999</v>
      </c>
      <c r="XEV910" s="198">
        <f t="shared" si="177"/>
        <v>-7.1650163023790903E-3</v>
      </c>
      <c r="XEW910" s="221">
        <v>4517.3198240000002</v>
      </c>
      <c r="XEX910" s="198">
        <f t="shared" si="178"/>
        <v>-5.8650012519944061E-3</v>
      </c>
    </row>
    <row r="911" spans="16374:16378" x14ac:dyDescent="0.2">
      <c r="XET911" s="220">
        <v>42277</v>
      </c>
      <c r="XEU911" s="221">
        <v>16.559999000000001</v>
      </c>
      <c r="XEV911" s="198">
        <f t="shared" si="177"/>
        <v>7.0950335920341168E-3</v>
      </c>
      <c r="XEW911" s="221">
        <v>4620.1601559999999</v>
      </c>
      <c r="XEX911" s="198">
        <f t="shared" si="178"/>
        <v>2.276578502447868E-2</v>
      </c>
    </row>
    <row r="912" spans="16374:16378" x14ac:dyDescent="0.2">
      <c r="XET912" s="220">
        <v>42278</v>
      </c>
      <c r="XEU912" s="221">
        <v>15.992000000000001</v>
      </c>
      <c r="XEV912" s="198">
        <f t="shared" si="177"/>
        <v>-3.4299458592962462E-2</v>
      </c>
      <c r="XEW912" s="221">
        <v>4627.080078</v>
      </c>
      <c r="XEX912" s="198">
        <f t="shared" si="178"/>
        <v>1.4977666934365974E-3</v>
      </c>
    </row>
    <row r="913" spans="16374:16378" x14ac:dyDescent="0.2">
      <c r="XET913" s="220">
        <v>42279</v>
      </c>
      <c r="XEU913" s="221">
        <v>16.504667000000001</v>
      </c>
      <c r="XEV913" s="198">
        <f t="shared" si="177"/>
        <v>3.2057716358179222E-2</v>
      </c>
      <c r="XEW913" s="221">
        <v>4707.7797849999997</v>
      </c>
      <c r="XEX913" s="198">
        <f t="shared" si="178"/>
        <v>1.7440741383252911E-2</v>
      </c>
    </row>
    <row r="914" spans="16374:16378" x14ac:dyDescent="0.2">
      <c r="XET914" s="220">
        <v>42282</v>
      </c>
      <c r="XEU914" s="221">
        <v>16.41</v>
      </c>
      <c r="XEV914" s="198">
        <f t="shared" si="177"/>
        <v>-5.7357715850917534E-3</v>
      </c>
      <c r="XEW914" s="221">
        <v>4781.2597660000001</v>
      </c>
      <c r="XEX914" s="198">
        <f t="shared" si="178"/>
        <v>1.5608202667874105E-2</v>
      </c>
    </row>
    <row r="915" spans="16374:16378" x14ac:dyDescent="0.2">
      <c r="XET915" s="220">
        <v>42283</v>
      </c>
      <c r="XEU915" s="221">
        <v>16.097334</v>
      </c>
      <c r="XEV915" s="198">
        <f t="shared" si="177"/>
        <v>-1.9053382084095016E-2</v>
      </c>
      <c r="XEW915" s="221">
        <v>4748.3598629999997</v>
      </c>
      <c r="XEX915" s="198">
        <f t="shared" si="178"/>
        <v>-6.88101140915931E-3</v>
      </c>
    </row>
    <row r="916" spans="16374:16378" x14ac:dyDescent="0.2">
      <c r="XET916" s="220">
        <v>42284</v>
      </c>
      <c r="XEU916" s="221">
        <v>15.464</v>
      </c>
      <c r="XEV916" s="198">
        <f t="shared" si="177"/>
        <v>-3.9344030508405847E-2</v>
      </c>
      <c r="XEW916" s="221">
        <v>4791.1499020000001</v>
      </c>
      <c r="XEX916" s="198">
        <f t="shared" si="178"/>
        <v>9.0115408761302085E-3</v>
      </c>
    </row>
    <row r="917" spans="16374:16378" x14ac:dyDescent="0.2">
      <c r="XET917" s="220">
        <v>42285</v>
      </c>
      <c r="XEU917" s="221">
        <v>15.114667000000001</v>
      </c>
      <c r="XEV917" s="198">
        <f t="shared" si="177"/>
        <v>-2.2590080186238981E-2</v>
      </c>
      <c r="XEW917" s="221">
        <v>4810.7900390000004</v>
      </c>
      <c r="XEX917" s="198">
        <f t="shared" si="178"/>
        <v>4.0992532902803802E-3</v>
      </c>
    </row>
    <row r="918" spans="16374:16378" x14ac:dyDescent="0.2">
      <c r="XET918" s="220">
        <v>42286</v>
      </c>
      <c r="XEU918" s="221">
        <v>14.712667</v>
      </c>
      <c r="XEV918" s="198">
        <f t="shared" si="177"/>
        <v>-2.65966825468269E-2</v>
      </c>
      <c r="XEW918" s="221">
        <v>4830.4702150000003</v>
      </c>
      <c r="XEX918" s="198">
        <f t="shared" si="178"/>
        <v>4.0908407642938904E-3</v>
      </c>
    </row>
    <row r="919" spans="16374:16378" x14ac:dyDescent="0.2">
      <c r="XET919" s="220">
        <v>42289</v>
      </c>
      <c r="XEU919" s="221">
        <v>14.372</v>
      </c>
      <c r="XEV919" s="198">
        <f t="shared" si="177"/>
        <v>-2.3154673452474683E-2</v>
      </c>
      <c r="XEW919" s="221">
        <v>4838.6401370000003</v>
      </c>
      <c r="XEX919" s="198">
        <f t="shared" si="178"/>
        <v>1.6913305819856728E-3</v>
      </c>
    </row>
    <row r="920" spans="16374:16378" x14ac:dyDescent="0.2">
      <c r="XET920" s="220">
        <v>42290</v>
      </c>
      <c r="XEU920" s="221">
        <v>14.616667</v>
      </c>
      <c r="XEV920" s="198">
        <f t="shared" si="177"/>
        <v>1.7023865850264386E-2</v>
      </c>
      <c r="XEW920" s="221">
        <v>4796.6098629999997</v>
      </c>
      <c r="XEX920" s="198">
        <f t="shared" si="178"/>
        <v>-8.6863814646195303E-3</v>
      </c>
    </row>
    <row r="921" spans="16374:16378" x14ac:dyDescent="0.2">
      <c r="XET921" s="220">
        <v>42291</v>
      </c>
      <c r="XEU921" s="221">
        <v>14.458667</v>
      </c>
      <c r="XEV921" s="198">
        <f t="shared" si="177"/>
        <v>-1.0809577860670938E-2</v>
      </c>
      <c r="XEW921" s="221">
        <v>4782.8500979999999</v>
      </c>
      <c r="XEX921" s="198">
        <f t="shared" si="178"/>
        <v>-2.868643769871615E-3</v>
      </c>
    </row>
    <row r="922" spans="16374:16378" x14ac:dyDescent="0.2">
      <c r="XET922" s="220">
        <v>42292</v>
      </c>
      <c r="XEU922" s="221">
        <v>14.754</v>
      </c>
      <c r="XEV922" s="198">
        <f t="shared" si="177"/>
        <v>2.0426018525774081E-2</v>
      </c>
      <c r="XEW922" s="221">
        <v>4870.1000979999999</v>
      </c>
      <c r="XEX922" s="198">
        <f t="shared" si="178"/>
        <v>1.8242261039392416E-2</v>
      </c>
    </row>
    <row r="923" spans="16374:16378" x14ac:dyDescent="0.2">
      <c r="XET923" s="220">
        <v>42293</v>
      </c>
      <c r="XEU923" s="221">
        <v>15.134</v>
      </c>
      <c r="XEV923" s="198">
        <f t="shared" si="177"/>
        <v>2.5755727260404093E-2</v>
      </c>
      <c r="XEW923" s="221">
        <v>4886.6899409999996</v>
      </c>
      <c r="XEX923" s="198">
        <f t="shared" si="178"/>
        <v>3.4064685871266764E-3</v>
      </c>
    </row>
    <row r="924" spans="16374:16378" x14ac:dyDescent="0.2">
      <c r="XET924" s="220">
        <v>42296</v>
      </c>
      <c r="XEU924" s="221">
        <v>15.206666999999999</v>
      </c>
      <c r="XEV924" s="198">
        <f t="shared" si="177"/>
        <v>4.8015726179462259E-3</v>
      </c>
      <c r="XEW924" s="221">
        <v>4905.4702150000003</v>
      </c>
      <c r="XEX924" s="198">
        <f t="shared" si="178"/>
        <v>3.8431482714775811E-3</v>
      </c>
    </row>
    <row r="925" spans="16374:16378" x14ac:dyDescent="0.2">
      <c r="XET925" s="220">
        <v>42297</v>
      </c>
      <c r="XEU925" s="221">
        <v>14.202</v>
      </c>
      <c r="XEV925" s="198">
        <f t="shared" si="177"/>
        <v>-6.6067534720132937E-2</v>
      </c>
      <c r="XEW925" s="221">
        <v>4880.9702150000003</v>
      </c>
      <c r="XEX925" s="198">
        <f t="shared" si="178"/>
        <v>-4.9944243724248105E-3</v>
      </c>
    </row>
    <row r="926" spans="16374:16378" x14ac:dyDescent="0.2">
      <c r="XET926" s="220">
        <v>42298</v>
      </c>
      <c r="XEU926" s="221">
        <v>14.006</v>
      </c>
      <c r="XEV926" s="198">
        <f t="shared" si="177"/>
        <v>-1.3800873116462498E-2</v>
      </c>
      <c r="XEW926" s="221">
        <v>4840.1201170000004</v>
      </c>
      <c r="XEX926" s="198">
        <f t="shared" si="178"/>
        <v>-8.3692577910967625E-3</v>
      </c>
    </row>
    <row r="927" spans="16374:16378" x14ac:dyDescent="0.2">
      <c r="XET927" s="220">
        <v>42299</v>
      </c>
      <c r="XEU927" s="221">
        <v>14.114667000000001</v>
      </c>
      <c r="XEV927" s="198">
        <f t="shared" si="177"/>
        <v>7.7586034556618166E-3</v>
      </c>
      <c r="XEW927" s="221">
        <v>4920.0498049999997</v>
      </c>
      <c r="XEX927" s="198">
        <f t="shared" si="178"/>
        <v>1.6513988510173938E-2</v>
      </c>
    </row>
    <row r="928" spans="16374:16378" x14ac:dyDescent="0.2">
      <c r="XET928" s="220">
        <v>42300</v>
      </c>
      <c r="XEU928" s="221">
        <v>13.939333</v>
      </c>
      <c r="XEV928" s="198">
        <f t="shared" si="177"/>
        <v>-1.2422113819617664E-2</v>
      </c>
      <c r="XEW928" s="221">
        <v>5031.8598629999997</v>
      </c>
      <c r="XEX928" s="198">
        <f t="shared" si="178"/>
        <v>2.2725391496316361E-2</v>
      </c>
    </row>
    <row r="929" spans="16374:16378" x14ac:dyDescent="0.2">
      <c r="XET929" s="220">
        <v>42303</v>
      </c>
      <c r="XEU929" s="221">
        <v>14.350667</v>
      </c>
      <c r="XEV929" s="198">
        <f t="shared" si="177"/>
        <v>2.9508872483353432E-2</v>
      </c>
      <c r="XEW929" s="221">
        <v>5034.7001950000003</v>
      </c>
      <c r="XEX929" s="198">
        <f t="shared" si="178"/>
        <v>5.6446961507927718E-4</v>
      </c>
    </row>
    <row r="930" spans="16374:16378" x14ac:dyDescent="0.2">
      <c r="XET930" s="220">
        <v>42304</v>
      </c>
      <c r="XEU930" s="221">
        <v>14.023332999999999</v>
      </c>
      <c r="XEV930" s="198">
        <f t="shared" si="177"/>
        <v>-2.2809671494711692E-2</v>
      </c>
      <c r="XEW930" s="221">
        <v>5030.1499020000001</v>
      </c>
      <c r="XEX930" s="198">
        <f t="shared" si="178"/>
        <v>-9.0378628791421001E-4</v>
      </c>
    </row>
    <row r="931" spans="16374:16378" x14ac:dyDescent="0.2">
      <c r="XET931" s="220">
        <v>42305</v>
      </c>
      <c r="XEU931" s="221">
        <v>14.197333</v>
      </c>
      <c r="XEV931" s="198">
        <f t="shared" si="177"/>
        <v>1.2407891904157253E-2</v>
      </c>
      <c r="XEW931" s="221">
        <v>5095.6899409999996</v>
      </c>
      <c r="XEX931" s="198">
        <f t="shared" si="178"/>
        <v>1.3029440528987246E-2</v>
      </c>
    </row>
    <row r="932" spans="16374:16378" x14ac:dyDescent="0.2">
      <c r="XET932" s="220">
        <v>42306</v>
      </c>
      <c r="XEU932" s="221">
        <v>14.108667000000001</v>
      </c>
      <c r="XEV932" s="198">
        <f t="shared" si="177"/>
        <v>-6.2452574719491505E-3</v>
      </c>
      <c r="XEW932" s="221">
        <v>5074.2700199999999</v>
      </c>
      <c r="XEX932" s="198">
        <f t="shared" si="178"/>
        <v>-4.2035369592751115E-3</v>
      </c>
    </row>
    <row r="933" spans="16374:16378" x14ac:dyDescent="0.2">
      <c r="XET933" s="220">
        <v>42307</v>
      </c>
      <c r="XEU933" s="221">
        <v>13.795332999999999</v>
      </c>
      <c r="XEV933" s="198">
        <f t="shared" si="177"/>
        <v>-2.2208618291154059E-2</v>
      </c>
      <c r="XEW933" s="221">
        <v>5053.75</v>
      </c>
      <c r="XEX933" s="198">
        <f t="shared" si="178"/>
        <v>-4.0439353678699552E-3</v>
      </c>
    </row>
    <row r="934" spans="16374:16378" x14ac:dyDescent="0.2">
      <c r="XET934" s="220">
        <v>42310</v>
      </c>
      <c r="XEU934" s="221">
        <v>14.252667000000001</v>
      </c>
      <c r="XEV934" s="198">
        <f t="shared" si="177"/>
        <v>3.3151356331884152E-2</v>
      </c>
      <c r="XEW934" s="221">
        <v>5127.1499020000001</v>
      </c>
      <c r="XEX934" s="198">
        <f t="shared" si="178"/>
        <v>1.4523849023002633E-2</v>
      </c>
    </row>
    <row r="935" spans="16374:16378" x14ac:dyDescent="0.2">
      <c r="XET935" s="220">
        <v>42311</v>
      </c>
      <c r="XEU935" s="221">
        <v>13.89</v>
      </c>
      <c r="XEV935" s="198">
        <f t="shared" si="177"/>
        <v>-2.544555345325894E-2</v>
      </c>
      <c r="XEW935" s="221">
        <v>5145.1298829999996</v>
      </c>
      <c r="XEX935" s="198">
        <f t="shared" si="178"/>
        <v>3.5068178897961211E-3</v>
      </c>
    </row>
    <row r="936" spans="16374:16378" x14ac:dyDescent="0.2">
      <c r="XET936" s="220">
        <v>42312</v>
      </c>
      <c r="XEU936" s="221">
        <v>15.442</v>
      </c>
      <c r="XEV936" s="198">
        <f t="shared" si="177"/>
        <v>0.11173506119510446</v>
      </c>
      <c r="XEW936" s="221">
        <v>5142.4799800000001</v>
      </c>
      <c r="XEX936" s="198">
        <f t="shared" si="178"/>
        <v>-5.1503131315600026E-4</v>
      </c>
    </row>
    <row r="937" spans="16374:16378" x14ac:dyDescent="0.2">
      <c r="XET937" s="220">
        <v>42313</v>
      </c>
      <c r="XEU937" s="221">
        <v>15.451333</v>
      </c>
      <c r="XEV937" s="198">
        <f t="shared" si="177"/>
        <v>6.0439062297623636E-4</v>
      </c>
      <c r="XEW937" s="221">
        <v>5127.7402339999999</v>
      </c>
      <c r="XEX937" s="198">
        <f t="shared" si="178"/>
        <v>-2.86627192664346E-3</v>
      </c>
    </row>
    <row r="938" spans="16374:16378" x14ac:dyDescent="0.2">
      <c r="XET938" s="220">
        <v>42314</v>
      </c>
      <c r="XEU938" s="221">
        <v>15.490667</v>
      </c>
      <c r="XEV938" s="198">
        <f t="shared" si="177"/>
        <v>2.545670331485228E-3</v>
      </c>
      <c r="XEW938" s="221">
        <v>5147.1201170000004</v>
      </c>
      <c r="XEX938" s="198">
        <f t="shared" si="178"/>
        <v>3.7794198059215578E-3</v>
      </c>
    </row>
    <row r="939" spans="16374:16378" x14ac:dyDescent="0.2">
      <c r="XET939" s="220">
        <v>42317</v>
      </c>
      <c r="XEU939" s="221">
        <v>15.022</v>
      </c>
      <c r="XEV939" s="198">
        <f t="shared" si="177"/>
        <v>-3.0254797937364519E-2</v>
      </c>
      <c r="XEW939" s="221">
        <v>5095.2998049999997</v>
      </c>
      <c r="XEX939" s="198">
        <f t="shared" si="178"/>
        <v>-1.0067826439264072E-2</v>
      </c>
    </row>
    <row r="940" spans="16374:16378" x14ac:dyDescent="0.2">
      <c r="XET940" s="220">
        <v>42318</v>
      </c>
      <c r="XEU940" s="221">
        <v>14.433332999999999</v>
      </c>
      <c r="XEV940" s="198">
        <f t="shared" si="177"/>
        <v>-3.9186992411130439E-2</v>
      </c>
      <c r="XEW940" s="221">
        <v>5083.2402339999999</v>
      </c>
      <c r="XEX940" s="198">
        <f t="shared" si="178"/>
        <v>-2.3668030266179585E-3</v>
      </c>
    </row>
    <row r="941" spans="16374:16378" x14ac:dyDescent="0.2">
      <c r="XET941" s="220">
        <v>42319</v>
      </c>
      <c r="XEU941" s="221">
        <v>14.605333</v>
      </c>
      <c r="XEV941" s="198">
        <f t="shared" si="177"/>
        <v>1.1916859397617996E-2</v>
      </c>
      <c r="XEW941" s="221">
        <v>5067.0200199999999</v>
      </c>
      <c r="XEX941" s="198">
        <f t="shared" si="178"/>
        <v>-3.1909202109923207E-3</v>
      </c>
    </row>
    <row r="942" spans="16374:16378" x14ac:dyDescent="0.2">
      <c r="XET942" s="220">
        <v>42320</v>
      </c>
      <c r="XEU942" s="221">
        <v>14.196</v>
      </c>
      <c r="XEV942" s="198">
        <f t="shared" si="177"/>
        <v>-2.802626958248744E-2</v>
      </c>
      <c r="XEW942" s="221">
        <v>5005.080078</v>
      </c>
      <c r="XEX942" s="198">
        <f t="shared" si="178"/>
        <v>-1.2224136031734112E-2</v>
      </c>
    </row>
    <row r="943" spans="16374:16378" x14ac:dyDescent="0.2">
      <c r="XET943" s="220">
        <v>42321</v>
      </c>
      <c r="XEU943" s="221">
        <v>13.812666999999999</v>
      </c>
      <c r="XEV943" s="198">
        <f t="shared" si="177"/>
        <v>-2.7002888137503511E-2</v>
      </c>
      <c r="XEW943" s="221">
        <v>4927.8798829999996</v>
      </c>
      <c r="XEX943" s="198">
        <f t="shared" si="178"/>
        <v>-1.542436760189636E-2</v>
      </c>
    </row>
    <row r="944" spans="16374:16378" x14ac:dyDescent="0.2">
      <c r="XET944" s="220">
        <v>42324</v>
      </c>
      <c r="XEU944" s="221">
        <v>14.287333</v>
      </c>
      <c r="XEV944" s="198">
        <f t="shared" si="177"/>
        <v>3.4364543791579161E-2</v>
      </c>
      <c r="XEW944" s="221">
        <v>4984.6201170000004</v>
      </c>
      <c r="XEX944" s="198">
        <f t="shared" si="178"/>
        <v>1.1514126834897276E-2</v>
      </c>
    </row>
    <row r="945" spans="16374:16378" x14ac:dyDescent="0.2">
      <c r="XET945" s="220">
        <v>42325</v>
      </c>
      <c r="XEU945" s="221">
        <v>14.266667</v>
      </c>
      <c r="XEV945" s="198">
        <f t="shared" si="177"/>
        <v>-1.4464561020590683E-3</v>
      </c>
      <c r="XEW945" s="221">
        <v>4986.0200199999999</v>
      </c>
      <c r="XEX945" s="198">
        <f t="shared" si="178"/>
        <v>2.8084447102094678E-4</v>
      </c>
    </row>
    <row r="946" spans="16374:16378" x14ac:dyDescent="0.2">
      <c r="XET946" s="220">
        <v>42326</v>
      </c>
      <c r="XEU946" s="221">
        <v>14.738</v>
      </c>
      <c r="XEV946" s="198">
        <f t="shared" si="177"/>
        <v>3.3037359041183212E-2</v>
      </c>
      <c r="XEW946" s="221">
        <v>5075.2001950000003</v>
      </c>
      <c r="XEX946" s="198">
        <f t="shared" si="178"/>
        <v>1.7886044308341953E-2</v>
      </c>
    </row>
    <row r="947" spans="16374:16378" x14ac:dyDescent="0.2">
      <c r="XET947" s="220">
        <v>42327</v>
      </c>
      <c r="XEU947" s="221">
        <v>14.786667</v>
      </c>
      <c r="XEV947" s="198">
        <f t="shared" si="177"/>
        <v>3.3021441172478294E-3</v>
      </c>
      <c r="XEW947" s="221">
        <v>5073.6401370000003</v>
      </c>
      <c r="XEX947" s="198">
        <f t="shared" si="178"/>
        <v>-3.073884654908321E-4</v>
      </c>
    </row>
    <row r="948" spans="16374:16378" x14ac:dyDescent="0.2">
      <c r="XET948" s="220">
        <v>42328</v>
      </c>
      <c r="XEU948" s="221">
        <v>14.667332999999999</v>
      </c>
      <c r="XEV948" s="198">
        <f t="shared" si="177"/>
        <v>-8.0703785376380344E-3</v>
      </c>
      <c r="XEW948" s="221">
        <v>5104.919922</v>
      </c>
      <c r="XEX948" s="198">
        <f t="shared" si="178"/>
        <v>6.1651564075049237E-3</v>
      </c>
    </row>
    <row r="949" spans="16374:16378" x14ac:dyDescent="0.2">
      <c r="XET949" s="220">
        <v>42331</v>
      </c>
      <c r="XEU949" s="221">
        <v>14.516667</v>
      </c>
      <c r="XEV949" s="198">
        <f t="shared" si="177"/>
        <v>-1.0272215132771545E-2</v>
      </c>
      <c r="XEW949" s="221">
        <v>5102.4799800000001</v>
      </c>
      <c r="XEX949" s="198">
        <f t="shared" si="178"/>
        <v>-4.7795891753066311E-4</v>
      </c>
    </row>
    <row r="950" spans="16374:16378" x14ac:dyDescent="0.2">
      <c r="XET950" s="220">
        <v>42332</v>
      </c>
      <c r="XEU950" s="221">
        <v>14.55</v>
      </c>
      <c r="XEV950" s="198">
        <f t="shared" si="177"/>
        <v>2.2961882365972741E-3</v>
      </c>
      <c r="XEW950" s="221">
        <v>5102.8100590000004</v>
      </c>
      <c r="XEX950" s="198">
        <f t="shared" si="178"/>
        <v>6.4689915745708149E-5</v>
      </c>
    </row>
    <row r="951" spans="16374:16378" x14ac:dyDescent="0.2">
      <c r="XET951" s="220">
        <v>42333</v>
      </c>
      <c r="XEU951" s="221">
        <v>15.309333000000001</v>
      </c>
      <c r="XEV951" s="198">
        <f t="shared" si="177"/>
        <v>5.2187835051546339E-2</v>
      </c>
      <c r="XEW951" s="221">
        <v>5116.1401370000003</v>
      </c>
      <c r="XEX951" s="198">
        <f t="shared" si="178"/>
        <v>2.6123014272281253E-3</v>
      </c>
    </row>
    <row r="952" spans="16374:16378" x14ac:dyDescent="0.2">
      <c r="XET952" s="220">
        <v>42335</v>
      </c>
      <c r="XEU952" s="221">
        <v>15.440666999999999</v>
      </c>
      <c r="XEV952" s="198">
        <f t="shared" si="177"/>
        <v>8.5786885686005565E-3</v>
      </c>
      <c r="XEW952" s="221">
        <v>5127.5200199999999</v>
      </c>
      <c r="XEX952" s="198">
        <f t="shared" si="178"/>
        <v>2.2243102603269893E-3</v>
      </c>
    </row>
    <row r="953" spans="16374:16378" x14ac:dyDescent="0.2">
      <c r="XET953" s="220">
        <v>42338</v>
      </c>
      <c r="XEU953" s="221">
        <v>15.350667</v>
      </c>
      <c r="XEV953" s="198">
        <f t="shared" si="177"/>
        <v>-5.8287637444677243E-3</v>
      </c>
      <c r="XEW953" s="221">
        <v>5108.669922</v>
      </c>
      <c r="XEX953" s="198">
        <f t="shared" si="178"/>
        <v>-3.6762602440311154E-3</v>
      </c>
    </row>
    <row r="954" spans="16374:16378" x14ac:dyDescent="0.2">
      <c r="XET954" s="220">
        <v>42339</v>
      </c>
      <c r="XEU954" s="221">
        <v>15.812666999999999</v>
      </c>
      <c r="XEV954" s="198">
        <f t="shared" si="177"/>
        <v>3.0096412097272429E-2</v>
      </c>
      <c r="XEW954" s="221">
        <v>5156.3100590000004</v>
      </c>
      <c r="XEX954" s="198">
        <f t="shared" si="178"/>
        <v>9.3253503803099047E-3</v>
      </c>
    </row>
    <row r="955" spans="16374:16378" x14ac:dyDescent="0.2">
      <c r="XET955" s="220">
        <v>42340</v>
      </c>
      <c r="XEU955" s="221">
        <v>15.465999999999999</v>
      </c>
      <c r="XEV955" s="198">
        <f t="shared" si="177"/>
        <v>-2.1923373204532748E-2</v>
      </c>
      <c r="XEW955" s="221">
        <v>5123.2202150000003</v>
      </c>
      <c r="XEX955" s="198">
        <f t="shared" si="178"/>
        <v>-6.4173495428662131E-3</v>
      </c>
    </row>
    <row r="956" spans="16374:16378" x14ac:dyDescent="0.2">
      <c r="XET956" s="220">
        <v>42341</v>
      </c>
      <c r="XEU956" s="221">
        <v>15.513999999999999</v>
      </c>
      <c r="XEV956" s="198">
        <f t="shared" si="177"/>
        <v>3.1035820509504042E-3</v>
      </c>
      <c r="XEW956" s="221">
        <v>5037.5297849999997</v>
      </c>
      <c r="XEX956" s="198">
        <f t="shared" si="178"/>
        <v>-1.6725892388758212E-2</v>
      </c>
    </row>
    <row r="957" spans="16374:16378" x14ac:dyDescent="0.2">
      <c r="XET957" s="220">
        <v>42342</v>
      </c>
      <c r="XEU957" s="221">
        <v>15.358667000000001</v>
      </c>
      <c r="XEV957" s="198">
        <f t="shared" si="177"/>
        <v>-1.0012440376434117E-2</v>
      </c>
      <c r="XEW957" s="221">
        <v>5142.2700199999999</v>
      </c>
      <c r="XEX957" s="198">
        <f t="shared" si="178"/>
        <v>2.0791983267648417E-2</v>
      </c>
    </row>
    <row r="958" spans="16374:16378" x14ac:dyDescent="0.2">
      <c r="XET958" s="220">
        <v>42345</v>
      </c>
      <c r="XEU958" s="221">
        <v>15.408666999999999</v>
      </c>
      <c r="XEV958" s="198">
        <f t="shared" si="177"/>
        <v>3.2554908573769747E-3</v>
      </c>
      <c r="XEW958" s="221">
        <v>5101.8100590000004</v>
      </c>
      <c r="XEX958" s="198">
        <f t="shared" si="178"/>
        <v>-7.8681128845116133E-3</v>
      </c>
    </row>
    <row r="959" spans="16374:16378" x14ac:dyDescent="0.2">
      <c r="XET959" s="220">
        <v>42346</v>
      </c>
      <c r="XEU959" s="221">
        <v>15.114667000000001</v>
      </c>
      <c r="XEV959" s="198">
        <f t="shared" si="177"/>
        <v>-1.9080170919392181E-2</v>
      </c>
      <c r="XEW959" s="221">
        <v>5098.2402339999999</v>
      </c>
      <c r="XEX959" s="198">
        <f t="shared" si="178"/>
        <v>-6.9971734712137579E-4</v>
      </c>
    </row>
    <row r="960" spans="16374:16378" x14ac:dyDescent="0.2">
      <c r="XET960" s="220">
        <v>42347</v>
      </c>
      <c r="XEU960" s="221">
        <v>14.968</v>
      </c>
      <c r="XEV960" s="198">
        <f t="shared" si="177"/>
        <v>-9.7036209927747752E-3</v>
      </c>
      <c r="XEW960" s="221">
        <v>5022.8701170000004</v>
      </c>
      <c r="XEX960" s="198">
        <f t="shared" si="178"/>
        <v>-1.4783555411406191E-2</v>
      </c>
    </row>
    <row r="961" spans="16374:16378" x14ac:dyDescent="0.2">
      <c r="XET961" s="220">
        <v>42348</v>
      </c>
      <c r="XEU961" s="221">
        <v>15.138</v>
      </c>
      <c r="XEV961" s="198">
        <f t="shared" si="177"/>
        <v>1.1357562800641263E-2</v>
      </c>
      <c r="XEW961" s="221">
        <v>5045.169922</v>
      </c>
      <c r="XEX961" s="198">
        <f t="shared" si="178"/>
        <v>4.4396539190860729E-3</v>
      </c>
    </row>
    <row r="962" spans="16374:16378" x14ac:dyDescent="0.2">
      <c r="XET962" s="220">
        <v>42349</v>
      </c>
      <c r="XEU962" s="221">
        <v>14.468</v>
      </c>
      <c r="XEV962" s="198">
        <f t="shared" si="177"/>
        <v>-4.4259479455674433E-2</v>
      </c>
      <c r="XEW962" s="221">
        <v>4933.4702150000003</v>
      </c>
      <c r="XEX962" s="198">
        <f t="shared" si="178"/>
        <v>-2.213992962118505E-2</v>
      </c>
    </row>
    <row r="963" spans="16374:16378" x14ac:dyDescent="0.2">
      <c r="XET963" s="220">
        <v>42352</v>
      </c>
      <c r="XEU963" s="221">
        <v>14.571999999999999</v>
      </c>
      <c r="XEV963" s="198">
        <f t="shared" si="177"/>
        <v>7.1882775781033637E-3</v>
      </c>
      <c r="XEW963" s="221">
        <v>4952.2299800000001</v>
      </c>
      <c r="XEX963" s="198">
        <f t="shared" si="178"/>
        <v>3.8025495609483873E-3</v>
      </c>
    </row>
    <row r="964" spans="16374:16378" x14ac:dyDescent="0.2">
      <c r="XET964" s="220">
        <v>42353</v>
      </c>
      <c r="XEU964" s="221">
        <v>14.739333</v>
      </c>
      <c r="XEV964" s="198">
        <f t="shared" si="177"/>
        <v>1.1483186933845868E-2</v>
      </c>
      <c r="XEW964" s="221">
        <v>4995.3598629999997</v>
      </c>
      <c r="XEX964" s="198">
        <f t="shared" si="178"/>
        <v>8.7091841804971537E-3</v>
      </c>
    </row>
    <row r="965" spans="16374:16378" x14ac:dyDescent="0.2">
      <c r="XET965" s="220">
        <v>42354</v>
      </c>
      <c r="XEU965" s="221">
        <v>15.634</v>
      </c>
      <c r="XEV965" s="198">
        <f t="shared" si="177"/>
        <v>6.0699286731631608E-2</v>
      </c>
      <c r="XEW965" s="221">
        <v>5071.1298829999996</v>
      </c>
      <c r="XEX965" s="198">
        <f t="shared" si="178"/>
        <v>1.5168080394211136E-2</v>
      </c>
    </row>
    <row r="966" spans="16374:16378" x14ac:dyDescent="0.2">
      <c r="XET966" s="220">
        <v>42355</v>
      </c>
      <c r="XEU966" s="221">
        <v>15.559333000000001</v>
      </c>
      <c r="XEV966" s="198">
        <f t="shared" si="177"/>
        <v>-4.7759370602532547E-3</v>
      </c>
      <c r="XEW966" s="221">
        <v>5002.5498049999997</v>
      </c>
      <c r="XEX966" s="198">
        <f t="shared" si="178"/>
        <v>-1.3523628773520757E-2</v>
      </c>
    </row>
    <row r="967" spans="16374:16378" x14ac:dyDescent="0.2">
      <c r="XET967" s="220">
        <v>42356</v>
      </c>
      <c r="XEU967" s="221">
        <v>15.364000000000001</v>
      </c>
      <c r="XEV967" s="198">
        <f t="shared" si="177"/>
        <v>-1.2554072851323372E-2</v>
      </c>
      <c r="XEW967" s="221">
        <v>4923.080078</v>
      </c>
      <c r="XEX967" s="198">
        <f t="shared" si="178"/>
        <v>-1.588584423898598E-2</v>
      </c>
    </row>
    <row r="968" spans="16374:16378" x14ac:dyDescent="0.2">
      <c r="XET968" s="220">
        <v>42359</v>
      </c>
      <c r="XEU968" s="221">
        <v>15.504</v>
      </c>
      <c r="XEV968" s="198">
        <f t="shared" si="177"/>
        <v>9.1122103618848094E-3</v>
      </c>
      <c r="XEW968" s="221">
        <v>4968.919922</v>
      </c>
      <c r="XEX968" s="198">
        <f t="shared" si="178"/>
        <v>9.3112123454677231E-3</v>
      </c>
    </row>
    <row r="969" spans="16374:16378" x14ac:dyDescent="0.2">
      <c r="XET969" s="220">
        <v>42360</v>
      </c>
      <c r="XEU969" s="221">
        <v>15.33</v>
      </c>
      <c r="XEV969" s="198">
        <f t="shared" si="177"/>
        <v>-1.1222910216718285E-2</v>
      </c>
      <c r="XEW969" s="221">
        <v>5001.1098629999997</v>
      </c>
      <c r="XEX969" s="198">
        <f t="shared" si="178"/>
        <v>6.4782571474895079E-3</v>
      </c>
    </row>
    <row r="970" spans="16374:16378" x14ac:dyDescent="0.2">
      <c r="XET970" s="220">
        <v>42361</v>
      </c>
      <c r="XEU970" s="221">
        <v>15.313333</v>
      </c>
      <c r="XEV970" s="198">
        <f t="shared" si="177"/>
        <v>-1.0872146118721115E-3</v>
      </c>
      <c r="XEW970" s="221">
        <v>5045.9301759999998</v>
      </c>
      <c r="XEX970" s="198">
        <f t="shared" si="178"/>
        <v>8.9620732652959667E-3</v>
      </c>
    </row>
    <row r="971" spans="16374:16378" x14ac:dyDescent="0.2">
      <c r="XET971" s="220">
        <v>42362</v>
      </c>
      <c r="XEU971" s="221">
        <v>15.371333</v>
      </c>
      <c r="XEV971" s="198">
        <f t="shared" si="177"/>
        <v>3.787549059371953E-3</v>
      </c>
      <c r="XEW971" s="221">
        <v>5048.4902339999999</v>
      </c>
      <c r="XEX971" s="198">
        <f t="shared" si="178"/>
        <v>5.0735105534682745E-4</v>
      </c>
    </row>
    <row r="972" spans="16374:16378" x14ac:dyDescent="0.2">
      <c r="XET972" s="220">
        <v>42366</v>
      </c>
      <c r="XEU972" s="221">
        <v>15.263332999999999</v>
      </c>
      <c r="XEV972" s="198">
        <f t="shared" ref="XEV972:XEV1035" si="179">XEU972/XEU971-1</f>
        <v>-7.0260659892021904E-3</v>
      </c>
      <c r="XEW972" s="221">
        <v>5040.9902339999999</v>
      </c>
      <c r="XEX972" s="198">
        <f t="shared" ref="XEX972:XEX1035" si="180">XEW972/XEW971-1</f>
        <v>-1.4855926529261376E-3</v>
      </c>
    </row>
    <row r="973" spans="16374:16378" x14ac:dyDescent="0.2">
      <c r="XET973" s="220">
        <v>42367</v>
      </c>
      <c r="XEU973" s="221">
        <v>15.812666999999999</v>
      </c>
      <c r="XEV973" s="198">
        <f t="shared" si="179"/>
        <v>3.5990435378694841E-2</v>
      </c>
      <c r="XEW973" s="221">
        <v>5107.9399409999996</v>
      </c>
      <c r="XEX973" s="198">
        <f t="shared" si="180"/>
        <v>1.3281062627029883E-2</v>
      </c>
    </row>
    <row r="974" spans="16374:16378" x14ac:dyDescent="0.2">
      <c r="XET974" s="220">
        <v>42368</v>
      </c>
      <c r="XEU974" s="221">
        <v>15.872667</v>
      </c>
      <c r="XEV974" s="198">
        <f t="shared" si="179"/>
        <v>3.7944263292206681E-3</v>
      </c>
      <c r="XEW974" s="221">
        <v>5065.8500979999999</v>
      </c>
      <c r="XEX974" s="198">
        <f t="shared" si="180"/>
        <v>-8.2400818110950347E-3</v>
      </c>
    </row>
    <row r="975" spans="16374:16378" x14ac:dyDescent="0.2">
      <c r="XET975" s="220">
        <v>42369</v>
      </c>
      <c r="XEU975" s="221">
        <v>16.000668000000001</v>
      </c>
      <c r="XEV975" s="198">
        <f t="shared" si="179"/>
        <v>8.0642402439363714E-3</v>
      </c>
      <c r="XEW975" s="221">
        <v>5007.4101559999999</v>
      </c>
      <c r="XEX975" s="198">
        <f t="shared" si="180"/>
        <v>-1.153605828626314E-2</v>
      </c>
    </row>
    <row r="976" spans="16374:16378" x14ac:dyDescent="0.2">
      <c r="XET976" s="220">
        <v>42373</v>
      </c>
      <c r="XEU976" s="221">
        <v>14.894</v>
      </c>
      <c r="XEV976" s="198">
        <f t="shared" si="179"/>
        <v>-6.9163862408744503E-2</v>
      </c>
      <c r="XEW976" s="221">
        <v>4903.0898440000001</v>
      </c>
      <c r="XEX976" s="198">
        <f t="shared" si="180"/>
        <v>-2.0833186966919603E-2</v>
      </c>
    </row>
    <row r="977" spans="16374:16378" x14ac:dyDescent="0.2">
      <c r="XET977" s="220">
        <v>42374</v>
      </c>
      <c r="XEU977" s="221">
        <v>14.895333000000001</v>
      </c>
      <c r="XEV977" s="198">
        <f t="shared" si="179"/>
        <v>8.949912716538222E-5</v>
      </c>
      <c r="XEW977" s="221">
        <v>4891.4301759999998</v>
      </c>
      <c r="XEX977" s="198">
        <f t="shared" si="180"/>
        <v>-2.3780245459439353E-3</v>
      </c>
    </row>
    <row r="978" spans="16374:16378" x14ac:dyDescent="0.2">
      <c r="XET978" s="220">
        <v>42375</v>
      </c>
      <c r="XEU978" s="221">
        <v>14.602667</v>
      </c>
      <c r="XEV978" s="198">
        <f t="shared" si="179"/>
        <v>-1.964816765090116E-2</v>
      </c>
      <c r="XEW978" s="221">
        <v>4835.7597660000001</v>
      </c>
      <c r="XEX978" s="198">
        <f t="shared" si="180"/>
        <v>-1.1381213264200052E-2</v>
      </c>
    </row>
    <row r="979" spans="16374:16378" x14ac:dyDescent="0.2">
      <c r="XET979" s="220">
        <v>42376</v>
      </c>
      <c r="XEU979" s="221">
        <v>14.376666999999999</v>
      </c>
      <c r="XEV979" s="198">
        <f t="shared" si="179"/>
        <v>-1.5476624920639503E-2</v>
      </c>
      <c r="XEW979" s="221">
        <v>4689.4301759999998</v>
      </c>
      <c r="XEX979" s="198">
        <f t="shared" si="180"/>
        <v>-3.0259896496272809E-2</v>
      </c>
    </row>
    <row r="980" spans="16374:16378" x14ac:dyDescent="0.2">
      <c r="XET980" s="220">
        <v>42377</v>
      </c>
      <c r="XEU980" s="221">
        <v>14.066667000000001</v>
      </c>
      <c r="XEV980" s="198">
        <f t="shared" si="179"/>
        <v>-2.1562716866155296E-2</v>
      </c>
      <c r="XEW980" s="221">
        <v>4643.6298829999996</v>
      </c>
      <c r="XEX980" s="198">
        <f t="shared" si="180"/>
        <v>-9.7667075275800208E-3</v>
      </c>
    </row>
    <row r="981" spans="16374:16378" x14ac:dyDescent="0.2">
      <c r="XET981" s="220">
        <v>42380</v>
      </c>
      <c r="XEU981" s="221">
        <v>13.856667</v>
      </c>
      <c r="XEV981" s="198">
        <f t="shared" si="179"/>
        <v>-1.4928909598841078E-2</v>
      </c>
      <c r="XEW981" s="221">
        <v>4637.9902339999999</v>
      </c>
      <c r="XEX981" s="198">
        <f t="shared" si="180"/>
        <v>-1.2144914952516572E-3</v>
      </c>
    </row>
    <row r="982" spans="16374:16378" x14ac:dyDescent="0.2">
      <c r="XET982" s="220">
        <v>42381</v>
      </c>
      <c r="XEU982" s="221">
        <v>13.997999999999999</v>
      </c>
      <c r="XEV982" s="198">
        <f t="shared" si="179"/>
        <v>1.01996389174972E-2</v>
      </c>
      <c r="XEW982" s="221">
        <v>4685.919922</v>
      </c>
      <c r="XEX982" s="198">
        <f t="shared" si="180"/>
        <v>1.033415026375839E-2</v>
      </c>
    </row>
    <row r="983" spans="16374:16378" x14ac:dyDescent="0.2">
      <c r="XET983" s="220">
        <v>42382</v>
      </c>
      <c r="XEU983" s="221">
        <v>13.353999999999999</v>
      </c>
      <c r="XEV983" s="198">
        <f t="shared" si="179"/>
        <v>-4.6006572367481069E-2</v>
      </c>
      <c r="XEW983" s="221">
        <v>4526.0600590000004</v>
      </c>
      <c r="XEX983" s="198">
        <f t="shared" si="180"/>
        <v>-3.4114937015775948E-2</v>
      </c>
    </row>
    <row r="984" spans="16374:16378" x14ac:dyDescent="0.2">
      <c r="XET984" s="220">
        <v>42383</v>
      </c>
      <c r="XEU984" s="221">
        <v>13.745333</v>
      </c>
      <c r="XEV984" s="198">
        <f t="shared" si="179"/>
        <v>2.9304552942938544E-2</v>
      </c>
      <c r="XEW984" s="221">
        <v>4615</v>
      </c>
      <c r="XEX984" s="198">
        <f t="shared" si="180"/>
        <v>1.9650632081901875E-2</v>
      </c>
    </row>
    <row r="985" spans="16374:16378" x14ac:dyDescent="0.2">
      <c r="XET985" s="220">
        <v>42384</v>
      </c>
      <c r="XEU985" s="221">
        <v>13.666</v>
      </c>
      <c r="XEV985" s="198">
        <f t="shared" si="179"/>
        <v>-5.7716317240186221E-3</v>
      </c>
      <c r="XEW985" s="221">
        <v>4488.419922</v>
      </c>
      <c r="XEX985" s="198">
        <f t="shared" si="180"/>
        <v>-2.7427969230769178E-2</v>
      </c>
    </row>
    <row r="986" spans="16374:16378" x14ac:dyDescent="0.2">
      <c r="XET986" s="220">
        <v>42388</v>
      </c>
      <c r="XEU986" s="221">
        <v>13.648</v>
      </c>
      <c r="XEV986" s="198">
        <f t="shared" si="179"/>
        <v>-1.3171374213376552E-3</v>
      </c>
      <c r="XEW986" s="221">
        <v>4476.9501950000003</v>
      </c>
      <c r="XEX986" s="198">
        <f t="shared" si="180"/>
        <v>-2.5554041732549493E-3</v>
      </c>
    </row>
    <row r="987" spans="16374:16378" x14ac:dyDescent="0.2">
      <c r="XET987" s="220">
        <v>42389</v>
      </c>
      <c r="XEU987" s="221">
        <v>13.246667</v>
      </c>
      <c r="XEV987" s="198">
        <f t="shared" si="179"/>
        <v>-2.9405993552168774E-2</v>
      </c>
      <c r="XEW987" s="221">
        <v>4471.6899409999996</v>
      </c>
      <c r="XEX987" s="198">
        <f t="shared" si="180"/>
        <v>-1.1749637076319264E-3</v>
      </c>
    </row>
    <row r="988" spans="16374:16378" x14ac:dyDescent="0.2">
      <c r="XET988" s="220">
        <v>42390</v>
      </c>
      <c r="XEU988" s="221">
        <v>13.331333000000001</v>
      </c>
      <c r="XEV988" s="198">
        <f t="shared" si="179"/>
        <v>6.3914945548189106E-3</v>
      </c>
      <c r="XEW988" s="221">
        <v>4472.0600590000004</v>
      </c>
      <c r="XEX988" s="198">
        <f t="shared" si="180"/>
        <v>8.2769155483441992E-5</v>
      </c>
    </row>
    <row r="989" spans="16374:16378" x14ac:dyDescent="0.2">
      <c r="XET989" s="220">
        <v>42391</v>
      </c>
      <c r="XEU989" s="221">
        <v>13.503333</v>
      </c>
      <c r="XEV989" s="198">
        <f t="shared" si="179"/>
        <v>1.2901935612890325E-2</v>
      </c>
      <c r="XEW989" s="221">
        <v>4591.1801759999998</v>
      </c>
      <c r="XEX989" s="198">
        <f t="shared" si="180"/>
        <v>2.6636519954661875E-2</v>
      </c>
    </row>
    <row r="990" spans="16374:16378" x14ac:dyDescent="0.2">
      <c r="XET990" s="220">
        <v>42394</v>
      </c>
      <c r="XEU990" s="221">
        <v>13.092000000000001</v>
      </c>
      <c r="XEV990" s="198">
        <f t="shared" si="179"/>
        <v>-3.0461590482882883E-2</v>
      </c>
      <c r="XEW990" s="221">
        <v>4518.4902339999999</v>
      </c>
      <c r="XEX990" s="198">
        <f t="shared" si="180"/>
        <v>-1.5832517830596249E-2</v>
      </c>
    </row>
    <row r="991" spans="16374:16378" x14ac:dyDescent="0.2">
      <c r="XET991" s="220">
        <v>42395</v>
      </c>
      <c r="XEU991" s="221">
        <v>12.904</v>
      </c>
      <c r="XEV991" s="198">
        <f t="shared" si="179"/>
        <v>-1.4359914451573474E-2</v>
      </c>
      <c r="XEW991" s="221">
        <v>4567.669922</v>
      </c>
      <c r="XEX991" s="198">
        <f t="shared" si="180"/>
        <v>1.0884097442535268E-2</v>
      </c>
    </row>
    <row r="992" spans="16374:16378" x14ac:dyDescent="0.2">
      <c r="XET992" s="220">
        <v>42396</v>
      </c>
      <c r="XEU992" s="221">
        <v>12.538</v>
      </c>
      <c r="XEV992" s="198">
        <f t="shared" si="179"/>
        <v>-2.8363298202107812E-2</v>
      </c>
      <c r="XEW992" s="221">
        <v>4468.169922</v>
      </c>
      <c r="XEX992" s="198">
        <f t="shared" si="180"/>
        <v>-2.178353552229384E-2</v>
      </c>
    </row>
    <row r="993" spans="16374:16378" x14ac:dyDescent="0.2">
      <c r="XET993" s="220">
        <v>42397</v>
      </c>
      <c r="XEU993" s="221">
        <v>12.646667000000001</v>
      </c>
      <c r="XEV993" s="198">
        <f t="shared" si="179"/>
        <v>8.6670122826606466E-3</v>
      </c>
      <c r="XEW993" s="221">
        <v>4506.6801759999998</v>
      </c>
      <c r="XEX993" s="198">
        <f t="shared" si="180"/>
        <v>8.6187980028213929E-3</v>
      </c>
    </row>
    <row r="994" spans="16374:16378" x14ac:dyDescent="0.2">
      <c r="XET994" s="220">
        <v>42398</v>
      </c>
      <c r="XEU994" s="221">
        <v>12.746667</v>
      </c>
      <c r="XEV994" s="198">
        <f t="shared" si="179"/>
        <v>7.9072217209483764E-3</v>
      </c>
      <c r="XEW994" s="221">
        <v>4613.9501950000003</v>
      </c>
      <c r="XEX994" s="198">
        <f t="shared" si="180"/>
        <v>2.3802447657869985E-2</v>
      </c>
    </row>
    <row r="995" spans="16374:16378" x14ac:dyDescent="0.2">
      <c r="XET995" s="220">
        <v>42401</v>
      </c>
      <c r="XEU995" s="221">
        <v>13.129333000000001</v>
      </c>
      <c r="XEV995" s="198">
        <f t="shared" si="179"/>
        <v>3.0020867415772257E-2</v>
      </c>
      <c r="XEW995" s="221">
        <v>4620.3701170000004</v>
      </c>
      <c r="XEX995" s="198">
        <f t="shared" si="180"/>
        <v>1.3914155395429173E-3</v>
      </c>
    </row>
    <row r="996" spans="16374:16378" x14ac:dyDescent="0.2">
      <c r="XET996" s="220">
        <v>42402</v>
      </c>
      <c r="XEU996" s="221">
        <v>12.185333</v>
      </c>
      <c r="XEV996" s="198">
        <f t="shared" si="179"/>
        <v>-7.1900072913071877E-2</v>
      </c>
      <c r="XEW996" s="221">
        <v>4516.9501950000003</v>
      </c>
      <c r="XEX996" s="198">
        <f t="shared" si="180"/>
        <v>-2.2383471319641912E-2</v>
      </c>
    </row>
    <row r="997" spans="16374:16378" x14ac:dyDescent="0.2">
      <c r="XET997" s="220">
        <v>42403</v>
      </c>
      <c r="XEU997" s="221">
        <v>11.565333000000001</v>
      </c>
      <c r="XEV997" s="198">
        <f t="shared" si="179"/>
        <v>-5.0880841746384742E-2</v>
      </c>
      <c r="XEW997" s="221">
        <v>4504.2402339999999</v>
      </c>
      <c r="XEX997" s="198">
        <f t="shared" si="180"/>
        <v>-2.8138368703001237E-3</v>
      </c>
    </row>
    <row r="998" spans="16374:16378" x14ac:dyDescent="0.2">
      <c r="XET998" s="220">
        <v>42404</v>
      </c>
      <c r="XEU998" s="221">
        <v>11.688667000000001</v>
      </c>
      <c r="XEV998" s="198">
        <f t="shared" si="179"/>
        <v>1.0664111444089075E-2</v>
      </c>
      <c r="XEW998" s="221">
        <v>4509.5600590000004</v>
      </c>
      <c r="XEX998" s="198">
        <f t="shared" si="180"/>
        <v>1.1810704411021611E-3</v>
      </c>
    </row>
    <row r="999" spans="16374:16378" x14ac:dyDescent="0.2">
      <c r="XET999" s="220">
        <v>42405</v>
      </c>
      <c r="XEU999" s="221">
        <v>10.84</v>
      </c>
      <c r="XEV999" s="198">
        <f t="shared" si="179"/>
        <v>-7.2605969525866398E-2</v>
      </c>
      <c r="XEW999" s="221">
        <v>4363.1401370000003</v>
      </c>
      <c r="XEX999" s="198">
        <f t="shared" si="180"/>
        <v>-3.2468781895427012E-2</v>
      </c>
    </row>
    <row r="1000" spans="16374:16378" x14ac:dyDescent="0.2">
      <c r="XET1000" s="220">
        <v>42408</v>
      </c>
      <c r="XEU1000" s="221">
        <v>9.8659999999999997</v>
      </c>
      <c r="XEV1000" s="198">
        <f t="shared" si="179"/>
        <v>-8.98523985239853E-2</v>
      </c>
      <c r="XEW1000" s="221">
        <v>4283.75</v>
      </c>
      <c r="XEX1000" s="198">
        <f t="shared" si="180"/>
        <v>-1.8195642245538157E-2</v>
      </c>
    </row>
    <row r="1001" spans="16374:16378" x14ac:dyDescent="0.2">
      <c r="XET1001" s="220">
        <v>42409</v>
      </c>
      <c r="XEU1001" s="221">
        <v>9.8833330000000004</v>
      </c>
      <c r="XEV1001" s="198">
        <f t="shared" si="179"/>
        <v>1.7568416784918828E-3</v>
      </c>
      <c r="XEW1001" s="221">
        <v>4268.7597660000001</v>
      </c>
      <c r="XEX1001" s="198">
        <f t="shared" si="180"/>
        <v>-3.4993251240151846E-3</v>
      </c>
    </row>
    <row r="1002" spans="16374:16378" x14ac:dyDescent="0.2">
      <c r="XET1002" s="220">
        <v>42410</v>
      </c>
      <c r="XEU1002" s="221">
        <v>9.5779999999999994</v>
      </c>
      <c r="XEV1002" s="198">
        <f t="shared" si="179"/>
        <v>-3.0893727854763298E-2</v>
      </c>
      <c r="XEW1002" s="221">
        <v>4283.5898440000001</v>
      </c>
      <c r="XEX1002" s="198">
        <f t="shared" si="180"/>
        <v>3.4740952438034878E-3</v>
      </c>
    </row>
    <row r="1003" spans="16374:16378" x14ac:dyDescent="0.2">
      <c r="XET1003" s="220">
        <v>42411</v>
      </c>
      <c r="XEU1003" s="221">
        <v>10.031333</v>
      </c>
      <c r="XEV1003" s="198">
        <f t="shared" si="179"/>
        <v>4.7330653581123538E-2</v>
      </c>
      <c r="XEW1003" s="221">
        <v>4266.8398440000001</v>
      </c>
      <c r="XEX1003" s="198">
        <f t="shared" si="180"/>
        <v>-3.910271666990206E-3</v>
      </c>
    </row>
    <row r="1004" spans="16374:16378" x14ac:dyDescent="0.2">
      <c r="XET1004" s="220">
        <v>42412</v>
      </c>
      <c r="XEU1004" s="221">
        <v>10.069333</v>
      </c>
      <c r="XEV1004" s="198">
        <f t="shared" si="179"/>
        <v>3.7881306502336454E-3</v>
      </c>
      <c r="XEW1004" s="221">
        <v>4337.5097660000001</v>
      </c>
      <c r="XEX1004" s="198">
        <f t="shared" si="180"/>
        <v>1.6562590719071846E-2</v>
      </c>
    </row>
    <row r="1005" spans="16374:16378" x14ac:dyDescent="0.2">
      <c r="XET1005" s="220">
        <v>42416</v>
      </c>
      <c r="XEU1005" s="221">
        <v>10.344666999999999</v>
      </c>
      <c r="XEV1005" s="198">
        <f t="shared" si="179"/>
        <v>2.7343817112811752E-2</v>
      </c>
      <c r="XEW1005" s="221">
        <v>4435.9599609999996</v>
      </c>
      <c r="XEX1005" s="198">
        <f t="shared" si="180"/>
        <v>2.2697400193011807E-2</v>
      </c>
    </row>
    <row r="1006" spans="16374:16378" x14ac:dyDescent="0.2">
      <c r="XET1006" s="220">
        <v>42417</v>
      </c>
      <c r="XEU1006" s="221">
        <v>11.245333</v>
      </c>
      <c r="XEV1006" s="198">
        <f t="shared" si="179"/>
        <v>8.7065731550372893E-2</v>
      </c>
      <c r="XEW1006" s="221">
        <v>4534.0600590000004</v>
      </c>
      <c r="XEX1006" s="198">
        <f t="shared" si="180"/>
        <v>2.2114739281344997E-2</v>
      </c>
    </row>
    <row r="1007" spans="16374:16378" x14ac:dyDescent="0.2">
      <c r="XET1007" s="220">
        <v>42418</v>
      </c>
      <c r="XEU1007" s="221">
        <v>11.118</v>
      </c>
      <c r="XEV1007" s="198">
        <f t="shared" si="179"/>
        <v>-1.1323186249798001E-2</v>
      </c>
      <c r="XEW1007" s="221">
        <v>4487.5400390000004</v>
      </c>
      <c r="XEX1007" s="198">
        <f t="shared" si="180"/>
        <v>-1.0260124346535449E-2</v>
      </c>
    </row>
    <row r="1008" spans="16374:16378" x14ac:dyDescent="0.2">
      <c r="XET1008" s="220">
        <v>42419</v>
      </c>
      <c r="XEU1008" s="221">
        <v>11.105333</v>
      </c>
      <c r="XEV1008" s="198">
        <f t="shared" si="179"/>
        <v>-1.1393236193560918E-3</v>
      </c>
      <c r="XEW1008" s="221">
        <v>4504.4301759999998</v>
      </c>
      <c r="XEX1008" s="198">
        <f t="shared" si="180"/>
        <v>3.7637852483123346E-3</v>
      </c>
    </row>
    <row r="1009" spans="16374:16378" x14ac:dyDescent="0.2">
      <c r="XET1009" s="220">
        <v>42422</v>
      </c>
      <c r="XEU1009" s="221">
        <v>11.849333</v>
      </c>
      <c r="XEV1009" s="198">
        <f t="shared" si="179"/>
        <v>6.6994839326294908E-2</v>
      </c>
      <c r="XEW1009" s="221">
        <v>4570.6098629999997</v>
      </c>
      <c r="XEX1009" s="198">
        <f t="shared" si="180"/>
        <v>1.4692132947828007E-2</v>
      </c>
    </row>
    <row r="1010" spans="16374:16378" x14ac:dyDescent="0.2">
      <c r="XET1010" s="220">
        <v>42423</v>
      </c>
      <c r="XEU1010" s="221">
        <v>11.814</v>
      </c>
      <c r="XEV1010" s="198">
        <f t="shared" si="179"/>
        <v>-2.9818556031803167E-3</v>
      </c>
      <c r="XEW1010" s="221">
        <v>4503.580078</v>
      </c>
      <c r="XEX1010" s="198">
        <f t="shared" si="180"/>
        <v>-1.466539192999583E-2</v>
      </c>
    </row>
    <row r="1011" spans="16374:16378" x14ac:dyDescent="0.2">
      <c r="XET1011" s="220">
        <v>42424</v>
      </c>
      <c r="XEU1011" s="221">
        <v>11.933332999999999</v>
      </c>
      <c r="XEV1011" s="198">
        <f t="shared" si="179"/>
        <v>1.0100981885897919E-2</v>
      </c>
      <c r="XEW1011" s="221">
        <v>4542.6098629999997</v>
      </c>
      <c r="XEX1011" s="198">
        <f t="shared" si="180"/>
        <v>8.6663908099826603E-3</v>
      </c>
    </row>
    <row r="1012" spans="16374:16378" x14ac:dyDescent="0.2">
      <c r="XET1012" s="220">
        <v>42425</v>
      </c>
      <c r="XEU1012" s="221">
        <v>12.495333</v>
      </c>
      <c r="XEV1012" s="198">
        <f t="shared" si="179"/>
        <v>4.7094973382541205E-2</v>
      </c>
      <c r="XEW1012" s="221">
        <v>4582.2001950000003</v>
      </c>
      <c r="XEX1012" s="198">
        <f t="shared" si="180"/>
        <v>8.7153273545386156E-3</v>
      </c>
    </row>
    <row r="1013" spans="16374:16378" x14ac:dyDescent="0.2">
      <c r="XET1013" s="220">
        <v>42426</v>
      </c>
      <c r="XEU1013" s="221">
        <v>12.689333</v>
      </c>
      <c r="XEV1013" s="198">
        <f t="shared" si="179"/>
        <v>1.5525796711460149E-2</v>
      </c>
      <c r="XEW1013" s="221">
        <v>4590.4702150000003</v>
      </c>
      <c r="XEX1013" s="198">
        <f t="shared" si="180"/>
        <v>1.8048142045439253E-3</v>
      </c>
    </row>
    <row r="1014" spans="16374:16378" x14ac:dyDescent="0.2">
      <c r="XET1014" s="220">
        <v>42429</v>
      </c>
      <c r="XEU1014" s="221">
        <v>12.795332999999999</v>
      </c>
      <c r="XEV1014" s="198">
        <f t="shared" si="179"/>
        <v>8.3534729524397111E-3</v>
      </c>
      <c r="XEW1014" s="221">
        <v>4557.9501950000003</v>
      </c>
      <c r="XEX1014" s="198">
        <f t="shared" si="180"/>
        <v>-7.0842459436369909E-3</v>
      </c>
    </row>
    <row r="1015" spans="16374:16378" x14ac:dyDescent="0.2">
      <c r="XET1015" s="220">
        <v>42430</v>
      </c>
      <c r="XEU1015" s="221">
        <v>12.423333</v>
      </c>
      <c r="XEV1015" s="198">
        <f t="shared" si="179"/>
        <v>-2.9073100324938816E-2</v>
      </c>
      <c r="XEW1015" s="221">
        <v>4689.6000979999999</v>
      </c>
      <c r="XEX1015" s="198">
        <f t="shared" si="180"/>
        <v>2.8883576469180605E-2</v>
      </c>
    </row>
    <row r="1016" spans="16374:16378" x14ac:dyDescent="0.2">
      <c r="XET1016" s="220">
        <v>42431</v>
      </c>
      <c r="XEU1016" s="221">
        <v>12.555999999999999</v>
      </c>
      <c r="XEV1016" s="198">
        <f t="shared" si="179"/>
        <v>1.067885727606277E-2</v>
      </c>
      <c r="XEW1016" s="221">
        <v>4703.419922</v>
      </c>
      <c r="XEX1016" s="198">
        <f t="shared" si="180"/>
        <v>2.9469088432281243E-3</v>
      </c>
    </row>
    <row r="1017" spans="16374:16378" x14ac:dyDescent="0.2">
      <c r="XET1017" s="220">
        <v>42432</v>
      </c>
      <c r="XEU1017" s="221">
        <v>13.049333000000001</v>
      </c>
      <c r="XEV1017" s="198">
        <f t="shared" si="179"/>
        <v>3.9290618031220248E-2</v>
      </c>
      <c r="XEW1017" s="221">
        <v>4707.419922</v>
      </c>
      <c r="XEX1017" s="198">
        <f t="shared" si="180"/>
        <v>8.5044500944730927E-4</v>
      </c>
    </row>
    <row r="1018" spans="16374:16378" x14ac:dyDescent="0.2">
      <c r="XET1018" s="220">
        <v>42433</v>
      </c>
      <c r="XEU1018" s="221">
        <v>13.402666999999999</v>
      </c>
      <c r="XEV1018" s="198">
        <f t="shared" si="179"/>
        <v>2.7076786223479754E-2</v>
      </c>
      <c r="XEW1018" s="221">
        <v>4717.0200199999999</v>
      </c>
      <c r="XEX1018" s="198">
        <f t="shared" si="180"/>
        <v>2.0393544997194812E-3</v>
      </c>
    </row>
    <row r="1019" spans="16374:16378" x14ac:dyDescent="0.2">
      <c r="XET1019" s="220">
        <v>42436</v>
      </c>
      <c r="XEU1019" s="221">
        <v>13.686</v>
      </c>
      <c r="XEV1019" s="198">
        <f t="shared" si="179"/>
        <v>2.1140046231097109E-2</v>
      </c>
      <c r="XEW1019" s="221">
        <v>4708.25</v>
      </c>
      <c r="XEX1019" s="198">
        <f t="shared" si="180"/>
        <v>-1.8592289120705763E-3</v>
      </c>
    </row>
    <row r="1020" spans="16374:16378" x14ac:dyDescent="0.2">
      <c r="XET1020" s="220">
        <v>42437</v>
      </c>
      <c r="XEU1020" s="221">
        <v>13.506667</v>
      </c>
      <c r="XEV1020" s="198">
        <f t="shared" si="179"/>
        <v>-1.3103390325880482E-2</v>
      </c>
      <c r="XEW1020" s="221">
        <v>4648.8198240000002</v>
      </c>
      <c r="XEX1020" s="198">
        <f t="shared" si="180"/>
        <v>-1.2622561673657939E-2</v>
      </c>
    </row>
    <row r="1021" spans="16374:16378" x14ac:dyDescent="0.2">
      <c r="XET1021" s="220">
        <v>42438</v>
      </c>
      <c r="XEU1021" s="221">
        <v>13.914667</v>
      </c>
      <c r="XEV1021" s="198">
        <f t="shared" si="179"/>
        <v>3.02073042890596E-2</v>
      </c>
      <c r="XEW1021" s="221">
        <v>4674.3798829999996</v>
      </c>
      <c r="XEX1021" s="198">
        <f t="shared" si="180"/>
        <v>5.4981823274895536E-3</v>
      </c>
    </row>
    <row r="1022" spans="16374:16378" x14ac:dyDescent="0.2">
      <c r="XET1022" s="220">
        <v>42439</v>
      </c>
      <c r="XEU1022" s="221">
        <v>13.678667000000001</v>
      </c>
      <c r="XEV1022" s="198">
        <f t="shared" si="179"/>
        <v>-1.6960520866219686E-2</v>
      </c>
      <c r="XEW1022" s="221">
        <v>4662.1601559999999</v>
      </c>
      <c r="XEX1022" s="198">
        <f t="shared" si="180"/>
        <v>-2.6141921080143904E-3</v>
      </c>
    </row>
    <row r="1023" spans="16374:16378" x14ac:dyDescent="0.2">
      <c r="XET1023" s="220">
        <v>42440</v>
      </c>
      <c r="XEU1023" s="221">
        <v>13.833333</v>
      </c>
      <c r="XEV1023" s="198">
        <f t="shared" si="179"/>
        <v>1.1307095932666433E-2</v>
      </c>
      <c r="XEW1023" s="221">
        <v>4748.4702150000003</v>
      </c>
      <c r="XEX1023" s="198">
        <f t="shared" si="180"/>
        <v>1.8512890186520803E-2</v>
      </c>
    </row>
    <row r="1024" spans="16374:16378" x14ac:dyDescent="0.2">
      <c r="XET1024" s="220">
        <v>42443</v>
      </c>
      <c r="XEU1024" s="221">
        <v>14.343332999999999</v>
      </c>
      <c r="XEV1024" s="198">
        <f t="shared" si="179"/>
        <v>3.6867470767890875E-2</v>
      </c>
      <c r="XEW1024" s="221">
        <v>4750.2797849999997</v>
      </c>
      <c r="XEX1024" s="198">
        <f t="shared" si="180"/>
        <v>3.8108483744569988E-4</v>
      </c>
    </row>
    <row r="1025" spans="16374:16378" x14ac:dyDescent="0.2">
      <c r="XET1025" s="220">
        <v>42444</v>
      </c>
      <c r="XEU1025" s="221">
        <v>14.555999999999999</v>
      </c>
      <c r="XEV1025" s="198">
        <f t="shared" si="179"/>
        <v>1.4826888562093687E-2</v>
      </c>
      <c r="XEW1025" s="221">
        <v>4728.669922</v>
      </c>
      <c r="XEX1025" s="198">
        <f t="shared" si="180"/>
        <v>-4.5491768860094206E-3</v>
      </c>
    </row>
    <row r="1026" spans="16374:16378" x14ac:dyDescent="0.2">
      <c r="XET1026" s="220">
        <v>42445</v>
      </c>
      <c r="XEU1026" s="221">
        <v>14.795332999999999</v>
      </c>
      <c r="XEV1026" s="198">
        <f t="shared" si="179"/>
        <v>1.6442223138224854E-2</v>
      </c>
      <c r="XEW1026" s="221">
        <v>4763.9702150000003</v>
      </c>
      <c r="XEX1026" s="198">
        <f t="shared" si="180"/>
        <v>7.4651632662636747E-3</v>
      </c>
    </row>
    <row r="1027" spans="16374:16378" x14ac:dyDescent="0.2">
      <c r="XET1027" s="220">
        <v>42446</v>
      </c>
      <c r="XEU1027" s="221">
        <v>15.092000000000001</v>
      </c>
      <c r="XEV1027" s="198">
        <f t="shared" si="179"/>
        <v>2.0051390529702839E-2</v>
      </c>
      <c r="XEW1027" s="221">
        <v>4774.9902339999999</v>
      </c>
      <c r="XEX1027" s="198">
        <f t="shared" si="180"/>
        <v>2.3132006504367197E-3</v>
      </c>
    </row>
    <row r="1028" spans="16374:16378" x14ac:dyDescent="0.2">
      <c r="XET1028" s="220">
        <v>42447</v>
      </c>
      <c r="XEU1028" s="221">
        <v>15.516</v>
      </c>
      <c r="XEV1028" s="198">
        <f t="shared" si="179"/>
        <v>2.8094354624966789E-2</v>
      </c>
      <c r="XEW1028" s="221">
        <v>4795.6499020000001</v>
      </c>
      <c r="XEX1028" s="198">
        <f t="shared" si="180"/>
        <v>4.3266408908848586E-3</v>
      </c>
    </row>
    <row r="1029" spans="16374:16378" x14ac:dyDescent="0.2">
      <c r="XET1029" s="220">
        <v>42450</v>
      </c>
      <c r="XEU1029" s="221">
        <v>15.888</v>
      </c>
      <c r="XEV1029" s="198">
        <f t="shared" si="179"/>
        <v>2.3975251353441696E-2</v>
      </c>
      <c r="XEW1029" s="221">
        <v>4808.8701170000004</v>
      </c>
      <c r="XEX1029" s="198">
        <f t="shared" si="180"/>
        <v>2.7567097828569143E-3</v>
      </c>
    </row>
    <row r="1030" spans="16374:16378" x14ac:dyDescent="0.2">
      <c r="XET1030" s="220">
        <v>42451</v>
      </c>
      <c r="XEU1030" s="221">
        <v>15.616</v>
      </c>
      <c r="XEV1030" s="198">
        <f t="shared" si="179"/>
        <v>-1.7119838872104776E-2</v>
      </c>
      <c r="XEW1030" s="221">
        <v>4821.6601559999999</v>
      </c>
      <c r="XEX1030" s="198">
        <f t="shared" si="180"/>
        <v>2.6596765329105487E-3</v>
      </c>
    </row>
    <row r="1031" spans="16374:16378" x14ac:dyDescent="0.2">
      <c r="XET1031" s="220">
        <v>42452</v>
      </c>
      <c r="XEU1031" s="221">
        <v>14.838666999999999</v>
      </c>
      <c r="XEV1031" s="198">
        <f t="shared" si="179"/>
        <v>-4.9777984118852481E-2</v>
      </c>
      <c r="XEW1031" s="221">
        <v>4768.8598629999997</v>
      </c>
      <c r="XEX1031" s="198">
        <f t="shared" si="180"/>
        <v>-1.0950645896164235E-2</v>
      </c>
    </row>
    <row r="1032" spans="16374:16378" x14ac:dyDescent="0.2">
      <c r="XET1032" s="220">
        <v>42453</v>
      </c>
      <c r="XEU1032" s="221">
        <v>15.183332999999999</v>
      </c>
      <c r="XEV1032" s="198">
        <f t="shared" si="179"/>
        <v>2.322755810882482E-2</v>
      </c>
      <c r="XEW1032" s="221">
        <v>4773.5</v>
      </c>
      <c r="XEX1032" s="198">
        <f t="shared" si="180"/>
        <v>9.7300762305918553E-4</v>
      </c>
    </row>
    <row r="1033" spans="16374:16378" x14ac:dyDescent="0.2">
      <c r="XET1033" s="220">
        <v>42457</v>
      </c>
      <c r="XEU1033" s="221">
        <v>15.350667</v>
      </c>
      <c r="XEV1033" s="198">
        <f t="shared" si="179"/>
        <v>1.1020900351721208E-2</v>
      </c>
      <c r="XEW1033" s="221">
        <v>4766.7900390000004</v>
      </c>
      <c r="XEX1033" s="198">
        <f t="shared" si="180"/>
        <v>-1.4056690059703891E-3</v>
      </c>
    </row>
    <row r="1034" spans="16374:16378" x14ac:dyDescent="0.2">
      <c r="XET1034" s="220">
        <v>42458</v>
      </c>
      <c r="XEU1034" s="221">
        <v>15.342000000000001</v>
      </c>
      <c r="XEV1034" s="198">
        <f t="shared" si="179"/>
        <v>-5.646008736949204E-4</v>
      </c>
      <c r="XEW1034" s="221">
        <v>4846.6201170000004</v>
      </c>
      <c r="XEX1034" s="198">
        <f t="shared" si="180"/>
        <v>1.67471353566786E-2</v>
      </c>
    </row>
    <row r="1035" spans="16374:16378" x14ac:dyDescent="0.2">
      <c r="XET1035" s="220">
        <v>42459</v>
      </c>
      <c r="XEU1035" s="221">
        <v>15.125999999999999</v>
      </c>
      <c r="XEV1035" s="198">
        <f t="shared" si="179"/>
        <v>-1.4078998826750122E-2</v>
      </c>
      <c r="XEW1035" s="221">
        <v>4869.2900390000004</v>
      </c>
      <c r="XEX1035" s="198">
        <f t="shared" si="180"/>
        <v>4.6774703716685462E-3</v>
      </c>
    </row>
    <row r="1036" spans="16374:16378" x14ac:dyDescent="0.2">
      <c r="XET1036" s="220">
        <v>42460</v>
      </c>
      <c r="XEU1036" s="221">
        <v>15.318</v>
      </c>
      <c r="XEV1036" s="198">
        <f t="shared" ref="XEV1036:XEV1099" si="181">XEU1036/XEU1035-1</f>
        <v>1.2693375644585503E-2</v>
      </c>
      <c r="XEW1036" s="221">
        <v>4869.8500979999999</v>
      </c>
      <c r="XEX1036" s="198">
        <f t="shared" ref="XEX1036:XEX1099" si="182">XEW1036/XEW1035-1</f>
        <v>1.1501861575591299E-4</v>
      </c>
    </row>
    <row r="1037" spans="16374:16378" x14ac:dyDescent="0.2">
      <c r="XET1037" s="220">
        <v>42461</v>
      </c>
      <c r="XEU1037" s="221">
        <v>15.839333</v>
      </c>
      <c r="XEV1037" s="198">
        <f t="shared" si="181"/>
        <v>3.4034012273142622E-2</v>
      </c>
      <c r="XEW1037" s="221">
        <v>4914.5400390000004</v>
      </c>
      <c r="XEX1037" s="198">
        <f t="shared" si="182"/>
        <v>9.1768617309913036E-3</v>
      </c>
    </row>
    <row r="1038" spans="16374:16378" x14ac:dyDescent="0.2">
      <c r="XET1038" s="220">
        <v>42464</v>
      </c>
      <c r="XEU1038" s="221">
        <v>16.466000000000001</v>
      </c>
      <c r="XEV1038" s="198">
        <f t="shared" si="181"/>
        <v>3.9563976589165772E-2</v>
      </c>
      <c r="XEW1038" s="221">
        <v>4891.7998049999997</v>
      </c>
      <c r="XEX1038" s="198">
        <f t="shared" si="182"/>
        <v>-4.6271337336846186E-3</v>
      </c>
    </row>
    <row r="1039" spans="16374:16378" x14ac:dyDescent="0.2">
      <c r="XET1039" s="220">
        <v>42465</v>
      </c>
      <c r="XEU1039" s="221">
        <v>17.031334000000001</v>
      </c>
      <c r="XEV1039" s="198">
        <f t="shared" si="181"/>
        <v>3.4333414308271637E-2</v>
      </c>
      <c r="XEW1039" s="221">
        <v>4843.9301759999998</v>
      </c>
      <c r="XEX1039" s="198">
        <f t="shared" si="182"/>
        <v>-9.785688480356769E-3</v>
      </c>
    </row>
    <row r="1040" spans="16374:16378" x14ac:dyDescent="0.2">
      <c r="XET1040" s="220">
        <v>42466</v>
      </c>
      <c r="XEU1040" s="221">
        <v>17.694668</v>
      </c>
      <c r="XEV1040" s="198">
        <f t="shared" si="181"/>
        <v>3.894785928101685E-2</v>
      </c>
      <c r="XEW1040" s="221">
        <v>4920.7202150000003</v>
      </c>
      <c r="XEX1040" s="198">
        <f t="shared" si="182"/>
        <v>1.5852837718526303E-2</v>
      </c>
    </row>
    <row r="1041" spans="16374:16378" x14ac:dyDescent="0.2">
      <c r="XET1041" s="220">
        <v>42467</v>
      </c>
      <c r="XEU1041" s="221">
        <v>17.146667000000001</v>
      </c>
      <c r="XEV1041" s="198">
        <f t="shared" si="181"/>
        <v>-3.0969837919535892E-2</v>
      </c>
      <c r="XEW1041" s="221">
        <v>4848.3701170000004</v>
      </c>
      <c r="XEX1041" s="198">
        <f t="shared" si="182"/>
        <v>-1.4703152148226706E-2</v>
      </c>
    </row>
    <row r="1042" spans="16374:16378" x14ac:dyDescent="0.2">
      <c r="XET1042" s="220">
        <v>42468</v>
      </c>
      <c r="XEU1042" s="221">
        <v>16.671333000000001</v>
      </c>
      <c r="XEV1042" s="198">
        <f t="shared" si="181"/>
        <v>-2.772165575968788E-2</v>
      </c>
      <c r="XEW1042" s="221">
        <v>4850.6899409999996</v>
      </c>
      <c r="XEX1042" s="198">
        <f t="shared" si="182"/>
        <v>4.784750223307821E-4</v>
      </c>
    </row>
    <row r="1043" spans="16374:16378" x14ac:dyDescent="0.2">
      <c r="XET1043" s="220">
        <v>42471</v>
      </c>
      <c r="XEU1043" s="221">
        <v>16.661332999999999</v>
      </c>
      <c r="XEV1043" s="198">
        <f t="shared" si="181"/>
        <v>-5.9983205902025549E-4</v>
      </c>
      <c r="XEW1043" s="221">
        <v>4833.3999020000001</v>
      </c>
      <c r="XEX1043" s="198">
        <f t="shared" si="182"/>
        <v>-3.5644494309680086E-3</v>
      </c>
    </row>
    <row r="1044" spans="16374:16378" x14ac:dyDescent="0.2">
      <c r="XET1044" s="220">
        <v>42472</v>
      </c>
      <c r="XEU1044" s="221">
        <v>16.521334</v>
      </c>
      <c r="XEV1044" s="198">
        <f t="shared" si="181"/>
        <v>-8.4026290093355271E-3</v>
      </c>
      <c r="XEW1044" s="221">
        <v>4872.0898440000001</v>
      </c>
      <c r="XEX1044" s="198">
        <f t="shared" si="182"/>
        <v>8.0047053387803935E-3</v>
      </c>
    </row>
    <row r="1045" spans="16374:16378" x14ac:dyDescent="0.2">
      <c r="XET1045" s="220">
        <v>42473</v>
      </c>
      <c r="XEU1045" s="221">
        <v>16.968665999999999</v>
      </c>
      <c r="XEV1045" s="198">
        <f t="shared" si="181"/>
        <v>2.7076021827293184E-2</v>
      </c>
      <c r="XEW1045" s="221">
        <v>4947.419922</v>
      </c>
      <c r="XEX1045" s="198">
        <f t="shared" si="182"/>
        <v>1.5461553545193629E-2</v>
      </c>
    </row>
    <row r="1046" spans="16374:16378" x14ac:dyDescent="0.2">
      <c r="XET1046" s="220">
        <v>42474</v>
      </c>
      <c r="XEU1046" s="221">
        <v>16.790666999999999</v>
      </c>
      <c r="XEV1046" s="198">
        <f t="shared" si="181"/>
        <v>-1.048986408242103E-2</v>
      </c>
      <c r="XEW1046" s="221">
        <v>4945.8901370000003</v>
      </c>
      <c r="XEX1046" s="198">
        <f t="shared" si="182"/>
        <v>-3.0920864291250627E-4</v>
      </c>
    </row>
    <row r="1047" spans="16374:16378" x14ac:dyDescent="0.2">
      <c r="XET1047" s="220">
        <v>42475</v>
      </c>
      <c r="XEU1047" s="221">
        <v>16.967333</v>
      </c>
      <c r="XEV1047" s="198">
        <f t="shared" si="181"/>
        <v>1.0521678501515197E-2</v>
      </c>
      <c r="XEW1047" s="221">
        <v>4938.2202150000003</v>
      </c>
      <c r="XEX1047" s="198">
        <f t="shared" si="182"/>
        <v>-1.5507667553352755E-3</v>
      </c>
    </row>
    <row r="1048" spans="16374:16378" x14ac:dyDescent="0.2">
      <c r="XET1048" s="220">
        <v>42478</v>
      </c>
      <c r="XEU1048" s="221">
        <v>16.925332999999998</v>
      </c>
      <c r="XEV1048" s="198">
        <f t="shared" si="181"/>
        <v>-2.4753448287955226E-3</v>
      </c>
      <c r="XEW1048" s="221">
        <v>4960.0200199999999</v>
      </c>
      <c r="XEX1048" s="198">
        <f t="shared" si="182"/>
        <v>4.4145064518956723E-3</v>
      </c>
    </row>
    <row r="1049" spans="16374:16378" x14ac:dyDescent="0.2">
      <c r="XET1049" s="220">
        <v>42479</v>
      </c>
      <c r="XEU1049" s="221">
        <v>16.491333000000001</v>
      </c>
      <c r="XEV1049" s="198">
        <f t="shared" si="181"/>
        <v>-2.5642036112376476E-2</v>
      </c>
      <c r="XEW1049" s="221">
        <v>4940.330078</v>
      </c>
      <c r="XEX1049" s="198">
        <f t="shared" si="182"/>
        <v>-3.9697303479835355E-3</v>
      </c>
    </row>
    <row r="1050" spans="16374:16378" x14ac:dyDescent="0.2">
      <c r="XET1050" s="220">
        <v>42480</v>
      </c>
      <c r="XEU1050" s="221">
        <v>16.664667000000001</v>
      </c>
      <c r="XEV1050" s="198">
        <f t="shared" si="181"/>
        <v>1.0510611846840989E-2</v>
      </c>
      <c r="XEW1050" s="221">
        <v>4948.1298829999996</v>
      </c>
      <c r="XEX1050" s="198">
        <f t="shared" si="182"/>
        <v>1.5788024032510339E-3</v>
      </c>
    </row>
    <row r="1051" spans="16374:16378" x14ac:dyDescent="0.2">
      <c r="XET1051" s="220">
        <v>42481</v>
      </c>
      <c r="XEU1051" s="221">
        <v>16.552668000000001</v>
      </c>
      <c r="XEV1051" s="198">
        <f t="shared" si="181"/>
        <v>-6.7207463551477442E-3</v>
      </c>
      <c r="XEW1051" s="221">
        <v>4945.8901370000003</v>
      </c>
      <c r="XEX1051" s="198">
        <f t="shared" si="182"/>
        <v>-4.5264494929575516E-4</v>
      </c>
    </row>
    <row r="1052" spans="16374:16378" x14ac:dyDescent="0.2">
      <c r="XET1052" s="220">
        <v>42482</v>
      </c>
      <c r="XEU1052" s="221">
        <v>16.916668000000001</v>
      </c>
      <c r="XEV1052" s="198">
        <f t="shared" si="181"/>
        <v>2.1990412663384529E-2</v>
      </c>
      <c r="XEW1052" s="221">
        <v>4906.2299800000001</v>
      </c>
      <c r="XEX1052" s="198">
        <f t="shared" si="182"/>
        <v>-8.0188107502235928E-3</v>
      </c>
    </row>
    <row r="1053" spans="16374:16378" x14ac:dyDescent="0.2">
      <c r="XET1053" s="220">
        <v>42485</v>
      </c>
      <c r="XEU1053" s="221">
        <v>16.788</v>
      </c>
      <c r="XEV1053" s="198">
        <f t="shared" si="181"/>
        <v>-7.605989548296499E-3</v>
      </c>
      <c r="XEW1053" s="221">
        <v>4895.7900390000004</v>
      </c>
      <c r="XEX1053" s="198">
        <f t="shared" si="182"/>
        <v>-2.1278947465890319E-3</v>
      </c>
    </row>
    <row r="1054" spans="16374:16378" x14ac:dyDescent="0.2">
      <c r="XET1054" s="220">
        <v>42486</v>
      </c>
      <c r="XEU1054" s="221">
        <v>16.916</v>
      </c>
      <c r="XEV1054" s="198">
        <f t="shared" si="181"/>
        <v>7.6244936859661827E-3</v>
      </c>
      <c r="XEW1054" s="221">
        <v>4888.2797849999997</v>
      </c>
      <c r="XEX1054" s="198">
        <f t="shared" si="182"/>
        <v>-1.5340228931742805E-3</v>
      </c>
    </row>
    <row r="1055" spans="16374:16378" x14ac:dyDescent="0.2">
      <c r="XET1055" s="220">
        <v>42487</v>
      </c>
      <c r="XEU1055" s="221">
        <v>16.764668</v>
      </c>
      <c r="XEV1055" s="198">
        <f t="shared" si="181"/>
        <v>-8.9460865452826166E-3</v>
      </c>
      <c r="XEW1055" s="221">
        <v>4863.1401370000003</v>
      </c>
      <c r="XEX1055" s="198">
        <f t="shared" si="182"/>
        <v>-5.1428414709694392E-3</v>
      </c>
    </row>
    <row r="1056" spans="16374:16378" x14ac:dyDescent="0.2">
      <c r="XET1056" s="220">
        <v>42488</v>
      </c>
      <c r="XEU1056" s="221">
        <v>16.513999999999999</v>
      </c>
      <c r="XEV1056" s="198">
        <f t="shared" si="181"/>
        <v>-1.495216010242495E-2</v>
      </c>
      <c r="XEW1056" s="221">
        <v>4805.2900390000004</v>
      </c>
      <c r="XEX1056" s="198">
        <f t="shared" si="182"/>
        <v>-1.1895626358751521E-2</v>
      </c>
    </row>
    <row r="1057" spans="16374:16378" x14ac:dyDescent="0.2">
      <c r="XET1057" s="220">
        <v>42489</v>
      </c>
      <c r="XEU1057" s="221">
        <v>16.050667000000001</v>
      </c>
      <c r="XEV1057" s="198">
        <f t="shared" si="181"/>
        <v>-2.8056981954705074E-2</v>
      </c>
      <c r="XEW1057" s="221">
        <v>4775.3598629999997</v>
      </c>
      <c r="XEX1057" s="198">
        <f t="shared" si="182"/>
        <v>-6.2285888587547689E-3</v>
      </c>
    </row>
    <row r="1058" spans="16374:16378" x14ac:dyDescent="0.2">
      <c r="XET1058" s="220">
        <v>42492</v>
      </c>
      <c r="XEU1058" s="221">
        <v>16.120000999999998</v>
      </c>
      <c r="XEV1058" s="198">
        <f t="shared" si="181"/>
        <v>4.3196958730749024E-3</v>
      </c>
      <c r="XEW1058" s="221">
        <v>4817.5898440000001</v>
      </c>
      <c r="XEX1058" s="198">
        <f t="shared" si="182"/>
        <v>8.8433086116090909E-3</v>
      </c>
    </row>
    <row r="1059" spans="16374:16378" x14ac:dyDescent="0.2">
      <c r="XET1059" s="220">
        <v>42493</v>
      </c>
      <c r="XEU1059" s="221">
        <v>15.488</v>
      </c>
      <c r="XEV1059" s="198">
        <f t="shared" si="181"/>
        <v>-3.9206014937592015E-2</v>
      </c>
      <c r="XEW1059" s="221">
        <v>4763.2202150000003</v>
      </c>
      <c r="XEX1059" s="198">
        <f t="shared" si="182"/>
        <v>-1.1285649206462356E-2</v>
      </c>
    </row>
    <row r="1060" spans="16374:16378" x14ac:dyDescent="0.2">
      <c r="XET1060" s="220">
        <v>42494</v>
      </c>
      <c r="XEU1060" s="221">
        <v>14.837332999999999</v>
      </c>
      <c r="XEV1060" s="198">
        <f t="shared" si="181"/>
        <v>-4.2011040805785105E-2</v>
      </c>
      <c r="XEW1060" s="221">
        <v>4725.6401370000003</v>
      </c>
      <c r="XEX1060" s="198">
        <f t="shared" si="182"/>
        <v>-7.8896369060694749E-3</v>
      </c>
    </row>
    <row r="1061" spans="16374:16378" x14ac:dyDescent="0.2">
      <c r="XET1061" s="220">
        <v>42495</v>
      </c>
      <c r="XEU1061" s="221">
        <v>14.102</v>
      </c>
      <c r="XEV1061" s="198">
        <f t="shared" si="181"/>
        <v>-4.955964795020773E-2</v>
      </c>
      <c r="XEW1061" s="221">
        <v>4717.0898440000001</v>
      </c>
      <c r="XEX1061" s="198">
        <f t="shared" si="182"/>
        <v>-1.8093406929263756E-3</v>
      </c>
    </row>
    <row r="1062" spans="16374:16378" x14ac:dyDescent="0.2">
      <c r="XET1062" s="220">
        <v>42496</v>
      </c>
      <c r="XEU1062" s="221">
        <v>14.328666999999999</v>
      </c>
      <c r="XEV1062" s="198">
        <f t="shared" si="181"/>
        <v>1.6073393844844741E-2</v>
      </c>
      <c r="XEW1062" s="221">
        <v>4736.1601559999999</v>
      </c>
      <c r="XEX1062" s="198">
        <f t="shared" si="182"/>
        <v>4.0428129695806447E-3</v>
      </c>
    </row>
    <row r="1063" spans="16374:16378" x14ac:dyDescent="0.2">
      <c r="XET1063" s="220">
        <v>42499</v>
      </c>
      <c r="XEU1063" s="221">
        <v>13.928000000000001</v>
      </c>
      <c r="XEV1063" s="198">
        <f t="shared" si="181"/>
        <v>-2.7962615084850428E-2</v>
      </c>
      <c r="XEW1063" s="221">
        <v>4750.2099609999996</v>
      </c>
      <c r="XEX1063" s="198">
        <f t="shared" si="182"/>
        <v>2.9664970223188813E-3</v>
      </c>
    </row>
    <row r="1064" spans="16374:16378" x14ac:dyDescent="0.2">
      <c r="XET1064" s="220">
        <v>42500</v>
      </c>
      <c r="XEU1064" s="221">
        <v>13.912667000000001</v>
      </c>
      <c r="XEV1064" s="198">
        <f t="shared" si="181"/>
        <v>-1.1008759333716034E-3</v>
      </c>
      <c r="XEW1064" s="221">
        <v>4809.8798829999996</v>
      </c>
      <c r="XEX1064" s="198">
        <f t="shared" si="182"/>
        <v>1.2561533593230534E-2</v>
      </c>
    </row>
    <row r="1065" spans="16374:16378" x14ac:dyDescent="0.2">
      <c r="XET1065" s="220">
        <v>42501</v>
      </c>
      <c r="XEU1065" s="221">
        <v>13.930667</v>
      </c>
      <c r="XEV1065" s="198">
        <f t="shared" si="181"/>
        <v>1.2937850090135594E-3</v>
      </c>
      <c r="XEW1065" s="221">
        <v>4760.6899409999996</v>
      </c>
      <c r="XEX1065" s="198">
        <f t="shared" si="182"/>
        <v>-1.0226854556983134E-2</v>
      </c>
    </row>
    <row r="1066" spans="16374:16378" x14ac:dyDescent="0.2">
      <c r="XET1066" s="220">
        <v>42502</v>
      </c>
      <c r="XEU1066" s="221">
        <v>13.818667</v>
      </c>
      <c r="XEV1066" s="198">
        <f t="shared" si="181"/>
        <v>-8.0398160403949426E-3</v>
      </c>
      <c r="XEW1066" s="221">
        <v>4737.330078</v>
      </c>
      <c r="XEX1066" s="198">
        <f t="shared" si="182"/>
        <v>-4.9068230213482611E-3</v>
      </c>
    </row>
    <row r="1067" spans="16374:16378" x14ac:dyDescent="0.2">
      <c r="XET1067" s="220">
        <v>42503</v>
      </c>
      <c r="XEU1067" s="221">
        <v>13.840667</v>
      </c>
      <c r="XEV1067" s="198">
        <f t="shared" si="181"/>
        <v>1.5920493633720945E-3</v>
      </c>
      <c r="XEW1067" s="221">
        <v>4717.6801759999998</v>
      </c>
      <c r="XEX1067" s="198">
        <f t="shared" si="182"/>
        <v>-4.1478853439521624E-3</v>
      </c>
    </row>
    <row r="1068" spans="16374:16378" x14ac:dyDescent="0.2">
      <c r="XET1068" s="220">
        <v>42506</v>
      </c>
      <c r="XEU1068" s="221">
        <v>13.885999999999999</v>
      </c>
      <c r="XEV1068" s="198">
        <f t="shared" si="181"/>
        <v>3.2753479294025389E-3</v>
      </c>
      <c r="XEW1068" s="221">
        <v>4775.4599609999996</v>
      </c>
      <c r="XEX1068" s="198">
        <f t="shared" si="182"/>
        <v>1.2247499373513993E-2</v>
      </c>
    </row>
    <row r="1069" spans="16374:16378" x14ac:dyDescent="0.2">
      <c r="XET1069" s="220">
        <v>42507</v>
      </c>
      <c r="XEU1069" s="221">
        <v>13.644</v>
      </c>
      <c r="XEV1069" s="198">
        <f t="shared" si="181"/>
        <v>-1.7427624945988707E-2</v>
      </c>
      <c r="XEW1069" s="221">
        <v>4715.7299800000001</v>
      </c>
      <c r="XEX1069" s="198">
        <f t="shared" si="182"/>
        <v>-1.2507691717195679E-2</v>
      </c>
    </row>
    <row r="1070" spans="16374:16378" x14ac:dyDescent="0.2">
      <c r="XET1070" s="220">
        <v>42508</v>
      </c>
      <c r="XEU1070" s="221">
        <v>14.077999999999999</v>
      </c>
      <c r="XEV1070" s="198">
        <f t="shared" si="181"/>
        <v>3.1808853708589879E-2</v>
      </c>
      <c r="XEW1070" s="221">
        <v>4739.1201170000004</v>
      </c>
      <c r="XEX1070" s="198">
        <f t="shared" si="182"/>
        <v>4.9600246619718735E-3</v>
      </c>
    </row>
    <row r="1071" spans="16374:16378" x14ac:dyDescent="0.2">
      <c r="XET1071" s="220">
        <v>42509</v>
      </c>
      <c r="XEU1071" s="221">
        <v>14.347333000000001</v>
      </c>
      <c r="XEV1071" s="198">
        <f t="shared" si="181"/>
        <v>1.9131481744566026E-2</v>
      </c>
      <c r="XEW1071" s="221">
        <v>4712.5297849999997</v>
      </c>
      <c r="XEX1071" s="198">
        <f t="shared" si="182"/>
        <v>-5.6108162155706909E-3</v>
      </c>
    </row>
    <row r="1072" spans="16374:16378" x14ac:dyDescent="0.2">
      <c r="XET1072" s="220">
        <v>42510</v>
      </c>
      <c r="XEU1072" s="221">
        <v>14.685333</v>
      </c>
      <c r="XEV1072" s="198">
        <f t="shared" si="181"/>
        <v>2.3558385380753277E-2</v>
      </c>
      <c r="XEW1072" s="221">
        <v>4769.5600590000004</v>
      </c>
      <c r="XEX1072" s="198">
        <f t="shared" si="182"/>
        <v>1.2101838418407063E-2</v>
      </c>
    </row>
    <row r="1073" spans="16374:16378" x14ac:dyDescent="0.2">
      <c r="XET1073" s="220">
        <v>42513</v>
      </c>
      <c r="XEU1073" s="221">
        <v>14.414667</v>
      </c>
      <c r="XEV1073" s="198">
        <f t="shared" si="181"/>
        <v>-1.8431042728142444E-2</v>
      </c>
      <c r="XEW1073" s="221">
        <v>4765.7797849999997</v>
      </c>
      <c r="XEX1073" s="198">
        <f t="shared" si="182"/>
        <v>-7.9258337314935812E-4</v>
      </c>
    </row>
    <row r="1074" spans="16374:16378" x14ac:dyDescent="0.2">
      <c r="XET1074" s="220">
        <v>42514</v>
      </c>
      <c r="XEU1074" s="221">
        <v>14.527333</v>
      </c>
      <c r="XEV1074" s="198">
        <f t="shared" si="181"/>
        <v>7.8160667880846635E-3</v>
      </c>
      <c r="XEW1074" s="221">
        <v>4861.0600590000004</v>
      </c>
      <c r="XEX1074" s="198">
        <f t="shared" si="182"/>
        <v>1.9992588474165185E-2</v>
      </c>
    </row>
    <row r="1075" spans="16374:16378" x14ac:dyDescent="0.2">
      <c r="XET1075" s="220">
        <v>42515</v>
      </c>
      <c r="XEU1075" s="221">
        <v>14.638667</v>
      </c>
      <c r="XEV1075" s="198">
        <f t="shared" si="181"/>
        <v>7.6637604438474227E-3</v>
      </c>
      <c r="XEW1075" s="221">
        <v>4894.8901370000003</v>
      </c>
      <c r="XEX1075" s="198">
        <f t="shared" si="182"/>
        <v>6.9594034201172494E-3</v>
      </c>
    </row>
    <row r="1076" spans="16374:16378" x14ac:dyDescent="0.2">
      <c r="XET1076" s="220">
        <v>42516</v>
      </c>
      <c r="XEU1076" s="221">
        <v>15.007999999999999</v>
      </c>
      <c r="XEV1076" s="198">
        <f t="shared" si="181"/>
        <v>2.5229961170644799E-2</v>
      </c>
      <c r="XEW1076" s="221">
        <v>4901.7700199999999</v>
      </c>
      <c r="XEX1076" s="198">
        <f t="shared" si="182"/>
        <v>1.4055234760010915E-3</v>
      </c>
    </row>
    <row r="1077" spans="16374:16378" x14ac:dyDescent="0.2">
      <c r="XET1077" s="220">
        <v>42517</v>
      </c>
      <c r="XEU1077" s="221">
        <v>14.869332999999999</v>
      </c>
      <c r="XEV1077" s="198">
        <f t="shared" si="181"/>
        <v>-9.2395389125800031E-3</v>
      </c>
      <c r="XEW1077" s="221">
        <v>4933.5</v>
      </c>
      <c r="XEX1077" s="198">
        <f t="shared" si="182"/>
        <v>6.4731678292813122E-3</v>
      </c>
    </row>
    <row r="1078" spans="16374:16378" x14ac:dyDescent="0.2">
      <c r="XET1078" s="220">
        <v>42521</v>
      </c>
      <c r="XEU1078" s="221">
        <v>14.882</v>
      </c>
      <c r="XEV1078" s="198">
        <f t="shared" si="181"/>
        <v>8.518875728993347E-4</v>
      </c>
      <c r="XEW1078" s="221">
        <v>4948.0498049999997</v>
      </c>
      <c r="XEX1078" s="198">
        <f t="shared" si="182"/>
        <v>2.9491851626632926E-3</v>
      </c>
    </row>
    <row r="1079" spans="16374:16378" x14ac:dyDescent="0.2">
      <c r="XET1079" s="220">
        <v>42522</v>
      </c>
      <c r="XEU1079" s="221">
        <v>14.637333</v>
      </c>
      <c r="XEV1079" s="198">
        <f t="shared" si="181"/>
        <v>-1.6440464991264614E-2</v>
      </c>
      <c r="XEW1079" s="221">
        <v>4952.25</v>
      </c>
      <c r="XEX1079" s="198">
        <f t="shared" si="182"/>
        <v>8.4885867473616372E-4</v>
      </c>
    </row>
    <row r="1080" spans="16374:16378" x14ac:dyDescent="0.2">
      <c r="XET1080" s="220">
        <v>42523</v>
      </c>
      <c r="XEU1080" s="221">
        <v>14.597333000000001</v>
      </c>
      <c r="XEV1080" s="198">
        <f t="shared" si="181"/>
        <v>-2.732738265912138E-3</v>
      </c>
      <c r="XEW1080" s="221">
        <v>4971.3598629999997</v>
      </c>
      <c r="XEX1080" s="198">
        <f t="shared" si="182"/>
        <v>3.8588243727597504E-3</v>
      </c>
    </row>
    <row r="1081" spans="16374:16378" x14ac:dyDescent="0.2">
      <c r="XET1081" s="220">
        <v>42524</v>
      </c>
      <c r="XEU1081" s="221">
        <v>14.599333</v>
      </c>
      <c r="XEV1081" s="198">
        <f t="shared" si="181"/>
        <v>1.3701132939814009E-4</v>
      </c>
      <c r="XEW1081" s="221">
        <v>4942.5200199999999</v>
      </c>
      <c r="XEX1081" s="198">
        <f t="shared" si="182"/>
        <v>-5.8011980212183678E-3</v>
      </c>
    </row>
    <row r="1082" spans="16374:16378" x14ac:dyDescent="0.2">
      <c r="XET1082" s="220">
        <v>42527</v>
      </c>
      <c r="XEU1082" s="221">
        <v>14.712</v>
      </c>
      <c r="XEV1082" s="198">
        <f t="shared" si="181"/>
        <v>7.7172703711874124E-3</v>
      </c>
      <c r="XEW1082" s="221">
        <v>4968.7099609999996</v>
      </c>
      <c r="XEX1082" s="198">
        <f t="shared" si="182"/>
        <v>5.2989043835982574E-3</v>
      </c>
    </row>
    <row r="1083" spans="16374:16378" x14ac:dyDescent="0.2">
      <c r="XET1083" s="220">
        <v>42528</v>
      </c>
      <c r="XEU1083" s="221">
        <v>15.489333</v>
      </c>
      <c r="XEV1083" s="198">
        <f t="shared" si="181"/>
        <v>5.2836663947797735E-2</v>
      </c>
      <c r="XEW1083" s="221">
        <v>4961.75</v>
      </c>
      <c r="XEX1083" s="198">
        <f t="shared" si="182"/>
        <v>-1.4007581554627002E-3</v>
      </c>
    </row>
    <row r="1084" spans="16374:16378" x14ac:dyDescent="0.2">
      <c r="XET1084" s="220">
        <v>42529</v>
      </c>
      <c r="XEU1084" s="221">
        <v>15.701333</v>
      </c>
      <c r="XEV1084" s="198">
        <f t="shared" si="181"/>
        <v>1.3686838548825797E-2</v>
      </c>
      <c r="XEW1084" s="221">
        <v>4974.6401370000003</v>
      </c>
      <c r="XEX1084" s="198">
        <f t="shared" si="182"/>
        <v>2.5979013452914756E-3</v>
      </c>
    </row>
    <row r="1085" spans="16374:16378" x14ac:dyDescent="0.2">
      <c r="XET1085" s="220">
        <v>42530</v>
      </c>
      <c r="XEU1085" s="221">
        <v>15.290666999999999</v>
      </c>
      <c r="XEV1085" s="198">
        <f t="shared" si="181"/>
        <v>-2.6154849400366276E-2</v>
      </c>
      <c r="XEW1085" s="221">
        <v>4958.6201170000004</v>
      </c>
      <c r="XEX1085" s="198">
        <f t="shared" si="182"/>
        <v>-3.220337463377021E-3</v>
      </c>
    </row>
    <row r="1086" spans="16374:16378" x14ac:dyDescent="0.2">
      <c r="XET1086" s="220">
        <v>42531</v>
      </c>
      <c r="XEU1086" s="221">
        <v>14.586</v>
      </c>
      <c r="XEV1086" s="198">
        <f t="shared" si="181"/>
        <v>-4.6084778381479286E-2</v>
      </c>
      <c r="XEW1086" s="221">
        <v>4894.5498049999997</v>
      </c>
      <c r="XEX1086" s="198">
        <f t="shared" si="182"/>
        <v>-1.2920996262719142E-2</v>
      </c>
    </row>
    <row r="1087" spans="16374:16378" x14ac:dyDescent="0.2">
      <c r="XET1087" s="220">
        <v>42534</v>
      </c>
      <c r="XEU1087" s="221">
        <v>14.524667000000001</v>
      </c>
      <c r="XEV1087" s="198">
        <f t="shared" si="181"/>
        <v>-4.2049225284519487E-3</v>
      </c>
      <c r="XEW1087" s="221">
        <v>4848.4399409999996</v>
      </c>
      <c r="XEX1087" s="198">
        <f t="shared" si="182"/>
        <v>-9.4206547766449988E-3</v>
      </c>
    </row>
    <row r="1088" spans="16374:16378" x14ac:dyDescent="0.2">
      <c r="XET1088" s="220">
        <v>42535</v>
      </c>
      <c r="XEU1088" s="221">
        <v>14.330667</v>
      </c>
      <c r="XEV1088" s="198">
        <f t="shared" si="181"/>
        <v>-1.335658848495469E-2</v>
      </c>
      <c r="XEW1088" s="221">
        <v>4843.5498049999997</v>
      </c>
      <c r="XEX1088" s="198">
        <f t="shared" si="182"/>
        <v>-1.0085998918224481E-3</v>
      </c>
    </row>
    <row r="1089" spans="16374:16378" x14ac:dyDescent="0.2">
      <c r="XET1089" s="220">
        <v>42536</v>
      </c>
      <c r="XEU1089" s="221">
        <v>14.513332999999999</v>
      </c>
      <c r="XEV1089" s="198">
        <f t="shared" si="181"/>
        <v>1.2746510682301038E-2</v>
      </c>
      <c r="XEW1089" s="221">
        <v>4834.9301759999998</v>
      </c>
      <c r="XEX1089" s="198">
        <f t="shared" si="182"/>
        <v>-1.779609861986331E-3</v>
      </c>
    </row>
    <row r="1090" spans="16374:16378" x14ac:dyDescent="0.2">
      <c r="XET1090" s="220">
        <v>42537</v>
      </c>
      <c r="XEU1090" s="221">
        <v>14.528667</v>
      </c>
      <c r="XEV1090" s="198">
        <f t="shared" si="181"/>
        <v>1.0565457293649771E-3</v>
      </c>
      <c r="XEW1090" s="221">
        <v>4844.919922</v>
      </c>
      <c r="XEX1090" s="198">
        <f t="shared" si="182"/>
        <v>2.0661613790387001E-3</v>
      </c>
    </row>
    <row r="1091" spans="16374:16378" x14ac:dyDescent="0.2">
      <c r="XET1091" s="220">
        <v>42538</v>
      </c>
      <c r="XEU1091" s="221">
        <v>14.364667000000001</v>
      </c>
      <c r="XEV1091" s="198">
        <f t="shared" si="181"/>
        <v>-1.1288028006974038E-2</v>
      </c>
      <c r="XEW1091" s="221">
        <v>4800.3398440000001</v>
      </c>
      <c r="XEX1091" s="198">
        <f t="shared" si="182"/>
        <v>-9.2014065697080261E-3</v>
      </c>
    </row>
    <row r="1092" spans="16374:16378" x14ac:dyDescent="0.2">
      <c r="XET1092" s="220">
        <v>42541</v>
      </c>
      <c r="XEU1092" s="221">
        <v>14.646667000000001</v>
      </c>
      <c r="XEV1092" s="198">
        <f t="shared" si="181"/>
        <v>1.9631502769956288E-2</v>
      </c>
      <c r="XEW1092" s="221">
        <v>4837.2099609999996</v>
      </c>
      <c r="XEX1092" s="198">
        <f t="shared" si="182"/>
        <v>7.6807305728747721E-3</v>
      </c>
    </row>
    <row r="1093" spans="16374:16378" x14ac:dyDescent="0.2">
      <c r="XET1093" s="220">
        <v>42542</v>
      </c>
      <c r="XEU1093" s="221">
        <v>14.640667000000001</v>
      </c>
      <c r="XEV1093" s="198">
        <f t="shared" si="181"/>
        <v>-4.0964951275268557E-4</v>
      </c>
      <c r="XEW1093" s="221">
        <v>4843.7597660000001</v>
      </c>
      <c r="XEX1093" s="198">
        <f t="shared" si="182"/>
        <v>1.3540460415835121E-3</v>
      </c>
    </row>
    <row r="1094" spans="16374:16378" x14ac:dyDescent="0.2">
      <c r="XET1094" s="220">
        <v>42543</v>
      </c>
      <c r="XEU1094" s="221">
        <v>13.110666999999999</v>
      </c>
      <c r="XEV1094" s="198">
        <f t="shared" si="181"/>
        <v>-0.10450343553336749</v>
      </c>
      <c r="XEW1094" s="221">
        <v>4833.3198240000002</v>
      </c>
      <c r="XEX1094" s="198">
        <f t="shared" si="182"/>
        <v>-2.1553385189087004E-3</v>
      </c>
    </row>
    <row r="1095" spans="16374:16378" x14ac:dyDescent="0.2">
      <c r="XET1095" s="220">
        <v>42544</v>
      </c>
      <c r="XEU1095" s="221">
        <v>13.093332999999999</v>
      </c>
      <c r="XEV1095" s="198">
        <f t="shared" si="181"/>
        <v>-1.3221295300994695E-3</v>
      </c>
      <c r="XEW1095" s="221">
        <v>4910.0400390000004</v>
      </c>
      <c r="XEX1095" s="198">
        <f t="shared" si="182"/>
        <v>1.5873192297154448E-2</v>
      </c>
    </row>
    <row r="1096" spans="16374:16378" x14ac:dyDescent="0.2">
      <c r="XET1096" s="220">
        <v>42545</v>
      </c>
      <c r="XEU1096" s="221">
        <v>12.876666999999999</v>
      </c>
      <c r="XEV1096" s="198">
        <f t="shared" si="181"/>
        <v>-1.6547811011909608E-2</v>
      </c>
      <c r="XEW1096" s="221">
        <v>4707.9799800000001</v>
      </c>
      <c r="XEX1096" s="198">
        <f t="shared" si="182"/>
        <v>-4.115242592627677E-2</v>
      </c>
    </row>
    <row r="1097" spans="16374:16378" x14ac:dyDescent="0.2">
      <c r="XET1097" s="220">
        <v>42548</v>
      </c>
      <c r="XEU1097" s="221">
        <v>13.236667000000001</v>
      </c>
      <c r="XEV1097" s="198">
        <f t="shared" si="181"/>
        <v>2.7957545225018254E-2</v>
      </c>
      <c r="XEW1097" s="221">
        <v>4594.4399409999996</v>
      </c>
      <c r="XEX1097" s="198">
        <f t="shared" si="182"/>
        <v>-2.4116508456350827E-2</v>
      </c>
    </row>
    <row r="1098" spans="16374:16378" x14ac:dyDescent="0.2">
      <c r="XET1098" s="220">
        <v>42549</v>
      </c>
      <c r="XEU1098" s="221">
        <v>13.452667</v>
      </c>
      <c r="XEV1098" s="198">
        <f t="shared" si="181"/>
        <v>1.631830732011319E-2</v>
      </c>
      <c r="XEW1098" s="221">
        <v>4691.8701170000004</v>
      </c>
      <c r="XEX1098" s="198">
        <f t="shared" si="182"/>
        <v>2.1206105042434142E-2</v>
      </c>
    </row>
    <row r="1099" spans="16374:16378" x14ac:dyDescent="0.2">
      <c r="XET1099" s="220">
        <v>42550</v>
      </c>
      <c r="XEU1099" s="221">
        <v>14.012667</v>
      </c>
      <c r="XEV1099" s="198">
        <f t="shared" si="181"/>
        <v>4.1627433430114769E-2</v>
      </c>
      <c r="XEW1099" s="221">
        <v>4779.25</v>
      </c>
      <c r="XEX1099" s="198">
        <f t="shared" si="182"/>
        <v>1.8623679006670946E-2</v>
      </c>
    </row>
    <row r="1100" spans="16374:16378" x14ac:dyDescent="0.2">
      <c r="XET1100" s="220">
        <v>42551</v>
      </c>
      <c r="XEU1100" s="221">
        <v>14.151999999999999</v>
      </c>
      <c r="XEV1100" s="198">
        <f t="shared" ref="XEV1100:XEV1163" si="183">XEU1100/XEU1099-1</f>
        <v>9.9433605322953866E-3</v>
      </c>
      <c r="XEW1100" s="221">
        <v>4842.669922</v>
      </c>
      <c r="XEX1100" s="198">
        <f t="shared" ref="XEX1100:XEX1163" si="184">XEW1100/XEW1099-1</f>
        <v>1.3269848197938972E-2</v>
      </c>
    </row>
    <row r="1101" spans="16374:16378" x14ac:dyDescent="0.2">
      <c r="XET1101" s="220">
        <v>42552</v>
      </c>
      <c r="XEU1101" s="221">
        <v>14.433332999999999</v>
      </c>
      <c r="XEV1101" s="198">
        <f t="shared" si="183"/>
        <v>1.9879381006218111E-2</v>
      </c>
      <c r="XEW1101" s="221">
        <v>4862.5698240000002</v>
      </c>
      <c r="XEX1101" s="198">
        <f t="shared" si="184"/>
        <v>4.1092831682778552E-3</v>
      </c>
    </row>
    <row r="1102" spans="16374:16378" x14ac:dyDescent="0.2">
      <c r="XET1102" s="220">
        <v>42556</v>
      </c>
      <c r="XEU1102" s="221">
        <v>14.265333</v>
      </c>
      <c r="XEV1102" s="198">
        <f t="shared" si="183"/>
        <v>-1.1639723132557012E-2</v>
      </c>
      <c r="XEW1102" s="221">
        <v>4822.8999020000001</v>
      </c>
      <c r="XEX1102" s="198">
        <f t="shared" si="184"/>
        <v>-8.158221565107926E-3</v>
      </c>
    </row>
    <row r="1103" spans="16374:16378" x14ac:dyDescent="0.2">
      <c r="XET1103" s="220">
        <v>42557</v>
      </c>
      <c r="XEU1103" s="221">
        <v>14.295999999999999</v>
      </c>
      <c r="XEV1103" s="198">
        <f t="shared" si="183"/>
        <v>2.1497570368669283E-3</v>
      </c>
      <c r="XEW1103" s="221">
        <v>4859.1601559999999</v>
      </c>
      <c r="XEX1103" s="198">
        <f t="shared" si="184"/>
        <v>7.5183509375682522E-3</v>
      </c>
    </row>
    <row r="1104" spans="16374:16378" x14ac:dyDescent="0.2">
      <c r="XET1104" s="220">
        <v>42558</v>
      </c>
      <c r="XEU1104" s="221">
        <v>14.396000000000001</v>
      </c>
      <c r="XEV1104" s="198">
        <f t="shared" si="183"/>
        <v>6.9949636261892323E-3</v>
      </c>
      <c r="XEW1104" s="221">
        <v>4876.8100590000004</v>
      </c>
      <c r="XEX1104" s="198">
        <f t="shared" si="184"/>
        <v>3.6322949714275854E-3</v>
      </c>
    </row>
    <row r="1105" spans="16374:16378" x14ac:dyDescent="0.2">
      <c r="XET1105" s="220">
        <v>42559</v>
      </c>
      <c r="XEU1105" s="221">
        <v>14.452</v>
      </c>
      <c r="XEV1105" s="198">
        <f t="shared" si="183"/>
        <v>3.8899694359544323E-3</v>
      </c>
      <c r="XEW1105" s="221">
        <v>4956.7597660000001</v>
      </c>
      <c r="XEX1105" s="198">
        <f t="shared" si="184"/>
        <v>1.6393852955674415E-2</v>
      </c>
    </row>
    <row r="1106" spans="16374:16378" x14ac:dyDescent="0.2">
      <c r="XET1106" s="220">
        <v>42562</v>
      </c>
      <c r="XEU1106" s="221">
        <v>14.985333000000001</v>
      </c>
      <c r="XEV1106" s="198">
        <f t="shared" si="183"/>
        <v>3.6903750345972819E-2</v>
      </c>
      <c r="XEW1106" s="221">
        <v>4988.6401370000003</v>
      </c>
      <c r="XEX1106" s="198">
        <f t="shared" si="184"/>
        <v>6.4316958063366236E-3</v>
      </c>
    </row>
    <row r="1107" spans="16374:16378" x14ac:dyDescent="0.2">
      <c r="XET1107" s="220">
        <v>42563</v>
      </c>
      <c r="XEU1107" s="221">
        <v>14.976667000000001</v>
      </c>
      <c r="XEV1107" s="198">
        <f t="shared" si="183"/>
        <v>-5.7829879389403871E-4</v>
      </c>
      <c r="XEW1107" s="221">
        <v>5022.8198240000002</v>
      </c>
      <c r="XEX1107" s="198">
        <f t="shared" si="184"/>
        <v>6.8515038289682639E-3</v>
      </c>
    </row>
    <row r="1108" spans="16374:16378" x14ac:dyDescent="0.2">
      <c r="XET1108" s="220">
        <v>42564</v>
      </c>
      <c r="XEU1108" s="221">
        <v>14.835333</v>
      </c>
      <c r="XEV1108" s="198">
        <f t="shared" si="183"/>
        <v>-9.4369461509693497E-3</v>
      </c>
      <c r="XEW1108" s="221">
        <v>5005.7299800000001</v>
      </c>
      <c r="XEX1108" s="198">
        <f t="shared" si="184"/>
        <v>-3.4024401827716932E-3</v>
      </c>
    </row>
    <row r="1109" spans="16374:16378" x14ac:dyDescent="0.2">
      <c r="XET1109" s="220">
        <v>42565</v>
      </c>
      <c r="XEU1109" s="221">
        <v>14.768667000000001</v>
      </c>
      <c r="XEV1109" s="198">
        <f t="shared" si="183"/>
        <v>-4.4937312832815657E-3</v>
      </c>
      <c r="XEW1109" s="221">
        <v>5034.0600590000004</v>
      </c>
      <c r="XEX1109" s="198">
        <f t="shared" si="184"/>
        <v>5.6595300012567407E-3</v>
      </c>
    </row>
    <row r="1110" spans="16374:16378" x14ac:dyDescent="0.2">
      <c r="XET1110" s="220">
        <v>42566</v>
      </c>
      <c r="XEU1110" s="221">
        <v>14.693333000000001</v>
      </c>
      <c r="XEV1110" s="198">
        <f t="shared" si="183"/>
        <v>-5.1009342955595782E-3</v>
      </c>
      <c r="XEW1110" s="221">
        <v>5029.5898440000001</v>
      </c>
      <c r="XEX1110" s="198">
        <f t="shared" si="184"/>
        <v>-8.879939745669585E-4</v>
      </c>
    </row>
    <row r="1111" spans="16374:16378" x14ac:dyDescent="0.2">
      <c r="XET1111" s="220">
        <v>42569</v>
      </c>
      <c r="XEU1111" s="221">
        <v>15.083333</v>
      </c>
      <c r="XEV1111" s="198">
        <f t="shared" si="183"/>
        <v>2.6542650329914874E-2</v>
      </c>
      <c r="XEW1111" s="221">
        <v>5055.7797849999997</v>
      </c>
      <c r="XEX1111" s="198">
        <f t="shared" si="184"/>
        <v>5.2071723166935424E-3</v>
      </c>
    </row>
    <row r="1112" spans="16374:16378" x14ac:dyDescent="0.2">
      <c r="XET1112" s="220">
        <v>42570</v>
      </c>
      <c r="XEU1112" s="221">
        <v>15.017333000000001</v>
      </c>
      <c r="XEV1112" s="198">
        <f t="shared" si="183"/>
        <v>-4.375690704435109E-3</v>
      </c>
      <c r="XEW1112" s="221">
        <v>5036.3701170000004</v>
      </c>
      <c r="XEX1112" s="198">
        <f t="shared" si="184"/>
        <v>-3.8391047129041622E-3</v>
      </c>
    </row>
    <row r="1113" spans="16374:16378" x14ac:dyDescent="0.2">
      <c r="XET1113" s="220">
        <v>42571</v>
      </c>
      <c r="XEU1113" s="221">
        <v>15.224</v>
      </c>
      <c r="XEV1113" s="198">
        <f t="shared" si="183"/>
        <v>1.37618976685141E-2</v>
      </c>
      <c r="XEW1113" s="221">
        <v>5089.9301759999998</v>
      </c>
      <c r="XEX1113" s="198">
        <f t="shared" si="184"/>
        <v>1.0634655070168586E-2</v>
      </c>
    </row>
    <row r="1114" spans="16374:16378" x14ac:dyDescent="0.2">
      <c r="XET1114" s="220">
        <v>42572</v>
      </c>
      <c r="XEU1114" s="221">
        <v>14.7</v>
      </c>
      <c r="XEV1114" s="198">
        <f t="shared" si="183"/>
        <v>-3.4419337887546031E-2</v>
      </c>
      <c r="XEW1114" s="221">
        <v>5073.8999020000001</v>
      </c>
      <c r="XEX1114" s="198">
        <f t="shared" si="184"/>
        <v>-3.1494094114661308E-3</v>
      </c>
    </row>
    <row r="1115" spans="16374:16378" x14ac:dyDescent="0.2">
      <c r="XET1115" s="220">
        <v>42573</v>
      </c>
      <c r="XEU1115" s="221">
        <v>14.818</v>
      </c>
      <c r="XEV1115" s="198">
        <f t="shared" si="183"/>
        <v>8.0272108843537637E-3</v>
      </c>
      <c r="XEW1115" s="221">
        <v>5100.1601559999999</v>
      </c>
      <c r="XEX1115" s="198">
        <f t="shared" si="184"/>
        <v>5.1755561810844508E-3</v>
      </c>
    </row>
    <row r="1116" spans="16374:16378" x14ac:dyDescent="0.2">
      <c r="XET1116" s="220">
        <v>42576</v>
      </c>
      <c r="XEU1116" s="221">
        <v>15.334</v>
      </c>
      <c r="XEV1116" s="198">
        <f t="shared" si="183"/>
        <v>3.4822513159670665E-2</v>
      </c>
      <c r="XEW1116" s="221">
        <v>5097.6298829999996</v>
      </c>
      <c r="XEX1116" s="198">
        <f t="shared" si="184"/>
        <v>-4.9611638117352808E-4</v>
      </c>
    </row>
    <row r="1117" spans="16374:16378" x14ac:dyDescent="0.2">
      <c r="XET1117" s="220">
        <v>42577</v>
      </c>
      <c r="XEU1117" s="221">
        <v>15.300667000000001</v>
      </c>
      <c r="XEV1117" s="198">
        <f t="shared" si="183"/>
        <v>-2.173796791443805E-3</v>
      </c>
      <c r="XEW1117" s="221">
        <v>5110.0498049999997</v>
      </c>
      <c r="XEX1117" s="198">
        <f t="shared" si="184"/>
        <v>2.4364110939907313E-3</v>
      </c>
    </row>
    <row r="1118" spans="16374:16378" x14ac:dyDescent="0.2">
      <c r="XET1118" s="220">
        <v>42578</v>
      </c>
      <c r="XEU1118" s="221">
        <v>15.232666999999999</v>
      </c>
      <c r="XEV1118" s="198">
        <f t="shared" si="183"/>
        <v>-4.4442506983519703E-3</v>
      </c>
      <c r="XEW1118" s="221">
        <v>5139.8100590000004</v>
      </c>
      <c r="XEX1118" s="198">
        <f t="shared" si="184"/>
        <v>5.823867699074281E-3</v>
      </c>
    </row>
    <row r="1119" spans="16374:16378" x14ac:dyDescent="0.2">
      <c r="XET1119" s="220">
        <v>42579</v>
      </c>
      <c r="XEU1119" s="221">
        <v>15.374000000000001</v>
      </c>
      <c r="XEV1119" s="198">
        <f t="shared" si="183"/>
        <v>9.2782833104669837E-3</v>
      </c>
      <c r="XEW1119" s="221">
        <v>5154.9799800000001</v>
      </c>
      <c r="XEX1119" s="198">
        <f t="shared" si="184"/>
        <v>2.9514555646734664E-3</v>
      </c>
    </row>
    <row r="1120" spans="16374:16378" x14ac:dyDescent="0.2">
      <c r="XET1120" s="220">
        <v>42580</v>
      </c>
      <c r="XEU1120" s="221">
        <v>15.652666999999999</v>
      </c>
      <c r="XEV1120" s="198">
        <f t="shared" si="183"/>
        <v>1.8125861844672686E-2</v>
      </c>
      <c r="XEW1120" s="221">
        <v>5162.1298829999996</v>
      </c>
      <c r="XEX1120" s="198">
        <f t="shared" si="184"/>
        <v>1.3869894796370019E-3</v>
      </c>
    </row>
    <row r="1121" spans="16374:16378" x14ac:dyDescent="0.2">
      <c r="XET1121" s="220">
        <v>42583</v>
      </c>
      <c r="XEU1121" s="221">
        <v>15.334</v>
      </c>
      <c r="XEV1121" s="198">
        <f t="shared" si="183"/>
        <v>-2.0358639201868867E-2</v>
      </c>
      <c r="XEW1121" s="221">
        <v>5184.2001950000003</v>
      </c>
      <c r="XEX1121" s="198">
        <f t="shared" si="184"/>
        <v>4.2754274883092247E-3</v>
      </c>
    </row>
    <row r="1122" spans="16374:16378" x14ac:dyDescent="0.2">
      <c r="XET1122" s="220">
        <v>42584</v>
      </c>
      <c r="XEU1122" s="221">
        <v>15.146667000000001</v>
      </c>
      <c r="XEV1122" s="198">
        <f t="shared" si="183"/>
        <v>-1.2216838398330432E-2</v>
      </c>
      <c r="XEW1122" s="221">
        <v>5137.7299800000001</v>
      </c>
      <c r="XEX1122" s="198">
        <f t="shared" si="184"/>
        <v>-8.9638156807330116E-3</v>
      </c>
    </row>
    <row r="1123" spans="16374:16378" x14ac:dyDescent="0.2">
      <c r="XET1123" s="220">
        <v>42585</v>
      </c>
      <c r="XEU1123" s="221">
        <v>15.052667</v>
      </c>
      <c r="XEV1123" s="198">
        <f t="shared" si="183"/>
        <v>-6.205985778917622E-3</v>
      </c>
      <c r="XEW1123" s="221">
        <v>5159.7402339999999</v>
      </c>
      <c r="XEX1123" s="198">
        <f t="shared" si="184"/>
        <v>4.2840425802213034E-3</v>
      </c>
    </row>
    <row r="1124" spans="16374:16378" x14ac:dyDescent="0.2">
      <c r="XET1124" s="220">
        <v>42586</v>
      </c>
      <c r="XEU1124" s="221">
        <v>15.374000000000001</v>
      </c>
      <c r="XEV1124" s="198">
        <f t="shared" si="183"/>
        <v>2.1347246969590339E-2</v>
      </c>
      <c r="XEW1124" s="221">
        <v>5166.25</v>
      </c>
      <c r="XEX1124" s="198">
        <f t="shared" si="184"/>
        <v>1.2616460722389977E-3</v>
      </c>
    </row>
    <row r="1125" spans="16374:16378" x14ac:dyDescent="0.2">
      <c r="XET1125" s="220">
        <v>42587</v>
      </c>
      <c r="XEU1125" s="221">
        <v>15.335333</v>
      </c>
      <c r="XEV1125" s="198">
        <f t="shared" si="183"/>
        <v>-2.515090412384513E-3</v>
      </c>
      <c r="XEW1125" s="221">
        <v>5221.1201170000004</v>
      </c>
      <c r="XEX1125" s="198">
        <f t="shared" si="184"/>
        <v>1.0620879167674957E-2</v>
      </c>
    </row>
    <row r="1126" spans="16374:16378" x14ac:dyDescent="0.2">
      <c r="XET1126" s="220">
        <v>42590</v>
      </c>
      <c r="XEU1126" s="221">
        <v>15.077332999999999</v>
      </c>
      <c r="XEV1126" s="198">
        <f t="shared" si="183"/>
        <v>-1.682389290144537E-2</v>
      </c>
      <c r="XEW1126" s="221">
        <v>5213.1401370000003</v>
      </c>
      <c r="XEX1126" s="198">
        <f t="shared" si="184"/>
        <v>-1.5284038331194738E-3</v>
      </c>
    </row>
    <row r="1127" spans="16374:16378" x14ac:dyDescent="0.2">
      <c r="XET1127" s="220">
        <v>42591</v>
      </c>
      <c r="XEU1127" s="221">
        <v>15.272</v>
      </c>
      <c r="XEV1127" s="198">
        <f t="shared" si="183"/>
        <v>1.2911235694005097E-2</v>
      </c>
      <c r="XEW1127" s="221">
        <v>5225.4799800000001</v>
      </c>
      <c r="XEX1127" s="198">
        <f t="shared" si="184"/>
        <v>2.367065276534186E-3</v>
      </c>
    </row>
    <row r="1128" spans="16374:16378" x14ac:dyDescent="0.2">
      <c r="XET1128" s="220">
        <v>42592</v>
      </c>
      <c r="XEU1128" s="221">
        <v>15.043333000000001</v>
      </c>
      <c r="XEV1128" s="198">
        <f t="shared" si="183"/>
        <v>-1.4972957045573554E-2</v>
      </c>
      <c r="XEW1128" s="221">
        <v>5204.580078</v>
      </c>
      <c r="XEX1128" s="198">
        <f t="shared" si="184"/>
        <v>-3.9996138306896967E-3</v>
      </c>
    </row>
    <row r="1129" spans="16374:16378" x14ac:dyDescent="0.2">
      <c r="XET1129" s="220">
        <v>42593</v>
      </c>
      <c r="XEU1129" s="221">
        <v>14.994</v>
      </c>
      <c r="XEV1129" s="198">
        <f t="shared" si="183"/>
        <v>-3.2793929377220588E-3</v>
      </c>
      <c r="XEW1129" s="221">
        <v>5228.3999020000001</v>
      </c>
      <c r="XEX1129" s="198">
        <f t="shared" si="184"/>
        <v>4.5767042956428305E-3</v>
      </c>
    </row>
    <row r="1130" spans="16374:16378" x14ac:dyDescent="0.2">
      <c r="XET1130" s="220">
        <v>42594</v>
      </c>
      <c r="XEU1130" s="221">
        <v>15.040666999999999</v>
      </c>
      <c r="XEV1130" s="198">
        <f t="shared" si="183"/>
        <v>3.1123782846471659E-3</v>
      </c>
      <c r="XEW1130" s="221">
        <v>5232.8901370000003</v>
      </c>
      <c r="XEX1130" s="198">
        <f t="shared" si="184"/>
        <v>8.5881628876216531E-4</v>
      </c>
    </row>
    <row r="1131" spans="16374:16378" x14ac:dyDescent="0.2">
      <c r="XET1131" s="220">
        <v>42597</v>
      </c>
      <c r="XEU1131" s="221">
        <v>15.039332999999999</v>
      </c>
      <c r="XEV1131" s="198">
        <f t="shared" si="183"/>
        <v>-8.8692875123141945E-5</v>
      </c>
      <c r="XEW1131" s="221">
        <v>5262.0200199999999</v>
      </c>
      <c r="XEX1131" s="198">
        <f t="shared" si="184"/>
        <v>5.5666911089977678E-3</v>
      </c>
    </row>
    <row r="1132" spans="16374:16378" x14ac:dyDescent="0.2">
      <c r="XET1132" s="220">
        <v>42598</v>
      </c>
      <c r="XEU1132" s="221">
        <v>14.907333</v>
      </c>
      <c r="XEV1132" s="198">
        <f t="shared" si="183"/>
        <v>-8.7769849899592689E-3</v>
      </c>
      <c r="XEW1132" s="221">
        <v>5227.1098629999997</v>
      </c>
      <c r="XEX1132" s="198">
        <f t="shared" si="184"/>
        <v>-6.6343641543196163E-3</v>
      </c>
    </row>
    <row r="1133" spans="16374:16378" x14ac:dyDescent="0.2">
      <c r="XET1133" s="220">
        <v>42599</v>
      </c>
      <c r="XEU1133" s="221">
        <v>14.882667</v>
      </c>
      <c r="XEV1133" s="198">
        <f t="shared" si="183"/>
        <v>-1.6546219233178894E-3</v>
      </c>
      <c r="XEW1133" s="221">
        <v>5228.6601559999999</v>
      </c>
      <c r="XEX1133" s="198">
        <f t="shared" si="184"/>
        <v>2.965870319608932E-4</v>
      </c>
    </row>
    <row r="1134" spans="16374:16378" x14ac:dyDescent="0.2">
      <c r="XET1134" s="220">
        <v>42600</v>
      </c>
      <c r="XEU1134" s="221">
        <v>14.900667</v>
      </c>
      <c r="XEV1134" s="198">
        <f t="shared" si="183"/>
        <v>1.2094606430419486E-3</v>
      </c>
      <c r="XEW1134" s="221">
        <v>5240.1499020000001</v>
      </c>
      <c r="XEX1134" s="198">
        <f t="shared" si="184"/>
        <v>2.1974551141588083E-3</v>
      </c>
    </row>
    <row r="1135" spans="16374:16378" x14ac:dyDescent="0.2">
      <c r="XET1135" s="220">
        <v>42601</v>
      </c>
      <c r="XEU1135" s="221">
        <v>15</v>
      </c>
      <c r="XEV1135" s="198">
        <f t="shared" si="183"/>
        <v>6.666345875657731E-3</v>
      </c>
      <c r="XEW1135" s="221">
        <v>5238.3798829999996</v>
      </c>
      <c r="XEX1135" s="198">
        <f t="shared" si="184"/>
        <v>-3.3778022253239115E-4</v>
      </c>
    </row>
    <row r="1136" spans="16374:16378" x14ac:dyDescent="0.2">
      <c r="XET1136" s="220">
        <v>42604</v>
      </c>
      <c r="XEU1136" s="221">
        <v>14.862</v>
      </c>
      <c r="XEV1136" s="198">
        <f t="shared" si="183"/>
        <v>-9.199999999999986E-3</v>
      </c>
      <c r="XEW1136" s="221">
        <v>5244.6000979999999</v>
      </c>
      <c r="XEX1136" s="198">
        <f t="shared" si="184"/>
        <v>1.1874310643613661E-3</v>
      </c>
    </row>
    <row r="1137" spans="16374:16378" x14ac:dyDescent="0.2">
      <c r="XET1137" s="220">
        <v>42605</v>
      </c>
      <c r="XEU1137" s="221">
        <v>14.989333</v>
      </c>
      <c r="XEV1137" s="198">
        <f t="shared" si="183"/>
        <v>8.5676894092316935E-3</v>
      </c>
      <c r="XEW1137" s="221">
        <v>5260.080078</v>
      </c>
      <c r="XEX1137" s="198">
        <f t="shared" si="184"/>
        <v>2.9516034989784945E-3</v>
      </c>
    </row>
    <row r="1138" spans="16374:16378" x14ac:dyDescent="0.2">
      <c r="XET1138" s="220">
        <v>42606</v>
      </c>
      <c r="XEU1138" s="221">
        <v>14.841333000000001</v>
      </c>
      <c r="XEV1138" s="198">
        <f t="shared" si="183"/>
        <v>-9.8736881754512007E-3</v>
      </c>
      <c r="XEW1138" s="221">
        <v>5217.6899409999996</v>
      </c>
      <c r="XEX1138" s="198">
        <f t="shared" si="184"/>
        <v>-8.0588387194512334E-3</v>
      </c>
    </row>
    <row r="1139" spans="16374:16378" x14ac:dyDescent="0.2">
      <c r="XET1139" s="220">
        <v>42607</v>
      </c>
      <c r="XEU1139" s="221">
        <v>14.730667</v>
      </c>
      <c r="XEV1139" s="198">
        <f t="shared" si="183"/>
        <v>-7.4566078397405589E-3</v>
      </c>
      <c r="XEW1139" s="221">
        <v>5212.2001950000003</v>
      </c>
      <c r="XEX1139" s="198">
        <f t="shared" si="184"/>
        <v>-1.0521410934868358E-3</v>
      </c>
    </row>
    <row r="1140" spans="16374:16378" x14ac:dyDescent="0.2">
      <c r="XET1140" s="220">
        <v>42608</v>
      </c>
      <c r="XEU1140" s="221">
        <v>14.666</v>
      </c>
      <c r="XEV1140" s="198">
        <f t="shared" si="183"/>
        <v>-4.3899573590252539E-3</v>
      </c>
      <c r="XEW1140" s="221">
        <v>5218.919922</v>
      </c>
      <c r="XEX1140" s="198">
        <f t="shared" si="184"/>
        <v>1.2892304110738717E-3</v>
      </c>
    </row>
    <row r="1141" spans="16374:16378" x14ac:dyDescent="0.2">
      <c r="XET1141" s="220">
        <v>42611</v>
      </c>
      <c r="XEU1141" s="221">
        <v>14.346667</v>
      </c>
      <c r="XEV1141" s="198">
        <f t="shared" si="183"/>
        <v>-2.1773694258829912E-2</v>
      </c>
      <c r="XEW1141" s="221">
        <v>5232.330078</v>
      </c>
      <c r="XEX1141" s="198">
        <f t="shared" si="184"/>
        <v>2.5695270669838788E-3</v>
      </c>
    </row>
    <row r="1142" spans="16374:16378" x14ac:dyDescent="0.2">
      <c r="XET1142" s="220">
        <v>42612</v>
      </c>
      <c r="XEU1142" s="221">
        <v>14.089333</v>
      </c>
      <c r="XEV1142" s="198">
        <f t="shared" si="183"/>
        <v>-1.7936849025630863E-2</v>
      </c>
      <c r="XEW1142" s="221">
        <v>5222.9902339999999</v>
      </c>
      <c r="XEX1142" s="198">
        <f t="shared" si="184"/>
        <v>-1.7850257649589807E-3</v>
      </c>
    </row>
    <row r="1143" spans="16374:16378" x14ac:dyDescent="0.2">
      <c r="XET1143" s="220">
        <v>42613</v>
      </c>
      <c r="XEU1143" s="221">
        <v>14.134</v>
      </c>
      <c r="XEV1143" s="198">
        <f t="shared" si="183"/>
        <v>3.1702707289267273E-3</v>
      </c>
      <c r="XEW1143" s="221">
        <v>5213.2202150000003</v>
      </c>
      <c r="XEX1143" s="198">
        <f t="shared" si="184"/>
        <v>-1.8705796033084976E-3</v>
      </c>
    </row>
    <row r="1144" spans="16374:16378" x14ac:dyDescent="0.2">
      <c r="XET1144" s="220">
        <v>42614</v>
      </c>
      <c r="XEU1144" s="221">
        <v>13.384667</v>
      </c>
      <c r="XEV1144" s="198">
        <f t="shared" si="183"/>
        <v>-5.3016343568699553E-2</v>
      </c>
      <c r="XEW1144" s="221">
        <v>5227.2099609999996</v>
      </c>
      <c r="XEX1144" s="198">
        <f t="shared" si="184"/>
        <v>2.6835133416667212E-3</v>
      </c>
    </row>
    <row r="1145" spans="16374:16378" x14ac:dyDescent="0.2">
      <c r="XET1145" s="220">
        <v>42615</v>
      </c>
      <c r="XEU1145" s="221">
        <v>13.185333</v>
      </c>
      <c r="XEV1145" s="198">
        <f t="shared" si="183"/>
        <v>-1.4892712683849396E-2</v>
      </c>
      <c r="XEW1145" s="221">
        <v>5249.8999020000001</v>
      </c>
      <c r="XEX1145" s="198">
        <f t="shared" si="184"/>
        <v>4.3407364864409548E-3</v>
      </c>
    </row>
    <row r="1146" spans="16374:16378" x14ac:dyDescent="0.2">
      <c r="XET1146" s="220">
        <v>42619</v>
      </c>
      <c r="XEU1146" s="221">
        <v>13.522</v>
      </c>
      <c r="XEV1146" s="198">
        <f t="shared" si="183"/>
        <v>2.5533446898914125E-2</v>
      </c>
      <c r="XEW1146" s="221">
        <v>5275.9101559999999</v>
      </c>
      <c r="XEX1146" s="198">
        <f t="shared" si="184"/>
        <v>4.9544285577884928E-3</v>
      </c>
    </row>
    <row r="1147" spans="16374:16378" x14ac:dyDescent="0.2">
      <c r="XET1147" s="220">
        <v>42620</v>
      </c>
      <c r="XEU1147" s="221">
        <v>13.447333</v>
      </c>
      <c r="XEV1147" s="198">
        <f t="shared" si="183"/>
        <v>-5.5218902529211578E-3</v>
      </c>
      <c r="XEW1147" s="221">
        <v>5283.9301759999998</v>
      </c>
      <c r="XEX1147" s="198">
        <f t="shared" si="184"/>
        <v>1.5201206546096024E-3</v>
      </c>
    </row>
    <row r="1148" spans="16374:16378" x14ac:dyDescent="0.2">
      <c r="XET1148" s="220">
        <v>42621</v>
      </c>
      <c r="XEU1148" s="221">
        <v>13.157333</v>
      </c>
      <c r="XEV1148" s="198">
        <f t="shared" si="183"/>
        <v>-2.1565614534867272E-2</v>
      </c>
      <c r="XEW1148" s="221">
        <v>5259.4799800000001</v>
      </c>
      <c r="XEX1148" s="198">
        <f t="shared" si="184"/>
        <v>-4.6272746205190396E-3</v>
      </c>
    </row>
    <row r="1149" spans="16374:16378" x14ac:dyDescent="0.2">
      <c r="XET1149" s="220">
        <v>42622</v>
      </c>
      <c r="XEU1149" s="221">
        <v>12.964667</v>
      </c>
      <c r="XEV1149" s="198">
        <f t="shared" si="183"/>
        <v>-1.4643241149251085E-2</v>
      </c>
      <c r="XEW1149" s="221">
        <v>5125.9101559999999</v>
      </c>
      <c r="XEX1149" s="198">
        <f t="shared" si="184"/>
        <v>-2.539601339066222E-2</v>
      </c>
    </row>
    <row r="1150" spans="16374:16378" x14ac:dyDescent="0.2">
      <c r="XET1150" s="220">
        <v>42625</v>
      </c>
      <c r="XEU1150" s="221">
        <v>13.22</v>
      </c>
      <c r="XEV1150" s="198">
        <f t="shared" si="183"/>
        <v>1.9694528212718554E-2</v>
      </c>
      <c r="XEW1150" s="221">
        <v>5211.8901370000003</v>
      </c>
      <c r="XEX1150" s="198">
        <f t="shared" si="184"/>
        <v>1.6773602810685073E-2</v>
      </c>
    </row>
    <row r="1151" spans="16374:16378" x14ac:dyDescent="0.2">
      <c r="XET1151" s="220">
        <v>42626</v>
      </c>
      <c r="XEU1151" s="221">
        <v>13.07</v>
      </c>
      <c r="XEV1151" s="198">
        <f t="shared" si="183"/>
        <v>-1.1346444780635401E-2</v>
      </c>
      <c r="XEW1151" s="221">
        <v>5155.25</v>
      </c>
      <c r="XEX1151" s="198">
        <f t="shared" si="184"/>
        <v>-1.0867484830100915E-2</v>
      </c>
    </row>
    <row r="1152" spans="16374:16378" x14ac:dyDescent="0.2">
      <c r="XET1152" s="220">
        <v>42627</v>
      </c>
      <c r="XEU1152" s="221">
        <v>13.093999999999999</v>
      </c>
      <c r="XEV1152" s="198">
        <f t="shared" si="183"/>
        <v>1.8362662586073331E-3</v>
      </c>
      <c r="XEW1152" s="221">
        <v>5173.7700199999999</v>
      </c>
      <c r="XEX1152" s="198">
        <f t="shared" si="184"/>
        <v>3.5924581737063477E-3</v>
      </c>
    </row>
    <row r="1153" spans="16374:16378" x14ac:dyDescent="0.2">
      <c r="XET1153" s="220">
        <v>42628</v>
      </c>
      <c r="XEU1153" s="221">
        <v>13.361333</v>
      </c>
      <c r="XEV1153" s="198">
        <f t="shared" si="183"/>
        <v>2.0416450282572329E-2</v>
      </c>
      <c r="XEW1153" s="221">
        <v>5249.6899409999996</v>
      </c>
      <c r="XEX1153" s="198">
        <f t="shared" si="184"/>
        <v>1.4674003812794156E-2</v>
      </c>
    </row>
    <row r="1154" spans="16374:16378" x14ac:dyDescent="0.2">
      <c r="XET1154" s="220">
        <v>42629</v>
      </c>
      <c r="XEU1154" s="221">
        <v>13.693333000000001</v>
      </c>
      <c r="XEV1154" s="198">
        <f t="shared" si="183"/>
        <v>2.484782019877807E-2</v>
      </c>
      <c r="XEW1154" s="221">
        <v>5244.5698240000002</v>
      </c>
      <c r="XEX1154" s="198">
        <f t="shared" si="184"/>
        <v>-9.7531798211769605E-4</v>
      </c>
    </row>
    <row r="1155" spans="16374:16378" x14ac:dyDescent="0.2">
      <c r="XET1155" s="220">
        <v>42632</v>
      </c>
      <c r="XEU1155" s="221">
        <v>13.756</v>
      </c>
      <c r="XEV1155" s="198">
        <f t="shared" si="183"/>
        <v>4.5764606761553583E-3</v>
      </c>
      <c r="XEW1155" s="221">
        <v>5235.0297849999997</v>
      </c>
      <c r="XEX1155" s="198">
        <f t="shared" si="184"/>
        <v>-1.819031745243227E-3</v>
      </c>
    </row>
    <row r="1156" spans="16374:16378" x14ac:dyDescent="0.2">
      <c r="XET1156" s="220">
        <v>42633</v>
      </c>
      <c r="XEU1156" s="221">
        <v>13.642666999999999</v>
      </c>
      <c r="XEV1156" s="198">
        <f t="shared" si="183"/>
        <v>-8.23880488514106E-3</v>
      </c>
      <c r="XEW1156" s="221">
        <v>5241.3500979999999</v>
      </c>
      <c r="XEX1156" s="198">
        <f t="shared" si="184"/>
        <v>1.2073117555337909E-3</v>
      </c>
    </row>
    <row r="1157" spans="16374:16378" x14ac:dyDescent="0.2">
      <c r="XET1157" s="220">
        <v>42634</v>
      </c>
      <c r="XEU1157" s="221">
        <v>13.681333</v>
      </c>
      <c r="XEV1157" s="198">
        <f t="shared" si="183"/>
        <v>2.8341965687501691E-3</v>
      </c>
      <c r="XEW1157" s="221">
        <v>5295.1801759999998</v>
      </c>
      <c r="XEX1157" s="198">
        <f t="shared" si="184"/>
        <v>1.0270269490401107E-2</v>
      </c>
    </row>
    <row r="1158" spans="16374:16378" x14ac:dyDescent="0.2">
      <c r="XET1158" s="220">
        <v>42635</v>
      </c>
      <c r="XEU1158" s="221">
        <v>13.762</v>
      </c>
      <c r="XEV1158" s="198">
        <f t="shared" si="183"/>
        <v>5.8961359978593197E-3</v>
      </c>
      <c r="XEW1158" s="221">
        <v>5339.5200199999999</v>
      </c>
      <c r="XEX1158" s="198">
        <f t="shared" si="184"/>
        <v>8.3736232812183786E-3</v>
      </c>
    </row>
    <row r="1159" spans="16374:16378" x14ac:dyDescent="0.2">
      <c r="XET1159" s="220">
        <v>42636</v>
      </c>
      <c r="XEU1159" s="221">
        <v>13.83</v>
      </c>
      <c r="XEV1159" s="198">
        <f t="shared" si="183"/>
        <v>4.9411422758318668E-3</v>
      </c>
      <c r="XEW1159" s="221">
        <v>5305.75</v>
      </c>
      <c r="XEX1159" s="198">
        <f t="shared" si="184"/>
        <v>-6.3245422572645316E-3</v>
      </c>
    </row>
    <row r="1160" spans="16374:16378" x14ac:dyDescent="0.2">
      <c r="XET1160" s="220">
        <v>42639</v>
      </c>
      <c r="XEU1160" s="221">
        <v>13.932667</v>
      </c>
      <c r="XEV1160" s="198">
        <f t="shared" si="183"/>
        <v>7.4234996384672236E-3</v>
      </c>
      <c r="XEW1160" s="221">
        <v>5257.4902339999999</v>
      </c>
      <c r="XEX1160" s="198">
        <f t="shared" si="184"/>
        <v>-9.0957481977100851E-3</v>
      </c>
    </row>
    <row r="1161" spans="16374:16378" x14ac:dyDescent="0.2">
      <c r="XET1161" s="220">
        <v>42640</v>
      </c>
      <c r="XEU1161" s="221">
        <v>13.720667000000001</v>
      </c>
      <c r="XEV1161" s="198">
        <f t="shared" si="183"/>
        <v>-1.5216038680892829E-2</v>
      </c>
      <c r="XEW1161" s="221">
        <v>5305.7099609999996</v>
      </c>
      <c r="XEX1161" s="198">
        <f t="shared" si="184"/>
        <v>9.1716246448094729E-3</v>
      </c>
    </row>
    <row r="1162" spans="16374:16378" x14ac:dyDescent="0.2">
      <c r="XET1162" s="220">
        <v>42641</v>
      </c>
      <c r="XEU1162" s="221">
        <v>13.751333000000001</v>
      </c>
      <c r="XEV1162" s="198">
        <f t="shared" si="183"/>
        <v>2.2350225393561463E-3</v>
      </c>
      <c r="XEW1162" s="221">
        <v>5318.5498049999997</v>
      </c>
      <c r="XEX1162" s="198">
        <f t="shared" si="184"/>
        <v>2.4200048804741137E-3</v>
      </c>
    </row>
    <row r="1163" spans="16374:16378" x14ac:dyDescent="0.2">
      <c r="XET1163" s="220">
        <v>42642</v>
      </c>
      <c r="XEU1163" s="221">
        <v>13.38</v>
      </c>
      <c r="XEV1163" s="198">
        <f t="shared" si="183"/>
        <v>-2.7003418504955135E-2</v>
      </c>
      <c r="XEW1163" s="221">
        <v>5269.1499020000001</v>
      </c>
      <c r="XEX1163" s="198">
        <f t="shared" si="184"/>
        <v>-9.2882279589745487E-3</v>
      </c>
    </row>
    <row r="1164" spans="16374:16378" x14ac:dyDescent="0.2">
      <c r="XET1164" s="220">
        <v>42643</v>
      </c>
      <c r="XEU1164" s="221">
        <v>13.602</v>
      </c>
      <c r="XEV1164" s="198">
        <f t="shared" ref="XEV1164:XEV1227" si="185">XEU1164/XEU1163-1</f>
        <v>1.6591928251121102E-2</v>
      </c>
      <c r="XEW1164" s="221">
        <v>5312</v>
      </c>
      <c r="XEX1164" s="198">
        <f t="shared" ref="XEX1164:XEX1227" si="186">XEW1164/XEW1163-1</f>
        <v>8.1322601931927974E-3</v>
      </c>
    </row>
    <row r="1165" spans="16374:16378" x14ac:dyDescent="0.2">
      <c r="XET1165" s="220">
        <v>42646</v>
      </c>
      <c r="XEU1165" s="221">
        <v>14.246667</v>
      </c>
      <c r="XEV1165" s="198">
        <f t="shared" si="185"/>
        <v>4.7395015438906007E-2</v>
      </c>
      <c r="XEW1165" s="221">
        <v>5300.8701170000004</v>
      </c>
      <c r="XEX1165" s="198">
        <f t="shared" si="186"/>
        <v>-2.0952339984938728E-3</v>
      </c>
    </row>
    <row r="1166" spans="16374:16378" x14ac:dyDescent="0.2">
      <c r="XET1166" s="220">
        <v>42647</v>
      </c>
      <c r="XEU1166" s="221">
        <v>14.093999999999999</v>
      </c>
      <c r="XEV1166" s="198">
        <f t="shared" si="185"/>
        <v>-1.0715980095555078E-2</v>
      </c>
      <c r="XEW1166" s="221">
        <v>5289.6601559999999</v>
      </c>
      <c r="XEX1166" s="198">
        <f t="shared" si="186"/>
        <v>-2.1147397979154325E-3</v>
      </c>
    </row>
    <row r="1167" spans="16374:16378" x14ac:dyDescent="0.2">
      <c r="XET1167" s="220">
        <v>42648</v>
      </c>
      <c r="XEU1167" s="221">
        <v>13.897333</v>
      </c>
      <c r="XEV1167" s="198">
        <f t="shared" si="185"/>
        <v>-1.3953952036327544E-2</v>
      </c>
      <c r="XEW1167" s="221">
        <v>5316.0200199999999</v>
      </c>
      <c r="XEX1167" s="198">
        <f t="shared" si="186"/>
        <v>4.98328119815028E-3</v>
      </c>
    </row>
    <row r="1168" spans="16374:16378" x14ac:dyDescent="0.2">
      <c r="XET1168" s="220">
        <v>42649</v>
      </c>
      <c r="XEU1168" s="221">
        <v>13.4</v>
      </c>
      <c r="XEV1168" s="198">
        <f t="shared" si="185"/>
        <v>-3.5786218837815853E-2</v>
      </c>
      <c r="XEW1168" s="221">
        <v>5306.8500979999999</v>
      </c>
      <c r="XEX1168" s="198">
        <f t="shared" si="186"/>
        <v>-1.7249600199963355E-3</v>
      </c>
    </row>
    <row r="1169" spans="16374:16378" x14ac:dyDescent="0.2">
      <c r="XET1169" s="220">
        <v>42650</v>
      </c>
      <c r="XEU1169" s="221">
        <v>13.107333000000001</v>
      </c>
      <c r="XEV1169" s="198">
        <f t="shared" si="185"/>
        <v>-2.1840820895522417E-2</v>
      </c>
      <c r="XEW1169" s="221">
        <v>5292.3999020000001</v>
      </c>
      <c r="XEX1169" s="198">
        <f t="shared" si="186"/>
        <v>-2.7229327629672007E-3</v>
      </c>
    </row>
    <row r="1170" spans="16374:16378" x14ac:dyDescent="0.2">
      <c r="XET1170" s="220">
        <v>42653</v>
      </c>
      <c r="XEU1170" s="221">
        <v>13.396667000000001</v>
      </c>
      <c r="XEV1170" s="198">
        <f t="shared" si="185"/>
        <v>2.2074208383963345E-2</v>
      </c>
      <c r="XEW1170" s="221">
        <v>5328.669922</v>
      </c>
      <c r="XEX1170" s="198">
        <f t="shared" si="186"/>
        <v>6.8532273961938728E-3</v>
      </c>
    </row>
    <row r="1171" spans="16374:16378" x14ac:dyDescent="0.2">
      <c r="XET1171" s="220">
        <v>42654</v>
      </c>
      <c r="XEU1171" s="221">
        <v>13.34</v>
      </c>
      <c r="XEV1171" s="198">
        <f t="shared" si="185"/>
        <v>-4.2299327138609621E-3</v>
      </c>
      <c r="XEW1171" s="221">
        <v>5246.7900390000004</v>
      </c>
      <c r="XEX1171" s="198">
        <f t="shared" si="186"/>
        <v>-1.5365913858156111E-2</v>
      </c>
    </row>
    <row r="1172" spans="16374:16378" x14ac:dyDescent="0.2">
      <c r="XET1172" s="220">
        <v>42655</v>
      </c>
      <c r="XEU1172" s="221">
        <v>13.433999999999999</v>
      </c>
      <c r="XEV1172" s="198">
        <f t="shared" si="185"/>
        <v>7.0464767616191804E-3</v>
      </c>
      <c r="XEW1172" s="221">
        <v>5239.0200199999999</v>
      </c>
      <c r="XEX1172" s="198">
        <f t="shared" si="186"/>
        <v>-1.4809090781687795E-3</v>
      </c>
    </row>
    <row r="1173" spans="16374:16378" x14ac:dyDescent="0.2">
      <c r="XET1173" s="220">
        <v>42656</v>
      </c>
      <c r="XEU1173" s="221">
        <v>13.349333</v>
      </c>
      <c r="XEV1173" s="198">
        <f t="shared" si="185"/>
        <v>-6.3024415661753208E-3</v>
      </c>
      <c r="XEW1173" s="221">
        <v>5213.330078</v>
      </c>
      <c r="XEX1173" s="198">
        <f t="shared" si="186"/>
        <v>-4.9035777496417854E-3</v>
      </c>
    </row>
    <row r="1174" spans="16374:16378" x14ac:dyDescent="0.2">
      <c r="XET1174" s="220">
        <v>42657</v>
      </c>
      <c r="XEU1174" s="221">
        <v>13.100667</v>
      </c>
      <c r="XEV1174" s="198">
        <f t="shared" si="185"/>
        <v>-1.8627597348871316E-2</v>
      </c>
      <c r="XEW1174" s="221">
        <v>5214.1601559999999</v>
      </c>
      <c r="XEX1174" s="198">
        <f t="shared" si="186"/>
        <v>1.5922222218445192E-4</v>
      </c>
    </row>
    <row r="1175" spans="16374:16378" x14ac:dyDescent="0.2">
      <c r="XET1175" s="220">
        <v>42660</v>
      </c>
      <c r="XEU1175" s="221">
        <v>12.930667</v>
      </c>
      <c r="XEV1175" s="198">
        <f t="shared" si="185"/>
        <v>-1.2976438527900869E-2</v>
      </c>
      <c r="XEW1175" s="221">
        <v>5199.8198240000002</v>
      </c>
      <c r="XEX1175" s="198">
        <f t="shared" si="186"/>
        <v>-2.7502668830565735E-3</v>
      </c>
    </row>
    <row r="1176" spans="16374:16378" x14ac:dyDescent="0.2">
      <c r="XET1176" s="220">
        <v>42661</v>
      </c>
      <c r="XEU1176" s="221">
        <v>13.273332999999999</v>
      </c>
      <c r="XEV1176" s="198">
        <f t="shared" si="185"/>
        <v>2.6500257101973013E-2</v>
      </c>
      <c r="XEW1176" s="221">
        <v>5243.8398440000001</v>
      </c>
      <c r="XEX1176" s="198">
        <f t="shared" si="186"/>
        <v>8.4656817909003479E-3</v>
      </c>
    </row>
    <row r="1177" spans="16374:16378" x14ac:dyDescent="0.2">
      <c r="XET1177" s="220">
        <v>42662</v>
      </c>
      <c r="XEU1177" s="221">
        <v>13.570667</v>
      </c>
      <c r="XEV1177" s="198">
        <f t="shared" si="185"/>
        <v>2.2400854404843296E-2</v>
      </c>
      <c r="XEW1177" s="221">
        <v>5246.4101559999999</v>
      </c>
      <c r="XEX1177" s="198">
        <f t="shared" si="186"/>
        <v>4.9015837181620725E-4</v>
      </c>
    </row>
    <row r="1178" spans="16374:16378" x14ac:dyDescent="0.2">
      <c r="XET1178" s="220">
        <v>42663</v>
      </c>
      <c r="XEU1178" s="221">
        <v>13.273332999999999</v>
      </c>
      <c r="XEV1178" s="198">
        <f t="shared" si="185"/>
        <v>-2.1910050552415794E-2</v>
      </c>
      <c r="XEW1178" s="221">
        <v>5241.830078</v>
      </c>
      <c r="XEX1178" s="198">
        <f t="shared" si="186"/>
        <v>-8.7299274433627616E-4</v>
      </c>
    </row>
    <row r="1179" spans="16374:16378" x14ac:dyDescent="0.2">
      <c r="XET1179" s="220">
        <v>42664</v>
      </c>
      <c r="XEU1179" s="221">
        <v>13.339333</v>
      </c>
      <c r="XEV1179" s="198">
        <f t="shared" si="185"/>
        <v>4.9723758154791575E-3</v>
      </c>
      <c r="XEW1179" s="221">
        <v>5257.3999020000001</v>
      </c>
      <c r="XEX1179" s="198">
        <f t="shared" si="186"/>
        <v>2.9703030751315751E-3</v>
      </c>
    </row>
    <row r="1180" spans="16374:16378" x14ac:dyDescent="0.2">
      <c r="XET1180" s="220">
        <v>42667</v>
      </c>
      <c r="XEU1180" s="221">
        <v>13.517333000000001</v>
      </c>
      <c r="XEV1180" s="198">
        <f t="shared" si="185"/>
        <v>1.3343995535608943E-2</v>
      </c>
      <c r="XEW1180" s="221">
        <v>5309.830078</v>
      </c>
      <c r="XEX1180" s="198">
        <f t="shared" si="186"/>
        <v>9.9726436978961885E-3</v>
      </c>
    </row>
    <row r="1181" spans="16374:16378" x14ac:dyDescent="0.2">
      <c r="XET1181" s="220">
        <v>42668</v>
      </c>
      <c r="XEU1181" s="221">
        <v>13.489333</v>
      </c>
      <c r="XEV1181" s="198">
        <f t="shared" si="185"/>
        <v>-2.0714145312541454E-3</v>
      </c>
      <c r="XEW1181" s="221">
        <v>5283.3999020000001</v>
      </c>
      <c r="XEX1181" s="198">
        <f t="shared" si="186"/>
        <v>-4.9775935598216359E-3</v>
      </c>
    </row>
    <row r="1182" spans="16374:16378" x14ac:dyDescent="0.2">
      <c r="XET1182" s="220">
        <v>42669</v>
      </c>
      <c r="XEU1182" s="221">
        <v>13.482666999999999</v>
      </c>
      <c r="XEV1182" s="198">
        <f t="shared" si="185"/>
        <v>-4.9416824390069447E-4</v>
      </c>
      <c r="XEW1182" s="221">
        <v>5250.2700199999999</v>
      </c>
      <c r="XEX1182" s="198">
        <f t="shared" si="186"/>
        <v>-6.2705611186953947E-3</v>
      </c>
    </row>
    <row r="1183" spans="16374:16378" x14ac:dyDescent="0.2">
      <c r="XET1183" s="220">
        <v>42670</v>
      </c>
      <c r="XEU1183" s="221">
        <v>13.600667</v>
      </c>
      <c r="XEV1183" s="198">
        <f t="shared" si="185"/>
        <v>8.7519776317253051E-3</v>
      </c>
      <c r="XEW1183" s="221">
        <v>5215.9702150000003</v>
      </c>
      <c r="XEX1183" s="198">
        <f t="shared" si="186"/>
        <v>-6.532960184779113E-3</v>
      </c>
    </row>
    <row r="1184" spans="16374:16378" x14ac:dyDescent="0.2">
      <c r="XET1184" s="220">
        <v>42671</v>
      </c>
      <c r="XEU1184" s="221">
        <v>13.331333000000001</v>
      </c>
      <c r="XEV1184" s="198">
        <f t="shared" si="185"/>
        <v>-1.9802999367604435E-2</v>
      </c>
      <c r="XEW1184" s="221">
        <v>5190.1000979999999</v>
      </c>
      <c r="XEX1184" s="198">
        <f t="shared" si="186"/>
        <v>-4.9597900167457354E-3</v>
      </c>
    </row>
    <row r="1185" spans="16374:16378" x14ac:dyDescent="0.2">
      <c r="XET1185" s="220">
        <v>42674</v>
      </c>
      <c r="XEU1185" s="221">
        <v>13.182</v>
      </c>
      <c r="XEV1185" s="198">
        <f t="shared" si="185"/>
        <v>-1.1201655528370713E-2</v>
      </c>
      <c r="XEW1185" s="221">
        <v>5189.1401370000003</v>
      </c>
      <c r="XEX1185" s="198">
        <f t="shared" si="186"/>
        <v>-1.8496001654566552E-4</v>
      </c>
    </row>
    <row r="1186" spans="16374:16378" x14ac:dyDescent="0.2">
      <c r="XET1186" s="220">
        <v>42675</v>
      </c>
      <c r="XEU1186" s="221">
        <v>12.719333000000001</v>
      </c>
      <c r="XEV1186" s="198">
        <f t="shared" si="185"/>
        <v>-3.5098391746320678E-2</v>
      </c>
      <c r="XEW1186" s="221">
        <v>5153.580078</v>
      </c>
      <c r="XEX1186" s="198">
        <f t="shared" si="186"/>
        <v>-6.8527844808906613E-3</v>
      </c>
    </row>
    <row r="1187" spans="16374:16378" x14ac:dyDescent="0.2">
      <c r="XET1187" s="220">
        <v>42676</v>
      </c>
      <c r="XEU1187" s="221">
        <v>12.534667000000001</v>
      </c>
      <c r="XEV1187" s="198">
        <f t="shared" si="185"/>
        <v>-1.4518528605234282E-2</v>
      </c>
      <c r="XEW1187" s="221">
        <v>5105.5698240000002</v>
      </c>
      <c r="XEX1187" s="198">
        <f t="shared" si="186"/>
        <v>-9.3159033668555047E-3</v>
      </c>
    </row>
    <row r="1188" spans="16374:16378" x14ac:dyDescent="0.2">
      <c r="XET1188" s="220">
        <v>42677</v>
      </c>
      <c r="XEU1188" s="221">
        <v>12.494667</v>
      </c>
      <c r="XEV1188" s="198">
        <f t="shared" si="185"/>
        <v>-3.1911497928106547E-3</v>
      </c>
      <c r="XEW1188" s="221">
        <v>5058.4101559999999</v>
      </c>
      <c r="XEX1188" s="198">
        <f t="shared" si="186"/>
        <v>-9.2369058940913185E-3</v>
      </c>
    </row>
    <row r="1189" spans="16374:16378" x14ac:dyDescent="0.2">
      <c r="XET1189" s="220">
        <v>42678</v>
      </c>
      <c r="XEU1189" s="221">
        <v>12.704000000000001</v>
      </c>
      <c r="XEV1189" s="198">
        <f t="shared" si="185"/>
        <v>1.6753787836042422E-2</v>
      </c>
      <c r="XEW1189" s="221">
        <v>5046.3701170000004</v>
      </c>
      <c r="XEX1189" s="198">
        <f t="shared" si="186"/>
        <v>-2.3802022035952497E-3</v>
      </c>
    </row>
    <row r="1190" spans="16374:16378" x14ac:dyDescent="0.2">
      <c r="XET1190" s="220">
        <v>42681</v>
      </c>
      <c r="XEU1190" s="221">
        <v>12.880667000000001</v>
      </c>
      <c r="XEV1190" s="198">
        <f t="shared" si="185"/>
        <v>1.3906407430730461E-2</v>
      </c>
      <c r="XEW1190" s="221">
        <v>5166.169922</v>
      </c>
      <c r="XEX1190" s="198">
        <f t="shared" si="186"/>
        <v>2.3739797561899589E-2</v>
      </c>
    </row>
    <row r="1191" spans="16374:16378" x14ac:dyDescent="0.2">
      <c r="XET1191" s="220">
        <v>42682</v>
      </c>
      <c r="XEU1191" s="221">
        <v>12.996</v>
      </c>
      <c r="XEV1191" s="198">
        <f t="shared" si="185"/>
        <v>8.9539617785321379E-3</v>
      </c>
      <c r="XEW1191" s="221">
        <v>5193.4902339999999</v>
      </c>
      <c r="XEX1191" s="198">
        <f t="shared" si="186"/>
        <v>5.2883107626129355E-3</v>
      </c>
    </row>
    <row r="1192" spans="16374:16378" x14ac:dyDescent="0.2">
      <c r="XET1192" s="220">
        <v>42683</v>
      </c>
      <c r="XEU1192" s="221">
        <v>12.670667</v>
      </c>
      <c r="XEV1192" s="198">
        <f t="shared" si="185"/>
        <v>-2.503331794398278E-2</v>
      </c>
      <c r="XEW1192" s="221">
        <v>5251.0698240000002</v>
      </c>
      <c r="XEX1192" s="198">
        <f t="shared" si="186"/>
        <v>1.1086877495801728E-2</v>
      </c>
    </row>
    <row r="1193" spans="16374:16378" x14ac:dyDescent="0.2">
      <c r="XET1193" s="220">
        <v>42684</v>
      </c>
      <c r="XEU1193" s="221">
        <v>12.356667</v>
      </c>
      <c r="XEV1193" s="198">
        <f t="shared" si="185"/>
        <v>-2.4781647248720229E-2</v>
      </c>
      <c r="XEW1193" s="221">
        <v>5208.7998049999997</v>
      </c>
      <c r="XEX1193" s="198">
        <f t="shared" si="186"/>
        <v>-8.0497918360951104E-3</v>
      </c>
    </row>
    <row r="1194" spans="16374:16378" x14ac:dyDescent="0.2">
      <c r="XET1194" s="220">
        <v>42685</v>
      </c>
      <c r="XEU1194" s="221">
        <v>12.570667</v>
      </c>
      <c r="XEV1194" s="198">
        <f t="shared" si="185"/>
        <v>1.7318585990866442E-2</v>
      </c>
      <c r="XEW1194" s="221">
        <v>5237.1098629999997</v>
      </c>
      <c r="XEX1194" s="198">
        <f t="shared" si="186"/>
        <v>5.4350443595134745E-3</v>
      </c>
    </row>
    <row r="1195" spans="16374:16378" x14ac:dyDescent="0.2">
      <c r="XET1195" s="220">
        <v>42688</v>
      </c>
      <c r="XEU1195" s="221">
        <v>12.096667</v>
      </c>
      <c r="XEV1195" s="198">
        <f t="shared" si="185"/>
        <v>-3.7706829717150225E-2</v>
      </c>
      <c r="XEW1195" s="221">
        <v>5218.3999020000001</v>
      </c>
      <c r="XEX1195" s="198">
        <f t="shared" si="186"/>
        <v>-3.5725737075299469E-3</v>
      </c>
    </row>
    <row r="1196" spans="16374:16378" x14ac:dyDescent="0.2">
      <c r="XET1196" s="220">
        <v>42689</v>
      </c>
      <c r="XEU1196" s="221">
        <v>12.251333000000001</v>
      </c>
      <c r="XEV1196" s="198">
        <f t="shared" si="185"/>
        <v>1.2785835966221182E-2</v>
      </c>
      <c r="XEW1196" s="221">
        <v>5275.6201170000004</v>
      </c>
      <c r="XEX1196" s="198">
        <f t="shared" si="186"/>
        <v>1.0965088163915837E-2</v>
      </c>
    </row>
    <row r="1197" spans="16374:16378" x14ac:dyDescent="0.2">
      <c r="XET1197" s="220">
        <v>42690</v>
      </c>
      <c r="XEU1197" s="221">
        <v>12.262</v>
      </c>
      <c r="XEV1197" s="198">
        <f t="shared" si="185"/>
        <v>8.7068076592156096E-4</v>
      </c>
      <c r="XEW1197" s="221">
        <v>5294.580078</v>
      </c>
      <c r="XEX1197" s="198">
        <f t="shared" si="186"/>
        <v>3.5938829141437534E-3</v>
      </c>
    </row>
    <row r="1198" spans="16374:16378" x14ac:dyDescent="0.2">
      <c r="XET1198" s="220">
        <v>42691</v>
      </c>
      <c r="XEU1198" s="221">
        <v>12.577332999999999</v>
      </c>
      <c r="XEV1198" s="198">
        <f t="shared" si="185"/>
        <v>2.5716277931821852E-2</v>
      </c>
      <c r="XEW1198" s="221">
        <v>5333.9702150000003</v>
      </c>
      <c r="XEX1198" s="198">
        <f t="shared" si="186"/>
        <v>7.4397093668814307E-3</v>
      </c>
    </row>
    <row r="1199" spans="16374:16378" x14ac:dyDescent="0.2">
      <c r="XET1199" s="220">
        <v>42692</v>
      </c>
      <c r="XEU1199" s="221">
        <v>12.334667</v>
      </c>
      <c r="XEV1199" s="198">
        <f t="shared" si="185"/>
        <v>-1.9293915490668834E-2</v>
      </c>
      <c r="XEW1199" s="221">
        <v>5321.5097660000001</v>
      </c>
      <c r="XEX1199" s="198">
        <f t="shared" si="186"/>
        <v>-2.3360552267350787E-3</v>
      </c>
    </row>
    <row r="1200" spans="16374:16378" x14ac:dyDescent="0.2">
      <c r="XET1200" s="220">
        <v>42695</v>
      </c>
      <c r="XEU1200" s="221">
        <v>12.301333</v>
      </c>
      <c r="XEV1200" s="198">
        <f t="shared" si="185"/>
        <v>-2.7024645253901358E-3</v>
      </c>
      <c r="XEW1200" s="221">
        <v>5368.8598629999997</v>
      </c>
      <c r="XEX1200" s="198">
        <f t="shared" si="186"/>
        <v>8.8978690413248351E-3</v>
      </c>
    </row>
    <row r="1201" spans="16374:16378" x14ac:dyDescent="0.2">
      <c r="XET1201" s="220">
        <v>42696</v>
      </c>
      <c r="XEU1201" s="221">
        <v>12.744667</v>
      </c>
      <c r="XEV1201" s="198">
        <f t="shared" si="185"/>
        <v>3.6039508888995986E-2</v>
      </c>
      <c r="XEW1201" s="221">
        <v>5386.3500979999999</v>
      </c>
      <c r="XEX1201" s="198">
        <f t="shared" si="186"/>
        <v>3.2577186677074099E-3</v>
      </c>
    </row>
    <row r="1202" spans="16374:16378" x14ac:dyDescent="0.2">
      <c r="XET1202" s="220">
        <v>42697</v>
      </c>
      <c r="XEU1202" s="221">
        <v>12.875999999999999</v>
      </c>
      <c r="XEV1202" s="198">
        <f t="shared" si="185"/>
        <v>1.030493774376362E-2</v>
      </c>
      <c r="XEW1202" s="221">
        <v>5380.6801759999998</v>
      </c>
      <c r="XEX1202" s="198">
        <f t="shared" si="186"/>
        <v>-1.0526463926110452E-3</v>
      </c>
    </row>
    <row r="1203" spans="16374:16378" x14ac:dyDescent="0.2">
      <c r="XET1203" s="220">
        <v>42699</v>
      </c>
      <c r="XEU1203" s="221">
        <v>13.11</v>
      </c>
      <c r="XEV1203" s="198">
        <f t="shared" si="185"/>
        <v>1.8173345759552761E-2</v>
      </c>
      <c r="XEW1203" s="221">
        <v>5398.919922</v>
      </c>
      <c r="XEX1203" s="198">
        <f t="shared" si="186"/>
        <v>3.3898587917113865E-3</v>
      </c>
    </row>
    <row r="1204" spans="16374:16378" x14ac:dyDescent="0.2">
      <c r="XET1204" s="220">
        <v>42702</v>
      </c>
      <c r="XEU1204" s="221">
        <v>13.074667</v>
      </c>
      <c r="XEV1204" s="198">
        <f t="shared" si="185"/>
        <v>-2.6951182303585064E-3</v>
      </c>
      <c r="XEW1204" s="221">
        <v>5368.8100590000004</v>
      </c>
      <c r="XEX1204" s="198">
        <f t="shared" si="186"/>
        <v>-5.5770160393202595E-3</v>
      </c>
    </row>
    <row r="1205" spans="16374:16378" x14ac:dyDescent="0.2">
      <c r="XET1205" s="220">
        <v>42703</v>
      </c>
      <c r="XEU1205" s="221">
        <v>12.638</v>
      </c>
      <c r="XEV1205" s="198">
        <f t="shared" si="185"/>
        <v>-3.3397944284164205E-2</v>
      </c>
      <c r="XEW1205" s="221">
        <v>5379.919922</v>
      </c>
      <c r="XEX1205" s="198">
        <f t="shared" si="186"/>
        <v>2.0693343362698791E-3</v>
      </c>
    </row>
    <row r="1206" spans="16374:16378" x14ac:dyDescent="0.2">
      <c r="XET1206" s="220">
        <v>42704</v>
      </c>
      <c r="XEU1206" s="221">
        <v>12.626666999999999</v>
      </c>
      <c r="XEV1206" s="198">
        <f t="shared" si="185"/>
        <v>-8.9673999050488007E-4</v>
      </c>
      <c r="XEW1206" s="221">
        <v>5323.6801759999998</v>
      </c>
      <c r="XEX1206" s="198">
        <f t="shared" si="186"/>
        <v>-1.0453639982636154E-2</v>
      </c>
    </row>
    <row r="1207" spans="16374:16378" x14ac:dyDescent="0.2">
      <c r="XET1207" s="220">
        <v>42705</v>
      </c>
      <c r="XEU1207" s="221">
        <v>12.125332999999999</v>
      </c>
      <c r="XEV1207" s="198">
        <f t="shared" si="185"/>
        <v>-3.9704381211605577E-2</v>
      </c>
      <c r="XEW1207" s="221">
        <v>5251.1098629999997</v>
      </c>
      <c r="XEX1207" s="198">
        <f t="shared" si="186"/>
        <v>-1.3631606445323019E-2</v>
      </c>
    </row>
    <row r="1208" spans="16374:16378" x14ac:dyDescent="0.2">
      <c r="XET1208" s="220">
        <v>42706</v>
      </c>
      <c r="XEU1208" s="221">
        <v>12.098000000000001</v>
      </c>
      <c r="XEV1208" s="198">
        <f t="shared" si="185"/>
        <v>-2.2542061319057449E-3</v>
      </c>
      <c r="XEW1208" s="221">
        <v>5255.6499020000001</v>
      </c>
      <c r="XEX1208" s="198">
        <f t="shared" si="186"/>
        <v>8.6458655759424907E-4</v>
      </c>
    </row>
    <row r="1209" spans="16374:16378" x14ac:dyDescent="0.2">
      <c r="XET1209" s="220">
        <v>42709</v>
      </c>
      <c r="XEU1209" s="221">
        <v>12.453333000000001</v>
      </c>
      <c r="XEV1209" s="198">
        <f t="shared" si="185"/>
        <v>2.9371218383203779E-2</v>
      </c>
      <c r="XEW1209" s="221">
        <v>5308.8901370000003</v>
      </c>
      <c r="XEX1209" s="198">
        <f t="shared" si="186"/>
        <v>1.0130095419738749E-2</v>
      </c>
    </row>
    <row r="1210" spans="16374:16378" x14ac:dyDescent="0.2">
      <c r="XET1210" s="220">
        <v>42710</v>
      </c>
      <c r="XEU1210" s="221">
        <v>12.39</v>
      </c>
      <c r="XEV1210" s="198">
        <f t="shared" si="185"/>
        <v>-5.085626474454652E-3</v>
      </c>
      <c r="XEW1210" s="221">
        <v>5333</v>
      </c>
      <c r="XEX1210" s="198">
        <f t="shared" si="186"/>
        <v>4.54141305957112E-3</v>
      </c>
    </row>
    <row r="1211" spans="16374:16378" x14ac:dyDescent="0.2">
      <c r="XET1211" s="220">
        <v>42711</v>
      </c>
      <c r="XEU1211" s="221">
        <v>12.876666999999999</v>
      </c>
      <c r="XEV1211" s="198">
        <f t="shared" si="185"/>
        <v>3.9279015334947376E-2</v>
      </c>
      <c r="XEW1211" s="221">
        <v>5393.7597660000001</v>
      </c>
      <c r="XEX1211" s="198">
        <f t="shared" si="186"/>
        <v>1.1393168198012393E-2</v>
      </c>
    </row>
    <row r="1212" spans="16374:16378" x14ac:dyDescent="0.2">
      <c r="XET1212" s="220">
        <v>42712</v>
      </c>
      <c r="XEU1212" s="221">
        <v>12.819333</v>
      </c>
      <c r="XEV1212" s="198">
        <f t="shared" si="185"/>
        <v>-4.4525497164754624E-3</v>
      </c>
      <c r="XEW1212" s="221">
        <v>5417.3598629999997</v>
      </c>
      <c r="XEX1212" s="198">
        <f t="shared" si="186"/>
        <v>4.3754445922423724E-3</v>
      </c>
    </row>
    <row r="1213" spans="16374:16378" x14ac:dyDescent="0.2">
      <c r="XET1213" s="220">
        <v>42713</v>
      </c>
      <c r="XEU1213" s="221">
        <v>12.811999999999999</v>
      </c>
      <c r="XEV1213" s="198">
        <f t="shared" si="185"/>
        <v>-5.7202664132371961E-4</v>
      </c>
      <c r="XEW1213" s="221">
        <v>5444.5</v>
      </c>
      <c r="XEX1213" s="198">
        <f t="shared" si="186"/>
        <v>5.0098456972305083E-3</v>
      </c>
    </row>
    <row r="1214" spans="16374:16378" x14ac:dyDescent="0.2">
      <c r="XET1214" s="220">
        <v>42716</v>
      </c>
      <c r="XEU1214" s="221">
        <v>12.828666999999999</v>
      </c>
      <c r="XEV1214" s="198">
        <f t="shared" si="185"/>
        <v>1.3008897908211026E-3</v>
      </c>
      <c r="XEW1214" s="221">
        <v>5412.5400390000004</v>
      </c>
      <c r="XEX1214" s="198">
        <f t="shared" si="186"/>
        <v>-5.8701370190099578E-3</v>
      </c>
    </row>
    <row r="1215" spans="16374:16378" x14ac:dyDescent="0.2">
      <c r="XET1215" s="220">
        <v>42717</v>
      </c>
      <c r="XEU1215" s="221">
        <v>13.21</v>
      </c>
      <c r="XEV1215" s="198">
        <f t="shared" si="185"/>
        <v>2.9725068083847006E-2</v>
      </c>
      <c r="XEW1215" s="221">
        <v>5463.830078</v>
      </c>
      <c r="XEX1215" s="198">
        <f t="shared" si="186"/>
        <v>9.4761495768029835E-3</v>
      </c>
    </row>
    <row r="1216" spans="16374:16378" x14ac:dyDescent="0.2">
      <c r="XET1216" s="220">
        <v>42718</v>
      </c>
      <c r="XEU1216" s="221">
        <v>13.246</v>
      </c>
      <c r="XEV1216" s="198">
        <f t="shared" si="185"/>
        <v>2.7252081756246049E-3</v>
      </c>
      <c r="XEW1216" s="221">
        <v>5436.669922</v>
      </c>
      <c r="XEX1216" s="198">
        <f t="shared" si="186"/>
        <v>-4.9709005610111268E-3</v>
      </c>
    </row>
    <row r="1217" spans="16374:16378" x14ac:dyDescent="0.2">
      <c r="XET1217" s="220">
        <v>42719</v>
      </c>
      <c r="XEU1217" s="221">
        <v>13.172000000000001</v>
      </c>
      <c r="XEV1217" s="198">
        <f t="shared" si="185"/>
        <v>-5.5865921787708883E-3</v>
      </c>
      <c r="XEW1217" s="221">
        <v>5456.8500979999999</v>
      </c>
      <c r="XEX1217" s="198">
        <f t="shared" si="186"/>
        <v>3.7118633813575386E-3</v>
      </c>
    </row>
    <row r="1218" spans="16374:16378" x14ac:dyDescent="0.2">
      <c r="XET1218" s="220">
        <v>42720</v>
      </c>
      <c r="XEU1218" s="221">
        <v>13.499333</v>
      </c>
      <c r="XEV1218" s="198">
        <f t="shared" si="185"/>
        <v>2.4850668083814087E-2</v>
      </c>
      <c r="XEW1218" s="221">
        <v>5437.1601559999999</v>
      </c>
      <c r="XEX1218" s="198">
        <f t="shared" si="186"/>
        <v>-3.6082981292112626E-3</v>
      </c>
    </row>
    <row r="1219" spans="16374:16378" x14ac:dyDescent="0.2">
      <c r="XET1219" s="220">
        <v>42723</v>
      </c>
      <c r="XEU1219" s="221">
        <v>13.515333</v>
      </c>
      <c r="XEV1219" s="198">
        <f t="shared" si="185"/>
        <v>1.1852437450057263E-3</v>
      </c>
      <c r="XEW1219" s="221">
        <v>5457.4399409999996</v>
      </c>
      <c r="XEX1219" s="198">
        <f t="shared" si="186"/>
        <v>3.7298487479020537E-3</v>
      </c>
    </row>
    <row r="1220" spans="16374:16378" x14ac:dyDescent="0.2">
      <c r="XET1220" s="220">
        <v>42724</v>
      </c>
      <c r="XEU1220" s="221">
        <v>13.919333</v>
      </c>
      <c r="XEV1220" s="198">
        <f t="shared" si="185"/>
        <v>2.9891975284663808E-2</v>
      </c>
      <c r="XEW1220" s="221">
        <v>5483.9399409999996</v>
      </c>
      <c r="XEX1220" s="198">
        <f t="shared" si="186"/>
        <v>4.8557565976885542E-3</v>
      </c>
    </row>
    <row r="1221" spans="16374:16378" x14ac:dyDescent="0.2">
      <c r="XET1221" s="220">
        <v>42725</v>
      </c>
      <c r="XEU1221" s="221">
        <v>13.846667</v>
      </c>
      <c r="XEV1221" s="198">
        <f t="shared" si="185"/>
        <v>-5.2205087700681885E-3</v>
      </c>
      <c r="XEW1221" s="221">
        <v>5471.4301759999998</v>
      </c>
      <c r="XEX1221" s="198">
        <f t="shared" si="186"/>
        <v>-2.281163749893067E-3</v>
      </c>
    </row>
    <row r="1222" spans="16374:16378" x14ac:dyDescent="0.2">
      <c r="XET1222" s="220">
        <v>42726</v>
      </c>
      <c r="XEU1222" s="221">
        <v>13.896667000000001</v>
      </c>
      <c r="XEV1222" s="198">
        <f t="shared" si="185"/>
        <v>3.6109772842807253E-3</v>
      </c>
      <c r="XEW1222" s="221">
        <v>5447.419922</v>
      </c>
      <c r="XEX1222" s="198">
        <f t="shared" si="186"/>
        <v>-4.3882957887900753E-3</v>
      </c>
    </row>
    <row r="1223" spans="16374:16378" x14ac:dyDescent="0.2">
      <c r="XET1223" s="220">
        <v>42727</v>
      </c>
      <c r="XEU1223" s="221">
        <v>14.222667</v>
      </c>
      <c r="XEV1223" s="198">
        <f t="shared" si="185"/>
        <v>2.3458862474001752E-2</v>
      </c>
      <c r="XEW1223" s="221">
        <v>5462.6899409999996</v>
      </c>
      <c r="XEX1223" s="198">
        <f t="shared" si="186"/>
        <v>2.8031653918085819E-3</v>
      </c>
    </row>
    <row r="1224" spans="16374:16378" x14ac:dyDescent="0.2">
      <c r="XET1224" s="220">
        <v>42731</v>
      </c>
      <c r="XEU1224" s="221">
        <v>14.635332999999999</v>
      </c>
      <c r="XEV1224" s="198">
        <f t="shared" si="185"/>
        <v>2.9014670736508208E-2</v>
      </c>
      <c r="XEW1224" s="221">
        <v>5487.4399409999996</v>
      </c>
      <c r="XEX1224" s="198">
        <f t="shared" si="186"/>
        <v>4.5307349066692204E-3</v>
      </c>
    </row>
    <row r="1225" spans="16374:16378" x14ac:dyDescent="0.2">
      <c r="XET1225" s="220">
        <v>42732</v>
      </c>
      <c r="XEU1225" s="221">
        <v>14.649333</v>
      </c>
      <c r="XEV1225" s="198">
        <f t="shared" si="185"/>
        <v>9.565890984510883E-4</v>
      </c>
      <c r="XEW1225" s="221">
        <v>5438.5600590000004</v>
      </c>
      <c r="XEX1225" s="198">
        <f t="shared" si="186"/>
        <v>-8.9075930717323892E-3</v>
      </c>
    </row>
    <row r="1226" spans="16374:16378" x14ac:dyDescent="0.2">
      <c r="XET1226" s="220">
        <v>42733</v>
      </c>
      <c r="XEU1226" s="221">
        <v>14.311999999999999</v>
      </c>
      <c r="XEV1226" s="198">
        <f t="shared" si="185"/>
        <v>-2.3027191749958931E-2</v>
      </c>
      <c r="XEW1226" s="221">
        <v>5432.0898440000001</v>
      </c>
      <c r="XEX1226" s="198">
        <f t="shared" si="186"/>
        <v>-1.189692663096209E-3</v>
      </c>
    </row>
    <row r="1227" spans="16374:16378" x14ac:dyDescent="0.2">
      <c r="XET1227" s="220">
        <v>42734</v>
      </c>
      <c r="XEU1227" s="221">
        <v>14.246</v>
      </c>
      <c r="XEV1227" s="198">
        <f t="shared" si="185"/>
        <v>-4.6115148127444661E-3</v>
      </c>
      <c r="XEW1227" s="221">
        <v>5383.1201170000004</v>
      </c>
      <c r="XEX1227" s="198">
        <f t="shared" si="186"/>
        <v>-9.0148963670195759E-3</v>
      </c>
    </row>
    <row r="1228" spans="16374:16378" x14ac:dyDescent="0.2">
      <c r="XET1228" s="220">
        <v>42738</v>
      </c>
      <c r="XEU1228" s="221">
        <v>14.465999999999999</v>
      </c>
      <c r="XEV1228" s="198">
        <f t="shared" ref="XEV1228:XEV1291" si="187">XEU1228/XEU1227-1</f>
        <v>1.5442931349150646E-2</v>
      </c>
      <c r="XEW1228" s="221">
        <v>5429.080078</v>
      </c>
      <c r="XEX1228" s="198">
        <f t="shared" ref="XEX1228:XEX1291" si="188">XEW1228/XEW1227-1</f>
        <v>8.5377922099225678E-3</v>
      </c>
    </row>
    <row r="1229" spans="16374:16378" x14ac:dyDescent="0.2">
      <c r="XET1229" s="220">
        <v>42739</v>
      </c>
      <c r="XEU1229" s="221">
        <v>15.132667</v>
      </c>
      <c r="XEV1229" s="198">
        <f t="shared" si="187"/>
        <v>4.608509608737732E-2</v>
      </c>
      <c r="XEW1229" s="221">
        <v>5477</v>
      </c>
      <c r="XEX1229" s="198">
        <f t="shared" si="188"/>
        <v>8.8265270195928558E-3</v>
      </c>
    </row>
    <row r="1230" spans="16374:16378" x14ac:dyDescent="0.2">
      <c r="XET1230" s="220">
        <v>42740</v>
      </c>
      <c r="XEU1230" s="221">
        <v>15.116667</v>
      </c>
      <c r="XEV1230" s="198">
        <f t="shared" si="187"/>
        <v>-1.0573152769436378E-3</v>
      </c>
      <c r="XEW1230" s="221">
        <v>5487.9399409999996</v>
      </c>
      <c r="XEX1230" s="198">
        <f t="shared" si="188"/>
        <v>1.9974330838048449E-3</v>
      </c>
    </row>
    <row r="1231" spans="16374:16378" x14ac:dyDescent="0.2">
      <c r="XET1231" s="220">
        <v>42741</v>
      </c>
      <c r="XEU1231" s="221">
        <v>15.267333000000001</v>
      </c>
      <c r="XEV1231" s="198">
        <f t="shared" si="187"/>
        <v>9.9668796038174801E-3</v>
      </c>
      <c r="XEW1231" s="221">
        <v>5521.0600590000004</v>
      </c>
      <c r="XEX1231" s="198">
        <f t="shared" si="188"/>
        <v>6.0350729701983408E-3</v>
      </c>
    </row>
    <row r="1232" spans="16374:16378" x14ac:dyDescent="0.2">
      <c r="XET1232" s="220">
        <v>42744</v>
      </c>
      <c r="XEU1232" s="221">
        <v>15.418666999999999</v>
      </c>
      <c r="XEV1232" s="198">
        <f t="shared" si="187"/>
        <v>9.9122747895783458E-3</v>
      </c>
      <c r="XEW1232" s="221">
        <v>5531.8198240000002</v>
      </c>
      <c r="XEX1232" s="198">
        <f t="shared" si="188"/>
        <v>1.9488585316980167E-3</v>
      </c>
    </row>
    <row r="1233" spans="16374:16378" x14ac:dyDescent="0.2">
      <c r="XET1233" s="220">
        <v>42745</v>
      </c>
      <c r="XEU1233" s="221">
        <v>15.324667</v>
      </c>
      <c r="XEV1233" s="198">
        <f t="shared" si="187"/>
        <v>-6.0965062673705717E-3</v>
      </c>
      <c r="XEW1233" s="221">
        <v>5551.8198240000002</v>
      </c>
      <c r="XEX1233" s="198">
        <f t="shared" si="188"/>
        <v>3.6154467492288678E-3</v>
      </c>
    </row>
    <row r="1234" spans="16374:16378" x14ac:dyDescent="0.2">
      <c r="XET1234" s="220">
        <v>42746</v>
      </c>
      <c r="XEU1234" s="221">
        <v>15.315333000000001</v>
      </c>
      <c r="XEV1234" s="198">
        <f t="shared" si="187"/>
        <v>-6.0908338171383747E-4</v>
      </c>
      <c r="XEW1234" s="221">
        <v>5563.6499020000001</v>
      </c>
      <c r="XEX1234" s="198">
        <f t="shared" si="188"/>
        <v>2.1308468889533749E-3</v>
      </c>
    </row>
    <row r="1235" spans="16374:16378" x14ac:dyDescent="0.2">
      <c r="XET1235" s="220">
        <v>42747</v>
      </c>
      <c r="XEU1235" s="221">
        <v>15.305999999999999</v>
      </c>
      <c r="XEV1235" s="198">
        <f t="shared" si="187"/>
        <v>-6.0938929633469474E-4</v>
      </c>
      <c r="XEW1235" s="221">
        <v>5547.4902339999999</v>
      </c>
      <c r="XEX1235" s="198">
        <f t="shared" si="188"/>
        <v>-2.9045084224640361E-3</v>
      </c>
    </row>
    <row r="1236" spans="16374:16378" x14ac:dyDescent="0.2">
      <c r="XET1236" s="220">
        <v>42748</v>
      </c>
      <c r="XEU1236" s="221">
        <v>15.85</v>
      </c>
      <c r="XEV1236" s="198">
        <f t="shared" si="187"/>
        <v>3.5541617666274616E-2</v>
      </c>
      <c r="XEW1236" s="221">
        <v>5574.1201170000004</v>
      </c>
      <c r="XEX1236" s="198">
        <f t="shared" si="188"/>
        <v>4.8003478828657631E-3</v>
      </c>
    </row>
    <row r="1237" spans="16374:16378" x14ac:dyDescent="0.2">
      <c r="XET1237" s="220">
        <v>42752</v>
      </c>
      <c r="XEU1237" s="221">
        <v>15.705333</v>
      </c>
      <c r="XEV1237" s="198">
        <f t="shared" si="187"/>
        <v>-9.1272555205047512E-3</v>
      </c>
      <c r="XEW1237" s="221">
        <v>5538.7299800000001</v>
      </c>
      <c r="XEX1237" s="198">
        <f t="shared" si="188"/>
        <v>-6.3490086788885458E-3</v>
      </c>
    </row>
    <row r="1238" spans="16374:16378" x14ac:dyDescent="0.2">
      <c r="XET1238" s="220">
        <v>42753</v>
      </c>
      <c r="XEU1238" s="221">
        <v>15.890667000000001</v>
      </c>
      <c r="XEV1238" s="198">
        <f t="shared" si="187"/>
        <v>1.1800704894318503E-2</v>
      </c>
      <c r="XEW1238" s="221">
        <v>5555.6499020000001</v>
      </c>
      <c r="XEX1238" s="198">
        <f t="shared" si="188"/>
        <v>3.0548378529187126E-3</v>
      </c>
    </row>
    <row r="1239" spans="16374:16378" x14ac:dyDescent="0.2">
      <c r="XET1239" s="220">
        <v>42754</v>
      </c>
      <c r="XEU1239" s="221">
        <v>16.250668000000001</v>
      </c>
      <c r="XEV1239" s="198">
        <f t="shared" si="187"/>
        <v>2.2654870308464803E-2</v>
      </c>
      <c r="XEW1239" s="221">
        <v>5540.080078</v>
      </c>
      <c r="XEX1239" s="198">
        <f t="shared" si="188"/>
        <v>-2.8025207265841567E-3</v>
      </c>
    </row>
    <row r="1240" spans="16374:16378" x14ac:dyDescent="0.2">
      <c r="XET1240" s="220">
        <v>42755</v>
      </c>
      <c r="XEU1240" s="221">
        <v>16.315332000000001</v>
      </c>
      <c r="XEV1240" s="198">
        <f t="shared" si="187"/>
        <v>3.9791595028586535E-3</v>
      </c>
      <c r="XEW1240" s="221">
        <v>5555.330078</v>
      </c>
      <c r="XEX1240" s="198">
        <f t="shared" si="188"/>
        <v>2.7526677927560694E-3</v>
      </c>
    </row>
    <row r="1241" spans="16374:16378" x14ac:dyDescent="0.2">
      <c r="XET1241" s="220">
        <v>42758</v>
      </c>
      <c r="XEU1241" s="221">
        <v>16.594667000000001</v>
      </c>
      <c r="XEV1241" s="198">
        <f t="shared" si="187"/>
        <v>1.7121012309158079E-2</v>
      </c>
      <c r="XEW1241" s="221">
        <v>5552.9399409999996</v>
      </c>
      <c r="XEX1241" s="198">
        <f t="shared" si="188"/>
        <v>-4.3024212178954802E-4</v>
      </c>
    </row>
    <row r="1242" spans="16374:16378" x14ac:dyDescent="0.2">
      <c r="XET1242" s="220">
        <v>42759</v>
      </c>
      <c r="XEU1242" s="221">
        <v>16.974001000000001</v>
      </c>
      <c r="XEV1242" s="198">
        <f t="shared" si="187"/>
        <v>2.2858789513522604E-2</v>
      </c>
      <c r="XEW1242" s="221">
        <v>5600.9599609999996</v>
      </c>
      <c r="XEX1242" s="198">
        <f t="shared" si="188"/>
        <v>8.6476750172364003E-3</v>
      </c>
    </row>
    <row r="1243" spans="16374:16378" x14ac:dyDescent="0.2">
      <c r="XET1243" s="220">
        <v>42760</v>
      </c>
      <c r="XEU1243" s="221">
        <v>16.964666000000001</v>
      </c>
      <c r="XEV1243" s="198">
        <f t="shared" si="187"/>
        <v>-5.4995872805707613E-4</v>
      </c>
      <c r="XEW1243" s="221">
        <v>5656.3398440000001</v>
      </c>
      <c r="XEX1243" s="198">
        <f t="shared" si="188"/>
        <v>9.8875698783094101E-3</v>
      </c>
    </row>
    <row r="1244" spans="16374:16378" x14ac:dyDescent="0.2">
      <c r="XET1244" s="220">
        <v>42761</v>
      </c>
      <c r="XEU1244" s="221">
        <v>16.834</v>
      </c>
      <c r="XEV1244" s="198">
        <f t="shared" si="187"/>
        <v>-7.7022441821136267E-3</v>
      </c>
      <c r="XEW1244" s="221">
        <v>5655.1801759999998</v>
      </c>
      <c r="XEX1244" s="198">
        <f t="shared" si="188"/>
        <v>-2.0502092023877427E-4</v>
      </c>
    </row>
    <row r="1245" spans="16374:16378" x14ac:dyDescent="0.2">
      <c r="XET1245" s="220">
        <v>42762</v>
      </c>
      <c r="XEU1245" s="221">
        <v>16.863333000000001</v>
      </c>
      <c r="XEV1245" s="198">
        <f t="shared" si="187"/>
        <v>1.7424854461209893E-3</v>
      </c>
      <c r="XEW1245" s="221">
        <v>5660.7797849999997</v>
      </c>
      <c r="XEX1245" s="198">
        <f t="shared" si="188"/>
        <v>9.9017340309748292E-4</v>
      </c>
    </row>
    <row r="1246" spans="16374:16378" x14ac:dyDescent="0.2">
      <c r="XET1246" s="220">
        <v>42765</v>
      </c>
      <c r="XEU1246" s="221">
        <v>16.708667999999999</v>
      </c>
      <c r="XEV1246" s="198">
        <f t="shared" si="187"/>
        <v>-9.1716744252160476E-3</v>
      </c>
      <c r="XEW1246" s="221">
        <v>5613.7099609999996</v>
      </c>
      <c r="XEX1246" s="198">
        <f t="shared" si="188"/>
        <v>-8.315077743304311E-3</v>
      </c>
    </row>
    <row r="1247" spans="16374:16378" x14ac:dyDescent="0.2">
      <c r="XET1247" s="220">
        <v>42766</v>
      </c>
      <c r="XEU1247" s="221">
        <v>16.795334</v>
      </c>
      <c r="XEV1247" s="198">
        <f t="shared" si="187"/>
        <v>5.1868886257122604E-3</v>
      </c>
      <c r="XEW1247" s="221">
        <v>5614.7900390000004</v>
      </c>
      <c r="XEX1247" s="198">
        <f t="shared" si="188"/>
        <v>1.9240003625142776E-4</v>
      </c>
    </row>
    <row r="1248" spans="16374:16378" x14ac:dyDescent="0.2">
      <c r="XET1248" s="220">
        <v>42767</v>
      </c>
      <c r="XEU1248" s="221">
        <v>16.615998999999999</v>
      </c>
      <c r="XEV1248" s="198">
        <f t="shared" si="187"/>
        <v>-1.0677667976117799E-2</v>
      </c>
      <c r="XEW1248" s="221">
        <v>5642.6499020000001</v>
      </c>
      <c r="XEX1248" s="198">
        <f t="shared" si="188"/>
        <v>4.9618708458352145E-3</v>
      </c>
    </row>
    <row r="1249" spans="16374:16378" x14ac:dyDescent="0.2">
      <c r="XET1249" s="220">
        <v>42768</v>
      </c>
      <c r="XEU1249" s="221">
        <v>16.77</v>
      </c>
      <c r="XEV1249" s="198">
        <f t="shared" si="187"/>
        <v>9.268235993514562E-3</v>
      </c>
      <c r="XEW1249" s="221">
        <v>5636.2001950000003</v>
      </c>
      <c r="XEX1249" s="198">
        <f t="shared" si="188"/>
        <v>-1.1430280297407558E-3</v>
      </c>
    </row>
    <row r="1250" spans="16374:16378" x14ac:dyDescent="0.2">
      <c r="XET1250" s="220">
        <v>42769</v>
      </c>
      <c r="XEU1250" s="221">
        <v>16.755333</v>
      </c>
      <c r="XEV1250" s="198">
        <f t="shared" si="187"/>
        <v>-8.7459749552765143E-4</v>
      </c>
      <c r="XEW1250" s="221">
        <v>5666.7700199999999</v>
      </c>
      <c r="XEX1250" s="198">
        <f t="shared" si="188"/>
        <v>5.4238359075886589E-3</v>
      </c>
    </row>
    <row r="1251" spans="16374:16378" x14ac:dyDescent="0.2">
      <c r="XET1251" s="220">
        <v>42772</v>
      </c>
      <c r="XEU1251" s="221">
        <v>17.184667999999999</v>
      </c>
      <c r="XEV1251" s="198">
        <f t="shared" si="187"/>
        <v>2.5623781992276662E-2</v>
      </c>
      <c r="XEW1251" s="221">
        <v>5663.5498049999997</v>
      </c>
      <c r="XEX1251" s="198">
        <f t="shared" si="188"/>
        <v>-5.6826287084799088E-4</v>
      </c>
    </row>
    <row r="1252" spans="16374:16378" x14ac:dyDescent="0.2">
      <c r="XET1252" s="220">
        <v>42773</v>
      </c>
      <c r="XEU1252" s="221">
        <v>17.165333</v>
      </c>
      <c r="XEV1252" s="198">
        <f t="shared" si="187"/>
        <v>-1.1251308433772866E-3</v>
      </c>
      <c r="XEW1252" s="221">
        <v>5674.2202150000003</v>
      </c>
      <c r="XEX1252" s="198">
        <f t="shared" si="188"/>
        <v>1.884049821647249E-3</v>
      </c>
    </row>
    <row r="1253" spans="16374:16378" x14ac:dyDescent="0.2">
      <c r="XET1253" s="220">
        <v>42774</v>
      </c>
      <c r="XEU1253" s="221">
        <v>17.472000000000001</v>
      </c>
      <c r="XEV1253" s="198">
        <f t="shared" si="187"/>
        <v>1.7865485044770146E-2</v>
      </c>
      <c r="XEW1253" s="221">
        <v>5682.4501950000003</v>
      </c>
      <c r="XEX1253" s="198">
        <f t="shared" si="188"/>
        <v>1.4504160374748665E-3</v>
      </c>
    </row>
    <row r="1254" spans="16374:16378" x14ac:dyDescent="0.2">
      <c r="XET1254" s="220">
        <v>42775</v>
      </c>
      <c r="XEU1254" s="221">
        <v>17.946667000000001</v>
      </c>
      <c r="XEV1254" s="198">
        <f t="shared" si="187"/>
        <v>2.7167296245421246E-2</v>
      </c>
      <c r="XEW1254" s="221">
        <v>5715.1801759999998</v>
      </c>
      <c r="XEX1254" s="198">
        <f t="shared" si="188"/>
        <v>5.759835964562976E-3</v>
      </c>
    </row>
    <row r="1255" spans="16374:16378" x14ac:dyDescent="0.2">
      <c r="XET1255" s="220">
        <v>42776</v>
      </c>
      <c r="XEU1255" s="221">
        <v>17.948668000000001</v>
      </c>
      <c r="XEV1255" s="198">
        <f t="shared" si="187"/>
        <v>1.1149702616086721E-4</v>
      </c>
      <c r="XEW1255" s="221">
        <v>5734.1298829999996</v>
      </c>
      <c r="XEX1255" s="198">
        <f t="shared" si="188"/>
        <v>3.3156797190010412E-3</v>
      </c>
    </row>
    <row r="1256" spans="16374:16378" x14ac:dyDescent="0.2">
      <c r="XET1256" s="220">
        <v>42779</v>
      </c>
      <c r="XEU1256" s="221">
        <v>18.706666999999999</v>
      </c>
      <c r="XEV1256" s="198">
        <f t="shared" si="187"/>
        <v>4.2231490381347436E-2</v>
      </c>
      <c r="XEW1256" s="221">
        <v>5763.9599609999996</v>
      </c>
      <c r="XEX1256" s="198">
        <f t="shared" si="188"/>
        <v>5.2021978240215372E-3</v>
      </c>
    </row>
    <row r="1257" spans="16374:16378" x14ac:dyDescent="0.2">
      <c r="XET1257" s="220">
        <v>42780</v>
      </c>
      <c r="XEU1257" s="221">
        <v>18.731999999999999</v>
      </c>
      <c r="XEV1257" s="198">
        <f t="shared" si="187"/>
        <v>1.35422306924049E-3</v>
      </c>
      <c r="XEW1257" s="221">
        <v>5782.5698240000002</v>
      </c>
      <c r="XEX1257" s="198">
        <f t="shared" si="188"/>
        <v>3.2286593116395146E-3</v>
      </c>
    </row>
    <row r="1258" spans="16374:16378" x14ac:dyDescent="0.2">
      <c r="XET1258" s="220">
        <v>42781</v>
      </c>
      <c r="XEU1258" s="221">
        <v>18.650666999999999</v>
      </c>
      <c r="XEV1258" s="198">
        <f t="shared" si="187"/>
        <v>-4.3419282511211188E-3</v>
      </c>
      <c r="XEW1258" s="221">
        <v>5819.4399409999996</v>
      </c>
      <c r="XEX1258" s="198">
        <f t="shared" si="188"/>
        <v>6.3760781317285797E-3</v>
      </c>
    </row>
    <row r="1259" spans="16374:16378" x14ac:dyDescent="0.2">
      <c r="XET1259" s="220">
        <v>42782</v>
      </c>
      <c r="XEU1259" s="221">
        <v>17.93</v>
      </c>
      <c r="XEV1259" s="198">
        <f t="shared" si="187"/>
        <v>-3.8640280264507387E-2</v>
      </c>
      <c r="XEW1259" s="221">
        <v>5814.8999020000001</v>
      </c>
      <c r="XEX1259" s="198">
        <f t="shared" si="188"/>
        <v>-7.8015050348978487E-4</v>
      </c>
    </row>
    <row r="1260" spans="16374:16378" x14ac:dyDescent="0.2">
      <c r="XET1260" s="220">
        <v>42783</v>
      </c>
      <c r="XEU1260" s="221">
        <v>18.148665999999999</v>
      </c>
      <c r="XEV1260" s="198">
        <f t="shared" si="187"/>
        <v>1.2195538204126999E-2</v>
      </c>
      <c r="XEW1260" s="221">
        <v>5838.580078</v>
      </c>
      <c r="XEX1260" s="198">
        <f t="shared" si="188"/>
        <v>4.0723273657479186E-3</v>
      </c>
    </row>
    <row r="1261" spans="16374:16378" x14ac:dyDescent="0.2">
      <c r="XET1261" s="220">
        <v>42787</v>
      </c>
      <c r="XEU1261" s="221">
        <v>18.492666</v>
      </c>
      <c r="XEV1261" s="198">
        <f t="shared" si="187"/>
        <v>1.895456117821559E-2</v>
      </c>
      <c r="XEW1261" s="221">
        <v>5865.9501950000003</v>
      </c>
      <c r="XEX1261" s="198">
        <f t="shared" si="188"/>
        <v>4.6878036499202747E-3</v>
      </c>
    </row>
    <row r="1262" spans="16374:16378" x14ac:dyDescent="0.2">
      <c r="XET1262" s="220">
        <v>42788</v>
      </c>
      <c r="XEU1262" s="221">
        <v>18.233999000000001</v>
      </c>
      <c r="XEV1262" s="198">
        <f t="shared" si="187"/>
        <v>-1.3987545116534217E-2</v>
      </c>
      <c r="XEW1262" s="221">
        <v>5860.6298829999996</v>
      </c>
      <c r="XEX1262" s="198">
        <f t="shared" si="188"/>
        <v>-9.0698212960205193E-4</v>
      </c>
    </row>
    <row r="1263" spans="16374:16378" x14ac:dyDescent="0.2">
      <c r="XET1263" s="220">
        <v>42789</v>
      </c>
      <c r="XEU1263" s="221">
        <v>17.065999999999999</v>
      </c>
      <c r="XEV1263" s="198">
        <f t="shared" si="187"/>
        <v>-6.4056107494576575E-2</v>
      </c>
      <c r="XEW1263" s="221">
        <v>5835.5097660000001</v>
      </c>
      <c r="XEX1263" s="198">
        <f t="shared" si="188"/>
        <v>-4.2862486629408059E-3</v>
      </c>
    </row>
    <row r="1264" spans="16374:16378" x14ac:dyDescent="0.2">
      <c r="XET1264" s="220">
        <v>42790</v>
      </c>
      <c r="XEU1264" s="221">
        <v>17.133333</v>
      </c>
      <c r="XEV1264" s="198">
        <f t="shared" si="187"/>
        <v>3.9454470877768877E-3</v>
      </c>
      <c r="XEW1264" s="221">
        <v>5845.3100590000004</v>
      </c>
      <c r="XEX1264" s="198">
        <f t="shared" si="188"/>
        <v>1.6794236310082589E-3</v>
      </c>
    </row>
    <row r="1265" spans="16374:16378" x14ac:dyDescent="0.2">
      <c r="XET1265" s="220">
        <v>42793</v>
      </c>
      <c r="XEU1265" s="221">
        <v>16.415333</v>
      </c>
      <c r="XEV1265" s="198">
        <f t="shared" si="187"/>
        <v>-4.1906615601296049E-2</v>
      </c>
      <c r="XEW1265" s="221">
        <v>5861.8999020000001</v>
      </c>
      <c r="XEX1265" s="198">
        <f t="shared" si="188"/>
        <v>2.8381459379482887E-3</v>
      </c>
    </row>
    <row r="1266" spans="16374:16378" x14ac:dyDescent="0.2">
      <c r="XET1266" s="220">
        <v>42794</v>
      </c>
      <c r="XEU1266" s="221">
        <v>16.666</v>
      </c>
      <c r="XEV1266" s="198">
        <f t="shared" si="187"/>
        <v>1.5270296374736869E-2</v>
      </c>
      <c r="XEW1266" s="221">
        <v>5825.4399409999996</v>
      </c>
      <c r="XEX1266" s="198">
        <f t="shared" si="188"/>
        <v>-6.2198197870217964E-3</v>
      </c>
    </row>
    <row r="1267" spans="16374:16378" x14ac:dyDescent="0.2">
      <c r="XET1267" s="220">
        <v>42795</v>
      </c>
      <c r="XEU1267" s="221">
        <v>16.667998999999998</v>
      </c>
      <c r="XEV1267" s="198">
        <f t="shared" si="187"/>
        <v>1.1994479779176004E-4</v>
      </c>
      <c r="XEW1267" s="221">
        <v>5904.0297849999997</v>
      </c>
      <c r="XEX1267" s="198">
        <f t="shared" si="188"/>
        <v>1.3490799801552766E-2</v>
      </c>
    </row>
    <row r="1268" spans="16374:16378" x14ac:dyDescent="0.2">
      <c r="XET1268" s="220">
        <v>42796</v>
      </c>
      <c r="XEU1268" s="221">
        <v>16.698668000000001</v>
      </c>
      <c r="XEV1268" s="198">
        <f t="shared" si="187"/>
        <v>1.8399929109669255E-3</v>
      </c>
      <c r="XEW1268" s="221">
        <v>5861.2202150000003</v>
      </c>
      <c r="XEX1268" s="198">
        <f t="shared" si="188"/>
        <v>-7.250906848194294E-3</v>
      </c>
    </row>
    <row r="1269" spans="16374:16378" x14ac:dyDescent="0.2">
      <c r="XET1269" s="220">
        <v>42797</v>
      </c>
      <c r="XEU1269" s="221">
        <v>16.771334</v>
      </c>
      <c r="XEV1269" s="198">
        <f t="shared" si="187"/>
        <v>4.351604571094958E-3</v>
      </c>
      <c r="XEW1269" s="221">
        <v>5870.75</v>
      </c>
      <c r="XEX1269" s="198">
        <f t="shared" si="188"/>
        <v>1.6259046154947221E-3</v>
      </c>
    </row>
    <row r="1270" spans="16374:16378" x14ac:dyDescent="0.2">
      <c r="XET1270" s="220">
        <v>42800</v>
      </c>
      <c r="XEU1270" s="221">
        <v>16.747333999999999</v>
      </c>
      <c r="XEV1270" s="198">
        <f t="shared" si="187"/>
        <v>-1.4310131799891712E-3</v>
      </c>
      <c r="XEW1270" s="221">
        <v>5849.1801759999998</v>
      </c>
      <c r="XEX1270" s="198">
        <f t="shared" si="188"/>
        <v>-3.6741172763276042E-3</v>
      </c>
    </row>
    <row r="1271" spans="16374:16378" x14ac:dyDescent="0.2">
      <c r="XET1271" s="220">
        <v>42801</v>
      </c>
      <c r="XEU1271" s="221">
        <v>16.572666000000002</v>
      </c>
      <c r="XEV1271" s="198">
        <f t="shared" si="187"/>
        <v>-1.042960031728013E-2</v>
      </c>
      <c r="XEW1271" s="221">
        <v>5833.9301759999998</v>
      </c>
      <c r="XEX1271" s="198">
        <f t="shared" si="188"/>
        <v>-2.6072029824919518E-3</v>
      </c>
    </row>
    <row r="1272" spans="16374:16378" x14ac:dyDescent="0.2">
      <c r="XET1272" s="220">
        <v>42802</v>
      </c>
      <c r="XEU1272" s="221">
        <v>16.457999999999998</v>
      </c>
      <c r="XEV1272" s="198">
        <f t="shared" si="187"/>
        <v>-6.9189833428130454E-3</v>
      </c>
      <c r="XEW1272" s="221">
        <v>5837.5498049999997</v>
      </c>
      <c r="XEX1272" s="198">
        <f t="shared" si="188"/>
        <v>6.2044434725838649E-4</v>
      </c>
    </row>
    <row r="1273" spans="16374:16378" x14ac:dyDescent="0.2">
      <c r="XET1273" s="220">
        <v>42803</v>
      </c>
      <c r="XEU1273" s="221">
        <v>16.326668000000002</v>
      </c>
      <c r="XEV1273" s="198">
        <f t="shared" si="187"/>
        <v>-7.9798274395428415E-3</v>
      </c>
      <c r="XEW1273" s="221">
        <v>5838.8100590000004</v>
      </c>
      <c r="XEX1273" s="198">
        <f t="shared" si="188"/>
        <v>2.1588749425682785E-4</v>
      </c>
    </row>
    <row r="1274" spans="16374:16378" x14ac:dyDescent="0.2">
      <c r="XET1274" s="220">
        <v>42804</v>
      </c>
      <c r="XEU1274" s="221">
        <v>16.245999999999999</v>
      </c>
      <c r="XEV1274" s="198">
        <f t="shared" si="187"/>
        <v>-4.9408734225503403E-3</v>
      </c>
      <c r="XEW1274" s="221">
        <v>5861.7299800000001</v>
      </c>
      <c r="XEX1274" s="198">
        <f t="shared" si="188"/>
        <v>3.9254438435911698E-3</v>
      </c>
    </row>
    <row r="1275" spans="16374:16378" x14ac:dyDescent="0.2">
      <c r="XET1275" s="220">
        <v>42807</v>
      </c>
      <c r="XEU1275" s="221">
        <v>16.411332999999999</v>
      </c>
      <c r="XEV1275" s="198">
        <f t="shared" si="187"/>
        <v>1.0176843530715241E-2</v>
      </c>
      <c r="XEW1275" s="221">
        <v>5875.7797849999997</v>
      </c>
      <c r="XEX1275" s="198">
        <f t="shared" si="188"/>
        <v>2.3968700448395719E-3</v>
      </c>
    </row>
    <row r="1276" spans="16374:16378" x14ac:dyDescent="0.2">
      <c r="XET1276" s="220">
        <v>42808</v>
      </c>
      <c r="XEU1276" s="221">
        <v>17.200001</v>
      </c>
      <c r="XEV1276" s="198">
        <f t="shared" si="187"/>
        <v>4.8056303531224476E-2</v>
      </c>
      <c r="XEW1276" s="221">
        <v>5856.8198240000002</v>
      </c>
      <c r="XEX1276" s="198">
        <f t="shared" si="188"/>
        <v>-3.2267991132686191E-3</v>
      </c>
    </row>
    <row r="1277" spans="16374:16378" x14ac:dyDescent="0.2">
      <c r="XET1277" s="220">
        <v>42809</v>
      </c>
      <c r="XEU1277" s="221">
        <v>17.048667999999999</v>
      </c>
      <c r="XEV1277" s="198">
        <f t="shared" si="187"/>
        <v>-8.7984297210216278E-3</v>
      </c>
      <c r="XEW1277" s="221">
        <v>5900.0498049999997</v>
      </c>
      <c r="XEX1277" s="198">
        <f t="shared" si="188"/>
        <v>7.3811355478021756E-3</v>
      </c>
    </row>
    <row r="1278" spans="16374:16378" x14ac:dyDescent="0.2">
      <c r="XET1278" s="220">
        <v>42810</v>
      </c>
      <c r="XEU1278" s="221">
        <v>17.469999000000001</v>
      </c>
      <c r="XEV1278" s="198">
        <f t="shared" si="187"/>
        <v>2.4713426292306329E-2</v>
      </c>
      <c r="XEW1278" s="221">
        <v>5900.7597660000001</v>
      </c>
      <c r="XEX1278" s="198">
        <f t="shared" si="188"/>
        <v>1.2033135710121101E-4</v>
      </c>
    </row>
    <row r="1279" spans="16374:16378" x14ac:dyDescent="0.2">
      <c r="XET1279" s="220">
        <v>42811</v>
      </c>
      <c r="XEU1279" s="221">
        <v>17.433332</v>
      </c>
      <c r="XEV1279" s="198">
        <f t="shared" si="187"/>
        <v>-2.0988553004497312E-3</v>
      </c>
      <c r="XEW1279" s="221">
        <v>5901</v>
      </c>
      <c r="XEX1279" s="198">
        <f t="shared" si="188"/>
        <v>4.0712384426155879E-5</v>
      </c>
    </row>
    <row r="1280" spans="16374:16378" x14ac:dyDescent="0.2">
      <c r="XET1280" s="220">
        <v>42814</v>
      </c>
      <c r="XEU1280" s="221">
        <v>17.461331999999999</v>
      </c>
      <c r="XEV1280" s="198">
        <f t="shared" si="187"/>
        <v>1.6061186696838536E-3</v>
      </c>
      <c r="XEW1280" s="221">
        <v>5901.5297849999997</v>
      </c>
      <c r="XEX1280" s="198">
        <f t="shared" si="188"/>
        <v>8.9778851042110475E-5</v>
      </c>
    </row>
    <row r="1281" spans="16374:16378" x14ac:dyDescent="0.2">
      <c r="XET1281" s="220">
        <v>42815</v>
      </c>
      <c r="XEU1281" s="221">
        <v>16.712</v>
      </c>
      <c r="XEV1281" s="198">
        <f t="shared" si="187"/>
        <v>-4.2913793747235252E-2</v>
      </c>
      <c r="XEW1281" s="221">
        <v>5793.830078</v>
      </c>
      <c r="XEX1281" s="198">
        <f t="shared" si="188"/>
        <v>-1.824945580614401E-2</v>
      </c>
    </row>
    <row r="1282" spans="16374:16378" x14ac:dyDescent="0.2">
      <c r="XET1282" s="220">
        <v>42816</v>
      </c>
      <c r="XEU1282" s="221">
        <v>17.000668000000001</v>
      </c>
      <c r="XEV1282" s="198">
        <f t="shared" si="187"/>
        <v>1.7273097175682262E-2</v>
      </c>
      <c r="XEW1282" s="221">
        <v>5821.6401370000003</v>
      </c>
      <c r="XEX1282" s="198">
        <f t="shared" si="188"/>
        <v>4.7999438412249518E-3</v>
      </c>
    </row>
    <row r="1283" spans="16374:16378" x14ac:dyDescent="0.2">
      <c r="XET1283" s="220">
        <v>42817</v>
      </c>
      <c r="XEU1283" s="221">
        <v>16.985332</v>
      </c>
      <c r="XEV1283" s="198">
        <f t="shared" si="187"/>
        <v>-9.0208220053478172E-4</v>
      </c>
      <c r="XEW1283" s="221">
        <v>5817.6899409999996</v>
      </c>
      <c r="XEX1283" s="198">
        <f t="shared" si="188"/>
        <v>-6.7853661632133466E-4</v>
      </c>
    </row>
    <row r="1284" spans="16374:16378" x14ac:dyDescent="0.2">
      <c r="XET1284" s="220">
        <v>42818</v>
      </c>
      <c r="XEU1284" s="221">
        <v>17.544001000000002</v>
      </c>
      <c r="XEV1284" s="198">
        <f t="shared" si="187"/>
        <v>3.28912617074546E-2</v>
      </c>
      <c r="XEW1284" s="221">
        <v>5828.7402339999999</v>
      </c>
      <c r="XEX1284" s="198">
        <f t="shared" si="188"/>
        <v>1.8994296898025009E-3</v>
      </c>
    </row>
    <row r="1285" spans="16374:16378" x14ac:dyDescent="0.2">
      <c r="XET1285" s="220">
        <v>42821</v>
      </c>
      <c r="XEU1285" s="221">
        <v>18.014668</v>
      </c>
      <c r="XEV1285" s="198">
        <f t="shared" si="187"/>
        <v>2.6827802848392368E-2</v>
      </c>
      <c r="XEW1285" s="221">
        <v>5840.3701170000004</v>
      </c>
      <c r="XEX1285" s="198">
        <f t="shared" si="188"/>
        <v>1.9952652774199997E-3</v>
      </c>
    </row>
    <row r="1286" spans="16374:16378" x14ac:dyDescent="0.2">
      <c r="XET1286" s="220">
        <v>42822</v>
      </c>
      <c r="XEU1286" s="221">
        <v>18.496668</v>
      </c>
      <c r="XEV1286" s="198">
        <f t="shared" si="187"/>
        <v>2.6755974631339274E-2</v>
      </c>
      <c r="XEW1286" s="221">
        <v>5875.1401370000003</v>
      </c>
      <c r="XEX1286" s="198">
        <f t="shared" si="188"/>
        <v>5.9533932445123838E-3</v>
      </c>
    </row>
    <row r="1287" spans="16374:16378" x14ac:dyDescent="0.2">
      <c r="XET1287" s="220">
        <v>42823</v>
      </c>
      <c r="XEU1287" s="221">
        <v>18.492000999999998</v>
      </c>
      <c r="XEV1287" s="198">
        <f t="shared" si="187"/>
        <v>-2.5231571437633882E-4</v>
      </c>
      <c r="XEW1287" s="221">
        <v>5897.5498049999997</v>
      </c>
      <c r="XEX1287" s="198">
        <f t="shared" si="188"/>
        <v>3.8143205910732281E-3</v>
      </c>
    </row>
    <row r="1288" spans="16374:16378" x14ac:dyDescent="0.2">
      <c r="XET1288" s="220">
        <v>42824</v>
      </c>
      <c r="XEU1288" s="221">
        <v>18.527999999999999</v>
      </c>
      <c r="XEV1288" s="198">
        <f t="shared" si="187"/>
        <v>1.9467336174165961E-3</v>
      </c>
      <c r="XEW1288" s="221">
        <v>5914.3398440000001</v>
      </c>
      <c r="XEX1288" s="198">
        <f t="shared" si="188"/>
        <v>2.8469516248537108E-3</v>
      </c>
    </row>
    <row r="1289" spans="16374:16378" x14ac:dyDescent="0.2">
      <c r="XET1289" s="220">
        <v>42825</v>
      </c>
      <c r="XEU1289" s="221">
        <v>18.553332999999999</v>
      </c>
      <c r="XEV1289" s="198">
        <f t="shared" si="187"/>
        <v>1.3672819516408197E-3</v>
      </c>
      <c r="XEW1289" s="221">
        <v>5911.7402339999999</v>
      </c>
      <c r="XEX1289" s="198">
        <f t="shared" si="188"/>
        <v>-4.3954356167708042E-4</v>
      </c>
    </row>
    <row r="1290" spans="16374:16378" x14ac:dyDescent="0.2">
      <c r="XET1290" s="220">
        <v>42828</v>
      </c>
      <c r="XEU1290" s="221">
        <v>19.901333000000001</v>
      </c>
      <c r="XEV1290" s="198">
        <f t="shared" si="187"/>
        <v>7.26554091386169E-2</v>
      </c>
      <c r="XEW1290" s="221">
        <v>5894.6801759999998</v>
      </c>
      <c r="XEX1290" s="198">
        <f t="shared" si="188"/>
        <v>-2.8857929010281946E-3</v>
      </c>
    </row>
    <row r="1291" spans="16374:16378" x14ac:dyDescent="0.2">
      <c r="XET1291" s="220">
        <v>42829</v>
      </c>
      <c r="XEU1291" s="221">
        <v>20.246668</v>
      </c>
      <c r="XEV1291" s="198">
        <f t="shared" si="187"/>
        <v>1.7352355241731621E-2</v>
      </c>
      <c r="XEW1291" s="221">
        <v>5898.6098629999997</v>
      </c>
      <c r="XEX1291" s="198">
        <f t="shared" si="188"/>
        <v>6.6664973886099155E-4</v>
      </c>
    </row>
    <row r="1292" spans="16374:16378" x14ac:dyDescent="0.2">
      <c r="XET1292" s="220">
        <v>42830</v>
      </c>
      <c r="XEU1292" s="221">
        <v>19.666668000000001</v>
      </c>
      <c r="XEV1292" s="198">
        <f t="shared" ref="XEV1292:XEV1355" si="189">XEU1292/XEU1291-1</f>
        <v>-2.8646688926790231E-2</v>
      </c>
      <c r="XEW1292" s="221">
        <v>5864.4799800000001</v>
      </c>
      <c r="XEX1292" s="198">
        <f t="shared" ref="XEX1292:XEX1355" si="190">XEW1292/XEW1291-1</f>
        <v>-5.7860892299531619E-3</v>
      </c>
    </row>
    <row r="1293" spans="16374:16378" x14ac:dyDescent="0.2">
      <c r="XET1293" s="220">
        <v>42831</v>
      </c>
      <c r="XEU1293" s="221">
        <v>19.913333999999999</v>
      </c>
      <c r="XEV1293" s="198">
        <f t="shared" si="189"/>
        <v>1.2542338132722763E-2</v>
      </c>
      <c r="XEW1293" s="221">
        <v>5878.9501950000003</v>
      </c>
      <c r="XEX1293" s="198">
        <f t="shared" si="190"/>
        <v>2.4674336086658588E-3</v>
      </c>
    </row>
    <row r="1294" spans="16374:16378" x14ac:dyDescent="0.2">
      <c r="XET1294" s="220">
        <v>42832</v>
      </c>
      <c r="XEU1294" s="221">
        <v>20.169333000000002</v>
      </c>
      <c r="XEV1294" s="198">
        <f t="shared" si="189"/>
        <v>1.2855657420299593E-2</v>
      </c>
      <c r="XEW1294" s="221">
        <v>5877.8100590000004</v>
      </c>
      <c r="XEX1294" s="198">
        <f t="shared" si="190"/>
        <v>-1.9393530514510982E-4</v>
      </c>
    </row>
    <row r="1295" spans="16374:16378" x14ac:dyDescent="0.2">
      <c r="XET1295" s="220">
        <v>42835</v>
      </c>
      <c r="XEU1295" s="221">
        <v>20.826000000000001</v>
      </c>
      <c r="XEV1295" s="198">
        <f t="shared" si="189"/>
        <v>3.2557695388340191E-2</v>
      </c>
      <c r="XEW1295" s="221">
        <v>5880.9301759999998</v>
      </c>
      <c r="XEX1295" s="198">
        <f t="shared" si="190"/>
        <v>5.3082984456453985E-4</v>
      </c>
    </row>
    <row r="1296" spans="16374:16378" x14ac:dyDescent="0.2">
      <c r="XET1296" s="220">
        <v>42836</v>
      </c>
      <c r="XEU1296" s="221">
        <v>20.580666999999998</v>
      </c>
      <c r="XEV1296" s="198">
        <f t="shared" si="189"/>
        <v>-1.1780130605973382E-2</v>
      </c>
      <c r="XEW1296" s="221">
        <v>5866.7700199999999</v>
      </c>
      <c r="XEX1296" s="198">
        <f t="shared" si="190"/>
        <v>-2.4078088969304856E-3</v>
      </c>
    </row>
    <row r="1297" spans="16374:16378" x14ac:dyDescent="0.2">
      <c r="XET1297" s="220">
        <v>42837</v>
      </c>
      <c r="XEU1297" s="221">
        <v>19.789332999999999</v>
      </c>
      <c r="XEV1297" s="198">
        <f t="shared" si="189"/>
        <v>-3.8450357318351225E-2</v>
      </c>
      <c r="XEW1297" s="221">
        <v>5836.1601559999999</v>
      </c>
      <c r="XEX1297" s="198">
        <f t="shared" si="190"/>
        <v>-5.2174985376365335E-3</v>
      </c>
    </row>
    <row r="1298" spans="16374:16378" x14ac:dyDescent="0.2">
      <c r="XET1298" s="220">
        <v>42838</v>
      </c>
      <c r="XEU1298" s="221">
        <v>20.266666000000001</v>
      </c>
      <c r="XEV1298" s="198">
        <f t="shared" si="189"/>
        <v>2.4120722007154205E-2</v>
      </c>
      <c r="XEW1298" s="221">
        <v>5805.1499020000001</v>
      </c>
      <c r="XEX1298" s="198">
        <f t="shared" si="190"/>
        <v>-5.3134686456675073E-3</v>
      </c>
    </row>
    <row r="1299" spans="16374:16378" x14ac:dyDescent="0.2">
      <c r="XET1299" s="220">
        <v>42842</v>
      </c>
      <c r="XEU1299" s="221">
        <v>20.096001000000001</v>
      </c>
      <c r="XEV1299" s="198">
        <f t="shared" si="189"/>
        <v>-8.4209706717424115E-3</v>
      </c>
      <c r="XEW1299" s="221">
        <v>5856.7900390000004</v>
      </c>
      <c r="XEX1299" s="198">
        <f t="shared" si="190"/>
        <v>8.8955733911728618E-3</v>
      </c>
    </row>
    <row r="1300" spans="16374:16378" x14ac:dyDescent="0.2">
      <c r="XET1300" s="220">
        <v>42843</v>
      </c>
      <c r="XEU1300" s="221">
        <v>20.016666000000001</v>
      </c>
      <c r="XEV1300" s="198">
        <f t="shared" si="189"/>
        <v>-3.9478003608778289E-3</v>
      </c>
      <c r="XEW1300" s="221">
        <v>5849.4702150000003</v>
      </c>
      <c r="XEX1300" s="198">
        <f t="shared" si="190"/>
        <v>-1.2498013333682723E-3</v>
      </c>
    </row>
    <row r="1301" spans="16374:16378" x14ac:dyDescent="0.2">
      <c r="XET1301" s="220">
        <v>42844</v>
      </c>
      <c r="XEU1301" s="221">
        <v>20.367999999999999</v>
      </c>
      <c r="XEV1301" s="198">
        <f t="shared" si="189"/>
        <v>1.7552073856854866E-2</v>
      </c>
      <c r="XEW1301" s="221">
        <v>5863.0297849999997</v>
      </c>
      <c r="XEX1301" s="198">
        <f t="shared" si="190"/>
        <v>2.3180851430320004E-3</v>
      </c>
    </row>
    <row r="1302" spans="16374:16378" x14ac:dyDescent="0.2">
      <c r="XET1302" s="220">
        <v>42845</v>
      </c>
      <c r="XEU1302" s="221">
        <v>20.167334</v>
      </c>
      <c r="XEV1302" s="198">
        <f t="shared" si="189"/>
        <v>-9.8520227808326366E-3</v>
      </c>
      <c r="XEW1302" s="221">
        <v>5916.7797849999997</v>
      </c>
      <c r="XEX1302" s="198">
        <f t="shared" si="190"/>
        <v>9.1676150337005602E-3</v>
      </c>
    </row>
    <row r="1303" spans="16374:16378" x14ac:dyDescent="0.2">
      <c r="XET1303" s="220">
        <v>42846</v>
      </c>
      <c r="XEU1303" s="221">
        <v>20.373332999999999</v>
      </c>
      <c r="XEV1303" s="198">
        <f t="shared" si="189"/>
        <v>1.0214488439572511E-2</v>
      </c>
      <c r="XEW1303" s="221">
        <v>5910.5200199999999</v>
      </c>
      <c r="XEX1303" s="198">
        <f t="shared" si="190"/>
        <v>-1.0579682238418542E-3</v>
      </c>
    </row>
    <row r="1304" spans="16374:16378" x14ac:dyDescent="0.2">
      <c r="XET1304" s="220">
        <v>42849</v>
      </c>
      <c r="XEU1304" s="221">
        <v>20.535333999999999</v>
      </c>
      <c r="XEV1304" s="198">
        <f t="shared" si="189"/>
        <v>7.9516198944964422E-3</v>
      </c>
      <c r="XEW1304" s="221">
        <v>5983.8198240000002</v>
      </c>
      <c r="XEX1304" s="198">
        <f t="shared" si="190"/>
        <v>1.2401582898284413E-2</v>
      </c>
    </row>
    <row r="1305" spans="16374:16378" x14ac:dyDescent="0.2">
      <c r="XET1305" s="220">
        <v>42850</v>
      </c>
      <c r="XEU1305" s="221">
        <v>20.919333000000002</v>
      </c>
      <c r="XEV1305" s="198">
        <f t="shared" si="189"/>
        <v>1.8699428020016784E-2</v>
      </c>
      <c r="XEW1305" s="221">
        <v>6025.4902339999999</v>
      </c>
      <c r="XEX1305" s="198">
        <f t="shared" si="190"/>
        <v>6.9638477136071408E-3</v>
      </c>
    </row>
    <row r="1306" spans="16374:16378" x14ac:dyDescent="0.2">
      <c r="XET1306" s="220">
        <v>42851</v>
      </c>
      <c r="XEU1306" s="221">
        <v>20.677999</v>
      </c>
      <c r="XEV1306" s="198">
        <f t="shared" si="189"/>
        <v>-1.1536409884579157E-2</v>
      </c>
      <c r="XEW1306" s="221">
        <v>6025.2299800000001</v>
      </c>
      <c r="XEX1306" s="198">
        <f t="shared" si="190"/>
        <v>-4.3192170245509587E-5</v>
      </c>
    </row>
    <row r="1307" spans="16374:16378" x14ac:dyDescent="0.2">
      <c r="XET1307" s="220">
        <v>42852</v>
      </c>
      <c r="XEU1307" s="221">
        <v>20.575333000000001</v>
      </c>
      <c r="XEV1307" s="198">
        <f t="shared" si="189"/>
        <v>-4.9649871827539549E-3</v>
      </c>
      <c r="XEW1307" s="221">
        <v>6048.9399409999996</v>
      </c>
      <c r="XEX1307" s="198">
        <f t="shared" si="190"/>
        <v>3.9351130294946746E-3</v>
      </c>
    </row>
    <row r="1308" spans="16374:16378" x14ac:dyDescent="0.2">
      <c r="XET1308" s="220">
        <v>42853</v>
      </c>
      <c r="XEU1308" s="221">
        <v>20.937999999999999</v>
      </c>
      <c r="XEV1308" s="198">
        <f t="shared" si="189"/>
        <v>1.7626300386000882E-2</v>
      </c>
      <c r="XEW1308" s="221">
        <v>6047.6098629999997</v>
      </c>
      <c r="XEX1308" s="198">
        <f t="shared" si="190"/>
        <v>-2.1988613095402787E-4</v>
      </c>
    </row>
    <row r="1309" spans="16374:16378" x14ac:dyDescent="0.2">
      <c r="XET1309" s="220">
        <v>42856</v>
      </c>
      <c r="XEU1309" s="221">
        <v>21.521999000000001</v>
      </c>
      <c r="XEV1309" s="198">
        <f t="shared" si="189"/>
        <v>2.7891823478842337E-2</v>
      </c>
      <c r="XEW1309" s="221">
        <v>6091.6000979999999</v>
      </c>
      <c r="XEX1309" s="198">
        <f t="shared" si="190"/>
        <v>7.2739869132658619E-3</v>
      </c>
    </row>
    <row r="1310" spans="16374:16378" x14ac:dyDescent="0.2">
      <c r="XET1310" s="220">
        <v>42857</v>
      </c>
      <c r="XEU1310" s="221">
        <v>21.259333000000002</v>
      </c>
      <c r="XEV1310" s="198">
        <f t="shared" si="189"/>
        <v>-1.2204535461599053E-2</v>
      </c>
      <c r="XEW1310" s="221">
        <v>6095.3701170000004</v>
      </c>
      <c r="XEX1310" s="198">
        <f t="shared" si="190"/>
        <v>6.1888813109023388E-4</v>
      </c>
    </row>
    <row r="1311" spans="16374:16378" x14ac:dyDescent="0.2">
      <c r="XET1311" s="220">
        <v>42858</v>
      </c>
      <c r="XEU1311" s="221">
        <v>20.734667000000002</v>
      </c>
      <c r="XEV1311" s="198">
        <f t="shared" si="189"/>
        <v>-2.4679325546102526E-2</v>
      </c>
      <c r="XEW1311" s="221">
        <v>6072.5498049999997</v>
      </c>
      <c r="XEX1311" s="198">
        <f t="shared" si="190"/>
        <v>-3.7438763458111923E-3</v>
      </c>
    </row>
    <row r="1312" spans="16374:16378" x14ac:dyDescent="0.2">
      <c r="XET1312" s="220">
        <v>42859</v>
      </c>
      <c r="XEU1312" s="221">
        <v>19.697331999999999</v>
      </c>
      <c r="XEV1312" s="198">
        <f t="shared" si="189"/>
        <v>-5.0029016622258893E-2</v>
      </c>
      <c r="XEW1312" s="221">
        <v>6075.3398440000001</v>
      </c>
      <c r="XEX1312" s="198">
        <f t="shared" si="190"/>
        <v>4.5945098675082008E-4</v>
      </c>
    </row>
    <row r="1313" spans="16374:16378" x14ac:dyDescent="0.2">
      <c r="XET1313" s="220">
        <v>42860</v>
      </c>
      <c r="XEU1313" s="221">
        <v>20.556667000000001</v>
      </c>
      <c r="XEV1313" s="198">
        <f t="shared" si="189"/>
        <v>4.362697445522068E-2</v>
      </c>
      <c r="XEW1313" s="221">
        <v>6100.7597660000001</v>
      </c>
      <c r="XEX1313" s="198">
        <f t="shared" si="190"/>
        <v>4.1841152351509425E-3</v>
      </c>
    </row>
    <row r="1314" spans="16374:16378" x14ac:dyDescent="0.2">
      <c r="XET1314" s="220">
        <v>42863</v>
      </c>
      <c r="XEU1314" s="221">
        <v>20.479334000000001</v>
      </c>
      <c r="XEV1314" s="198">
        <f t="shared" si="189"/>
        <v>-3.7619425366962611E-3</v>
      </c>
      <c r="XEW1314" s="221">
        <v>6102.6601559999999</v>
      </c>
      <c r="XEX1314" s="198">
        <f t="shared" si="190"/>
        <v>3.1150054630746382E-4</v>
      </c>
    </row>
    <row r="1315" spans="16374:16378" x14ac:dyDescent="0.2">
      <c r="XET1315" s="220">
        <v>42864</v>
      </c>
      <c r="XEU1315" s="221">
        <v>21.417334</v>
      </c>
      <c r="XEV1315" s="198">
        <f t="shared" si="189"/>
        <v>4.5802270718373839E-2</v>
      </c>
      <c r="XEW1315" s="221">
        <v>6120.5898440000001</v>
      </c>
      <c r="XEX1315" s="198">
        <f t="shared" si="190"/>
        <v>2.9380118737845073E-3</v>
      </c>
    </row>
    <row r="1316" spans="16374:16378" x14ac:dyDescent="0.2">
      <c r="XET1316" s="220">
        <v>42865</v>
      </c>
      <c r="XEU1316" s="221">
        <v>21.681334</v>
      </c>
      <c r="XEV1316" s="198">
        <f t="shared" si="189"/>
        <v>1.2326464162159434E-2</v>
      </c>
      <c r="XEW1316" s="221">
        <v>6129.1401370000003</v>
      </c>
      <c r="XEX1316" s="198">
        <f t="shared" si="190"/>
        <v>1.3969720595445878E-3</v>
      </c>
    </row>
    <row r="1317" spans="16374:16378" x14ac:dyDescent="0.2">
      <c r="XET1317" s="220">
        <v>42866</v>
      </c>
      <c r="XEU1317" s="221">
        <v>21.540001</v>
      </c>
      <c r="XEV1317" s="198">
        <f t="shared" si="189"/>
        <v>-6.5186487141427607E-3</v>
      </c>
      <c r="XEW1317" s="221">
        <v>6115.9599609999996</v>
      </c>
      <c r="XEX1317" s="198">
        <f t="shared" si="190"/>
        <v>-2.1504119183758386E-3</v>
      </c>
    </row>
    <row r="1318" spans="16374:16378" x14ac:dyDescent="0.2">
      <c r="XET1318" s="220">
        <v>42867</v>
      </c>
      <c r="XEU1318" s="221">
        <v>21.653998999999999</v>
      </c>
      <c r="XEV1318" s="198">
        <f t="shared" si="189"/>
        <v>5.2923860124238775E-3</v>
      </c>
      <c r="XEW1318" s="221">
        <v>6121.2299800000001</v>
      </c>
      <c r="XEX1318" s="198">
        <f t="shared" si="190"/>
        <v>8.6168304462530543E-4</v>
      </c>
    </row>
    <row r="1319" spans="16374:16378" x14ac:dyDescent="0.2">
      <c r="XET1319" s="220">
        <v>42870</v>
      </c>
      <c r="XEU1319" s="221">
        <v>21.058665999999999</v>
      </c>
      <c r="XEV1319" s="198">
        <f t="shared" si="189"/>
        <v>-2.7492981781332859E-2</v>
      </c>
      <c r="XEW1319" s="221">
        <v>6149.669922</v>
      </c>
      <c r="XEX1319" s="198">
        <f t="shared" si="190"/>
        <v>4.6461155834567336E-3</v>
      </c>
    </row>
    <row r="1320" spans="16374:16378" x14ac:dyDescent="0.2">
      <c r="XET1320" s="220">
        <v>42871</v>
      </c>
      <c r="XEU1320" s="221">
        <v>21.134001000000001</v>
      </c>
      <c r="XEV1320" s="198">
        <f t="shared" si="189"/>
        <v>3.5773870956499199E-3</v>
      </c>
      <c r="XEW1320" s="221">
        <v>6169.8701170000004</v>
      </c>
      <c r="XEX1320" s="198">
        <f t="shared" si="190"/>
        <v>3.2847608499662062E-3</v>
      </c>
    </row>
    <row r="1321" spans="16374:16378" x14ac:dyDescent="0.2">
      <c r="XET1321" s="220">
        <v>42872</v>
      </c>
      <c r="XEU1321" s="221">
        <v>20.407333000000001</v>
      </c>
      <c r="XEV1321" s="198">
        <f t="shared" si="189"/>
        <v>-3.4383834845091554E-2</v>
      </c>
      <c r="XEW1321" s="221">
        <v>6011.2402339999999</v>
      </c>
      <c r="XEX1321" s="198">
        <f t="shared" si="190"/>
        <v>-2.5710408807946172E-2</v>
      </c>
    </row>
    <row r="1322" spans="16374:16378" x14ac:dyDescent="0.2">
      <c r="XET1322" s="220">
        <v>42873</v>
      </c>
      <c r="XEU1322" s="221">
        <v>20.870667000000001</v>
      </c>
      <c r="XEV1322" s="198">
        <f t="shared" si="189"/>
        <v>2.2704289678616929E-2</v>
      </c>
      <c r="XEW1322" s="221">
        <v>6055.1298829999996</v>
      </c>
      <c r="XEX1322" s="198">
        <f t="shared" si="190"/>
        <v>7.3012635149327654E-3</v>
      </c>
    </row>
    <row r="1323" spans="16374:16378" x14ac:dyDescent="0.2">
      <c r="XET1323" s="220">
        <v>42874</v>
      </c>
      <c r="XEU1323" s="221">
        <v>20.722000000000001</v>
      </c>
      <c r="XEV1323" s="198">
        <f t="shared" si="189"/>
        <v>-7.1232510201997279E-3</v>
      </c>
      <c r="XEW1323" s="221">
        <v>6083.7001950000003</v>
      </c>
      <c r="XEX1323" s="198">
        <f t="shared" si="190"/>
        <v>4.718364849648049E-3</v>
      </c>
    </row>
    <row r="1324" spans="16374:16378" x14ac:dyDescent="0.2">
      <c r="XET1324" s="220">
        <v>42877</v>
      </c>
      <c r="XEU1324" s="221">
        <v>20.690000999999999</v>
      </c>
      <c r="XEV1324" s="198">
        <f t="shared" si="189"/>
        <v>-1.5442042273913215E-3</v>
      </c>
      <c r="XEW1324" s="221">
        <v>6133.6201170000004</v>
      </c>
      <c r="XEX1324" s="198">
        <f t="shared" si="190"/>
        <v>8.2055197330446195E-3</v>
      </c>
    </row>
    <row r="1325" spans="16374:16378" x14ac:dyDescent="0.2">
      <c r="XET1325" s="220">
        <v>42878</v>
      </c>
      <c r="XEU1325" s="221">
        <v>20.257334</v>
      </c>
      <c r="XEV1325" s="198">
        <f t="shared" si="189"/>
        <v>-2.0911888791112165E-2</v>
      </c>
      <c r="XEW1325" s="221">
        <v>6138.7099609999996</v>
      </c>
      <c r="XEX1325" s="198">
        <f t="shared" si="190"/>
        <v>8.2982706833956144E-4</v>
      </c>
    </row>
    <row r="1326" spans="16374:16378" x14ac:dyDescent="0.2">
      <c r="XET1326" s="220">
        <v>42879</v>
      </c>
      <c r="XEU1326" s="221">
        <v>20.681334</v>
      </c>
      <c r="XEV1326" s="198">
        <f t="shared" si="189"/>
        <v>2.0930691077118091E-2</v>
      </c>
      <c r="XEW1326" s="221">
        <v>6163.0200199999999</v>
      </c>
      <c r="XEX1326" s="198">
        <f t="shared" si="190"/>
        <v>3.9601250351368744E-3</v>
      </c>
    </row>
    <row r="1327" spans="16374:16378" x14ac:dyDescent="0.2">
      <c r="XET1327" s="220">
        <v>42880</v>
      </c>
      <c r="XEU1327" s="221">
        <v>21.122</v>
      </c>
      <c r="XEV1327" s="198">
        <f t="shared" si="189"/>
        <v>2.130742630045046E-2</v>
      </c>
      <c r="XEW1327" s="221">
        <v>6205.2597660000001</v>
      </c>
      <c r="XEX1327" s="198">
        <f t="shared" si="190"/>
        <v>6.8537414876026492E-3</v>
      </c>
    </row>
    <row r="1328" spans="16374:16378" x14ac:dyDescent="0.2">
      <c r="XET1328" s="220">
        <v>42881</v>
      </c>
      <c r="XEU1328" s="221">
        <v>21.676000999999999</v>
      </c>
      <c r="XEV1328" s="198">
        <f t="shared" si="189"/>
        <v>2.6228624183315841E-2</v>
      </c>
      <c r="XEW1328" s="221">
        <v>6210.1899409999996</v>
      </c>
      <c r="XEX1328" s="198">
        <f t="shared" si="190"/>
        <v>7.9451548942599537E-4</v>
      </c>
    </row>
    <row r="1329" spans="16374:16378" x14ac:dyDescent="0.2">
      <c r="XET1329" s="220">
        <v>42885</v>
      </c>
      <c r="XEU1329" s="221">
        <v>22.34</v>
      </c>
      <c r="XEV1329" s="198">
        <f t="shared" si="189"/>
        <v>3.0632910563161531E-2</v>
      </c>
      <c r="XEW1329" s="221">
        <v>6203.1899409999996</v>
      </c>
      <c r="XEX1329" s="198">
        <f t="shared" si="190"/>
        <v>-1.1271796944222201E-3</v>
      </c>
    </row>
    <row r="1330" spans="16374:16378" x14ac:dyDescent="0.2">
      <c r="XET1330" s="220">
        <v>42886</v>
      </c>
      <c r="XEU1330" s="221">
        <v>22.733999000000001</v>
      </c>
      <c r="XEV1330" s="198">
        <f t="shared" si="189"/>
        <v>1.7636481647269608E-2</v>
      </c>
      <c r="XEW1330" s="221">
        <v>6198.5200199999999</v>
      </c>
      <c r="XEX1330" s="198">
        <f t="shared" si="190"/>
        <v>-7.5282573069923586E-4</v>
      </c>
    </row>
    <row r="1331" spans="16374:16378" x14ac:dyDescent="0.2">
      <c r="XET1331" s="220">
        <v>42887</v>
      </c>
      <c r="XEU1331" s="221">
        <v>22.691334000000001</v>
      </c>
      <c r="XEV1331" s="198">
        <f t="shared" si="189"/>
        <v>-1.8767045780199165E-3</v>
      </c>
      <c r="XEW1331" s="221">
        <v>6246.830078</v>
      </c>
      <c r="XEX1331" s="198">
        <f t="shared" si="190"/>
        <v>7.7938052703103722E-3</v>
      </c>
    </row>
    <row r="1332" spans="16374:16378" x14ac:dyDescent="0.2">
      <c r="XET1332" s="220">
        <v>42888</v>
      </c>
      <c r="XEU1332" s="221">
        <v>22.656668</v>
      </c>
      <c r="XEV1332" s="198">
        <f t="shared" si="189"/>
        <v>-1.5277197894139061E-3</v>
      </c>
      <c r="XEW1332" s="221">
        <v>6305.7998049999997</v>
      </c>
      <c r="XEX1332" s="198">
        <f t="shared" si="190"/>
        <v>9.4399441418582253E-3</v>
      </c>
    </row>
    <row r="1333" spans="16374:16378" x14ac:dyDescent="0.2">
      <c r="XET1333" s="220">
        <v>42891</v>
      </c>
      <c r="XEU1333" s="221">
        <v>23.154667</v>
      </c>
      <c r="XEV1333" s="198">
        <f t="shared" si="189"/>
        <v>2.1980239989392913E-2</v>
      </c>
      <c r="XEW1333" s="221">
        <v>6295.6801759999998</v>
      </c>
      <c r="XEX1333" s="198">
        <f t="shared" si="190"/>
        <v>-1.6048129203175554E-3</v>
      </c>
    </row>
    <row r="1334" spans="16374:16378" x14ac:dyDescent="0.2">
      <c r="XET1334" s="220">
        <v>42892</v>
      </c>
      <c r="XEU1334" s="221">
        <v>23.523333000000001</v>
      </c>
      <c r="XEV1334" s="198">
        <f t="shared" si="189"/>
        <v>1.5921887367242205E-2</v>
      </c>
      <c r="XEW1334" s="221">
        <v>6275.0600590000004</v>
      </c>
      <c r="XEX1334" s="198">
        <f t="shared" si="190"/>
        <v>-3.2752802594080421E-3</v>
      </c>
    </row>
    <row r="1335" spans="16374:16378" x14ac:dyDescent="0.2">
      <c r="XET1335" s="220">
        <v>42893</v>
      </c>
      <c r="XEU1335" s="221">
        <v>23.976666999999999</v>
      </c>
      <c r="XEV1335" s="198">
        <f t="shared" si="189"/>
        <v>1.9271673788743948E-2</v>
      </c>
      <c r="XEW1335" s="221">
        <v>6297.3798829999996</v>
      </c>
      <c r="XEX1335" s="198">
        <f t="shared" si="190"/>
        <v>3.5569100200063541E-3</v>
      </c>
    </row>
    <row r="1336" spans="16374:16378" x14ac:dyDescent="0.2">
      <c r="XET1336" s="220">
        <v>42894</v>
      </c>
      <c r="XEU1336" s="221">
        <v>24.666668000000001</v>
      </c>
      <c r="XEV1336" s="198">
        <f t="shared" si="189"/>
        <v>2.8778019897427898E-2</v>
      </c>
      <c r="XEW1336" s="221">
        <v>6321.7597660000001</v>
      </c>
      <c r="XEX1336" s="198">
        <f t="shared" si="190"/>
        <v>3.8714327947428906E-3</v>
      </c>
    </row>
    <row r="1337" spans="16374:16378" x14ac:dyDescent="0.2">
      <c r="XET1337" s="220">
        <v>42895</v>
      </c>
      <c r="XEU1337" s="221">
        <v>23.821332999999999</v>
      </c>
      <c r="XEV1337" s="198">
        <f t="shared" si="189"/>
        <v>-3.4270335985387312E-2</v>
      </c>
      <c r="XEW1337" s="221">
        <v>6207.919922</v>
      </c>
      <c r="XEX1337" s="198">
        <f t="shared" si="190"/>
        <v>-1.8007619430946975E-2</v>
      </c>
    </row>
    <row r="1338" spans="16374:16378" x14ac:dyDescent="0.2">
      <c r="XET1338" s="220">
        <v>42898</v>
      </c>
      <c r="XEU1338" s="221">
        <v>23.934000000000001</v>
      </c>
      <c r="XEV1338" s="198">
        <f t="shared" si="189"/>
        <v>4.7296681508126603E-3</v>
      </c>
      <c r="XEW1338" s="221">
        <v>6175.4599609999996</v>
      </c>
      <c r="XEX1338" s="198">
        <f t="shared" si="190"/>
        <v>-5.2287982783036924E-3</v>
      </c>
    </row>
    <row r="1339" spans="16374:16378" x14ac:dyDescent="0.2">
      <c r="XET1339" s="220">
        <v>42899</v>
      </c>
      <c r="XEU1339" s="221">
        <v>25.063334000000001</v>
      </c>
      <c r="XEV1339" s="198">
        <f t="shared" si="189"/>
        <v>4.7185343026656668E-2</v>
      </c>
      <c r="XEW1339" s="221">
        <v>6220.3701170000004</v>
      </c>
      <c r="XEX1339" s="198">
        <f t="shared" si="190"/>
        <v>7.2723580565048351E-3</v>
      </c>
    </row>
    <row r="1340" spans="16374:16378" x14ac:dyDescent="0.2">
      <c r="XET1340" s="220">
        <v>42900</v>
      </c>
      <c r="XEU1340" s="221">
        <v>25.377333</v>
      </c>
      <c r="XEV1340" s="198">
        <f t="shared" si="189"/>
        <v>1.2528221504768622E-2</v>
      </c>
      <c r="XEW1340" s="221">
        <v>6194.8901370000003</v>
      </c>
      <c r="XEX1340" s="198">
        <f t="shared" si="190"/>
        <v>-4.0962160644371082E-3</v>
      </c>
    </row>
    <row r="1341" spans="16374:16378" x14ac:dyDescent="0.2">
      <c r="XET1341" s="220">
        <v>42901</v>
      </c>
      <c r="XEU1341" s="221">
        <v>25.022666999999998</v>
      </c>
      <c r="XEV1341" s="198">
        <f t="shared" si="189"/>
        <v>-1.3975700283398673E-2</v>
      </c>
      <c r="XEW1341" s="221">
        <v>6165.5</v>
      </c>
      <c r="XEX1341" s="198">
        <f t="shared" si="190"/>
        <v>-4.7442547567491111E-3</v>
      </c>
    </row>
    <row r="1342" spans="16374:16378" x14ac:dyDescent="0.2">
      <c r="XET1342" s="220">
        <v>42902</v>
      </c>
      <c r="XEU1342" s="221">
        <v>24.76</v>
      </c>
      <c r="XEV1342" s="198">
        <f t="shared" si="189"/>
        <v>-1.0497162432765328E-2</v>
      </c>
      <c r="XEW1342" s="221">
        <v>6151.7597660000001</v>
      </c>
      <c r="XEX1342" s="198">
        <f t="shared" si="190"/>
        <v>-2.228567674965487E-3</v>
      </c>
    </row>
    <row r="1343" spans="16374:16378" x14ac:dyDescent="0.2">
      <c r="XET1343" s="220">
        <v>42905</v>
      </c>
      <c r="XEU1343" s="221">
        <v>24.653334000000001</v>
      </c>
      <c r="XEV1343" s="198">
        <f t="shared" si="189"/>
        <v>-4.3079967689823029E-3</v>
      </c>
      <c r="XEW1343" s="221">
        <v>6239.0097660000001</v>
      </c>
      <c r="XEX1343" s="198">
        <f t="shared" si="190"/>
        <v>1.4182933553780863E-2</v>
      </c>
    </row>
    <row r="1344" spans="16374:16378" x14ac:dyDescent="0.2">
      <c r="XET1344" s="220">
        <v>42906</v>
      </c>
      <c r="XEU1344" s="221">
        <v>24.815999999999999</v>
      </c>
      <c r="XEV1344" s="198">
        <f t="shared" si="189"/>
        <v>6.5981339481304691E-3</v>
      </c>
      <c r="XEW1344" s="221">
        <v>6188.0297849999997</v>
      </c>
      <c r="XEX1344" s="198">
        <f t="shared" si="190"/>
        <v>-8.1711654432439218E-3</v>
      </c>
    </row>
    <row r="1345" spans="16374:16378" x14ac:dyDescent="0.2">
      <c r="XET1345" s="220">
        <v>42907</v>
      </c>
      <c r="XEU1345" s="221">
        <v>25.093332</v>
      </c>
      <c r="XEV1345" s="198">
        <f t="shared" si="189"/>
        <v>1.1175531914893622E-2</v>
      </c>
      <c r="XEW1345" s="221">
        <v>6233.9501950000003</v>
      </c>
      <c r="XEX1345" s="198">
        <f t="shared" si="190"/>
        <v>7.420845017797717E-3</v>
      </c>
    </row>
    <row r="1346" spans="16374:16378" x14ac:dyDescent="0.2">
      <c r="XET1346" s="220">
        <v>42908</v>
      </c>
      <c r="XEU1346" s="221">
        <v>25.507334</v>
      </c>
      <c r="XEV1346" s="198">
        <f t="shared" si="189"/>
        <v>1.6498486530206469E-2</v>
      </c>
      <c r="XEW1346" s="221">
        <v>6236.6899409999996</v>
      </c>
      <c r="XEX1346" s="198">
        <f t="shared" si="190"/>
        <v>4.3948795134696184E-4</v>
      </c>
    </row>
    <row r="1347" spans="16374:16378" x14ac:dyDescent="0.2">
      <c r="XET1347" s="220">
        <v>42909</v>
      </c>
      <c r="XEU1347" s="221">
        <v>25.563334000000001</v>
      </c>
      <c r="XEV1347" s="198">
        <f t="shared" si="189"/>
        <v>2.1954470035951967E-3</v>
      </c>
      <c r="XEW1347" s="221">
        <v>6265.25</v>
      </c>
      <c r="XEX1347" s="198">
        <f t="shared" si="190"/>
        <v>4.5793616918883284E-3</v>
      </c>
    </row>
    <row r="1348" spans="16374:16378" x14ac:dyDescent="0.2">
      <c r="XET1348" s="220">
        <v>42912</v>
      </c>
      <c r="XEU1348" s="221">
        <v>25.166</v>
      </c>
      <c r="XEV1348" s="198">
        <f t="shared" si="189"/>
        <v>-1.5543121253276282E-2</v>
      </c>
      <c r="XEW1348" s="221">
        <v>6247.1499020000001</v>
      </c>
      <c r="XEX1348" s="198">
        <f t="shared" si="190"/>
        <v>-2.8889666014922932E-3</v>
      </c>
    </row>
    <row r="1349" spans="16374:16378" x14ac:dyDescent="0.2">
      <c r="XET1349" s="220">
        <v>42913</v>
      </c>
      <c r="XEU1349" s="221">
        <v>24.158000999999999</v>
      </c>
      <c r="XEV1349" s="198">
        <f t="shared" si="189"/>
        <v>-4.0054001430501529E-2</v>
      </c>
      <c r="XEW1349" s="221">
        <v>6146.6201170000004</v>
      </c>
      <c r="XEX1349" s="198">
        <f t="shared" si="190"/>
        <v>-1.6092103851680473E-2</v>
      </c>
    </row>
    <row r="1350" spans="16374:16378" x14ac:dyDescent="0.2">
      <c r="XET1350" s="220">
        <v>42914</v>
      </c>
      <c r="XEU1350" s="221">
        <v>24.749331999999999</v>
      </c>
      <c r="XEV1350" s="198">
        <f t="shared" si="189"/>
        <v>2.4477646142990084E-2</v>
      </c>
      <c r="XEW1350" s="221">
        <v>6234.4101559999999</v>
      </c>
      <c r="XEX1350" s="198">
        <f t="shared" si="190"/>
        <v>1.4282652470614554E-2</v>
      </c>
    </row>
    <row r="1351" spans="16374:16378" x14ac:dyDescent="0.2">
      <c r="XET1351" s="220">
        <v>42915</v>
      </c>
      <c r="XEU1351" s="221">
        <v>24.049999</v>
      </c>
      <c r="XEV1351" s="198">
        <f t="shared" si="189"/>
        <v>-2.8256641431776752E-2</v>
      </c>
      <c r="XEW1351" s="221">
        <v>6144.3500979999999</v>
      </c>
      <c r="XEX1351" s="198">
        <f t="shared" si="190"/>
        <v>-1.4445642129163772E-2</v>
      </c>
    </row>
    <row r="1352" spans="16374:16378" x14ac:dyDescent="0.2">
      <c r="XET1352" s="220">
        <v>42916</v>
      </c>
      <c r="XEU1352" s="221">
        <v>24.107332</v>
      </c>
      <c r="XEV1352" s="198">
        <f t="shared" si="189"/>
        <v>2.3839086230315054E-3</v>
      </c>
      <c r="XEW1352" s="221">
        <v>6140.419922</v>
      </c>
      <c r="XEX1352" s="198">
        <f t="shared" si="190"/>
        <v>-6.3964063526900095E-4</v>
      </c>
    </row>
    <row r="1353" spans="16374:16378" x14ac:dyDescent="0.2">
      <c r="XET1353" s="220">
        <v>42919</v>
      </c>
      <c r="XEU1353" s="221">
        <v>23.507999000000002</v>
      </c>
      <c r="XEV1353" s="198">
        <f t="shared" si="189"/>
        <v>-2.4861025682974658E-2</v>
      </c>
      <c r="XEW1353" s="221">
        <v>6110.0600590000004</v>
      </c>
      <c r="XEX1353" s="198">
        <f t="shared" si="190"/>
        <v>-4.944264950223709E-3</v>
      </c>
    </row>
    <row r="1354" spans="16374:16378" x14ac:dyDescent="0.2">
      <c r="XET1354" s="220">
        <v>42921</v>
      </c>
      <c r="XEU1354" s="221">
        <v>21.806000000000001</v>
      </c>
      <c r="XEV1354" s="198">
        <f t="shared" si="189"/>
        <v>-7.240084534630109E-2</v>
      </c>
      <c r="XEW1354" s="221">
        <v>6150.8598629999997</v>
      </c>
      <c r="XEX1354" s="198">
        <f t="shared" si="190"/>
        <v>6.6774800257325406E-3</v>
      </c>
    </row>
    <row r="1355" spans="16374:16378" x14ac:dyDescent="0.2">
      <c r="XET1355" s="220">
        <v>42922</v>
      </c>
      <c r="XEU1355" s="221">
        <v>20.588667000000001</v>
      </c>
      <c r="XEV1355" s="198">
        <f t="shared" si="189"/>
        <v>-5.5825598459139703E-2</v>
      </c>
      <c r="XEW1355" s="221">
        <v>6089.4599609999996</v>
      </c>
      <c r="XEX1355" s="198">
        <f t="shared" si="190"/>
        <v>-9.982328222001291E-3</v>
      </c>
    </row>
    <row r="1356" spans="16374:16378" x14ac:dyDescent="0.2">
      <c r="XET1356" s="220">
        <v>42923</v>
      </c>
      <c r="XEU1356" s="221">
        <v>20.881332</v>
      </c>
      <c r="XEV1356" s="198">
        <f t="shared" ref="XEV1356:XEV1419" si="191">XEU1356/XEU1355-1</f>
        <v>1.4214859077569253E-2</v>
      </c>
      <c r="XEW1356" s="221">
        <v>6153.080078</v>
      </c>
      <c r="XEX1356" s="198">
        <f t="shared" ref="XEX1356:XEX1419" si="192">XEW1356/XEW1355-1</f>
        <v>1.0447579491031478E-2</v>
      </c>
    </row>
    <row r="1357" spans="16374:16378" x14ac:dyDescent="0.2">
      <c r="XET1357" s="220">
        <v>42926</v>
      </c>
      <c r="XEU1357" s="221">
        <v>21.07</v>
      </c>
      <c r="XEV1357" s="198">
        <f t="shared" si="191"/>
        <v>9.035247368319288E-3</v>
      </c>
      <c r="XEW1357" s="221">
        <v>6176.3901370000003</v>
      </c>
      <c r="XEX1357" s="198">
        <f t="shared" si="192"/>
        <v>3.7883561898282014E-3</v>
      </c>
    </row>
    <row r="1358" spans="16374:16378" x14ac:dyDescent="0.2">
      <c r="XET1358" s="220">
        <v>42927</v>
      </c>
      <c r="XEU1358" s="221">
        <v>21.814667</v>
      </c>
      <c r="XEV1358" s="198">
        <f t="shared" si="191"/>
        <v>3.5342524916943452E-2</v>
      </c>
      <c r="XEW1358" s="221">
        <v>6193.2998049999997</v>
      </c>
      <c r="XEX1358" s="198">
        <f t="shared" si="192"/>
        <v>2.7377914323611918E-3</v>
      </c>
    </row>
    <row r="1359" spans="16374:16378" x14ac:dyDescent="0.2">
      <c r="XET1359" s="220">
        <v>42928</v>
      </c>
      <c r="XEU1359" s="221">
        <v>21.968</v>
      </c>
      <c r="XEV1359" s="198">
        <f t="shared" si="191"/>
        <v>7.028894825669374E-3</v>
      </c>
      <c r="XEW1359" s="221">
        <v>6261.169922</v>
      </c>
      <c r="XEX1359" s="198">
        <f t="shared" si="192"/>
        <v>1.095863580594103E-2</v>
      </c>
    </row>
    <row r="1360" spans="16374:16378" x14ac:dyDescent="0.2">
      <c r="XET1360" s="220">
        <v>42929</v>
      </c>
      <c r="XEU1360" s="221">
        <v>21.560666999999999</v>
      </c>
      <c r="XEV1360" s="198">
        <f t="shared" si="191"/>
        <v>-1.8542106700655592E-2</v>
      </c>
      <c r="XEW1360" s="221">
        <v>6274.4399409999996</v>
      </c>
      <c r="XEX1360" s="198">
        <f t="shared" si="192"/>
        <v>2.1194152475199068E-3</v>
      </c>
    </row>
    <row r="1361" spans="16374:16378" x14ac:dyDescent="0.2">
      <c r="XET1361" s="220">
        <v>42930</v>
      </c>
      <c r="XEU1361" s="221">
        <v>21.851998999999999</v>
      </c>
      <c r="XEV1361" s="198">
        <f t="shared" si="191"/>
        <v>1.3512197929683722E-2</v>
      </c>
      <c r="XEW1361" s="221">
        <v>6312.4702150000003</v>
      </c>
      <c r="XEX1361" s="198">
        <f t="shared" si="192"/>
        <v>6.0611424059531238E-3</v>
      </c>
    </row>
    <row r="1362" spans="16374:16378" x14ac:dyDescent="0.2">
      <c r="XET1362" s="220">
        <v>42933</v>
      </c>
      <c r="XEU1362" s="221">
        <v>21.304666999999998</v>
      </c>
      <c r="XEV1362" s="198">
        <f t="shared" si="191"/>
        <v>-2.5047227944683725E-2</v>
      </c>
      <c r="XEW1362" s="221">
        <v>6314.4301759999998</v>
      </c>
      <c r="XEX1362" s="198">
        <f t="shared" si="192"/>
        <v>3.1049033630958789E-4</v>
      </c>
    </row>
    <row r="1363" spans="16374:16378" x14ac:dyDescent="0.2">
      <c r="XET1363" s="220">
        <v>42934</v>
      </c>
      <c r="XEU1363" s="221">
        <v>21.882667999999999</v>
      </c>
      <c r="XEV1363" s="198">
        <f t="shared" si="191"/>
        <v>2.713025272819336E-2</v>
      </c>
      <c r="XEW1363" s="221">
        <v>6344.3100590000004</v>
      </c>
      <c r="XEX1363" s="198">
        <f t="shared" si="192"/>
        <v>4.7319999061148366E-3</v>
      </c>
    </row>
    <row r="1364" spans="16374:16378" x14ac:dyDescent="0.2">
      <c r="XET1364" s="220">
        <v>42935</v>
      </c>
      <c r="XEU1364" s="221">
        <v>21.684000000000001</v>
      </c>
      <c r="XEV1364" s="198">
        <f t="shared" si="191"/>
        <v>-9.0787832635398358E-3</v>
      </c>
      <c r="XEW1364" s="221">
        <v>6385.0400390000004</v>
      </c>
      <c r="XEX1364" s="198">
        <f t="shared" si="192"/>
        <v>6.4199226742112092E-3</v>
      </c>
    </row>
    <row r="1365" spans="16374:16378" x14ac:dyDescent="0.2">
      <c r="XET1365" s="220">
        <v>42936</v>
      </c>
      <c r="XEU1365" s="221">
        <v>21.994667</v>
      </c>
      <c r="XEV1365" s="198">
        <f t="shared" si="191"/>
        <v>1.432701531082814E-2</v>
      </c>
      <c r="XEW1365" s="221">
        <v>6390</v>
      </c>
      <c r="XEX1365" s="198">
        <f t="shared" si="192"/>
        <v>7.7680969417648349E-4</v>
      </c>
    </row>
    <row r="1366" spans="16374:16378" x14ac:dyDescent="0.2">
      <c r="XET1366" s="220">
        <v>42937</v>
      </c>
      <c r="XEU1366" s="221">
        <v>21.893332999999998</v>
      </c>
      <c r="XEV1366" s="198">
        <f t="shared" si="191"/>
        <v>-4.6072077381303922E-3</v>
      </c>
      <c r="XEW1366" s="221">
        <v>6387.75</v>
      </c>
      <c r="XEX1366" s="198">
        <f t="shared" si="192"/>
        <v>-3.5211267605639307E-4</v>
      </c>
    </row>
    <row r="1367" spans="16374:16378" x14ac:dyDescent="0.2">
      <c r="XET1367" s="220">
        <v>42940</v>
      </c>
      <c r="XEU1367" s="221">
        <v>22.834667</v>
      </c>
      <c r="XEV1367" s="198">
        <f t="shared" si="191"/>
        <v>4.2996377024914434E-2</v>
      </c>
      <c r="XEW1367" s="221">
        <v>6410.8100590000004</v>
      </c>
      <c r="XEX1367" s="198">
        <f t="shared" si="192"/>
        <v>3.6100440687254487E-3</v>
      </c>
    </row>
    <row r="1368" spans="16374:16378" x14ac:dyDescent="0.2">
      <c r="XET1368" s="220">
        <v>42941</v>
      </c>
      <c r="XEU1368" s="221">
        <v>22.639999</v>
      </c>
      <c r="XEV1368" s="198">
        <f t="shared" si="191"/>
        <v>-8.5251078984422968E-3</v>
      </c>
      <c r="XEW1368" s="221">
        <v>6412.169922</v>
      </c>
      <c r="XEX1368" s="198">
        <f t="shared" si="192"/>
        <v>2.1212030733774867E-4</v>
      </c>
    </row>
    <row r="1369" spans="16374:16378" x14ac:dyDescent="0.2">
      <c r="XET1369" s="220">
        <v>42942</v>
      </c>
      <c r="XEU1369" s="221">
        <v>22.923331999999998</v>
      </c>
      <c r="XEV1369" s="198">
        <f t="shared" si="191"/>
        <v>1.251470903333507E-2</v>
      </c>
      <c r="XEW1369" s="221">
        <v>6422.75</v>
      </c>
      <c r="XEX1369" s="198">
        <f t="shared" si="192"/>
        <v>1.6499996301875264E-3</v>
      </c>
    </row>
    <row r="1370" spans="16374:16378" x14ac:dyDescent="0.2">
      <c r="XET1370" s="220">
        <v>42943</v>
      </c>
      <c r="XEU1370" s="221">
        <v>22.297332999999998</v>
      </c>
      <c r="XEV1370" s="198">
        <f t="shared" si="191"/>
        <v>-2.7308377333626677E-2</v>
      </c>
      <c r="XEW1370" s="221">
        <v>6382.1899409999996</v>
      </c>
      <c r="XEX1370" s="198">
        <f t="shared" si="192"/>
        <v>-6.3150611498190568E-3</v>
      </c>
    </row>
    <row r="1371" spans="16374:16378" x14ac:dyDescent="0.2">
      <c r="XET1371" s="220">
        <v>42944</v>
      </c>
      <c r="XEU1371" s="221">
        <v>22.337999</v>
      </c>
      <c r="XEV1371" s="198">
        <f t="shared" si="191"/>
        <v>1.8238055645489748E-3</v>
      </c>
      <c r="XEW1371" s="221">
        <v>6374.6801759999998</v>
      </c>
      <c r="XEX1371" s="198">
        <f t="shared" si="192"/>
        <v>-1.1766752587157869E-3</v>
      </c>
    </row>
    <row r="1372" spans="16374:16378" x14ac:dyDescent="0.2">
      <c r="XET1372" s="220">
        <v>42947</v>
      </c>
      <c r="XEU1372" s="221">
        <v>21.564667</v>
      </c>
      <c r="XEV1372" s="198">
        <f t="shared" si="191"/>
        <v>-3.4619573579531493E-2</v>
      </c>
      <c r="XEW1372" s="221">
        <v>6348.1201170000004</v>
      </c>
      <c r="XEX1372" s="198">
        <f t="shared" si="192"/>
        <v>-4.166492791276899E-3</v>
      </c>
    </row>
    <row r="1373" spans="16374:16378" x14ac:dyDescent="0.2">
      <c r="XET1373" s="220">
        <v>42948</v>
      </c>
      <c r="XEU1373" s="221">
        <v>21.304666999999998</v>
      </c>
      <c r="XEV1373" s="198">
        <f t="shared" si="191"/>
        <v>-1.2056759327653932E-2</v>
      </c>
      <c r="XEW1373" s="221">
        <v>6362.9399409999996</v>
      </c>
      <c r="XEX1373" s="198">
        <f t="shared" si="192"/>
        <v>2.3345216736387897E-3</v>
      </c>
    </row>
    <row r="1374" spans="16374:16378" x14ac:dyDescent="0.2">
      <c r="XET1374" s="220">
        <v>42949</v>
      </c>
      <c r="XEU1374" s="221">
        <v>21.725999999999999</v>
      </c>
      <c r="XEV1374" s="198">
        <f t="shared" si="191"/>
        <v>1.9776558816901435E-2</v>
      </c>
      <c r="XEW1374" s="221">
        <v>6362.6499020000001</v>
      </c>
      <c r="XEX1374" s="198">
        <f t="shared" si="192"/>
        <v>-4.5582545598277235E-5</v>
      </c>
    </row>
    <row r="1375" spans="16374:16378" x14ac:dyDescent="0.2">
      <c r="XET1375" s="220">
        <v>42950</v>
      </c>
      <c r="XEU1375" s="221">
        <v>23.139334000000002</v>
      </c>
      <c r="XEV1375" s="198">
        <f t="shared" si="191"/>
        <v>6.5052655804105797E-2</v>
      </c>
      <c r="XEW1375" s="221">
        <v>6340.3398440000001</v>
      </c>
      <c r="XEX1375" s="198">
        <f t="shared" si="192"/>
        <v>-3.5064098046613257E-3</v>
      </c>
    </row>
    <row r="1376" spans="16374:16378" x14ac:dyDescent="0.2">
      <c r="XET1376" s="220">
        <v>42951</v>
      </c>
      <c r="XEU1376" s="221">
        <v>23.794001000000002</v>
      </c>
      <c r="XEV1376" s="198">
        <f t="shared" si="191"/>
        <v>2.8292387326273039E-2</v>
      </c>
      <c r="XEW1376" s="221">
        <v>6351.5600590000004</v>
      </c>
      <c r="XEX1376" s="198">
        <f t="shared" si="192"/>
        <v>1.7696551409018824E-3</v>
      </c>
    </row>
    <row r="1377" spans="16374:16378" x14ac:dyDescent="0.2">
      <c r="XET1377" s="220">
        <v>42954</v>
      </c>
      <c r="XEU1377" s="221">
        <v>23.677999</v>
      </c>
      <c r="XEV1377" s="198">
        <f t="shared" si="191"/>
        <v>-4.8752624663671584E-3</v>
      </c>
      <c r="XEW1377" s="221">
        <v>6383.7700199999999</v>
      </c>
      <c r="XEX1377" s="198">
        <f t="shared" si="192"/>
        <v>5.071188920642955E-3</v>
      </c>
    </row>
    <row r="1378" spans="16374:16378" x14ac:dyDescent="0.2">
      <c r="XET1378" s="220">
        <v>42955</v>
      </c>
      <c r="XEU1378" s="221">
        <v>24.347999999999999</v>
      </c>
      <c r="XEV1378" s="198">
        <f t="shared" si="191"/>
        <v>2.8296352238210698E-2</v>
      </c>
      <c r="XEW1378" s="221">
        <v>6370.4599609999996</v>
      </c>
      <c r="XEX1378" s="198">
        <f t="shared" si="192"/>
        <v>-2.0849841016046256E-3</v>
      </c>
    </row>
    <row r="1379" spans="16374:16378" x14ac:dyDescent="0.2">
      <c r="XET1379" s="220">
        <v>42956</v>
      </c>
      <c r="XEU1379" s="221">
        <v>24.235332</v>
      </c>
      <c r="XEV1379" s="198">
        <f t="shared" si="191"/>
        <v>-4.6274026614094854E-3</v>
      </c>
      <c r="XEW1379" s="221">
        <v>6352.330078</v>
      </c>
      <c r="XEX1379" s="198">
        <f t="shared" si="192"/>
        <v>-2.8459299816639971E-3</v>
      </c>
    </row>
    <row r="1380" spans="16374:16378" x14ac:dyDescent="0.2">
      <c r="XET1380" s="220">
        <v>42957</v>
      </c>
      <c r="XEU1380" s="221">
        <v>23.693332999999999</v>
      </c>
      <c r="XEV1380" s="198">
        <f t="shared" si="191"/>
        <v>-2.2364001450444371E-2</v>
      </c>
      <c r="XEW1380" s="221">
        <v>6216.8701170000004</v>
      </c>
      <c r="XEX1380" s="198">
        <f t="shared" si="192"/>
        <v>-2.1324452498011293E-2</v>
      </c>
    </row>
    <row r="1381" spans="16374:16378" x14ac:dyDescent="0.2">
      <c r="XET1381" s="220">
        <v>42958</v>
      </c>
      <c r="XEU1381" s="221">
        <v>23.858000000000001</v>
      </c>
      <c r="XEV1381" s="198">
        <f t="shared" si="191"/>
        <v>6.9499297545010386E-3</v>
      </c>
      <c r="XEW1381" s="221">
        <v>6256.5600590000004</v>
      </c>
      <c r="XEX1381" s="198">
        <f t="shared" si="192"/>
        <v>6.3842321382052702E-3</v>
      </c>
    </row>
    <row r="1382" spans="16374:16378" x14ac:dyDescent="0.2">
      <c r="XET1382" s="220">
        <v>42961</v>
      </c>
      <c r="XEU1382" s="221">
        <v>24.253332</v>
      </c>
      <c r="XEV1382" s="198">
        <f t="shared" si="191"/>
        <v>1.6570207058429043E-2</v>
      </c>
      <c r="XEW1382" s="221">
        <v>6340.2299800000001</v>
      </c>
      <c r="XEX1382" s="198">
        <f t="shared" si="192"/>
        <v>1.3373150774704357E-2</v>
      </c>
    </row>
    <row r="1383" spans="16374:16378" x14ac:dyDescent="0.2">
      <c r="XET1383" s="220">
        <v>42962</v>
      </c>
      <c r="XEU1383" s="221">
        <v>24.155332999999999</v>
      </c>
      <c r="XEV1383" s="198">
        <f t="shared" si="191"/>
        <v>-4.04064068392751E-3</v>
      </c>
      <c r="XEW1383" s="221">
        <v>6333.0097660000001</v>
      </c>
      <c r="XEX1383" s="198">
        <f t="shared" si="192"/>
        <v>-1.1387937066598131E-3</v>
      </c>
    </row>
    <row r="1384" spans="16374:16378" x14ac:dyDescent="0.2">
      <c r="XET1384" s="220">
        <v>42963</v>
      </c>
      <c r="XEU1384" s="221">
        <v>24.193999999999999</v>
      </c>
      <c r="XEV1384" s="198">
        <f t="shared" si="191"/>
        <v>1.6007645185434072E-3</v>
      </c>
      <c r="XEW1384" s="221">
        <v>6345.1098629999997</v>
      </c>
      <c r="XEX1384" s="198">
        <f t="shared" si="192"/>
        <v>1.910639245333412E-3</v>
      </c>
    </row>
    <row r="1385" spans="16374:16378" x14ac:dyDescent="0.2">
      <c r="XET1385" s="220">
        <v>42964</v>
      </c>
      <c r="XEU1385" s="221">
        <v>23.461331999999999</v>
      </c>
      <c r="XEV1385" s="198">
        <f t="shared" si="191"/>
        <v>-3.0283045383152851E-2</v>
      </c>
      <c r="XEW1385" s="221">
        <v>6221.9101559999999</v>
      </c>
      <c r="XEX1385" s="198">
        <f t="shared" si="192"/>
        <v>-1.9416481299781685E-2</v>
      </c>
    </row>
    <row r="1386" spans="16374:16378" x14ac:dyDescent="0.2">
      <c r="XET1386" s="220">
        <v>42965</v>
      </c>
      <c r="XEU1386" s="221">
        <v>23.164000000000001</v>
      </c>
      <c r="XEV1386" s="198">
        <f t="shared" si="191"/>
        <v>-1.267327873796753E-2</v>
      </c>
      <c r="XEW1386" s="221">
        <v>6216.5297849999997</v>
      </c>
      <c r="XEX1386" s="198">
        <f t="shared" si="192"/>
        <v>-8.6474585217399813E-4</v>
      </c>
    </row>
    <row r="1387" spans="16374:16378" x14ac:dyDescent="0.2">
      <c r="XET1387" s="220">
        <v>42968</v>
      </c>
      <c r="XEU1387" s="221">
        <v>22.524000000000001</v>
      </c>
      <c r="XEV1387" s="198">
        <f t="shared" si="191"/>
        <v>-2.7629079606285689E-2</v>
      </c>
      <c r="XEW1387" s="221">
        <v>6213.1298829999996</v>
      </c>
      <c r="XEX1387" s="198">
        <f t="shared" si="192"/>
        <v>-5.4691316821220415E-4</v>
      </c>
    </row>
    <row r="1388" spans="16374:16378" x14ac:dyDescent="0.2">
      <c r="XET1388" s="220">
        <v>42969</v>
      </c>
      <c r="XEU1388" s="221">
        <v>22.756665999999999</v>
      </c>
      <c r="XEV1388" s="198">
        <f t="shared" si="191"/>
        <v>1.032969277215412E-2</v>
      </c>
      <c r="XEW1388" s="221">
        <v>6297.4799800000001</v>
      </c>
      <c r="XEX1388" s="198">
        <f t="shared" si="192"/>
        <v>1.3576103926427496E-2</v>
      </c>
    </row>
    <row r="1389" spans="16374:16378" x14ac:dyDescent="0.2">
      <c r="XET1389" s="220">
        <v>42970</v>
      </c>
      <c r="XEU1389" s="221">
        <v>23.518000000000001</v>
      </c>
      <c r="XEV1389" s="198">
        <f t="shared" si="191"/>
        <v>3.3455427961196049E-2</v>
      </c>
      <c r="XEW1389" s="221">
        <v>6278.4101559999999</v>
      </c>
      <c r="XEX1389" s="198">
        <f t="shared" si="192"/>
        <v>-3.0281674670762371E-3</v>
      </c>
    </row>
    <row r="1390" spans="16374:16378" x14ac:dyDescent="0.2">
      <c r="XET1390" s="220">
        <v>42971</v>
      </c>
      <c r="XEU1390" s="221">
        <v>23.528666999999999</v>
      </c>
      <c r="XEV1390" s="198">
        <f t="shared" si="191"/>
        <v>4.5356748022773452E-4</v>
      </c>
      <c r="XEW1390" s="221">
        <v>6271.330078</v>
      </c>
      <c r="XEX1390" s="198">
        <f t="shared" si="192"/>
        <v>-1.1276864403696463E-3</v>
      </c>
    </row>
    <row r="1391" spans="16374:16378" x14ac:dyDescent="0.2">
      <c r="XET1391" s="220">
        <v>42972</v>
      </c>
      <c r="XEU1391" s="221">
        <v>23.203333000000001</v>
      </c>
      <c r="XEV1391" s="198">
        <f t="shared" si="191"/>
        <v>-1.3827132663316588E-2</v>
      </c>
      <c r="XEW1391" s="221">
        <v>6265.6401370000003</v>
      </c>
      <c r="XEX1391" s="198">
        <f t="shared" si="192"/>
        <v>-9.0729413525214575E-4</v>
      </c>
    </row>
    <row r="1392" spans="16374:16378" x14ac:dyDescent="0.2">
      <c r="XET1392" s="220">
        <v>42975</v>
      </c>
      <c r="XEU1392" s="221">
        <v>23.044001000000002</v>
      </c>
      <c r="XEV1392" s="198">
        <f t="shared" si="191"/>
        <v>-6.8667721141613125E-3</v>
      </c>
      <c r="XEW1392" s="221">
        <v>6283.0200199999999</v>
      </c>
      <c r="XEX1392" s="198">
        <f t="shared" si="192"/>
        <v>2.7738399620762522E-3</v>
      </c>
    </row>
    <row r="1393" spans="16374:16378" x14ac:dyDescent="0.2">
      <c r="XET1393" s="220">
        <v>42976</v>
      </c>
      <c r="XEU1393" s="221">
        <v>23.157333000000001</v>
      </c>
      <c r="XEV1393" s="198">
        <f t="shared" si="191"/>
        <v>4.9180695661312779E-3</v>
      </c>
      <c r="XEW1393" s="221">
        <v>6301.8901370000003</v>
      </c>
      <c r="XEX1393" s="198">
        <f t="shared" si="192"/>
        <v>3.0033514042504539E-3</v>
      </c>
    </row>
    <row r="1394" spans="16374:16378" x14ac:dyDescent="0.2">
      <c r="XET1394" s="220">
        <v>42977</v>
      </c>
      <c r="XEU1394" s="221">
        <v>23.545334</v>
      </c>
      <c r="XEV1394" s="198">
        <f t="shared" si="191"/>
        <v>1.675499505923228E-2</v>
      </c>
      <c r="XEW1394" s="221">
        <v>6368.3100590000004</v>
      </c>
      <c r="XEX1394" s="198">
        <f t="shared" si="192"/>
        <v>1.0539682627920044E-2</v>
      </c>
    </row>
    <row r="1395" spans="16374:16378" x14ac:dyDescent="0.2">
      <c r="XET1395" s="220">
        <v>42978</v>
      </c>
      <c r="XEU1395" s="221">
        <v>23.726666999999999</v>
      </c>
      <c r="XEV1395" s="198">
        <f t="shared" si="191"/>
        <v>7.7014409734004197E-3</v>
      </c>
      <c r="XEW1395" s="221">
        <v>6428.6601559999999</v>
      </c>
      <c r="XEX1395" s="198">
        <f t="shared" si="192"/>
        <v>9.4766266781733943E-3</v>
      </c>
    </row>
    <row r="1396" spans="16374:16378" x14ac:dyDescent="0.2">
      <c r="XET1396" s="220">
        <v>42979</v>
      </c>
      <c r="XEU1396" s="221">
        <v>23.693332999999999</v>
      </c>
      <c r="XEV1396" s="198">
        <f t="shared" si="191"/>
        <v>-1.4049170918106757E-3</v>
      </c>
      <c r="XEW1396" s="221">
        <v>6435.330078</v>
      </c>
      <c r="XEX1396" s="198">
        <f t="shared" si="192"/>
        <v>1.0375291021993416E-3</v>
      </c>
    </row>
    <row r="1397" spans="16374:16378" x14ac:dyDescent="0.2">
      <c r="XET1397" s="220">
        <v>42983</v>
      </c>
      <c r="XEU1397" s="221">
        <v>23.306000000000001</v>
      </c>
      <c r="XEV1397" s="198">
        <f t="shared" si="191"/>
        <v>-1.6347763313840136E-2</v>
      </c>
      <c r="XEW1397" s="221">
        <v>6375.5698240000002</v>
      </c>
      <c r="XEX1397" s="198">
        <f t="shared" si="192"/>
        <v>-9.2862764264878273E-3</v>
      </c>
    </row>
    <row r="1398" spans="16374:16378" x14ac:dyDescent="0.2">
      <c r="XET1398" s="220">
        <v>42984</v>
      </c>
      <c r="XEU1398" s="221">
        <v>22.968665999999999</v>
      </c>
      <c r="XEV1398" s="198">
        <f t="shared" si="191"/>
        <v>-1.4474126834291723E-2</v>
      </c>
      <c r="XEW1398" s="221">
        <v>6393.3100590000004</v>
      </c>
      <c r="XEX1398" s="198">
        <f t="shared" si="192"/>
        <v>2.7825332463962127E-3</v>
      </c>
    </row>
    <row r="1399" spans="16374:16378" x14ac:dyDescent="0.2">
      <c r="XET1399" s="220">
        <v>42985</v>
      </c>
      <c r="XEU1399" s="221">
        <v>23.374001</v>
      </c>
      <c r="XEV1399" s="198">
        <f t="shared" si="191"/>
        <v>1.7647302633944983E-2</v>
      </c>
      <c r="XEW1399" s="221">
        <v>6397.8701170000004</v>
      </c>
      <c r="XEX1399" s="198">
        <f t="shared" si="192"/>
        <v>7.1325462990490252E-4</v>
      </c>
    </row>
    <row r="1400" spans="16374:16378" x14ac:dyDescent="0.2">
      <c r="XET1400" s="220">
        <v>42986</v>
      </c>
      <c r="XEU1400" s="221">
        <v>22.893332999999998</v>
      </c>
      <c r="XEV1400" s="198">
        <f t="shared" si="191"/>
        <v>-2.0564215771189609E-2</v>
      </c>
      <c r="XEW1400" s="221">
        <v>6360.1899409999996</v>
      </c>
      <c r="XEX1400" s="198">
        <f t="shared" si="192"/>
        <v>-5.8894874873872682E-3</v>
      </c>
    </row>
    <row r="1401" spans="16374:16378" x14ac:dyDescent="0.2">
      <c r="XET1401" s="220">
        <v>42989</v>
      </c>
      <c r="XEU1401" s="221">
        <v>24.245999999999999</v>
      </c>
      <c r="XEV1401" s="198">
        <f t="shared" si="191"/>
        <v>5.9085629864380262E-2</v>
      </c>
      <c r="XEW1401" s="221">
        <v>6432.2597660000001</v>
      </c>
      <c r="XEX1401" s="198">
        <f t="shared" si="192"/>
        <v>1.1331395079164697E-2</v>
      </c>
    </row>
    <row r="1402" spans="16374:16378" x14ac:dyDescent="0.2">
      <c r="XET1402" s="220">
        <v>42990</v>
      </c>
      <c r="XEU1402" s="221">
        <v>24.183332</v>
      </c>
      <c r="XEV1402" s="198">
        <f t="shared" si="191"/>
        <v>-2.5846737606202153E-3</v>
      </c>
      <c r="XEW1402" s="221">
        <v>6454.2797849999997</v>
      </c>
      <c r="XEX1402" s="198">
        <f t="shared" si="192"/>
        <v>3.4233721586298671E-3</v>
      </c>
    </row>
    <row r="1403" spans="16374:16378" x14ac:dyDescent="0.2">
      <c r="XET1403" s="220">
        <v>42991</v>
      </c>
      <c r="XEU1403" s="221">
        <v>24.415333</v>
      </c>
      <c r="XEV1403" s="198">
        <f t="shared" si="191"/>
        <v>9.5934257529111111E-3</v>
      </c>
      <c r="XEW1403" s="221">
        <v>6460.1899409999996</v>
      </c>
      <c r="XEX1403" s="198">
        <f t="shared" si="192"/>
        <v>9.1569566192895024E-4</v>
      </c>
    </row>
    <row r="1404" spans="16374:16378" x14ac:dyDescent="0.2">
      <c r="XET1404" s="220">
        <v>42992</v>
      </c>
      <c r="XEU1404" s="221">
        <v>25.176000999999999</v>
      </c>
      <c r="XEV1404" s="198">
        <f t="shared" si="191"/>
        <v>3.1155339966077777E-2</v>
      </c>
      <c r="XEW1404" s="221">
        <v>6429.080078</v>
      </c>
      <c r="XEX1404" s="198">
        <f t="shared" si="192"/>
        <v>-4.8156266741569143E-3</v>
      </c>
    </row>
    <row r="1405" spans="16374:16378" x14ac:dyDescent="0.2">
      <c r="XET1405" s="220">
        <v>42993</v>
      </c>
      <c r="XEU1405" s="221">
        <v>25.320667</v>
      </c>
      <c r="XEV1405" s="198">
        <f t="shared" si="191"/>
        <v>5.7461866163732722E-3</v>
      </c>
      <c r="XEW1405" s="221">
        <v>6448.4702150000003</v>
      </c>
      <c r="XEX1405" s="198">
        <f t="shared" si="192"/>
        <v>3.0160048972407427E-3</v>
      </c>
    </row>
    <row r="1406" spans="16374:16378" x14ac:dyDescent="0.2">
      <c r="XET1406" s="220">
        <v>42996</v>
      </c>
      <c r="XEU1406" s="221">
        <v>25.666668000000001</v>
      </c>
      <c r="XEV1406" s="198">
        <f t="shared" si="191"/>
        <v>1.3664766413933771E-2</v>
      </c>
      <c r="XEW1406" s="221">
        <v>6454.6401370000003</v>
      </c>
      <c r="XEX1406" s="198">
        <f t="shared" si="192"/>
        <v>9.5680398517594689E-4</v>
      </c>
    </row>
    <row r="1407" spans="16374:16378" x14ac:dyDescent="0.2">
      <c r="XET1407" s="220">
        <v>42997</v>
      </c>
      <c r="XEU1407" s="221">
        <v>25.006665999999999</v>
      </c>
      <c r="XEV1407" s="198">
        <f t="shared" si="191"/>
        <v>-2.5714362300552684E-2</v>
      </c>
      <c r="XEW1407" s="221">
        <v>6461.3198240000002</v>
      </c>
      <c r="XEX1407" s="198">
        <f t="shared" si="192"/>
        <v>1.0348659039425279E-3</v>
      </c>
    </row>
    <row r="1408" spans="16374:16378" x14ac:dyDescent="0.2">
      <c r="XET1408" s="220">
        <v>42998</v>
      </c>
      <c r="XEU1408" s="221">
        <v>24.927333999999998</v>
      </c>
      <c r="XEV1408" s="198">
        <f t="shared" si="191"/>
        <v>-3.1724341021710512E-3</v>
      </c>
      <c r="XEW1408" s="221">
        <v>6456.0400390000004</v>
      </c>
      <c r="XEX1408" s="198">
        <f t="shared" si="192"/>
        <v>-8.1713723261123139E-4</v>
      </c>
    </row>
    <row r="1409" spans="16374:16378" x14ac:dyDescent="0.2">
      <c r="XET1409" s="220">
        <v>42999</v>
      </c>
      <c r="XEU1409" s="221">
        <v>24.431999000000001</v>
      </c>
      <c r="XEV1409" s="198">
        <f t="shared" si="191"/>
        <v>-1.9871158303571335E-2</v>
      </c>
      <c r="XEW1409" s="221">
        <v>6422.6899409999996</v>
      </c>
      <c r="XEX1409" s="198">
        <f t="shared" si="192"/>
        <v>-5.1657204414063962E-3</v>
      </c>
    </row>
    <row r="1410" spans="16374:16378" x14ac:dyDescent="0.2">
      <c r="XET1410" s="220">
        <v>43000</v>
      </c>
      <c r="XEU1410" s="221">
        <v>23.405999999999999</v>
      </c>
      <c r="XEV1410" s="198">
        <f t="shared" si="191"/>
        <v>-4.1994066879259551E-2</v>
      </c>
      <c r="XEW1410" s="221">
        <v>6426.919922</v>
      </c>
      <c r="XEX1410" s="198">
        <f t="shared" si="192"/>
        <v>6.5859959594161133E-4</v>
      </c>
    </row>
    <row r="1411" spans="16374:16378" x14ac:dyDescent="0.2">
      <c r="XET1411" s="220">
        <v>43003</v>
      </c>
      <c r="XEU1411" s="221">
        <v>22.999331999999999</v>
      </c>
      <c r="XEV1411" s="198">
        <f t="shared" si="191"/>
        <v>-1.7374519354011797E-2</v>
      </c>
      <c r="XEW1411" s="221">
        <v>6370.5898440000001</v>
      </c>
      <c r="XEX1411" s="198">
        <f t="shared" si="192"/>
        <v>-8.7647082402841914E-3</v>
      </c>
    </row>
    <row r="1412" spans="16374:16378" x14ac:dyDescent="0.2">
      <c r="XET1412" s="220">
        <v>43004</v>
      </c>
      <c r="XEU1412" s="221">
        <v>23.016666000000001</v>
      </c>
      <c r="XEV1412" s="198">
        <f t="shared" si="191"/>
        <v>7.5367406322945918E-4</v>
      </c>
      <c r="XEW1412" s="221">
        <v>6380.1601559999999</v>
      </c>
      <c r="XEX1412" s="198">
        <f t="shared" si="192"/>
        <v>1.5022646621982716E-3</v>
      </c>
    </row>
    <row r="1413" spans="16374:16378" x14ac:dyDescent="0.2">
      <c r="XET1413" s="220">
        <v>43005</v>
      </c>
      <c r="XEU1413" s="221">
        <v>22.731332999999999</v>
      </c>
      <c r="XEV1413" s="198">
        <f t="shared" si="191"/>
        <v>-1.2396799779777035E-2</v>
      </c>
      <c r="XEW1413" s="221">
        <v>6453.2597660000001</v>
      </c>
      <c r="XEX1413" s="198">
        <f t="shared" si="192"/>
        <v>1.1457331510911439E-2</v>
      </c>
    </row>
    <row r="1414" spans="16374:16378" x14ac:dyDescent="0.2">
      <c r="XET1414" s="220">
        <v>43006</v>
      </c>
      <c r="XEU1414" s="221">
        <v>22.639999</v>
      </c>
      <c r="XEV1414" s="198">
        <f t="shared" si="191"/>
        <v>-4.0179781801621406E-3</v>
      </c>
      <c r="XEW1414" s="221">
        <v>6453.4501950000003</v>
      </c>
      <c r="XEX1414" s="198">
        <f t="shared" si="192"/>
        <v>2.9508962432256425E-5</v>
      </c>
    </row>
    <row r="1415" spans="16374:16378" x14ac:dyDescent="0.2">
      <c r="XET1415" s="220">
        <v>43007</v>
      </c>
      <c r="XEU1415" s="221">
        <v>22.74</v>
      </c>
      <c r="XEV1415" s="198">
        <f t="shared" si="191"/>
        <v>4.4170054954506544E-3</v>
      </c>
      <c r="XEW1415" s="221">
        <v>6495.9599609999996</v>
      </c>
      <c r="XEX1415" s="198">
        <f t="shared" si="192"/>
        <v>6.5871378434028127E-3</v>
      </c>
    </row>
    <row r="1416" spans="16374:16378" x14ac:dyDescent="0.2">
      <c r="XET1416" s="220">
        <v>43010</v>
      </c>
      <c r="XEU1416" s="221">
        <v>22.768667000000001</v>
      </c>
      <c r="XEV1416" s="198">
        <f t="shared" si="191"/>
        <v>1.2606420404575047E-3</v>
      </c>
      <c r="XEW1416" s="221">
        <v>6516.7202150000003</v>
      </c>
      <c r="XEX1416" s="198">
        <f t="shared" si="192"/>
        <v>3.1958716070665805E-3</v>
      </c>
    </row>
    <row r="1417" spans="16374:16378" x14ac:dyDescent="0.2">
      <c r="XET1417" s="220">
        <v>43011</v>
      </c>
      <c r="XEU1417" s="221">
        <v>23.209333000000001</v>
      </c>
      <c r="XEV1417" s="198">
        <f t="shared" si="191"/>
        <v>1.9354053533305215E-2</v>
      </c>
      <c r="XEW1417" s="221">
        <v>6531.7099609999996</v>
      </c>
      <c r="XEX1417" s="198">
        <f t="shared" si="192"/>
        <v>2.3001978764558562E-3</v>
      </c>
    </row>
    <row r="1418" spans="16374:16378" x14ac:dyDescent="0.2">
      <c r="XET1418" s="220">
        <v>43012</v>
      </c>
      <c r="XEU1418" s="221">
        <v>23.667334</v>
      </c>
      <c r="XEV1418" s="198">
        <f t="shared" si="191"/>
        <v>1.9733483939413432E-2</v>
      </c>
      <c r="XEW1418" s="221">
        <v>6534.6298829999996</v>
      </c>
      <c r="XEX1418" s="198">
        <f t="shared" si="192"/>
        <v>4.4703791464018039E-4</v>
      </c>
    </row>
    <row r="1419" spans="16374:16378" x14ac:dyDescent="0.2">
      <c r="XET1419" s="220">
        <v>43013</v>
      </c>
      <c r="XEU1419" s="221">
        <v>23.688666999999999</v>
      </c>
      <c r="XEV1419" s="198">
        <f t="shared" si="191"/>
        <v>9.0136895013182006E-4</v>
      </c>
      <c r="XEW1419" s="221">
        <v>6585.3598629999997</v>
      </c>
      <c r="XEX1419" s="198">
        <f t="shared" si="192"/>
        <v>7.7632522282518046E-3</v>
      </c>
    </row>
    <row r="1420" spans="16374:16378" x14ac:dyDescent="0.2">
      <c r="XET1420" s="220">
        <v>43014</v>
      </c>
      <c r="XEU1420" s="221">
        <v>23.792000000000002</v>
      </c>
      <c r="XEV1420" s="198">
        <f t="shared" ref="XEV1420:XEV1483" si="193">XEU1420/XEU1419-1</f>
        <v>4.3621281011718693E-3</v>
      </c>
      <c r="XEW1420" s="221">
        <v>6590.1801759999998</v>
      </c>
      <c r="XEX1420" s="198">
        <f t="shared" ref="XEX1420:XEX1483" si="194">XEW1420/XEW1419-1</f>
        <v>7.3197412142711471E-4</v>
      </c>
    </row>
    <row r="1421" spans="16374:16378" x14ac:dyDescent="0.2">
      <c r="XET1421" s="220">
        <v>43017</v>
      </c>
      <c r="XEU1421" s="221">
        <v>22.862666999999998</v>
      </c>
      <c r="XEV1421" s="198">
        <f t="shared" si="193"/>
        <v>-3.9060734700739896E-2</v>
      </c>
      <c r="XEW1421" s="221">
        <v>6579.7299800000001</v>
      </c>
      <c r="XEX1421" s="198">
        <f t="shared" si="194"/>
        <v>-1.5857223506661189E-3</v>
      </c>
    </row>
    <row r="1422" spans="16374:16378" x14ac:dyDescent="0.2">
      <c r="XET1422" s="220">
        <v>43018</v>
      </c>
      <c r="XEU1422" s="221">
        <v>23.705998999999998</v>
      </c>
      <c r="XEV1422" s="198">
        <f t="shared" si="193"/>
        <v>3.6886860137533395E-2</v>
      </c>
      <c r="XEW1422" s="221">
        <v>6587.25</v>
      </c>
      <c r="XEX1422" s="198">
        <f t="shared" si="194"/>
        <v>1.1429070832478239E-3</v>
      </c>
    </row>
    <row r="1423" spans="16374:16378" x14ac:dyDescent="0.2">
      <c r="XET1423" s="220">
        <v>43019</v>
      </c>
      <c r="XEU1423" s="221">
        <v>23.639999</v>
      </c>
      <c r="XEV1423" s="198">
        <f t="shared" si="193"/>
        <v>-2.7841054072430538E-3</v>
      </c>
      <c r="XEW1423" s="221">
        <v>6603.5498049999997</v>
      </c>
      <c r="XEX1423" s="198">
        <f t="shared" si="194"/>
        <v>2.4744476071196786E-3</v>
      </c>
    </row>
    <row r="1424" spans="16374:16378" x14ac:dyDescent="0.2">
      <c r="XET1424" s="220">
        <v>43020</v>
      </c>
      <c r="XEU1424" s="221">
        <v>23.712</v>
      </c>
      <c r="XEV1424" s="198">
        <f t="shared" si="193"/>
        <v>3.0457277092101886E-3</v>
      </c>
      <c r="XEW1424" s="221">
        <v>6591.5097660000001</v>
      </c>
      <c r="XEX1424" s="198">
        <f t="shared" si="194"/>
        <v>-1.823267690187369E-3</v>
      </c>
    </row>
    <row r="1425" spans="16374:16378" x14ac:dyDescent="0.2">
      <c r="XET1425" s="220">
        <v>43021</v>
      </c>
      <c r="XEU1425" s="221">
        <v>23.704666</v>
      </c>
      <c r="XEV1425" s="198">
        <f t="shared" si="193"/>
        <v>-3.0929487179487403E-4</v>
      </c>
      <c r="XEW1425" s="221">
        <v>6605.7998049999997</v>
      </c>
      <c r="XEX1425" s="198">
        <f t="shared" si="194"/>
        <v>2.1679462683510398E-3</v>
      </c>
    </row>
    <row r="1426" spans="16374:16378" x14ac:dyDescent="0.2">
      <c r="XET1426" s="220">
        <v>43024</v>
      </c>
      <c r="XEU1426" s="221">
        <v>23.373332999999999</v>
      </c>
      <c r="XEV1426" s="198">
        <f t="shared" si="193"/>
        <v>-1.3977543492914024E-2</v>
      </c>
      <c r="XEW1426" s="221">
        <v>6624</v>
      </c>
      <c r="XEX1426" s="198">
        <f t="shared" si="194"/>
        <v>2.7551841619881667E-3</v>
      </c>
    </row>
    <row r="1427" spans="16374:16378" x14ac:dyDescent="0.2">
      <c r="XET1427" s="220">
        <v>43025</v>
      </c>
      <c r="XEU1427" s="221">
        <v>23.716667000000001</v>
      </c>
      <c r="XEV1427" s="198">
        <f t="shared" si="193"/>
        <v>1.4689133124488496E-2</v>
      </c>
      <c r="XEW1427" s="221">
        <v>6623.6601559999999</v>
      </c>
      <c r="XEX1427" s="198">
        <f t="shared" si="194"/>
        <v>-5.1304951690811507E-5</v>
      </c>
    </row>
    <row r="1428" spans="16374:16378" x14ac:dyDescent="0.2">
      <c r="XET1428" s="220">
        <v>43026</v>
      </c>
      <c r="XEU1428" s="221">
        <v>23.976666999999999</v>
      </c>
      <c r="XEV1428" s="198">
        <f t="shared" si="193"/>
        <v>1.0962754589420198E-2</v>
      </c>
      <c r="XEW1428" s="221">
        <v>6624.2202150000003</v>
      </c>
      <c r="XEX1428" s="198">
        <f t="shared" si="194"/>
        <v>8.4554307861584022E-5</v>
      </c>
    </row>
    <row r="1429" spans="16374:16378" x14ac:dyDescent="0.2">
      <c r="XET1429" s="220">
        <v>43027</v>
      </c>
      <c r="XEU1429" s="221">
        <v>23.454000000000001</v>
      </c>
      <c r="XEV1429" s="198">
        <f t="shared" si="193"/>
        <v>-2.1798984821368106E-2</v>
      </c>
      <c r="XEW1429" s="221">
        <v>6605.0698240000002</v>
      </c>
      <c r="XEX1429" s="198">
        <f t="shared" si="194"/>
        <v>-2.890965333041895E-3</v>
      </c>
    </row>
    <row r="1430" spans="16374:16378" x14ac:dyDescent="0.2">
      <c r="XET1430" s="220">
        <v>43028</v>
      </c>
      <c r="XEU1430" s="221">
        <v>23.006665999999999</v>
      </c>
      <c r="XEV1430" s="198">
        <f t="shared" si="193"/>
        <v>-1.9072823398993854E-2</v>
      </c>
      <c r="XEW1430" s="221">
        <v>6629.0498049999997</v>
      </c>
      <c r="XEX1430" s="198">
        <f t="shared" si="194"/>
        <v>3.6305416352855335E-3</v>
      </c>
    </row>
    <row r="1431" spans="16374:16378" x14ac:dyDescent="0.2">
      <c r="XET1431" s="220">
        <v>43031</v>
      </c>
      <c r="XEU1431" s="221">
        <v>22.468</v>
      </c>
      <c r="XEV1431" s="198">
        <f t="shared" si="193"/>
        <v>-2.341347503371416E-2</v>
      </c>
      <c r="XEW1431" s="221">
        <v>6586.830078</v>
      </c>
      <c r="XEX1431" s="198">
        <f t="shared" si="194"/>
        <v>-6.3688957304491867E-3</v>
      </c>
    </row>
    <row r="1432" spans="16374:16378" x14ac:dyDescent="0.2">
      <c r="XET1432" s="220">
        <v>43032</v>
      </c>
      <c r="XEU1432" s="221">
        <v>22.489332000000001</v>
      </c>
      <c r="XEV1432" s="198">
        <f t="shared" si="193"/>
        <v>9.4943920242118729E-4</v>
      </c>
      <c r="XEW1432" s="221">
        <v>6598.4301759999998</v>
      </c>
      <c r="XEX1432" s="198">
        <f t="shared" si="194"/>
        <v>1.7611047898054011E-3</v>
      </c>
    </row>
    <row r="1433" spans="16374:16378" x14ac:dyDescent="0.2">
      <c r="XET1433" s="220">
        <v>43033</v>
      </c>
      <c r="XEU1433" s="221">
        <v>21.722667999999999</v>
      </c>
      <c r="XEV1433" s="198">
        <f t="shared" si="193"/>
        <v>-3.4090118817224235E-2</v>
      </c>
      <c r="XEW1433" s="221">
        <v>6563.8901370000003</v>
      </c>
      <c r="XEX1433" s="198">
        <f t="shared" si="194"/>
        <v>-5.2345842994034886E-3</v>
      </c>
    </row>
    <row r="1434" spans="16374:16378" x14ac:dyDescent="0.2">
      <c r="XET1434" s="220">
        <v>43034</v>
      </c>
      <c r="XEU1434" s="221">
        <v>21.744667</v>
      </c>
      <c r="XEV1434" s="198">
        <f t="shared" si="193"/>
        <v>1.0127209051853381E-3</v>
      </c>
      <c r="XEW1434" s="221">
        <v>6556.7700199999999</v>
      </c>
      <c r="XEX1434" s="198">
        <f t="shared" si="194"/>
        <v>-1.0847404285250217E-3</v>
      </c>
    </row>
    <row r="1435" spans="16374:16378" x14ac:dyDescent="0.2">
      <c r="XET1435" s="220">
        <v>43035</v>
      </c>
      <c r="XEU1435" s="221">
        <v>21.391332999999999</v>
      </c>
      <c r="XEV1435" s="198">
        <f t="shared" si="193"/>
        <v>-1.6249225614721974E-2</v>
      </c>
      <c r="XEW1435" s="221">
        <v>6701.2597660000001</v>
      </c>
      <c r="XEX1435" s="198">
        <f t="shared" si="194"/>
        <v>2.2036726247720351E-2</v>
      </c>
    </row>
    <row r="1436" spans="16374:16378" x14ac:dyDescent="0.2">
      <c r="XET1436" s="220">
        <v>43038</v>
      </c>
      <c r="XEU1436" s="221">
        <v>21.338667000000001</v>
      </c>
      <c r="XEV1436" s="198">
        <f t="shared" si="193"/>
        <v>-2.4620251575718788E-3</v>
      </c>
      <c r="XEW1436" s="221">
        <v>6698.9599609999996</v>
      </c>
      <c r="XEX1436" s="198">
        <f t="shared" si="194"/>
        <v>-3.4318994939863678E-4</v>
      </c>
    </row>
    <row r="1437" spans="16374:16378" x14ac:dyDescent="0.2">
      <c r="XET1437" s="220">
        <v>43039</v>
      </c>
      <c r="XEU1437" s="221">
        <v>22.101998999999999</v>
      </c>
      <c r="XEV1437" s="198">
        <f t="shared" si="193"/>
        <v>3.5772243880088483E-2</v>
      </c>
      <c r="XEW1437" s="221">
        <v>6727.669922</v>
      </c>
      <c r="XEX1437" s="198">
        <f t="shared" si="194"/>
        <v>4.2857340791919718E-3</v>
      </c>
    </row>
    <row r="1438" spans="16374:16378" x14ac:dyDescent="0.2">
      <c r="XET1438" s="220">
        <v>43040</v>
      </c>
      <c r="XEU1438" s="221">
        <v>21.405332999999999</v>
      </c>
      <c r="XEV1438" s="198">
        <f t="shared" si="193"/>
        <v>-3.1520497308863304E-2</v>
      </c>
      <c r="XEW1438" s="221">
        <v>6716.5297849999997</v>
      </c>
      <c r="XEX1438" s="198">
        <f t="shared" si="194"/>
        <v>-1.6558685442594756E-3</v>
      </c>
    </row>
    <row r="1439" spans="16374:16378" x14ac:dyDescent="0.2">
      <c r="XET1439" s="220">
        <v>43041</v>
      </c>
      <c r="XEU1439" s="221">
        <v>19.950665999999998</v>
      </c>
      <c r="XEV1439" s="198">
        <f t="shared" si="193"/>
        <v>-6.7958157903920569E-2</v>
      </c>
      <c r="XEW1439" s="221">
        <v>6714.9399409999996</v>
      </c>
      <c r="XEX1439" s="198">
        <f t="shared" si="194"/>
        <v>-2.3670616388105081E-4</v>
      </c>
    </row>
    <row r="1440" spans="16374:16378" x14ac:dyDescent="0.2">
      <c r="XET1440" s="220">
        <v>43042</v>
      </c>
      <c r="XEU1440" s="221">
        <v>20.405999999999999</v>
      </c>
      <c r="XEV1440" s="198">
        <f t="shared" si="193"/>
        <v>2.2822997487903507E-2</v>
      </c>
      <c r="XEW1440" s="221">
        <v>6764.4399409999996</v>
      </c>
      <c r="XEX1440" s="198">
        <f t="shared" si="194"/>
        <v>7.3716221492561296E-3</v>
      </c>
    </row>
    <row r="1441" spans="16374:16378" x14ac:dyDescent="0.2">
      <c r="XET1441" s="220">
        <v>43045</v>
      </c>
      <c r="XEU1441" s="221">
        <v>20.185333</v>
      </c>
      <c r="XEV1441" s="198">
        <f t="shared" si="193"/>
        <v>-1.0813829265902131E-2</v>
      </c>
      <c r="XEW1441" s="221">
        <v>6786.4399409999996</v>
      </c>
      <c r="XEX1441" s="198">
        <f t="shared" si="194"/>
        <v>3.2523017710093249E-3</v>
      </c>
    </row>
    <row r="1442" spans="16374:16378" x14ac:dyDescent="0.2">
      <c r="XET1442" s="220">
        <v>43046</v>
      </c>
      <c r="XEU1442" s="221">
        <v>20.403334000000001</v>
      </c>
      <c r="XEV1442" s="198">
        <f t="shared" si="193"/>
        <v>1.0799970453794439E-2</v>
      </c>
      <c r="XEW1442" s="221">
        <v>6767.7797849999997</v>
      </c>
      <c r="XEX1442" s="198">
        <f t="shared" si="194"/>
        <v>-2.7496236852057043E-3</v>
      </c>
    </row>
    <row r="1443" spans="16374:16378" x14ac:dyDescent="0.2">
      <c r="XET1443" s="220">
        <v>43047</v>
      </c>
      <c r="XEU1443" s="221">
        <v>20.292667000000002</v>
      </c>
      <c r="XEV1443" s="198">
        <f t="shared" si="193"/>
        <v>-5.4239664948875221E-3</v>
      </c>
      <c r="XEW1443" s="221">
        <v>6789.1201170000004</v>
      </c>
      <c r="XEX1443" s="198">
        <f t="shared" si="194"/>
        <v>3.1532249390411327E-3</v>
      </c>
    </row>
    <row r="1444" spans="16374:16378" x14ac:dyDescent="0.2">
      <c r="XET1444" s="220">
        <v>43048</v>
      </c>
      <c r="XEU1444" s="221">
        <v>20.199332999999999</v>
      </c>
      <c r="XEV1444" s="198">
        <f t="shared" si="193"/>
        <v>-4.5993954367852252E-3</v>
      </c>
      <c r="XEW1444" s="221">
        <v>6750.0498049999997</v>
      </c>
      <c r="XEX1444" s="198">
        <f t="shared" si="194"/>
        <v>-5.7548417654547102E-3</v>
      </c>
    </row>
    <row r="1445" spans="16374:16378" x14ac:dyDescent="0.2">
      <c r="XET1445" s="220">
        <v>43049</v>
      </c>
      <c r="XEU1445" s="221">
        <v>20.199332999999999</v>
      </c>
      <c r="XEV1445" s="198">
        <f t="shared" si="193"/>
        <v>0</v>
      </c>
      <c r="XEW1445" s="221">
        <v>6750.9399409999996</v>
      </c>
      <c r="XEX1445" s="198">
        <f t="shared" si="194"/>
        <v>1.3187102698708486E-4</v>
      </c>
    </row>
    <row r="1446" spans="16374:16378" x14ac:dyDescent="0.2">
      <c r="XET1446" s="220">
        <v>43052</v>
      </c>
      <c r="XEU1446" s="221">
        <v>21.026667</v>
      </c>
      <c r="XEV1446" s="198">
        <f t="shared" si="193"/>
        <v>4.0958481153808401E-2</v>
      </c>
      <c r="XEW1446" s="221">
        <v>6757.6000979999999</v>
      </c>
      <c r="XEX1446" s="198">
        <f t="shared" si="194"/>
        <v>9.8655254797219705E-4</v>
      </c>
    </row>
    <row r="1447" spans="16374:16378" x14ac:dyDescent="0.2">
      <c r="XET1447" s="220">
        <v>43053</v>
      </c>
      <c r="XEU1447" s="221">
        <v>20.58</v>
      </c>
      <c r="XEV1447" s="198">
        <f t="shared" si="193"/>
        <v>-2.1242881717772999E-2</v>
      </c>
      <c r="XEW1447" s="221">
        <v>6737.8701170000004</v>
      </c>
      <c r="XEX1447" s="198">
        <f t="shared" si="194"/>
        <v>-2.9196727704912107E-3</v>
      </c>
    </row>
    <row r="1448" spans="16374:16378" x14ac:dyDescent="0.2">
      <c r="XET1448" s="220">
        <v>43054</v>
      </c>
      <c r="XEU1448" s="221">
        <v>20.753332</v>
      </c>
      <c r="XEV1448" s="198">
        <f t="shared" si="193"/>
        <v>8.4223517978621043E-3</v>
      </c>
      <c r="XEW1448" s="221">
        <v>6706.2099609999996</v>
      </c>
      <c r="XEX1448" s="198">
        <f t="shared" si="194"/>
        <v>-4.6988373848466658E-3</v>
      </c>
    </row>
    <row r="1449" spans="16374:16378" x14ac:dyDescent="0.2">
      <c r="XET1449" s="220">
        <v>43055</v>
      </c>
      <c r="XEU1449" s="221">
        <v>20.833331999999999</v>
      </c>
      <c r="XEV1449" s="198">
        <f t="shared" si="193"/>
        <v>3.8548026890332654E-3</v>
      </c>
      <c r="XEW1449" s="221">
        <v>6793.2900390000004</v>
      </c>
      <c r="XEX1449" s="198">
        <f t="shared" si="194"/>
        <v>1.2984991300065918E-2</v>
      </c>
    </row>
    <row r="1450" spans="16374:16378" x14ac:dyDescent="0.2">
      <c r="XET1450" s="220">
        <v>43056</v>
      </c>
      <c r="XEU1450" s="221">
        <v>21.003332</v>
      </c>
      <c r="XEV1450" s="198">
        <f t="shared" si="193"/>
        <v>8.1600005222401961E-3</v>
      </c>
      <c r="XEW1450" s="221">
        <v>6782.7900390000004</v>
      </c>
      <c r="XEX1450" s="198">
        <f t="shared" si="194"/>
        <v>-1.5456428239807307E-3</v>
      </c>
    </row>
    <row r="1451" spans="16374:16378" x14ac:dyDescent="0.2">
      <c r="XET1451" s="220">
        <v>43059</v>
      </c>
      <c r="XEU1451" s="221">
        <v>20.582666</v>
      </c>
      <c r="XEV1451" s="198">
        <f t="shared" si="193"/>
        <v>-2.0028536424601562E-2</v>
      </c>
      <c r="XEW1451" s="221">
        <v>6790.7099609999996</v>
      </c>
      <c r="XEX1451" s="198">
        <f t="shared" si="194"/>
        <v>1.1676495888064409E-3</v>
      </c>
    </row>
    <row r="1452" spans="16374:16378" x14ac:dyDescent="0.2">
      <c r="XET1452" s="220">
        <v>43060</v>
      </c>
      <c r="XEU1452" s="221">
        <v>21.187332000000001</v>
      </c>
      <c r="XEV1452" s="198">
        <f t="shared" si="193"/>
        <v>2.9377438277432111E-2</v>
      </c>
      <c r="XEW1452" s="221">
        <v>6862.4799800000001</v>
      </c>
      <c r="XEX1452" s="198">
        <f t="shared" si="194"/>
        <v>1.0568853538464484E-2</v>
      </c>
    </row>
    <row r="1453" spans="16374:16378" x14ac:dyDescent="0.2">
      <c r="XET1453" s="220">
        <v>43061</v>
      </c>
      <c r="XEU1453" s="221">
        <v>20.84</v>
      </c>
      <c r="XEV1453" s="198">
        <f t="shared" si="193"/>
        <v>-1.6393380723915718E-2</v>
      </c>
      <c r="XEW1453" s="221">
        <v>6867.3598629999997</v>
      </c>
      <c r="XEX1453" s="198">
        <f t="shared" si="194"/>
        <v>7.1109613641451297E-4</v>
      </c>
    </row>
    <row r="1454" spans="16374:16378" x14ac:dyDescent="0.2">
      <c r="XET1454" s="220">
        <v>43063</v>
      </c>
      <c r="XEU1454" s="221">
        <v>21.036667000000001</v>
      </c>
      <c r="XEV1454" s="198">
        <f t="shared" si="193"/>
        <v>9.4369961612283948E-3</v>
      </c>
      <c r="XEW1454" s="221">
        <v>6889.1601559999999</v>
      </c>
      <c r="XEX1454" s="198">
        <f t="shared" si="194"/>
        <v>3.1744794848245217E-3</v>
      </c>
    </row>
    <row r="1455" spans="16374:16378" x14ac:dyDescent="0.2">
      <c r="XET1455" s="220">
        <v>43066</v>
      </c>
      <c r="XEU1455" s="221">
        <v>21.120667000000001</v>
      </c>
      <c r="XEV1455" s="198">
        <f t="shared" si="193"/>
        <v>3.993027982997388E-3</v>
      </c>
      <c r="XEW1455" s="221">
        <v>6878.5200199999999</v>
      </c>
      <c r="XEX1455" s="198">
        <f t="shared" si="194"/>
        <v>-1.544475053426253E-3</v>
      </c>
    </row>
    <row r="1456" spans="16374:16378" x14ac:dyDescent="0.2">
      <c r="XET1456" s="220">
        <v>43067</v>
      </c>
      <c r="XEU1456" s="221">
        <v>21.17</v>
      </c>
      <c r="XEV1456" s="198">
        <f t="shared" si="193"/>
        <v>2.3357690360821248E-3</v>
      </c>
      <c r="XEW1456" s="221">
        <v>6912.3598629999997</v>
      </c>
      <c r="XEX1456" s="198">
        <f t="shared" si="194"/>
        <v>4.9196401117692634E-3</v>
      </c>
    </row>
    <row r="1457" spans="16374:16378" x14ac:dyDescent="0.2">
      <c r="XET1457" s="220">
        <v>43068</v>
      </c>
      <c r="XEU1457" s="221">
        <v>20.502666000000001</v>
      </c>
      <c r="XEV1457" s="198">
        <f t="shared" si="193"/>
        <v>-3.1522626358053807E-2</v>
      </c>
      <c r="XEW1457" s="221">
        <v>6824.3901370000003</v>
      </c>
      <c r="XEX1457" s="198">
        <f t="shared" si="194"/>
        <v>-1.2726438979382082E-2</v>
      </c>
    </row>
    <row r="1458" spans="16374:16378" x14ac:dyDescent="0.2">
      <c r="XET1458" s="220">
        <v>43069</v>
      </c>
      <c r="XEU1458" s="221">
        <v>20.59</v>
      </c>
      <c r="XEV1458" s="198">
        <f t="shared" si="193"/>
        <v>4.2596411608128992E-3</v>
      </c>
      <c r="XEW1458" s="221">
        <v>6873.9702150000003</v>
      </c>
      <c r="XEX1458" s="198">
        <f t="shared" si="194"/>
        <v>7.2651294847858594E-3</v>
      </c>
    </row>
    <row r="1459" spans="16374:16378" x14ac:dyDescent="0.2">
      <c r="XET1459" s="220">
        <v>43070</v>
      </c>
      <c r="XEU1459" s="221">
        <v>20.435333</v>
      </c>
      <c r="XEV1459" s="198">
        <f t="shared" si="193"/>
        <v>-7.5117532782904561E-3</v>
      </c>
      <c r="XEW1459" s="221">
        <v>6847.5898440000001</v>
      </c>
      <c r="XEX1459" s="198">
        <f t="shared" si="194"/>
        <v>-3.8377197129010332E-3</v>
      </c>
    </row>
    <row r="1460" spans="16374:16378" x14ac:dyDescent="0.2">
      <c r="XET1460" s="220">
        <v>43073</v>
      </c>
      <c r="XEU1460" s="221">
        <v>20.346665999999999</v>
      </c>
      <c r="XEV1460" s="198">
        <f t="shared" si="193"/>
        <v>-4.3389065399619398E-3</v>
      </c>
      <c r="XEW1460" s="221">
        <v>6775.3701170000004</v>
      </c>
      <c r="XEX1460" s="198">
        <f t="shared" si="194"/>
        <v>-1.0546736683313518E-2</v>
      </c>
    </row>
    <row r="1461" spans="16374:16378" x14ac:dyDescent="0.2">
      <c r="XET1461" s="220">
        <v>43074</v>
      </c>
      <c r="XEU1461" s="221">
        <v>20.246668</v>
      </c>
      <c r="XEV1461" s="198">
        <f t="shared" si="193"/>
        <v>-4.9147118255147282E-3</v>
      </c>
      <c r="XEW1461" s="221">
        <v>6762.2099609999996</v>
      </c>
      <c r="XEX1461" s="198">
        <f t="shared" si="194"/>
        <v>-1.942352339834641E-3</v>
      </c>
    </row>
    <row r="1462" spans="16374:16378" x14ac:dyDescent="0.2">
      <c r="XET1462" s="220">
        <v>43075</v>
      </c>
      <c r="XEU1462" s="221">
        <v>20.884001000000001</v>
      </c>
      <c r="XEV1462" s="198">
        <f t="shared" si="193"/>
        <v>3.1478414127203536E-2</v>
      </c>
      <c r="XEW1462" s="221">
        <v>6776.3798829999996</v>
      </c>
      <c r="XEX1462" s="198">
        <f t="shared" si="194"/>
        <v>2.0954572664444449E-3</v>
      </c>
    </row>
    <row r="1463" spans="16374:16378" x14ac:dyDescent="0.2">
      <c r="XET1463" s="220">
        <v>43076</v>
      </c>
      <c r="XEU1463" s="221">
        <v>20.749331999999999</v>
      </c>
      <c r="XEV1463" s="198">
        <f t="shared" si="193"/>
        <v>-6.4484291108778402E-3</v>
      </c>
      <c r="XEW1463" s="221">
        <v>6812.8398440000001</v>
      </c>
      <c r="XEX1463" s="198">
        <f t="shared" si="194"/>
        <v>5.3804482082635552E-3</v>
      </c>
    </row>
    <row r="1464" spans="16374:16378" x14ac:dyDescent="0.2">
      <c r="XET1464" s="220">
        <v>43077</v>
      </c>
      <c r="XEU1464" s="221">
        <v>21.008666999999999</v>
      </c>
      <c r="XEV1464" s="198">
        <f t="shared" si="193"/>
        <v>1.2498474649689895E-2</v>
      </c>
      <c r="XEW1464" s="221">
        <v>6840.080078</v>
      </c>
      <c r="XEX1464" s="198">
        <f t="shared" si="194"/>
        <v>3.998366998747338E-3</v>
      </c>
    </row>
    <row r="1465" spans="16374:16378" x14ac:dyDescent="0.2">
      <c r="XET1465" s="220">
        <v>43080</v>
      </c>
      <c r="XEU1465" s="221">
        <v>21.927333999999998</v>
      </c>
      <c r="XEV1465" s="198">
        <f t="shared" si="193"/>
        <v>4.372800044857672E-2</v>
      </c>
      <c r="XEW1465" s="221">
        <v>6875.080078</v>
      </c>
      <c r="XEX1465" s="198">
        <f t="shared" si="194"/>
        <v>5.1168991592029922E-3</v>
      </c>
    </row>
    <row r="1466" spans="16374:16378" x14ac:dyDescent="0.2">
      <c r="XET1466" s="220">
        <v>43081</v>
      </c>
      <c r="XEU1466" s="221">
        <v>22.735332</v>
      </c>
      <c r="XEV1466" s="198">
        <f t="shared" si="193"/>
        <v>3.684889371411959E-2</v>
      </c>
      <c r="XEW1466" s="221">
        <v>6862.3198240000002</v>
      </c>
      <c r="XEX1466" s="198">
        <f t="shared" si="194"/>
        <v>-1.856015327127869E-3</v>
      </c>
    </row>
    <row r="1467" spans="16374:16378" x14ac:dyDescent="0.2">
      <c r="XET1467" s="220">
        <v>43082</v>
      </c>
      <c r="XEU1467" s="221">
        <v>22.601998999999999</v>
      </c>
      <c r="XEV1467" s="198">
        <f t="shared" si="193"/>
        <v>-5.8645723757190238E-3</v>
      </c>
      <c r="XEW1467" s="221">
        <v>6875.7998049999997</v>
      </c>
      <c r="XEX1467" s="198">
        <f t="shared" si="194"/>
        <v>1.9643475305326508E-3</v>
      </c>
    </row>
    <row r="1468" spans="16374:16378" x14ac:dyDescent="0.2">
      <c r="XET1468" s="220">
        <v>43083</v>
      </c>
      <c r="XEU1468" s="221">
        <v>22.525998999999999</v>
      </c>
      <c r="XEV1468" s="198">
        <f t="shared" si="193"/>
        <v>-3.3625344377725686E-3</v>
      </c>
      <c r="XEW1468" s="221">
        <v>6856.5297849999997</v>
      </c>
      <c r="XEX1468" s="198">
        <f t="shared" si="194"/>
        <v>-2.8025859603979519E-3</v>
      </c>
    </row>
    <row r="1469" spans="16374:16378" x14ac:dyDescent="0.2">
      <c r="XET1469" s="220">
        <v>43084</v>
      </c>
      <c r="XEU1469" s="221">
        <v>22.896667000000001</v>
      </c>
      <c r="XEV1469" s="198">
        <f t="shared" si="193"/>
        <v>1.6455119260193607E-2</v>
      </c>
      <c r="XEW1469" s="221">
        <v>6936.580078</v>
      </c>
      <c r="XEX1469" s="198">
        <f t="shared" si="194"/>
        <v>1.1675044885697927E-2</v>
      </c>
    </row>
    <row r="1470" spans="16374:16378" x14ac:dyDescent="0.2">
      <c r="XET1470" s="220">
        <v>43087</v>
      </c>
      <c r="XEU1470" s="221">
        <v>22.591332999999999</v>
      </c>
      <c r="XEV1470" s="198">
        <f t="shared" si="193"/>
        <v>-1.3335303343495419E-2</v>
      </c>
      <c r="XEW1470" s="221">
        <v>6994.7597660000001</v>
      </c>
      <c r="XEX1470" s="198">
        <f t="shared" si="194"/>
        <v>8.3873735105461922E-3</v>
      </c>
    </row>
    <row r="1471" spans="16374:16378" x14ac:dyDescent="0.2">
      <c r="XET1471" s="220">
        <v>43088</v>
      </c>
      <c r="XEU1471" s="221">
        <v>22.073333999999999</v>
      </c>
      <c r="XEV1471" s="198">
        <f t="shared" si="193"/>
        <v>-2.2929102944036051E-2</v>
      </c>
      <c r="XEW1471" s="221">
        <v>6963.8500979999999</v>
      </c>
      <c r="XEX1471" s="198">
        <f t="shared" si="194"/>
        <v>-4.4189749232340647E-3</v>
      </c>
    </row>
    <row r="1472" spans="16374:16378" x14ac:dyDescent="0.2">
      <c r="XET1472" s="220">
        <v>43089</v>
      </c>
      <c r="XEU1472" s="221">
        <v>21.931999000000001</v>
      </c>
      <c r="XEV1472" s="198">
        <f t="shared" si="193"/>
        <v>-6.4029747386596947E-3</v>
      </c>
      <c r="XEW1472" s="221">
        <v>6960.9599609999996</v>
      </c>
      <c r="XEX1472" s="198">
        <f t="shared" si="194"/>
        <v>-4.150199902824836E-4</v>
      </c>
    </row>
    <row r="1473" spans="16374:16378" x14ac:dyDescent="0.2">
      <c r="XET1473" s="220">
        <v>43090</v>
      </c>
      <c r="XEU1473" s="221">
        <v>22.110665999999998</v>
      </c>
      <c r="XEV1473" s="198">
        <f t="shared" si="193"/>
        <v>8.1464074478572179E-3</v>
      </c>
      <c r="XEW1473" s="221">
        <v>6965.3598629999997</v>
      </c>
      <c r="XEX1473" s="198">
        <f t="shared" si="194"/>
        <v>6.3208264731473562E-4</v>
      </c>
    </row>
    <row r="1474" spans="16374:16378" x14ac:dyDescent="0.2">
      <c r="XET1474" s="220">
        <v>43091</v>
      </c>
      <c r="XEU1474" s="221">
        <v>21.68</v>
      </c>
      <c r="XEV1474" s="198">
        <f t="shared" si="193"/>
        <v>-1.9477748883728774E-2</v>
      </c>
      <c r="XEW1474" s="221">
        <v>6959.9599609999996</v>
      </c>
      <c r="XEX1474" s="198">
        <f t="shared" si="194"/>
        <v>-7.7525097140840327E-4</v>
      </c>
    </row>
    <row r="1475" spans="16374:16378" x14ac:dyDescent="0.2">
      <c r="XET1475" s="220">
        <v>43095</v>
      </c>
      <c r="XEU1475" s="221">
        <v>21.152666</v>
      </c>
      <c r="XEV1475" s="198">
        <f t="shared" si="193"/>
        <v>-2.4323523985239848E-2</v>
      </c>
      <c r="XEW1475" s="221">
        <v>6936.25</v>
      </c>
      <c r="XEX1475" s="198">
        <f t="shared" si="194"/>
        <v>-3.4066231893370436E-3</v>
      </c>
    </row>
    <row r="1476" spans="16374:16378" x14ac:dyDescent="0.2">
      <c r="XET1476" s="220">
        <v>43096</v>
      </c>
      <c r="XEU1476" s="221">
        <v>20.775998999999999</v>
      </c>
      <c r="XEV1476" s="198">
        <f t="shared" si="193"/>
        <v>-1.7807069803872588E-2</v>
      </c>
      <c r="XEW1476" s="221">
        <v>6939.3398440000001</v>
      </c>
      <c r="XEX1476" s="198">
        <f t="shared" si="194"/>
        <v>4.4546318255545003E-4</v>
      </c>
    </row>
    <row r="1477" spans="16374:16378" x14ac:dyDescent="0.2">
      <c r="XET1477" s="220">
        <v>43097</v>
      </c>
      <c r="XEU1477" s="221">
        <v>21.024000000000001</v>
      </c>
      <c r="XEV1477" s="198">
        <f t="shared" si="193"/>
        <v>1.1936898918795791E-2</v>
      </c>
      <c r="XEW1477" s="221">
        <v>6950.1601559999999</v>
      </c>
      <c r="XEX1477" s="198">
        <f t="shared" si="194"/>
        <v>1.5592710896492612E-3</v>
      </c>
    </row>
    <row r="1478" spans="16374:16378" x14ac:dyDescent="0.2">
      <c r="XET1478" s="220">
        <v>43098</v>
      </c>
      <c r="XEU1478" s="221">
        <v>20.756665999999999</v>
      </c>
      <c r="XEV1478" s="198">
        <f t="shared" si="193"/>
        <v>-1.2715658295281651E-2</v>
      </c>
      <c r="XEW1478" s="221">
        <v>6903.3901370000003</v>
      </c>
      <c r="XEX1478" s="198">
        <f t="shared" si="194"/>
        <v>-6.7293440654923042E-3</v>
      </c>
    </row>
    <row r="1479" spans="16374:16378" x14ac:dyDescent="0.2">
      <c r="XET1479" s="220">
        <v>43102</v>
      </c>
      <c r="XEU1479" s="221">
        <v>21.368668</v>
      </c>
      <c r="XEV1479" s="198">
        <f t="shared" si="193"/>
        <v>2.9484600272509986E-2</v>
      </c>
      <c r="XEW1479" s="221">
        <v>7006.8999020000001</v>
      </c>
      <c r="XEX1479" s="198">
        <f t="shared" si="194"/>
        <v>1.4994048278572647E-2</v>
      </c>
    </row>
    <row r="1480" spans="16374:16378" x14ac:dyDescent="0.2">
      <c r="XET1480" s="220">
        <v>43103</v>
      </c>
      <c r="XEU1480" s="221">
        <v>21.15</v>
      </c>
      <c r="XEV1480" s="198">
        <f t="shared" si="193"/>
        <v>-1.0233113266582716E-2</v>
      </c>
      <c r="XEW1480" s="221">
        <v>7065.5297849999997</v>
      </c>
      <c r="XEX1480" s="198">
        <f t="shared" si="194"/>
        <v>8.3674497737957765E-3</v>
      </c>
    </row>
    <row r="1481" spans="16374:16378" x14ac:dyDescent="0.2">
      <c r="XET1481" s="220">
        <v>43104</v>
      </c>
      <c r="XEU1481" s="221">
        <v>20.974667</v>
      </c>
      <c r="XEV1481" s="198">
        <f t="shared" si="193"/>
        <v>-8.289976359338036E-3</v>
      </c>
      <c r="XEW1481" s="221">
        <v>7077.9101559999999</v>
      </c>
      <c r="XEX1481" s="198">
        <f t="shared" si="194"/>
        <v>1.7522211888885142E-3</v>
      </c>
    </row>
    <row r="1482" spans="16374:16378" x14ac:dyDescent="0.2">
      <c r="XET1482" s="220">
        <v>43105</v>
      </c>
      <c r="XEU1482" s="221">
        <v>21.105333000000002</v>
      </c>
      <c r="XEV1482" s="198">
        <f t="shared" si="193"/>
        <v>6.2297055776858734E-3</v>
      </c>
      <c r="XEW1482" s="221">
        <v>7136.5600590000004</v>
      </c>
      <c r="XEX1482" s="198">
        <f t="shared" si="194"/>
        <v>8.2863305279854416E-3</v>
      </c>
    </row>
    <row r="1483" spans="16374:16378" x14ac:dyDescent="0.2">
      <c r="XET1483" s="220">
        <v>43108</v>
      </c>
      <c r="XEU1483" s="221">
        <v>22.427333999999998</v>
      </c>
      <c r="XEV1483" s="198">
        <f t="shared" si="193"/>
        <v>6.2638244087406481E-2</v>
      </c>
      <c r="XEW1483" s="221">
        <v>7157.3901370000003</v>
      </c>
      <c r="XEX1483" s="198">
        <f t="shared" si="194"/>
        <v>2.9187840959499223E-3</v>
      </c>
    </row>
    <row r="1484" spans="16374:16378" x14ac:dyDescent="0.2">
      <c r="XET1484" s="220">
        <v>43109</v>
      </c>
      <c r="XEU1484" s="221">
        <v>22.245999999999999</v>
      </c>
      <c r="XEV1484" s="198">
        <f t="shared" ref="XEV1484:XEV1547" si="195">XEU1484/XEU1483-1</f>
        <v>-8.0854015015783265E-3</v>
      </c>
      <c r="XEW1484" s="221">
        <v>7163.580078</v>
      </c>
      <c r="XEX1484" s="198">
        <f t="shared" ref="XEX1484:XEX1547" si="196">XEW1484/XEW1483-1</f>
        <v>8.6483213594856778E-4</v>
      </c>
    </row>
    <row r="1485" spans="16374:16378" x14ac:dyDescent="0.2">
      <c r="XET1485" s="220">
        <v>43110</v>
      </c>
      <c r="XEU1485" s="221">
        <v>22.32</v>
      </c>
      <c r="XEV1485" s="198">
        <f t="shared" si="195"/>
        <v>3.3264407084421244E-3</v>
      </c>
      <c r="XEW1485" s="221">
        <v>7153.5698240000002</v>
      </c>
      <c r="XEX1485" s="198">
        <f t="shared" si="196"/>
        <v>-1.3973814616440317E-3</v>
      </c>
    </row>
    <row r="1486" spans="16374:16378" x14ac:dyDescent="0.2">
      <c r="XET1486" s="220">
        <v>43111</v>
      </c>
      <c r="XEU1486" s="221">
        <v>22.530000999999999</v>
      </c>
      <c r="XEV1486" s="198">
        <f t="shared" si="195"/>
        <v>9.4086469534049311E-3</v>
      </c>
      <c r="XEW1486" s="221">
        <v>7211.7797849999997</v>
      </c>
      <c r="XEX1486" s="198">
        <f t="shared" si="196"/>
        <v>8.1371905820653012E-3</v>
      </c>
    </row>
    <row r="1487" spans="16374:16378" x14ac:dyDescent="0.2">
      <c r="XET1487" s="220">
        <v>43112</v>
      </c>
      <c r="XEU1487" s="221">
        <v>22.414667000000001</v>
      </c>
      <c r="XEV1487" s="198">
        <f t="shared" si="195"/>
        <v>-5.1191298216097803E-3</v>
      </c>
      <c r="XEW1487" s="221">
        <v>7261.0600590000004</v>
      </c>
      <c r="XEX1487" s="198">
        <f t="shared" si="196"/>
        <v>6.8333026616398396E-3</v>
      </c>
    </row>
    <row r="1488" spans="16374:16378" x14ac:dyDescent="0.2">
      <c r="XET1488" s="220">
        <v>43116</v>
      </c>
      <c r="XEU1488" s="221">
        <v>22.670667999999999</v>
      </c>
      <c r="XEV1488" s="198">
        <f t="shared" si="195"/>
        <v>1.1421137775546653E-2</v>
      </c>
      <c r="XEW1488" s="221">
        <v>7223.6899409999996</v>
      </c>
      <c r="XEX1488" s="198">
        <f t="shared" si="196"/>
        <v>-5.1466476928091476E-3</v>
      </c>
    </row>
    <row r="1489" spans="16374:16378" x14ac:dyDescent="0.2">
      <c r="XET1489" s="220">
        <v>43117</v>
      </c>
      <c r="XEU1489" s="221">
        <v>23.143999000000001</v>
      </c>
      <c r="XEV1489" s="198">
        <f t="shared" si="195"/>
        <v>2.0878564319322335E-2</v>
      </c>
      <c r="XEW1489" s="221">
        <v>7298.2797849999997</v>
      </c>
      <c r="XEX1489" s="198">
        <f t="shared" si="196"/>
        <v>1.0325726132934587E-2</v>
      </c>
    </row>
    <row r="1490" spans="16374:16378" x14ac:dyDescent="0.2">
      <c r="XET1490" s="220">
        <v>43118</v>
      </c>
      <c r="XEU1490" s="221">
        <v>22.971333000000001</v>
      </c>
      <c r="XEV1490" s="198">
        <f t="shared" si="195"/>
        <v>-7.4605084454073545E-3</v>
      </c>
      <c r="XEW1490" s="221">
        <v>7296.0498049999997</v>
      </c>
      <c r="XEX1490" s="198">
        <f t="shared" si="196"/>
        <v>-3.0554871362742375E-4</v>
      </c>
    </row>
    <row r="1491" spans="16374:16378" x14ac:dyDescent="0.2">
      <c r="XET1491" s="220">
        <v>43119</v>
      </c>
      <c r="XEU1491" s="221">
        <v>23.334667</v>
      </c>
      <c r="XEV1491" s="198">
        <f t="shared" si="195"/>
        <v>1.5816844412120057E-2</v>
      </c>
      <c r="XEW1491" s="221">
        <v>7336.3798829999996</v>
      </c>
      <c r="XEX1491" s="198">
        <f t="shared" si="196"/>
        <v>5.5276593605984026E-3</v>
      </c>
    </row>
    <row r="1492" spans="16374:16378" x14ac:dyDescent="0.2">
      <c r="XET1492" s="220">
        <v>43122</v>
      </c>
      <c r="XEU1492" s="221">
        <v>23.437332000000001</v>
      </c>
      <c r="XEV1492" s="198">
        <f t="shared" si="195"/>
        <v>4.3996770984562339E-3</v>
      </c>
      <c r="XEW1492" s="221">
        <v>7408.0297849999997</v>
      </c>
      <c r="XEX1492" s="198">
        <f t="shared" si="196"/>
        <v>9.7663838490735788E-3</v>
      </c>
    </row>
    <row r="1493" spans="16374:16378" x14ac:dyDescent="0.2">
      <c r="XET1493" s="220">
        <v>43123</v>
      </c>
      <c r="XEU1493" s="221">
        <v>23.519333</v>
      </c>
      <c r="XEV1493" s="198">
        <f t="shared" si="195"/>
        <v>3.4987344122614505E-3</v>
      </c>
      <c r="XEW1493" s="221">
        <v>7460.2900390000004</v>
      </c>
      <c r="XEX1493" s="198">
        <f t="shared" si="196"/>
        <v>7.0545415605400841E-3</v>
      </c>
    </row>
    <row r="1494" spans="16374:16378" x14ac:dyDescent="0.2">
      <c r="XET1494" s="220">
        <v>43124</v>
      </c>
      <c r="XEU1494" s="221">
        <v>23.059334</v>
      </c>
      <c r="XEV1494" s="198">
        <f t="shared" si="195"/>
        <v>-1.9558335264014515E-2</v>
      </c>
      <c r="XEW1494" s="221">
        <v>7415.0600590000004</v>
      </c>
      <c r="XEX1494" s="198">
        <f t="shared" si="196"/>
        <v>-6.0627642844383045E-3</v>
      </c>
    </row>
    <row r="1495" spans="16374:16378" x14ac:dyDescent="0.2">
      <c r="XET1495" s="220">
        <v>43125</v>
      </c>
      <c r="XEU1495" s="221">
        <v>22.509333000000002</v>
      </c>
      <c r="XEV1495" s="198">
        <f t="shared" si="195"/>
        <v>-2.385155616376422E-2</v>
      </c>
      <c r="XEW1495" s="221">
        <v>7411.1601559999999</v>
      </c>
      <c r="XEX1495" s="198">
        <f t="shared" si="196"/>
        <v>-5.2594354853097158E-4</v>
      </c>
    </row>
    <row r="1496" spans="16374:16378" x14ac:dyDescent="0.2">
      <c r="XET1496" s="220">
        <v>43126</v>
      </c>
      <c r="XEU1496" s="221">
        <v>22.856667000000002</v>
      </c>
      <c r="XEV1496" s="198">
        <f t="shared" si="195"/>
        <v>1.5430666026398976E-2</v>
      </c>
      <c r="XEW1496" s="221">
        <v>7505.7700199999999</v>
      </c>
      <c r="XEX1496" s="198">
        <f t="shared" si="196"/>
        <v>1.2765864184355102E-2</v>
      </c>
    </row>
    <row r="1497" spans="16374:16378" x14ac:dyDescent="0.2">
      <c r="XET1497" s="220">
        <v>43129</v>
      </c>
      <c r="XEU1497" s="221">
        <v>23.302</v>
      </c>
      <c r="XEV1497" s="198">
        <f t="shared" si="195"/>
        <v>1.9483724376786693E-2</v>
      </c>
      <c r="XEW1497" s="221">
        <v>7466.5097660000001</v>
      </c>
      <c r="XEX1497" s="198">
        <f t="shared" si="196"/>
        <v>-5.2306763856854177E-3</v>
      </c>
    </row>
    <row r="1498" spans="16374:16378" x14ac:dyDescent="0.2">
      <c r="XET1498" s="220">
        <v>43130</v>
      </c>
      <c r="XEU1498" s="221">
        <v>23.054666999999998</v>
      </c>
      <c r="XEV1498" s="198">
        <f t="shared" si="195"/>
        <v>-1.0614239121105484E-2</v>
      </c>
      <c r="XEW1498" s="221">
        <v>7402.4799800000001</v>
      </c>
      <c r="XEX1498" s="198">
        <f t="shared" si="196"/>
        <v>-8.5755979710320229E-3</v>
      </c>
    </row>
    <row r="1499" spans="16374:16378" x14ac:dyDescent="0.2">
      <c r="XET1499" s="220">
        <v>43131</v>
      </c>
      <c r="XEU1499" s="221">
        <v>23.620667000000001</v>
      </c>
      <c r="XEV1499" s="198">
        <f t="shared" si="195"/>
        <v>2.4550343754694115E-2</v>
      </c>
      <c r="XEW1499" s="221">
        <v>7411.4799800000001</v>
      </c>
      <c r="XEX1499" s="198">
        <f t="shared" si="196"/>
        <v>1.215808759269299E-3</v>
      </c>
    </row>
    <row r="1500" spans="16374:16378" x14ac:dyDescent="0.2">
      <c r="XET1500" s="220">
        <v>43132</v>
      </c>
      <c r="XEU1500" s="221">
        <v>23.283332999999999</v>
      </c>
      <c r="XEV1500" s="198">
        <f t="shared" si="195"/>
        <v>-1.4281307128202636E-2</v>
      </c>
      <c r="XEW1500" s="221">
        <v>7385.8598629999997</v>
      </c>
      <c r="XEX1500" s="198">
        <f t="shared" si="196"/>
        <v>-3.4568152473104519E-3</v>
      </c>
    </row>
    <row r="1501" spans="16374:16378" x14ac:dyDescent="0.2">
      <c r="XET1501" s="220">
        <v>43133</v>
      </c>
      <c r="XEU1501" s="221">
        <v>22.916668000000001</v>
      </c>
      <c r="XEV1501" s="198">
        <f t="shared" si="195"/>
        <v>-1.5747960139555484E-2</v>
      </c>
      <c r="XEW1501" s="221">
        <v>7240.9501950000003</v>
      </c>
      <c r="XEX1501" s="198">
        <f t="shared" si="196"/>
        <v>-1.961987780541774E-2</v>
      </c>
    </row>
    <row r="1502" spans="16374:16378" x14ac:dyDescent="0.2">
      <c r="XET1502" s="220">
        <v>43136</v>
      </c>
      <c r="XEU1502" s="221">
        <v>22.208667999999999</v>
      </c>
      <c r="XEV1502" s="198">
        <f t="shared" si="195"/>
        <v>-3.0894543657044804E-2</v>
      </c>
      <c r="XEW1502" s="221">
        <v>6967.5297849999997</v>
      </c>
      <c r="XEX1502" s="198">
        <f t="shared" si="196"/>
        <v>-3.7760294248233017E-2</v>
      </c>
    </row>
    <row r="1503" spans="16374:16378" x14ac:dyDescent="0.2">
      <c r="XET1503" s="220">
        <v>43137</v>
      </c>
      <c r="XEU1503" s="221">
        <v>22.264668</v>
      </c>
      <c r="XEV1503" s="198">
        <f t="shared" si="195"/>
        <v>2.5215379868797072E-3</v>
      </c>
      <c r="XEW1503" s="221">
        <v>7115.8798829999996</v>
      </c>
      <c r="XEX1503" s="198">
        <f t="shared" si="196"/>
        <v>2.1291634564573281E-2</v>
      </c>
    </row>
    <row r="1504" spans="16374:16378" x14ac:dyDescent="0.2">
      <c r="XET1504" s="220">
        <v>43138</v>
      </c>
      <c r="XEU1504" s="221">
        <v>23</v>
      </c>
      <c r="XEV1504" s="198">
        <f t="shared" si="195"/>
        <v>3.3026856722049525E-2</v>
      </c>
      <c r="XEW1504" s="221">
        <v>7051.9799800000001</v>
      </c>
      <c r="XEX1504" s="198">
        <f t="shared" si="196"/>
        <v>-8.9799018604371783E-3</v>
      </c>
    </row>
    <row r="1505" spans="16374:16378" x14ac:dyDescent="0.2">
      <c r="XET1505" s="220">
        <v>43139</v>
      </c>
      <c r="XEU1505" s="221">
        <v>21.015332999999998</v>
      </c>
      <c r="XEV1505" s="198">
        <f t="shared" si="195"/>
        <v>-8.6289869565217447E-2</v>
      </c>
      <c r="XEW1505" s="221">
        <v>6777.1601559999999</v>
      </c>
      <c r="XEX1505" s="198">
        <f t="shared" si="196"/>
        <v>-3.8970590497904412E-2</v>
      </c>
    </row>
    <row r="1506" spans="16374:16378" x14ac:dyDescent="0.2">
      <c r="XET1506" s="220">
        <v>43140</v>
      </c>
      <c r="XEU1506" s="221">
        <v>20.694668</v>
      </c>
      <c r="XEV1506" s="198">
        <f t="shared" si="195"/>
        <v>-1.5258620931678735E-2</v>
      </c>
      <c r="XEW1506" s="221">
        <v>6874.4902339999999</v>
      </c>
      <c r="XEX1506" s="198">
        <f t="shared" si="196"/>
        <v>1.4361484126036439E-2</v>
      </c>
    </row>
    <row r="1507" spans="16374:16378" x14ac:dyDescent="0.2">
      <c r="XET1507" s="220">
        <v>43143</v>
      </c>
      <c r="XEU1507" s="221">
        <v>21.048667999999999</v>
      </c>
      <c r="XEV1507" s="198">
        <f t="shared" si="195"/>
        <v>1.7105855479295329E-2</v>
      </c>
      <c r="XEW1507" s="221">
        <v>6981.9599609999996</v>
      </c>
      <c r="XEX1507" s="198">
        <f t="shared" si="196"/>
        <v>1.5633119452039379E-2</v>
      </c>
    </row>
    <row r="1508" spans="16374:16378" x14ac:dyDescent="0.2">
      <c r="XET1508" s="220">
        <v>43144</v>
      </c>
      <c r="XEU1508" s="221">
        <v>21.577332999999999</v>
      </c>
      <c r="XEV1508" s="198">
        <f t="shared" si="195"/>
        <v>2.5116316148841245E-2</v>
      </c>
      <c r="XEW1508" s="221">
        <v>7013.5097660000001</v>
      </c>
      <c r="XEX1508" s="198">
        <f t="shared" si="196"/>
        <v>4.5187605165644129E-3</v>
      </c>
    </row>
    <row r="1509" spans="16374:16378" x14ac:dyDescent="0.2">
      <c r="XET1509" s="220">
        <v>43145</v>
      </c>
      <c r="XEU1509" s="221">
        <v>21.487333</v>
      </c>
      <c r="XEV1509" s="198">
        <f t="shared" si="195"/>
        <v>-4.1710437522560762E-3</v>
      </c>
      <c r="XEW1509" s="221">
        <v>7143.6201170000004</v>
      </c>
      <c r="XEX1509" s="198">
        <f t="shared" si="196"/>
        <v>1.8551389438530075E-2</v>
      </c>
    </row>
    <row r="1510" spans="16374:16378" x14ac:dyDescent="0.2">
      <c r="XET1510" s="220">
        <v>43146</v>
      </c>
      <c r="XEU1510" s="221">
        <v>22.271334</v>
      </c>
      <c r="XEV1510" s="198">
        <f t="shared" si="195"/>
        <v>3.6486659372756858E-2</v>
      </c>
      <c r="XEW1510" s="221">
        <v>7256.4301759999998</v>
      </c>
      <c r="XEX1510" s="198">
        <f t="shared" si="196"/>
        <v>1.5791721445481244E-2</v>
      </c>
    </row>
    <row r="1511" spans="16374:16378" x14ac:dyDescent="0.2">
      <c r="XET1511" s="220">
        <v>43147</v>
      </c>
      <c r="XEU1511" s="221">
        <v>22.365998999999999</v>
      </c>
      <c r="XEV1511" s="198">
        <f t="shared" si="195"/>
        <v>4.2505311985352456E-3</v>
      </c>
      <c r="XEW1511" s="221">
        <v>7239.4702150000003</v>
      </c>
      <c r="XEX1511" s="198">
        <f t="shared" si="196"/>
        <v>-2.3372320257546431E-3</v>
      </c>
    </row>
    <row r="1512" spans="16374:16378" x14ac:dyDescent="0.2">
      <c r="XET1512" s="220">
        <v>43151</v>
      </c>
      <c r="XEU1512" s="221">
        <v>22.318000999999999</v>
      </c>
      <c r="XEV1512" s="198">
        <f t="shared" si="195"/>
        <v>-2.1460253127972839E-3</v>
      </c>
      <c r="XEW1512" s="221">
        <v>7234.3100590000004</v>
      </c>
      <c r="XEX1512" s="198">
        <f t="shared" si="196"/>
        <v>-7.1278088682624752E-4</v>
      </c>
    </row>
    <row r="1513" spans="16374:16378" x14ac:dyDescent="0.2">
      <c r="XET1513" s="220">
        <v>43152</v>
      </c>
      <c r="XEU1513" s="221">
        <v>22.219999000000001</v>
      </c>
      <c r="XEV1513" s="198">
        <f t="shared" si="195"/>
        <v>-4.3911638860486546E-3</v>
      </c>
      <c r="XEW1513" s="221">
        <v>7218.2299800000001</v>
      </c>
      <c r="XEX1513" s="198">
        <f t="shared" si="196"/>
        <v>-2.2227522554131296E-3</v>
      </c>
    </row>
    <row r="1514" spans="16374:16378" x14ac:dyDescent="0.2">
      <c r="XET1514" s="220">
        <v>43153</v>
      </c>
      <c r="XEU1514" s="221">
        <v>23.077998999999998</v>
      </c>
      <c r="XEV1514" s="198">
        <f t="shared" si="195"/>
        <v>3.861386312393611E-2</v>
      </c>
      <c r="XEW1514" s="221">
        <v>7210.0898440000001</v>
      </c>
      <c r="XEX1514" s="198">
        <f t="shared" si="196"/>
        <v>-1.1277191254025487E-3</v>
      </c>
    </row>
    <row r="1515" spans="16374:16378" x14ac:dyDescent="0.2">
      <c r="XET1515" s="220">
        <v>43154</v>
      </c>
      <c r="XEU1515" s="221">
        <v>23.469999000000001</v>
      </c>
      <c r="XEV1515" s="198">
        <f t="shared" si="195"/>
        <v>1.6985874728567385E-2</v>
      </c>
      <c r="XEW1515" s="221">
        <v>7337.3901370000003</v>
      </c>
      <c r="XEX1515" s="198">
        <f t="shared" si="196"/>
        <v>1.7655853915043096E-2</v>
      </c>
    </row>
    <row r="1516" spans="16374:16378" x14ac:dyDescent="0.2">
      <c r="XET1516" s="220">
        <v>43157</v>
      </c>
      <c r="XEU1516" s="221">
        <v>23.827998999999998</v>
      </c>
      <c r="XEV1516" s="198">
        <f t="shared" si="195"/>
        <v>1.525351577560774E-2</v>
      </c>
      <c r="XEW1516" s="221">
        <v>7421.4599609999996</v>
      </c>
      <c r="XEX1516" s="198">
        <f t="shared" si="196"/>
        <v>1.1457728487962449E-2</v>
      </c>
    </row>
    <row r="1517" spans="16374:16378" x14ac:dyDescent="0.2">
      <c r="XET1517" s="220">
        <v>43158</v>
      </c>
      <c r="XEU1517" s="221">
        <v>23.399332000000001</v>
      </c>
      <c r="XEV1517" s="198">
        <f t="shared" si="195"/>
        <v>-1.7990054473310924E-2</v>
      </c>
      <c r="XEW1517" s="221">
        <v>7330.3500979999999</v>
      </c>
      <c r="XEX1517" s="198">
        <f t="shared" si="196"/>
        <v>-1.2276541742296643E-2</v>
      </c>
    </row>
    <row r="1518" spans="16374:16378" x14ac:dyDescent="0.2">
      <c r="XET1518" s="220">
        <v>43159</v>
      </c>
      <c r="XEU1518" s="221">
        <v>22.870667000000001</v>
      </c>
      <c r="XEV1518" s="198">
        <f t="shared" si="195"/>
        <v>-2.2593166334833881E-2</v>
      </c>
      <c r="XEW1518" s="221">
        <v>7273.0097660000001</v>
      </c>
      <c r="XEX1518" s="198">
        <f t="shared" si="196"/>
        <v>-7.8223183386076922E-3</v>
      </c>
    </row>
    <row r="1519" spans="16374:16378" x14ac:dyDescent="0.2">
      <c r="XET1519" s="220">
        <v>43160</v>
      </c>
      <c r="XEU1519" s="221">
        <v>22.062000000000001</v>
      </c>
      <c r="XEV1519" s="198">
        <f t="shared" si="195"/>
        <v>-3.5358260430270794E-2</v>
      </c>
      <c r="XEW1519" s="221">
        <v>7180.5600590000004</v>
      </c>
      <c r="XEX1519" s="198">
        <f t="shared" si="196"/>
        <v>-1.2711340968107221E-2</v>
      </c>
    </row>
    <row r="1520" spans="16374:16378" x14ac:dyDescent="0.2">
      <c r="XET1520" s="220">
        <v>43161</v>
      </c>
      <c r="XEU1520" s="221">
        <v>22.341332999999999</v>
      </c>
      <c r="XEV1520" s="198">
        <f t="shared" si="195"/>
        <v>1.2661272776720134E-2</v>
      </c>
      <c r="XEW1520" s="221">
        <v>7257.8701170000004</v>
      </c>
      <c r="XEX1520" s="198">
        <f t="shared" si="196"/>
        <v>1.0766577727192805E-2</v>
      </c>
    </row>
    <row r="1521" spans="16374:16378" x14ac:dyDescent="0.2">
      <c r="XET1521" s="220">
        <v>43164</v>
      </c>
      <c r="XEU1521" s="221">
        <v>22.223333</v>
      </c>
      <c r="XEV1521" s="198">
        <f t="shared" si="195"/>
        <v>-5.281690219647972E-3</v>
      </c>
      <c r="XEW1521" s="221">
        <v>7330.7099609999996</v>
      </c>
      <c r="XEX1521" s="198">
        <f t="shared" si="196"/>
        <v>1.0035980642500997E-2</v>
      </c>
    </row>
    <row r="1522" spans="16374:16378" x14ac:dyDescent="0.2">
      <c r="XET1522" s="220">
        <v>43165</v>
      </c>
      <c r="XEU1522" s="221">
        <v>21.879999000000002</v>
      </c>
      <c r="XEV1522" s="198">
        <f t="shared" si="195"/>
        <v>-1.5449257768850311E-2</v>
      </c>
      <c r="XEW1522" s="221">
        <v>7372.0097660000001</v>
      </c>
      <c r="XEX1522" s="198">
        <f t="shared" si="196"/>
        <v>5.6338069872794438E-3</v>
      </c>
    </row>
    <row r="1523" spans="16374:16378" x14ac:dyDescent="0.2">
      <c r="XET1523" s="220">
        <v>43166</v>
      </c>
      <c r="XEU1523" s="221">
        <v>22.153334000000001</v>
      </c>
      <c r="XEV1523" s="198">
        <f t="shared" si="195"/>
        <v>1.2492459437498216E-2</v>
      </c>
      <c r="XEW1523" s="221">
        <v>7396.6499020000001</v>
      </c>
      <c r="XEX1523" s="198">
        <f t="shared" si="196"/>
        <v>3.3423905803329212E-3</v>
      </c>
    </row>
    <row r="1524" spans="16374:16378" x14ac:dyDescent="0.2">
      <c r="XET1524" s="220">
        <v>43167</v>
      </c>
      <c r="XEU1524" s="221">
        <v>21.940000999999999</v>
      </c>
      <c r="XEV1524" s="198">
        <f t="shared" si="195"/>
        <v>-9.6298372064449467E-3</v>
      </c>
      <c r="XEW1524" s="221">
        <v>7427.9501950000003</v>
      </c>
      <c r="XEX1524" s="198">
        <f t="shared" si="196"/>
        <v>4.2316850756363156E-3</v>
      </c>
    </row>
    <row r="1525" spans="16374:16378" x14ac:dyDescent="0.2">
      <c r="XET1525" s="220">
        <v>43168</v>
      </c>
      <c r="XEU1525" s="221">
        <v>21.811333000000001</v>
      </c>
      <c r="XEV1525" s="198">
        <f t="shared" si="195"/>
        <v>-5.8645393863016038E-3</v>
      </c>
      <c r="XEW1525" s="221">
        <v>7560.8100590000004</v>
      </c>
      <c r="XEX1525" s="198">
        <f t="shared" si="196"/>
        <v>1.788647749542438E-2</v>
      </c>
    </row>
    <row r="1526" spans="16374:16378" x14ac:dyDescent="0.2">
      <c r="XET1526" s="220">
        <v>43171</v>
      </c>
      <c r="XEU1526" s="221">
        <v>23.033999999999999</v>
      </c>
      <c r="XEV1526" s="198">
        <f t="shared" si="195"/>
        <v>5.6056500535753395E-2</v>
      </c>
      <c r="XEW1526" s="221">
        <v>7588.3198240000002</v>
      </c>
      <c r="XEX1526" s="198">
        <f t="shared" si="196"/>
        <v>3.6384679399865671E-3</v>
      </c>
    </row>
    <row r="1527" spans="16374:16378" x14ac:dyDescent="0.2">
      <c r="XET1527" s="220">
        <v>43172</v>
      </c>
      <c r="XEU1527" s="221">
        <v>22.789332999999999</v>
      </c>
      <c r="XEV1527" s="198">
        <f t="shared" si="195"/>
        <v>-1.0621993574715605E-2</v>
      </c>
      <c r="XEW1527" s="221">
        <v>7511.0097660000001</v>
      </c>
      <c r="XEX1527" s="198">
        <f t="shared" si="196"/>
        <v>-1.0188033687706155E-2</v>
      </c>
    </row>
    <row r="1528" spans="16374:16378" x14ac:dyDescent="0.2">
      <c r="XET1528" s="220">
        <v>43173</v>
      </c>
      <c r="XEU1528" s="221">
        <v>21.775333</v>
      </c>
      <c r="XEV1528" s="198">
        <f t="shared" si="195"/>
        <v>-4.4494501001850262E-2</v>
      </c>
      <c r="XEW1528" s="221">
        <v>7496.8100590000004</v>
      </c>
      <c r="XEX1528" s="198">
        <f t="shared" si="196"/>
        <v>-1.8905190436946384E-3</v>
      </c>
    </row>
    <row r="1529" spans="16374:16378" x14ac:dyDescent="0.2">
      <c r="XET1529" s="220">
        <v>43174</v>
      </c>
      <c r="XEU1529" s="221">
        <v>21.706666999999999</v>
      </c>
      <c r="XEV1529" s="198">
        <f t="shared" si="195"/>
        <v>-3.1533846118450004E-3</v>
      </c>
      <c r="XEW1529" s="221">
        <v>7481.7402339999999</v>
      </c>
      <c r="XEX1529" s="198">
        <f t="shared" si="196"/>
        <v>-2.0101649743559102E-3</v>
      </c>
    </row>
    <row r="1530" spans="16374:16378" x14ac:dyDescent="0.2">
      <c r="XET1530" s="220">
        <v>43175</v>
      </c>
      <c r="XEU1530" s="221">
        <v>21.423331999999998</v>
      </c>
      <c r="XEV1530" s="198">
        <f t="shared" si="195"/>
        <v>-1.3052902133708577E-2</v>
      </c>
      <c r="XEW1530" s="221">
        <v>7481.9902339999999</v>
      </c>
      <c r="XEX1530" s="198">
        <f t="shared" si="196"/>
        <v>3.3414685912669384E-5</v>
      </c>
    </row>
    <row r="1531" spans="16374:16378" x14ac:dyDescent="0.2">
      <c r="XET1531" s="220">
        <v>43178</v>
      </c>
      <c r="XEU1531" s="221">
        <v>20.903998999999999</v>
      </c>
      <c r="XEV1531" s="198">
        <f t="shared" si="195"/>
        <v>-2.4241467200340261E-2</v>
      </c>
      <c r="XEW1531" s="221">
        <v>7344.2402339999999</v>
      </c>
      <c r="XEX1531" s="198">
        <f t="shared" si="196"/>
        <v>-1.8410876744269222E-2</v>
      </c>
    </row>
    <row r="1532" spans="16374:16378" x14ac:dyDescent="0.2">
      <c r="XET1532" s="220">
        <v>43179</v>
      </c>
      <c r="XEU1532" s="221">
        <v>20.703333000000001</v>
      </c>
      <c r="XEV1532" s="198">
        <f t="shared" si="195"/>
        <v>-9.5994072713071477E-3</v>
      </c>
      <c r="XEW1532" s="221">
        <v>7364.2998049999997</v>
      </c>
      <c r="XEX1532" s="198">
        <f t="shared" si="196"/>
        <v>2.7313337201491095E-3</v>
      </c>
    </row>
    <row r="1533" spans="16374:16378" x14ac:dyDescent="0.2">
      <c r="XET1533" s="220">
        <v>43180</v>
      </c>
      <c r="XEU1533" s="221">
        <v>21.101998999999999</v>
      </c>
      <c r="XEV1533" s="198">
        <f t="shared" si="195"/>
        <v>1.9256126537693152E-2</v>
      </c>
      <c r="XEW1533" s="221">
        <v>7345.2900390000004</v>
      </c>
      <c r="XEX1533" s="198">
        <f t="shared" si="196"/>
        <v>-2.5813405895143138E-3</v>
      </c>
    </row>
    <row r="1534" spans="16374:16378" x14ac:dyDescent="0.2">
      <c r="XET1534" s="220">
        <v>43181</v>
      </c>
      <c r="XEU1534" s="221">
        <v>20.606667000000002</v>
      </c>
      <c r="XEV1534" s="198">
        <f t="shared" si="195"/>
        <v>-2.3473226399072344E-2</v>
      </c>
      <c r="XEW1534" s="221">
        <v>7166.6801759999998</v>
      </c>
      <c r="XEX1534" s="198">
        <f t="shared" si="196"/>
        <v>-2.4316243749622823E-2</v>
      </c>
    </row>
    <row r="1535" spans="16374:16378" x14ac:dyDescent="0.2">
      <c r="XET1535" s="220">
        <v>43182</v>
      </c>
      <c r="XEU1535" s="221">
        <v>20.102667</v>
      </c>
      <c r="XEV1535" s="198">
        <f t="shared" si="195"/>
        <v>-2.4458103777772577E-2</v>
      </c>
      <c r="XEW1535" s="221">
        <v>6992.669922</v>
      </c>
      <c r="XEX1535" s="198">
        <f t="shared" si="196"/>
        <v>-2.4280454788917605E-2</v>
      </c>
    </row>
    <row r="1536" spans="16374:16378" x14ac:dyDescent="0.2">
      <c r="XET1536" s="220">
        <v>43185</v>
      </c>
      <c r="XEU1536" s="221">
        <v>20.278666999999999</v>
      </c>
      <c r="XEV1536" s="198">
        <f t="shared" si="195"/>
        <v>8.7550572269838867E-3</v>
      </c>
      <c r="XEW1536" s="221">
        <v>7220.5400390000004</v>
      </c>
      <c r="XEX1536" s="198">
        <f t="shared" si="196"/>
        <v>3.2586997461883094E-2</v>
      </c>
    </row>
    <row r="1537" spans="16374:16378" x14ac:dyDescent="0.2">
      <c r="XET1537" s="220">
        <v>43186</v>
      </c>
      <c r="XEU1537" s="221">
        <v>18.611999999999998</v>
      </c>
      <c r="XEV1537" s="198">
        <f t="shared" si="195"/>
        <v>-8.2188193139124954E-2</v>
      </c>
      <c r="XEW1537" s="221">
        <v>7008.8100590000004</v>
      </c>
      <c r="XEX1537" s="198">
        <f t="shared" si="196"/>
        <v>-2.932328868151024E-2</v>
      </c>
    </row>
    <row r="1538" spans="16374:16378" x14ac:dyDescent="0.2">
      <c r="XET1538" s="220">
        <v>43187</v>
      </c>
      <c r="XEU1538" s="221">
        <v>17.185333</v>
      </c>
      <c r="XEV1538" s="198">
        <f t="shared" si="195"/>
        <v>-7.6653073286051976E-2</v>
      </c>
      <c r="XEW1538" s="221">
        <v>6949.2299800000001</v>
      </c>
      <c r="XEX1538" s="198">
        <f t="shared" si="196"/>
        <v>-8.5007409957548186E-3</v>
      </c>
    </row>
    <row r="1539" spans="16374:16378" x14ac:dyDescent="0.2">
      <c r="XET1539" s="220">
        <v>43188</v>
      </c>
      <c r="XEU1539" s="221">
        <v>17.742000999999998</v>
      </c>
      <c r="XEV1539" s="198">
        <f t="shared" si="195"/>
        <v>3.2392040352083873E-2</v>
      </c>
      <c r="XEW1539" s="221">
        <v>7063.4501950000003</v>
      </c>
      <c r="XEX1539" s="198">
        <f t="shared" si="196"/>
        <v>1.6436384366142365E-2</v>
      </c>
    </row>
    <row r="1540" spans="16374:16378" x14ac:dyDescent="0.2">
      <c r="XET1540" s="220">
        <v>43192</v>
      </c>
      <c r="XEU1540" s="221">
        <v>16.832001000000002</v>
      </c>
      <c r="XEV1540" s="198">
        <f t="shared" si="195"/>
        <v>-5.1290719688269482E-2</v>
      </c>
      <c r="XEW1540" s="221">
        <v>6870.1201170000004</v>
      </c>
      <c r="XEX1540" s="198">
        <f t="shared" si="196"/>
        <v>-2.737048788662122E-2</v>
      </c>
    </row>
    <row r="1541" spans="16374:16378" x14ac:dyDescent="0.2">
      <c r="XET1541" s="220">
        <v>43193</v>
      </c>
      <c r="XEU1541" s="221">
        <v>17.835332999999999</v>
      </c>
      <c r="XEV1541" s="198">
        <f t="shared" si="195"/>
        <v>5.9608599120211325E-2</v>
      </c>
      <c r="XEW1541" s="221">
        <v>6941.2797849999997</v>
      </c>
      <c r="XEX1541" s="198">
        <f t="shared" si="196"/>
        <v>1.0357849177034861E-2</v>
      </c>
    </row>
    <row r="1542" spans="16374:16378" x14ac:dyDescent="0.2">
      <c r="XET1542" s="220">
        <v>43194</v>
      </c>
      <c r="XEU1542" s="221">
        <v>19.129332999999999</v>
      </c>
      <c r="XEV1542" s="198">
        <f t="shared" si="195"/>
        <v>7.2552612278111051E-2</v>
      </c>
      <c r="XEW1542" s="221">
        <v>7042.1098629999997</v>
      </c>
      <c r="XEX1542" s="198">
        <f t="shared" si="196"/>
        <v>1.4526150958198203E-2</v>
      </c>
    </row>
    <row r="1543" spans="16374:16378" x14ac:dyDescent="0.2">
      <c r="XET1543" s="220">
        <v>43195</v>
      </c>
      <c r="XEU1543" s="221">
        <v>20.381332</v>
      </c>
      <c r="XEV1543" s="198">
        <f t="shared" si="195"/>
        <v>6.5449171698772846E-2</v>
      </c>
      <c r="XEW1543" s="221">
        <v>7076.5498049999997</v>
      </c>
      <c r="XEX1543" s="198">
        <f t="shared" si="196"/>
        <v>4.8905715289888629E-3</v>
      </c>
    </row>
    <row r="1544" spans="16374:16378" x14ac:dyDescent="0.2">
      <c r="XET1544" s="220">
        <v>43196</v>
      </c>
      <c r="XEU1544" s="221">
        <v>19.953333000000001</v>
      </c>
      <c r="XEV1544" s="198">
        <f t="shared" si="195"/>
        <v>-2.0999559793246081E-2</v>
      </c>
      <c r="XEW1544" s="221">
        <v>6915.1098629999997</v>
      </c>
      <c r="XEX1544" s="198">
        <f t="shared" si="196"/>
        <v>-2.2813369007299689E-2</v>
      </c>
    </row>
    <row r="1545" spans="16374:16378" x14ac:dyDescent="0.2">
      <c r="XET1545" s="220">
        <v>43199</v>
      </c>
      <c r="XEU1545" s="221">
        <v>19.310666999999999</v>
      </c>
      <c r="XEV1545" s="198">
        <f t="shared" si="195"/>
        <v>-3.2208453595196418E-2</v>
      </c>
      <c r="XEW1545" s="221">
        <v>6950.3398440000001</v>
      </c>
      <c r="XEX1545" s="198">
        <f t="shared" si="196"/>
        <v>5.0946379302665434E-3</v>
      </c>
    </row>
    <row r="1546" spans="16374:16378" x14ac:dyDescent="0.2">
      <c r="XET1546" s="220">
        <v>43200</v>
      </c>
      <c r="XEU1546" s="221">
        <v>20.313334000000001</v>
      </c>
      <c r="XEV1546" s="198">
        <f t="shared" si="195"/>
        <v>5.192296050675016E-2</v>
      </c>
      <c r="XEW1546" s="221">
        <v>7094.2998049999997</v>
      </c>
      <c r="XEX1546" s="198">
        <f t="shared" si="196"/>
        <v>2.0712650637403796E-2</v>
      </c>
    </row>
    <row r="1547" spans="16374:16378" x14ac:dyDescent="0.2">
      <c r="XET1547" s="220">
        <v>43201</v>
      </c>
      <c r="XEU1547" s="221">
        <v>20.062000000000001</v>
      </c>
      <c r="XEV1547" s="198">
        <f t="shared" si="195"/>
        <v>-1.2372858143326004E-2</v>
      </c>
      <c r="XEW1547" s="221">
        <v>7069.0297849999997</v>
      </c>
      <c r="XEX1547" s="198">
        <f t="shared" si="196"/>
        <v>-3.5620174921547898E-3</v>
      </c>
    </row>
    <row r="1548" spans="16374:16378" x14ac:dyDescent="0.2">
      <c r="XET1548" s="220">
        <v>43202</v>
      </c>
      <c r="XEU1548" s="221">
        <v>19.605333000000002</v>
      </c>
      <c r="XEV1548" s="198">
        <f t="shared" ref="XEV1548:XEV1611" si="197">XEU1548/XEU1547-1</f>
        <v>-2.2762785365367355E-2</v>
      </c>
      <c r="XEW1548" s="221">
        <v>7140.25</v>
      </c>
      <c r="XEX1548" s="198">
        <f t="shared" ref="XEX1548:XEX1611" si="198">XEW1548/XEW1547-1</f>
        <v>1.0074963207981513E-2</v>
      </c>
    </row>
    <row r="1549" spans="16374:16378" x14ac:dyDescent="0.2">
      <c r="XET1549" s="220">
        <v>43203</v>
      </c>
      <c r="XEU1549" s="221">
        <v>20.022666999999998</v>
      </c>
      <c r="XEV1549" s="198">
        <f t="shared" si="197"/>
        <v>2.1286759067035366E-2</v>
      </c>
      <c r="XEW1549" s="221">
        <v>7106.6499020000001</v>
      </c>
      <c r="XEX1549" s="198">
        <f t="shared" si="198"/>
        <v>-4.7057313119288624E-3</v>
      </c>
    </row>
    <row r="1550" spans="16374:16378" x14ac:dyDescent="0.2">
      <c r="XET1550" s="220">
        <v>43206</v>
      </c>
      <c r="XEU1550" s="221">
        <v>19.414000000000001</v>
      </c>
      <c r="XEV1550" s="198">
        <f t="shared" si="197"/>
        <v>-3.0398897409620651E-2</v>
      </c>
      <c r="XEW1550" s="221">
        <v>7156.2797849999997</v>
      </c>
      <c r="XEX1550" s="198">
        <f t="shared" si="198"/>
        <v>6.9835835005791491E-3</v>
      </c>
    </row>
    <row r="1551" spans="16374:16378" x14ac:dyDescent="0.2">
      <c r="XET1551" s="220">
        <v>43207</v>
      </c>
      <c r="XEU1551" s="221">
        <v>19.179333</v>
      </c>
      <c r="XEV1551" s="198">
        <f t="shared" si="197"/>
        <v>-1.2087514165035618E-2</v>
      </c>
      <c r="XEW1551" s="221">
        <v>7281.1000979999999</v>
      </c>
      <c r="XEX1551" s="198">
        <f t="shared" si="198"/>
        <v>1.7442067212300794E-2</v>
      </c>
    </row>
    <row r="1552" spans="16374:16378" x14ac:dyDescent="0.2">
      <c r="XET1552" s="220">
        <v>43208</v>
      </c>
      <c r="XEU1552" s="221">
        <v>19.556667000000001</v>
      </c>
      <c r="XEV1552" s="198">
        <f t="shared" si="197"/>
        <v>1.9673989705481398E-2</v>
      </c>
      <c r="XEW1552" s="221">
        <v>7295.2402339999999</v>
      </c>
      <c r="XEX1552" s="198">
        <f t="shared" si="198"/>
        <v>1.9420329084451904E-3</v>
      </c>
    </row>
    <row r="1553" spans="16374:16378" x14ac:dyDescent="0.2">
      <c r="XET1553" s="220">
        <v>43209</v>
      </c>
      <c r="XEU1553" s="221">
        <v>20.005333</v>
      </c>
      <c r="XEV1553" s="198">
        <f t="shared" si="197"/>
        <v>2.2941843822364971E-2</v>
      </c>
      <c r="XEW1553" s="221">
        <v>7238.0600590000004</v>
      </c>
      <c r="XEX1553" s="198">
        <f t="shared" si="198"/>
        <v>-7.8380112464984109E-3</v>
      </c>
    </row>
    <row r="1554" spans="16374:16378" x14ac:dyDescent="0.2">
      <c r="XET1554" s="220">
        <v>43210</v>
      </c>
      <c r="XEU1554" s="221">
        <v>19.349333000000001</v>
      </c>
      <c r="XEV1554" s="198">
        <f t="shared" si="197"/>
        <v>-3.2791256211531117E-2</v>
      </c>
      <c r="XEW1554" s="221">
        <v>7146.1298829999996</v>
      </c>
      <c r="XEX1554" s="198">
        <f t="shared" si="198"/>
        <v>-1.2700941308948166E-2</v>
      </c>
    </row>
    <row r="1555" spans="16374:16378" x14ac:dyDescent="0.2">
      <c r="XET1555" s="220">
        <v>43213</v>
      </c>
      <c r="XEU1555" s="221">
        <v>18.891332999999999</v>
      </c>
      <c r="XEV1555" s="198">
        <f t="shared" si="197"/>
        <v>-2.3670066559917213E-2</v>
      </c>
      <c r="XEW1555" s="221">
        <v>7128.6000979999999</v>
      </c>
      <c r="XEX1555" s="198">
        <f t="shared" si="198"/>
        <v>-2.4530459545244465E-3</v>
      </c>
    </row>
    <row r="1556" spans="16374:16378" x14ac:dyDescent="0.2">
      <c r="XET1556" s="220">
        <v>43214</v>
      </c>
      <c r="XEU1556" s="221">
        <v>18.897333</v>
      </c>
      <c r="XEV1556" s="198">
        <f t="shared" si="197"/>
        <v>3.1760596248031625E-4</v>
      </c>
      <c r="XEW1556" s="221">
        <v>7007.3500979999999</v>
      </c>
      <c r="XEX1556" s="198">
        <f t="shared" si="198"/>
        <v>-1.7008949630098913E-2</v>
      </c>
    </row>
    <row r="1557" spans="16374:16378" x14ac:dyDescent="0.2">
      <c r="XET1557" s="220">
        <v>43215</v>
      </c>
      <c r="XEU1557" s="221">
        <v>18.712667</v>
      </c>
      <c r="XEV1557" s="198">
        <f t="shared" si="197"/>
        <v>-9.7720667778886661E-3</v>
      </c>
      <c r="XEW1557" s="221">
        <v>7003.7402339999999</v>
      </c>
      <c r="XEX1557" s="198">
        <f t="shared" si="198"/>
        <v>-5.1515393829548728E-4</v>
      </c>
    </row>
    <row r="1558" spans="16374:16378" x14ac:dyDescent="0.2">
      <c r="XET1558" s="220">
        <v>43216</v>
      </c>
      <c r="XEU1558" s="221">
        <v>19.032</v>
      </c>
      <c r="XEV1558" s="198">
        <f t="shared" si="197"/>
        <v>1.7065071483396865E-2</v>
      </c>
      <c r="XEW1558" s="221">
        <v>7118.6801759999998</v>
      </c>
      <c r="XEX1558" s="198">
        <f t="shared" si="198"/>
        <v>1.6411222883741194E-2</v>
      </c>
    </row>
    <row r="1559" spans="16374:16378" x14ac:dyDescent="0.2">
      <c r="XET1559" s="220">
        <v>43217</v>
      </c>
      <c r="XEU1559" s="221">
        <v>19.605333000000002</v>
      </c>
      <c r="XEV1559" s="198">
        <f t="shared" si="197"/>
        <v>3.0124684741488217E-2</v>
      </c>
      <c r="XEW1559" s="221">
        <v>7119.7998049999997</v>
      </c>
      <c r="XEX1559" s="198">
        <f t="shared" si="198"/>
        <v>1.5728041888651845E-4</v>
      </c>
    </row>
    <row r="1560" spans="16374:16378" x14ac:dyDescent="0.2">
      <c r="XET1560" s="220">
        <v>43220</v>
      </c>
      <c r="XEU1560" s="221">
        <v>19.593332</v>
      </c>
      <c r="XEV1560" s="198">
        <f t="shared" si="197"/>
        <v>-6.1212936296473064E-4</v>
      </c>
      <c r="XEW1560" s="221">
        <v>7066.2700199999999</v>
      </c>
      <c r="XEX1560" s="198">
        <f t="shared" si="198"/>
        <v>-7.5184396283737298E-3</v>
      </c>
    </row>
    <row r="1561" spans="16374:16378" x14ac:dyDescent="0.2">
      <c r="XET1561" s="220">
        <v>43221</v>
      </c>
      <c r="XEU1561" s="221">
        <v>19.994667</v>
      </c>
      <c r="XEV1561" s="198">
        <f t="shared" si="197"/>
        <v>2.0483243993415723E-2</v>
      </c>
      <c r="XEW1561" s="221">
        <v>7130.7001950000003</v>
      </c>
      <c r="XEX1561" s="198">
        <f t="shared" si="198"/>
        <v>9.1179893802020295E-3</v>
      </c>
    </row>
    <row r="1562" spans="16374:16378" x14ac:dyDescent="0.2">
      <c r="XET1562" s="220">
        <v>43222</v>
      </c>
      <c r="XEU1562" s="221">
        <v>20.076668000000002</v>
      </c>
      <c r="XEV1562" s="198">
        <f t="shared" si="197"/>
        <v>4.1011435699329635E-3</v>
      </c>
      <c r="XEW1562" s="221">
        <v>7100.8999020000001</v>
      </c>
      <c r="XEX1562" s="198">
        <f t="shared" si="198"/>
        <v>-4.1791538257205385E-3</v>
      </c>
    </row>
    <row r="1563" spans="16374:16378" x14ac:dyDescent="0.2">
      <c r="XET1563" s="220">
        <v>43223</v>
      </c>
      <c r="XEU1563" s="221">
        <v>18.963332999999999</v>
      </c>
      <c r="XEV1563" s="198">
        <f t="shared" si="197"/>
        <v>-5.5454171977142974E-2</v>
      </c>
      <c r="XEW1563" s="221">
        <v>7088.1499020000001</v>
      </c>
      <c r="XEX1563" s="198">
        <f t="shared" si="198"/>
        <v>-1.7955470681130237E-3</v>
      </c>
    </row>
    <row r="1564" spans="16374:16378" x14ac:dyDescent="0.2">
      <c r="XET1564" s="220">
        <v>43224</v>
      </c>
      <c r="XEU1564" s="221">
        <v>19.606000999999999</v>
      </c>
      <c r="XEV1564" s="198">
        <f t="shared" si="197"/>
        <v>3.3890033993496882E-2</v>
      </c>
      <c r="XEW1564" s="221">
        <v>7209.6201170000004</v>
      </c>
      <c r="XEX1564" s="198">
        <f t="shared" si="198"/>
        <v>1.7137083255776897E-2</v>
      </c>
    </row>
    <row r="1565" spans="16374:16378" x14ac:dyDescent="0.2">
      <c r="XET1565" s="220">
        <v>43227</v>
      </c>
      <c r="XEU1565" s="221">
        <v>20.184667999999999</v>
      </c>
      <c r="XEV1565" s="198">
        <f t="shared" si="197"/>
        <v>2.9514789884994785E-2</v>
      </c>
      <c r="XEW1565" s="221">
        <v>7265.2099609999996</v>
      </c>
      <c r="XEX1565" s="198">
        <f t="shared" si="198"/>
        <v>7.710509444030178E-3</v>
      </c>
    </row>
    <row r="1566" spans="16374:16378" x14ac:dyDescent="0.2">
      <c r="XET1566" s="220">
        <v>43228</v>
      </c>
      <c r="XEU1566" s="221">
        <v>20.131332</v>
      </c>
      <c r="XEV1566" s="198">
        <f t="shared" si="197"/>
        <v>-2.6424016486175095E-3</v>
      </c>
      <c r="XEW1566" s="221">
        <v>7266.8999020000001</v>
      </c>
      <c r="XEX1566" s="198">
        <f t="shared" si="198"/>
        <v>2.3260731748586672E-4</v>
      </c>
    </row>
    <row r="1567" spans="16374:16378" x14ac:dyDescent="0.2">
      <c r="XET1567" s="220">
        <v>43229</v>
      </c>
      <c r="XEU1567" s="221">
        <v>20.456666999999999</v>
      </c>
      <c r="XEV1567" s="198">
        <f t="shared" si="197"/>
        <v>1.6160629609605515E-2</v>
      </c>
      <c r="XEW1567" s="221">
        <v>7339.9101559999999</v>
      </c>
      <c r="XEX1567" s="198">
        <f t="shared" si="198"/>
        <v>1.0046960187232834E-2</v>
      </c>
    </row>
    <row r="1568" spans="16374:16378" x14ac:dyDescent="0.2">
      <c r="XET1568" s="220">
        <v>43230</v>
      </c>
      <c r="XEU1568" s="221">
        <v>20.334667</v>
      </c>
      <c r="XEV1568" s="198">
        <f t="shared" si="197"/>
        <v>-5.9638258764245222E-3</v>
      </c>
      <c r="XEW1568" s="221">
        <v>7404.9702150000003</v>
      </c>
      <c r="XEX1568" s="198">
        <f t="shared" si="198"/>
        <v>8.863876752880584E-3</v>
      </c>
    </row>
    <row r="1569" spans="16374:16378" x14ac:dyDescent="0.2">
      <c r="XET1569" s="220">
        <v>43231</v>
      </c>
      <c r="XEU1569" s="221">
        <v>20.070667</v>
      </c>
      <c r="XEV1569" s="198">
        <f t="shared" si="197"/>
        <v>-1.2982755016347158E-2</v>
      </c>
      <c r="XEW1569" s="221">
        <v>7402.8798829999996</v>
      </c>
      <c r="XEX1569" s="198">
        <f t="shared" si="198"/>
        <v>-2.822876985738576E-4</v>
      </c>
    </row>
    <row r="1570" spans="16374:16378" x14ac:dyDescent="0.2">
      <c r="XET1570" s="220">
        <v>43234</v>
      </c>
      <c r="XEU1570" s="221">
        <v>19.464666000000001</v>
      </c>
      <c r="XEV1570" s="198">
        <f t="shared" si="197"/>
        <v>-3.0193366269292365E-2</v>
      </c>
      <c r="XEW1570" s="221">
        <v>7411.3198240000002</v>
      </c>
      <c r="XEX1570" s="198">
        <f t="shared" si="198"/>
        <v>1.1400888753283489E-3</v>
      </c>
    </row>
    <row r="1571" spans="16374:16378" x14ac:dyDescent="0.2">
      <c r="XET1571" s="220">
        <v>43235</v>
      </c>
      <c r="XEU1571" s="221">
        <v>18.945333000000002</v>
      </c>
      <c r="XEV1571" s="198">
        <f t="shared" si="197"/>
        <v>-2.6680807161037268E-2</v>
      </c>
      <c r="XEW1571" s="221">
        <v>7351.6298829999996</v>
      </c>
      <c r="XEX1571" s="198">
        <f t="shared" si="198"/>
        <v>-8.0538881626329717E-3</v>
      </c>
    </row>
    <row r="1572" spans="16374:16378" x14ac:dyDescent="0.2">
      <c r="XET1572" s="220">
        <v>43236</v>
      </c>
      <c r="XEU1572" s="221">
        <v>19.098666999999999</v>
      </c>
      <c r="XEV1572" s="198">
        <f t="shared" si="197"/>
        <v>8.0934972217165946E-3</v>
      </c>
      <c r="XEW1572" s="221">
        <v>7398.2998049999997</v>
      </c>
      <c r="XEX1572" s="198">
        <f t="shared" si="198"/>
        <v>6.3482415114395341E-3</v>
      </c>
    </row>
    <row r="1573" spans="16374:16378" x14ac:dyDescent="0.2">
      <c r="XET1573" s="220">
        <v>43237</v>
      </c>
      <c r="XEU1573" s="221">
        <v>18.969334</v>
      </c>
      <c r="XEV1573" s="198">
        <f t="shared" si="197"/>
        <v>-6.7718338667299705E-3</v>
      </c>
      <c r="XEW1573" s="221">
        <v>7382.4702150000003</v>
      </c>
      <c r="XEX1573" s="198">
        <f t="shared" si="198"/>
        <v>-2.139625375724985E-3</v>
      </c>
    </row>
    <row r="1574" spans="16374:16378" x14ac:dyDescent="0.2">
      <c r="XET1574" s="220">
        <v>43238</v>
      </c>
      <c r="XEU1574" s="221">
        <v>18.454666</v>
      </c>
      <c r="XEV1574" s="198">
        <f t="shared" si="197"/>
        <v>-2.7131579843551745E-2</v>
      </c>
      <c r="XEW1574" s="221">
        <v>7354.3398440000001</v>
      </c>
      <c r="XEX1574" s="198">
        <f t="shared" si="198"/>
        <v>-3.8104279706870914E-3</v>
      </c>
    </row>
    <row r="1575" spans="16374:16378" x14ac:dyDescent="0.2">
      <c r="XET1575" s="220">
        <v>43241</v>
      </c>
      <c r="XEU1575" s="221">
        <v>18.966000000000001</v>
      </c>
      <c r="XEV1575" s="198">
        <f t="shared" si="197"/>
        <v>2.7707572708170369E-2</v>
      </c>
      <c r="XEW1575" s="221">
        <v>7394.0400390000004</v>
      </c>
      <c r="XEX1575" s="198">
        <f t="shared" si="198"/>
        <v>5.3981996810208432E-3</v>
      </c>
    </row>
    <row r="1576" spans="16374:16378" x14ac:dyDescent="0.2">
      <c r="XET1576" s="220">
        <v>43242</v>
      </c>
      <c r="XEU1576" s="221">
        <v>18.334</v>
      </c>
      <c r="XEV1576" s="198">
        <f t="shared" si="197"/>
        <v>-3.3322788147210902E-2</v>
      </c>
      <c r="XEW1576" s="221">
        <v>7378.4599609999996</v>
      </c>
      <c r="XEX1576" s="198">
        <f t="shared" si="198"/>
        <v>-2.1071130150531747E-3</v>
      </c>
    </row>
    <row r="1577" spans="16374:16378" x14ac:dyDescent="0.2">
      <c r="XET1577" s="220">
        <v>43243</v>
      </c>
      <c r="XEU1577" s="221">
        <v>18.604668</v>
      </c>
      <c r="XEV1577" s="198">
        <f t="shared" si="197"/>
        <v>1.4763172248281942E-2</v>
      </c>
      <c r="XEW1577" s="221">
        <v>7425.9599609999996</v>
      </c>
      <c r="XEX1577" s="198">
        <f t="shared" si="198"/>
        <v>6.4376577566414017E-3</v>
      </c>
    </row>
    <row r="1578" spans="16374:16378" x14ac:dyDescent="0.2">
      <c r="XET1578" s="220">
        <v>43244</v>
      </c>
      <c r="XEU1578" s="221">
        <v>18.523333000000001</v>
      </c>
      <c r="XEV1578" s="198">
        <f t="shared" si="197"/>
        <v>-4.371752293564124E-3</v>
      </c>
      <c r="XEW1578" s="221">
        <v>7424.4301759999998</v>
      </c>
      <c r="XEX1578" s="198">
        <f t="shared" si="198"/>
        <v>-2.0600501592171749E-4</v>
      </c>
    </row>
    <row r="1579" spans="16374:16378" x14ac:dyDescent="0.2">
      <c r="XET1579" s="220">
        <v>43245</v>
      </c>
      <c r="XEU1579" s="221">
        <v>18.59</v>
      </c>
      <c r="XEV1579" s="198">
        <f t="shared" si="197"/>
        <v>3.5990823033844599E-3</v>
      </c>
      <c r="XEW1579" s="221">
        <v>7433.8500979999999</v>
      </c>
      <c r="XEX1579" s="198">
        <f t="shared" si="198"/>
        <v>1.2687737343737293E-3</v>
      </c>
    </row>
    <row r="1580" spans="16374:16378" x14ac:dyDescent="0.2">
      <c r="XET1580" s="220">
        <v>43249</v>
      </c>
      <c r="XEU1580" s="221">
        <v>18.917334</v>
      </c>
      <c r="XEV1580" s="198">
        <f t="shared" si="197"/>
        <v>1.7608068854222836E-2</v>
      </c>
      <c r="XEW1580" s="221">
        <v>7396.5898440000001</v>
      </c>
      <c r="XEX1580" s="198">
        <f t="shared" si="198"/>
        <v>-5.0122417736166991E-3</v>
      </c>
    </row>
    <row r="1581" spans="16374:16378" x14ac:dyDescent="0.2">
      <c r="XET1581" s="220">
        <v>43250</v>
      </c>
      <c r="XEU1581" s="221">
        <v>19.448</v>
      </c>
      <c r="XEV1581" s="198">
        <f t="shared" si="197"/>
        <v>2.8051838594169709E-2</v>
      </c>
      <c r="XEW1581" s="221">
        <v>7462.4501950000003</v>
      </c>
      <c r="XEX1581" s="198">
        <f t="shared" si="198"/>
        <v>8.9041507490679184E-3</v>
      </c>
    </row>
    <row r="1582" spans="16374:16378" x14ac:dyDescent="0.2">
      <c r="XET1582" s="220">
        <v>43251</v>
      </c>
      <c r="XEU1582" s="221">
        <v>18.981999999999999</v>
      </c>
      <c r="XEV1582" s="198">
        <f t="shared" si="197"/>
        <v>-2.3961332784862233E-2</v>
      </c>
      <c r="XEW1582" s="221">
        <v>7442.1201170000004</v>
      </c>
      <c r="XEX1582" s="198">
        <f t="shared" si="198"/>
        <v>-2.7243167416542979E-3</v>
      </c>
    </row>
    <row r="1583" spans="16374:16378" x14ac:dyDescent="0.2">
      <c r="XET1583" s="220">
        <v>43252</v>
      </c>
      <c r="XEU1583" s="221">
        <v>19.454666</v>
      </c>
      <c r="XEV1583" s="198">
        <f t="shared" si="197"/>
        <v>2.4900748077125723E-2</v>
      </c>
      <c r="XEW1583" s="221">
        <v>7554.330078</v>
      </c>
      <c r="XEX1583" s="198">
        <f t="shared" si="198"/>
        <v>1.5077687437976106E-2</v>
      </c>
    </row>
    <row r="1584" spans="16374:16378" x14ac:dyDescent="0.2">
      <c r="XET1584" s="220">
        <v>43255</v>
      </c>
      <c r="XEU1584" s="221">
        <v>19.782667</v>
      </c>
      <c r="XEV1584" s="198">
        <f t="shared" si="197"/>
        <v>1.6859760018496317E-2</v>
      </c>
      <c r="XEW1584" s="221">
        <v>7606.4599609999996</v>
      </c>
      <c r="XEX1584" s="198">
        <f t="shared" si="198"/>
        <v>6.9006625950611689E-3</v>
      </c>
    </row>
    <row r="1585" spans="16374:16378" x14ac:dyDescent="0.2">
      <c r="XET1585" s="220">
        <v>43256</v>
      </c>
      <c r="XEU1585" s="221">
        <v>19.408667000000001</v>
      </c>
      <c r="XEV1585" s="198">
        <f t="shared" si="197"/>
        <v>-1.8905438786388062E-2</v>
      </c>
      <c r="XEW1585" s="221">
        <v>7637.8598629999997</v>
      </c>
      <c r="XEX1585" s="198">
        <f t="shared" si="198"/>
        <v>4.1280572251736203E-3</v>
      </c>
    </row>
    <row r="1586" spans="16374:16378" x14ac:dyDescent="0.2">
      <c r="XET1586" s="220">
        <v>43257</v>
      </c>
      <c r="XEU1586" s="221">
        <v>21.299999</v>
      </c>
      <c r="XEV1586" s="198">
        <f t="shared" si="197"/>
        <v>9.7447805148081379E-2</v>
      </c>
      <c r="XEW1586" s="221">
        <v>7689.2402339999999</v>
      </c>
      <c r="XEX1586" s="198">
        <f t="shared" si="198"/>
        <v>6.7270638531746751E-3</v>
      </c>
    </row>
    <row r="1587" spans="16374:16378" x14ac:dyDescent="0.2">
      <c r="XET1587" s="220">
        <v>43258</v>
      </c>
      <c r="XEU1587" s="221">
        <v>21.072666000000002</v>
      </c>
      <c r="XEV1587" s="198">
        <f t="shared" si="197"/>
        <v>-1.0672911299197674E-2</v>
      </c>
      <c r="XEW1587" s="221">
        <v>7635.0698240000002</v>
      </c>
      <c r="XEX1587" s="198">
        <f t="shared" si="198"/>
        <v>-7.0449626167837787E-3</v>
      </c>
    </row>
    <row r="1588" spans="16374:16378" x14ac:dyDescent="0.2">
      <c r="XET1588" s="220">
        <v>43259</v>
      </c>
      <c r="XEU1588" s="221">
        <v>21.177333999999998</v>
      </c>
      <c r="XEV1588" s="198">
        <f t="shared" si="197"/>
        <v>4.9670032258850583E-3</v>
      </c>
      <c r="XEW1588" s="221">
        <v>7645.5097660000001</v>
      </c>
      <c r="XEX1588" s="198">
        <f t="shared" si="198"/>
        <v>1.3673669318887693E-3</v>
      </c>
    </row>
    <row r="1589" spans="16374:16378" x14ac:dyDescent="0.2">
      <c r="XET1589" s="220">
        <v>43262</v>
      </c>
      <c r="XEU1589" s="221">
        <v>22.139999</v>
      </c>
      <c r="XEV1589" s="198">
        <f t="shared" si="197"/>
        <v>4.5457327159311056E-2</v>
      </c>
      <c r="XEW1589" s="221">
        <v>7659.9301759999998</v>
      </c>
      <c r="XEX1589" s="198">
        <f t="shared" si="198"/>
        <v>1.8861279942545828E-3</v>
      </c>
    </row>
    <row r="1590" spans="16374:16378" x14ac:dyDescent="0.2">
      <c r="XET1590" s="220">
        <v>43263</v>
      </c>
      <c r="XEU1590" s="221">
        <v>22.851334000000001</v>
      </c>
      <c r="XEV1590" s="198">
        <f t="shared" si="197"/>
        <v>3.2128953574026786E-2</v>
      </c>
      <c r="XEW1590" s="221">
        <v>7703.7900390000004</v>
      </c>
      <c r="XEX1590" s="198">
        <f t="shared" si="198"/>
        <v>5.7258828725907929E-3</v>
      </c>
    </row>
    <row r="1591" spans="16374:16378" x14ac:dyDescent="0.2">
      <c r="XET1591" s="220">
        <v>43264</v>
      </c>
      <c r="XEU1591" s="221">
        <v>22.985332</v>
      </c>
      <c r="XEV1591" s="198">
        <f t="shared" si="197"/>
        <v>5.8639027375819719E-3</v>
      </c>
      <c r="XEW1591" s="221">
        <v>7695.7001950000003</v>
      </c>
      <c r="XEX1591" s="198">
        <f t="shared" si="198"/>
        <v>-1.0501122121768791E-3</v>
      </c>
    </row>
    <row r="1592" spans="16374:16378" x14ac:dyDescent="0.2">
      <c r="XET1592" s="220">
        <v>43265</v>
      </c>
      <c r="XEU1592" s="221">
        <v>23.847999999999999</v>
      </c>
      <c r="XEV1592" s="198">
        <f t="shared" si="197"/>
        <v>3.7531239487861079E-2</v>
      </c>
      <c r="XEW1592" s="221">
        <v>7761.0400390000004</v>
      </c>
      <c r="XEX1592" s="198">
        <f t="shared" si="198"/>
        <v>8.4904352228341029E-3</v>
      </c>
    </row>
    <row r="1593" spans="16374:16378" x14ac:dyDescent="0.2">
      <c r="XET1593" s="220">
        <v>43266</v>
      </c>
      <c r="XEU1593" s="221">
        <v>23.878</v>
      </c>
      <c r="XEV1593" s="198">
        <f t="shared" si="197"/>
        <v>1.2579671251258251E-3</v>
      </c>
      <c r="XEW1593" s="221">
        <v>7746.3798829999996</v>
      </c>
      <c r="XEX1593" s="198">
        <f t="shared" si="198"/>
        <v>-1.888942194130161E-3</v>
      </c>
    </row>
    <row r="1594" spans="16374:16378" x14ac:dyDescent="0.2">
      <c r="XET1594" s="220">
        <v>43269</v>
      </c>
      <c r="XEU1594" s="221">
        <v>24.722000000000001</v>
      </c>
      <c r="XEV1594" s="198">
        <f t="shared" si="197"/>
        <v>3.534634391490088E-2</v>
      </c>
      <c r="XEW1594" s="221">
        <v>7747.0297849999997</v>
      </c>
      <c r="XEX1594" s="198">
        <f t="shared" si="198"/>
        <v>8.3897512104469385E-5</v>
      </c>
    </row>
    <row r="1595" spans="16374:16378" x14ac:dyDescent="0.2">
      <c r="XET1595" s="220">
        <v>43270</v>
      </c>
      <c r="XEU1595" s="221">
        <v>23.503332</v>
      </c>
      <c r="XEV1595" s="198">
        <f t="shared" si="197"/>
        <v>-4.9294879055092666E-2</v>
      </c>
      <c r="XEW1595" s="221">
        <v>7725.5898440000001</v>
      </c>
      <c r="XEX1595" s="198">
        <f t="shared" si="198"/>
        <v>-2.7675046559795247E-3</v>
      </c>
    </row>
    <row r="1596" spans="16374:16378" x14ac:dyDescent="0.2">
      <c r="XET1596" s="220">
        <v>43271</v>
      </c>
      <c r="XEU1596" s="221">
        <v>24.148001000000001</v>
      </c>
      <c r="XEV1596" s="198">
        <f t="shared" si="197"/>
        <v>2.7428834345700537E-2</v>
      </c>
      <c r="XEW1596" s="221">
        <v>7781.5097660000001</v>
      </c>
      <c r="XEX1596" s="198">
        <f t="shared" si="198"/>
        <v>7.2382721745745116E-3</v>
      </c>
    </row>
    <row r="1597" spans="16374:16378" x14ac:dyDescent="0.2">
      <c r="XET1597" s="220">
        <v>43272</v>
      </c>
      <c r="XEU1597" s="221">
        <v>23.167334</v>
      </c>
      <c r="XEV1597" s="198">
        <f t="shared" si="197"/>
        <v>-4.061069071514456E-2</v>
      </c>
      <c r="XEW1597" s="221">
        <v>7712.9501950000003</v>
      </c>
      <c r="XEX1597" s="198">
        <f t="shared" si="198"/>
        <v>-8.8105744337120262E-3</v>
      </c>
    </row>
    <row r="1598" spans="16374:16378" x14ac:dyDescent="0.2">
      <c r="XET1598" s="220">
        <v>43273</v>
      </c>
      <c r="XEU1598" s="221">
        <v>22.242000999999998</v>
      </c>
      <c r="XEV1598" s="198">
        <f t="shared" si="197"/>
        <v>-3.9941281115902338E-2</v>
      </c>
      <c r="XEW1598" s="221">
        <v>7692.8198240000002</v>
      </c>
      <c r="XEX1598" s="198">
        <f t="shared" si="198"/>
        <v>-2.6099443780993603E-3</v>
      </c>
    </row>
    <row r="1599" spans="16374:16378" x14ac:dyDescent="0.2">
      <c r="XET1599" s="220">
        <v>43276</v>
      </c>
      <c r="XEU1599" s="221">
        <v>22.200665999999998</v>
      </c>
      <c r="XEV1599" s="198">
        <f t="shared" si="197"/>
        <v>-1.8584209217507031E-3</v>
      </c>
      <c r="XEW1599" s="221">
        <v>7532.0097660000001</v>
      </c>
      <c r="XEX1599" s="198">
        <f t="shared" si="198"/>
        <v>-2.0903915817488183E-2</v>
      </c>
    </row>
    <row r="1600" spans="16374:16378" x14ac:dyDescent="0.2">
      <c r="XET1600" s="220">
        <v>43277</v>
      </c>
      <c r="XEU1600" s="221">
        <v>22.799999</v>
      </c>
      <c r="XEV1600" s="198">
        <f t="shared" si="197"/>
        <v>2.6996172096819038E-2</v>
      </c>
      <c r="XEW1600" s="221">
        <v>7561.6298829999996</v>
      </c>
      <c r="XEX1600" s="198">
        <f t="shared" si="198"/>
        <v>3.9325648691677095E-3</v>
      </c>
    </row>
    <row r="1601" spans="16374:16378" x14ac:dyDescent="0.2">
      <c r="XET1601" s="220">
        <v>43278</v>
      </c>
      <c r="XEU1601" s="221">
        <v>22.966667000000001</v>
      </c>
      <c r="XEV1601" s="198">
        <f t="shared" si="197"/>
        <v>7.3100003206141295E-3</v>
      </c>
      <c r="XEW1601" s="221">
        <v>7445.080078</v>
      </c>
      <c r="XEX1601" s="198">
        <f t="shared" si="198"/>
        <v>-1.5413317869739429E-2</v>
      </c>
    </row>
    <row r="1602" spans="16374:16378" x14ac:dyDescent="0.2">
      <c r="XET1602" s="220">
        <v>43279</v>
      </c>
      <c r="XEU1602" s="221">
        <v>23.328666999999999</v>
      </c>
      <c r="XEV1602" s="198">
        <f t="shared" si="197"/>
        <v>1.5761973646415406E-2</v>
      </c>
      <c r="XEW1602" s="221">
        <v>7503.6801759999998</v>
      </c>
      <c r="XEX1602" s="198">
        <f t="shared" si="198"/>
        <v>7.8709829022740596E-3</v>
      </c>
    </row>
    <row r="1603" spans="16374:16378" x14ac:dyDescent="0.2">
      <c r="XET1603" s="220">
        <v>43280</v>
      </c>
      <c r="XEU1603" s="221">
        <v>22.863333000000001</v>
      </c>
      <c r="XEV1603" s="198">
        <f t="shared" si="197"/>
        <v>-1.9946874804291137E-2</v>
      </c>
      <c r="XEW1603" s="221">
        <v>7510.2998049999997</v>
      </c>
      <c r="XEX1603" s="198">
        <f t="shared" si="198"/>
        <v>8.8218432085795939E-4</v>
      </c>
    </row>
    <row r="1604" spans="16374:16378" x14ac:dyDescent="0.2">
      <c r="XET1604" s="220">
        <v>43283</v>
      </c>
      <c r="XEU1604" s="221">
        <v>22.337999</v>
      </c>
      <c r="XEV1604" s="198">
        <f t="shared" si="197"/>
        <v>-2.2977139859704621E-2</v>
      </c>
      <c r="XEW1604" s="221">
        <v>7567.6899409999996</v>
      </c>
      <c r="XEX1604" s="198">
        <f t="shared" si="198"/>
        <v>7.6415239724241246E-3</v>
      </c>
    </row>
    <row r="1605" spans="16374:16378" x14ac:dyDescent="0.2">
      <c r="XET1605" s="220">
        <v>43284</v>
      </c>
      <c r="XEU1605" s="221">
        <v>20.724001000000001</v>
      </c>
      <c r="XEV1605" s="198">
        <f t="shared" si="197"/>
        <v>-7.2253472658853624E-2</v>
      </c>
      <c r="XEW1605" s="221">
        <v>7502.669922</v>
      </c>
      <c r="XEX1605" s="198">
        <f t="shared" si="198"/>
        <v>-8.5917921462052016E-3</v>
      </c>
    </row>
    <row r="1606" spans="16374:16378" x14ac:dyDescent="0.2">
      <c r="XET1606" s="220">
        <v>43286</v>
      </c>
      <c r="XEU1606" s="221">
        <v>20.610665999999998</v>
      </c>
      <c r="XEV1606" s="198">
        <f t="shared" si="197"/>
        <v>-5.4687798943844346E-3</v>
      </c>
      <c r="XEW1606" s="221">
        <v>7586.4301759999998</v>
      </c>
      <c r="XEX1606" s="198">
        <f t="shared" si="198"/>
        <v>1.1164059577563279E-2</v>
      </c>
    </row>
    <row r="1607" spans="16374:16378" x14ac:dyDescent="0.2">
      <c r="XET1607" s="220">
        <v>43287</v>
      </c>
      <c r="XEU1607" s="221">
        <v>20.593332</v>
      </c>
      <c r="XEV1607" s="198">
        <f t="shared" si="197"/>
        <v>-8.4102085784121261E-4</v>
      </c>
      <c r="XEW1607" s="221">
        <v>7688.3901370000003</v>
      </c>
      <c r="XEX1607" s="198">
        <f t="shared" si="198"/>
        <v>1.3439781113725235E-2</v>
      </c>
    </row>
    <row r="1608" spans="16374:16378" x14ac:dyDescent="0.2">
      <c r="XET1608" s="220">
        <v>43290</v>
      </c>
      <c r="XEU1608" s="221">
        <v>21.233999000000001</v>
      </c>
      <c r="XEV1608" s="198">
        <f t="shared" si="197"/>
        <v>3.1110409913267079E-2</v>
      </c>
      <c r="XEW1608" s="221">
        <v>7756.2001950000003</v>
      </c>
      <c r="XEX1608" s="198">
        <f t="shared" si="198"/>
        <v>8.8197993067062885E-3</v>
      </c>
    </row>
    <row r="1609" spans="16374:16378" x14ac:dyDescent="0.2">
      <c r="XET1609" s="220">
        <v>43291</v>
      </c>
      <c r="XEU1609" s="221">
        <v>21.497999</v>
      </c>
      <c r="XEV1609" s="198">
        <f t="shared" si="197"/>
        <v>1.2432891232593501E-2</v>
      </c>
      <c r="XEW1609" s="221">
        <v>7759.2001950000003</v>
      </c>
      <c r="XEX1609" s="198">
        <f t="shared" si="198"/>
        <v>3.8678733459374115E-4</v>
      </c>
    </row>
    <row r="1610" spans="16374:16378" x14ac:dyDescent="0.2">
      <c r="XET1610" s="220">
        <v>43292</v>
      </c>
      <c r="XEU1610" s="221">
        <v>21.263999999999999</v>
      </c>
      <c r="XEV1610" s="198">
        <f t="shared" si="197"/>
        <v>-1.0884687453934672E-2</v>
      </c>
      <c r="XEW1610" s="221">
        <v>7716.6098629999997</v>
      </c>
      <c r="XEX1610" s="198">
        <f t="shared" si="198"/>
        <v>-5.4890105848082182E-3</v>
      </c>
    </row>
    <row r="1611" spans="16374:16378" x14ac:dyDescent="0.2">
      <c r="XET1611" s="220">
        <v>43293</v>
      </c>
      <c r="XEU1611" s="221">
        <v>21.114000000000001</v>
      </c>
      <c r="XEV1611" s="198">
        <f t="shared" si="197"/>
        <v>-7.0541760722346858E-3</v>
      </c>
      <c r="XEW1611" s="221">
        <v>7823.919922</v>
      </c>
      <c r="XEX1611" s="198">
        <f t="shared" si="198"/>
        <v>1.3906373511836545E-2</v>
      </c>
    </row>
    <row r="1612" spans="16374:16378" x14ac:dyDescent="0.2">
      <c r="XET1612" s="220">
        <v>43294</v>
      </c>
      <c r="XEU1612" s="221">
        <v>21.257999000000002</v>
      </c>
      <c r="XEV1612" s="198">
        <f t="shared" ref="XEV1612:XEV1675" si="199">XEU1612/XEU1611-1</f>
        <v>6.8200719901487794E-3</v>
      </c>
      <c r="XEW1612" s="221">
        <v>7825.9799800000001</v>
      </c>
      <c r="XEX1612" s="198">
        <f t="shared" ref="XEX1612:XEX1675" si="200">XEW1612/XEW1611-1</f>
        <v>2.6330254150574994E-4</v>
      </c>
    </row>
    <row r="1613" spans="16374:16378" x14ac:dyDescent="0.2">
      <c r="XET1613" s="220">
        <v>43297</v>
      </c>
      <c r="XEU1613" s="221">
        <v>20.673331999999998</v>
      </c>
      <c r="XEV1613" s="198">
        <f t="shared" si="199"/>
        <v>-2.7503388253993344E-2</v>
      </c>
      <c r="XEW1613" s="221">
        <v>7805.7202150000003</v>
      </c>
      <c r="XEX1613" s="198">
        <f t="shared" si="200"/>
        <v>-2.5887831366520064E-3</v>
      </c>
    </row>
    <row r="1614" spans="16374:16378" x14ac:dyDescent="0.2">
      <c r="XET1614" s="220">
        <v>43298</v>
      </c>
      <c r="XEU1614" s="221">
        <v>21.512667</v>
      </c>
      <c r="XEV1614" s="198">
        <f t="shared" si="199"/>
        <v>4.0599889751685936E-2</v>
      </c>
      <c r="XEW1614" s="221">
        <v>7855.1201170000004</v>
      </c>
      <c r="XEX1614" s="198">
        <f t="shared" si="200"/>
        <v>6.3286795631067871E-3</v>
      </c>
    </row>
    <row r="1615" spans="16374:16378" x14ac:dyDescent="0.2">
      <c r="XET1615" s="220">
        <v>43299</v>
      </c>
      <c r="XEU1615" s="221">
        <v>21.59</v>
      </c>
      <c r="XEV1615" s="198">
        <f t="shared" si="199"/>
        <v>3.5947658186685771E-3</v>
      </c>
      <c r="XEW1615" s="221">
        <v>7854.4399409999996</v>
      </c>
      <c r="XEX1615" s="198">
        <f t="shared" si="200"/>
        <v>-8.6590146282872205E-5</v>
      </c>
    </row>
    <row r="1616" spans="16374:16378" x14ac:dyDescent="0.2">
      <c r="XET1616" s="220">
        <v>43300</v>
      </c>
      <c r="XEU1616" s="221">
        <v>21.348666999999999</v>
      </c>
      <c r="XEV1616" s="198">
        <f t="shared" si="199"/>
        <v>-1.1177999073645251E-2</v>
      </c>
      <c r="XEW1616" s="221">
        <v>7825.2998049999997</v>
      </c>
      <c r="XEX1616" s="198">
        <f t="shared" si="200"/>
        <v>-3.7100208568517923E-3</v>
      </c>
    </row>
    <row r="1617" spans="16374:16378" x14ac:dyDescent="0.2">
      <c r="XET1617" s="220">
        <v>43301</v>
      </c>
      <c r="XEU1617" s="221">
        <v>20.905332999999999</v>
      </c>
      <c r="XEV1617" s="198">
        <f t="shared" si="199"/>
        <v>-2.0766355107792012E-2</v>
      </c>
      <c r="XEW1617" s="221">
        <v>7820.2001950000003</v>
      </c>
      <c r="XEX1617" s="198">
        <f t="shared" si="200"/>
        <v>-6.5168237985480104E-4</v>
      </c>
    </row>
    <row r="1618" spans="16374:16378" x14ac:dyDescent="0.2">
      <c r="XET1618" s="220">
        <v>43304</v>
      </c>
      <c r="XEU1618" s="221">
        <v>20.213332999999999</v>
      </c>
      <c r="XEV1618" s="198">
        <f t="shared" si="199"/>
        <v>-3.3101601395203795E-2</v>
      </c>
      <c r="XEW1618" s="221">
        <v>7841.8701170000004</v>
      </c>
      <c r="XEX1618" s="198">
        <f t="shared" si="200"/>
        <v>2.7710188306757644E-3</v>
      </c>
    </row>
    <row r="1619" spans="16374:16378" x14ac:dyDescent="0.2">
      <c r="XET1619" s="220">
        <v>43305</v>
      </c>
      <c r="XEU1619" s="221">
        <v>19.828666999999999</v>
      </c>
      <c r="XEV1619" s="198">
        <f t="shared" si="199"/>
        <v>-1.9030310340209522E-2</v>
      </c>
      <c r="XEW1619" s="221">
        <v>7840.7700199999999</v>
      </c>
      <c r="XEX1619" s="198">
        <f t="shared" si="200"/>
        <v>-1.4028503196139575E-4</v>
      </c>
    </row>
    <row r="1620" spans="16374:16378" x14ac:dyDescent="0.2">
      <c r="XET1620" s="220">
        <v>43306</v>
      </c>
      <c r="XEU1620" s="221">
        <v>20.582666</v>
      </c>
      <c r="XEV1620" s="198">
        <f t="shared" si="199"/>
        <v>3.802570288764251E-2</v>
      </c>
      <c r="XEW1620" s="221">
        <v>7932.2402339999999</v>
      </c>
      <c r="XEX1620" s="198">
        <f t="shared" si="200"/>
        <v>1.166597333765429E-2</v>
      </c>
    </row>
    <row r="1621" spans="16374:16378" x14ac:dyDescent="0.2">
      <c r="XET1621" s="220">
        <v>43307</v>
      </c>
      <c r="XEU1621" s="221">
        <v>20.443332999999999</v>
      </c>
      <c r="XEV1621" s="198">
        <f t="shared" si="199"/>
        <v>-6.7694340470763059E-3</v>
      </c>
      <c r="XEW1621" s="221">
        <v>7852.1801759999998</v>
      </c>
      <c r="XEX1621" s="198">
        <f t="shared" si="200"/>
        <v>-1.0092994619204543E-2</v>
      </c>
    </row>
    <row r="1622" spans="16374:16378" x14ac:dyDescent="0.2">
      <c r="XET1622" s="220">
        <v>43308</v>
      </c>
      <c r="XEU1622" s="221">
        <v>19.812000000000001</v>
      </c>
      <c r="XEV1622" s="198">
        <f t="shared" si="199"/>
        <v>-3.0882097356629612E-2</v>
      </c>
      <c r="XEW1622" s="221">
        <v>7737.419922</v>
      </c>
      <c r="XEX1622" s="198">
        <f t="shared" si="200"/>
        <v>-1.4615081598708279E-2</v>
      </c>
    </row>
    <row r="1623" spans="16374:16378" x14ac:dyDescent="0.2">
      <c r="XET1623" s="220">
        <v>43311</v>
      </c>
      <c r="XEU1623" s="221">
        <v>19.344667000000001</v>
      </c>
      <c r="XEV1623" s="198">
        <f t="shared" si="199"/>
        <v>-2.3588380779325679E-2</v>
      </c>
      <c r="XEW1623" s="221">
        <v>7630</v>
      </c>
      <c r="XEX1623" s="198">
        <f t="shared" si="200"/>
        <v>-1.3883170757550634E-2</v>
      </c>
    </row>
    <row r="1624" spans="16374:16378" x14ac:dyDescent="0.2">
      <c r="XET1624" s="220">
        <v>43312</v>
      </c>
      <c r="XEU1624" s="221">
        <v>19.875999</v>
      </c>
      <c r="XEV1624" s="198">
        <f t="shared" si="199"/>
        <v>2.7466588078254306E-2</v>
      </c>
      <c r="XEW1624" s="221">
        <v>7671.7900390000004</v>
      </c>
      <c r="XEX1624" s="198">
        <f t="shared" si="200"/>
        <v>5.477069331585982E-3</v>
      </c>
    </row>
    <row r="1625" spans="16374:16378" x14ac:dyDescent="0.2">
      <c r="XET1625" s="220">
        <v>43313</v>
      </c>
      <c r="XEU1625" s="221">
        <v>20.056000000000001</v>
      </c>
      <c r="XEV1625" s="198">
        <f t="shared" si="199"/>
        <v>9.0561988859025888E-3</v>
      </c>
      <c r="XEW1625" s="221">
        <v>7707.2900390000004</v>
      </c>
      <c r="XEX1625" s="198">
        <f t="shared" si="200"/>
        <v>4.6273424871554614E-3</v>
      </c>
    </row>
    <row r="1626" spans="16374:16378" x14ac:dyDescent="0.2">
      <c r="XET1626" s="220">
        <v>43314</v>
      </c>
      <c r="XEU1626" s="221">
        <v>23.302668000000001</v>
      </c>
      <c r="XEV1626" s="198">
        <f t="shared" si="199"/>
        <v>0.16188013562026327</v>
      </c>
      <c r="XEW1626" s="221">
        <v>7802.6899409999996</v>
      </c>
      <c r="XEX1626" s="198">
        <f t="shared" si="200"/>
        <v>1.2377878802700026E-2</v>
      </c>
    </row>
    <row r="1627" spans="16374:16378" x14ac:dyDescent="0.2">
      <c r="XET1627" s="220">
        <v>43315</v>
      </c>
      <c r="XEU1627" s="221">
        <v>23.211331999999999</v>
      </c>
      <c r="XEV1627" s="198">
        <f t="shared" si="199"/>
        <v>-3.9195511861560561E-3</v>
      </c>
      <c r="XEW1627" s="221">
        <v>7812.0097660000001</v>
      </c>
      <c r="XEX1627" s="198">
        <f t="shared" si="200"/>
        <v>1.1944374402252933E-3</v>
      </c>
    </row>
    <row r="1628" spans="16374:16378" x14ac:dyDescent="0.2">
      <c r="XET1628" s="220">
        <v>43318</v>
      </c>
      <c r="XEU1628" s="221">
        <v>22.799334000000002</v>
      </c>
      <c r="XEV1628" s="198">
        <f t="shared" si="199"/>
        <v>-1.7749864592001785E-2</v>
      </c>
      <c r="XEW1628" s="221">
        <v>7859.6801759999998</v>
      </c>
      <c r="XEX1628" s="198">
        <f t="shared" si="200"/>
        <v>6.102195392468035E-3</v>
      </c>
    </row>
    <row r="1629" spans="16374:16378" x14ac:dyDescent="0.2">
      <c r="XET1629" s="220">
        <v>43319</v>
      </c>
      <c r="XEU1629" s="221">
        <v>25.304666999999998</v>
      </c>
      <c r="XEV1629" s="198">
        <f t="shared" si="199"/>
        <v>0.10988623615058213</v>
      </c>
      <c r="XEW1629" s="221">
        <v>7883.6601559999999</v>
      </c>
      <c r="XEX1629" s="198">
        <f t="shared" si="200"/>
        <v>3.0510121866311746E-3</v>
      </c>
    </row>
    <row r="1630" spans="16374:16378" x14ac:dyDescent="0.2">
      <c r="XET1630" s="220">
        <v>43320</v>
      </c>
      <c r="XEU1630" s="221">
        <v>24.689333000000001</v>
      </c>
      <c r="XEV1630" s="198">
        <f t="shared" si="199"/>
        <v>-2.4317016303751271E-2</v>
      </c>
      <c r="XEW1630" s="221">
        <v>7888.330078</v>
      </c>
      <c r="XEX1630" s="198">
        <f t="shared" si="200"/>
        <v>5.9235455455874941E-4</v>
      </c>
    </row>
    <row r="1631" spans="16374:16378" x14ac:dyDescent="0.2">
      <c r="XET1631" s="220">
        <v>43321</v>
      </c>
      <c r="XEU1631" s="221">
        <v>23.496668</v>
      </c>
      <c r="XEV1631" s="198">
        <f t="shared" si="199"/>
        <v>-4.8306894317477145E-2</v>
      </c>
      <c r="XEW1631" s="221">
        <v>7891.7797849999997</v>
      </c>
      <c r="XEX1631" s="198">
        <f t="shared" si="200"/>
        <v>4.373177803018713E-4</v>
      </c>
    </row>
    <row r="1632" spans="16374:16378" x14ac:dyDescent="0.2">
      <c r="XET1632" s="220">
        <v>43322</v>
      </c>
      <c r="XEU1632" s="221">
        <v>23.699332999999999</v>
      </c>
      <c r="XEV1632" s="198">
        <f t="shared" si="199"/>
        <v>8.6252655057303951E-3</v>
      </c>
      <c r="XEW1632" s="221">
        <v>7839.1098629999997</v>
      </c>
      <c r="XEX1632" s="198">
        <f t="shared" si="200"/>
        <v>-6.6740232792747989E-3</v>
      </c>
    </row>
    <row r="1633" spans="16374:16378" x14ac:dyDescent="0.2">
      <c r="XET1633" s="220">
        <v>43325</v>
      </c>
      <c r="XEU1633" s="221">
        <v>23.760667999999999</v>
      </c>
      <c r="XEV1633" s="198">
        <f t="shared" si="199"/>
        <v>2.588047520155845E-3</v>
      </c>
      <c r="XEW1633" s="221">
        <v>7819.7099609999996</v>
      </c>
      <c r="XEX1633" s="198">
        <f t="shared" si="200"/>
        <v>-2.4747582747329799E-3</v>
      </c>
    </row>
    <row r="1634" spans="16374:16378" x14ac:dyDescent="0.2">
      <c r="XET1634" s="220">
        <v>43326</v>
      </c>
      <c r="XEU1634" s="221">
        <v>23.176000999999999</v>
      </c>
      <c r="XEV1634" s="198">
        <f t="shared" si="199"/>
        <v>-2.4606505170645887E-2</v>
      </c>
      <c r="XEW1634" s="221">
        <v>7870.8901370000003</v>
      </c>
      <c r="XEX1634" s="198">
        <f t="shared" si="200"/>
        <v>6.5450222905014677E-3</v>
      </c>
    </row>
    <row r="1635" spans="16374:16378" x14ac:dyDescent="0.2">
      <c r="XET1635" s="220">
        <v>43327</v>
      </c>
      <c r="XEU1635" s="221">
        <v>22.579332000000001</v>
      </c>
      <c r="XEV1635" s="198">
        <f t="shared" si="199"/>
        <v>-2.5745123155629712E-2</v>
      </c>
      <c r="XEW1635" s="221">
        <v>7774.1201170000004</v>
      </c>
      <c r="XEX1635" s="198">
        <f t="shared" si="200"/>
        <v>-1.229467294240294E-2</v>
      </c>
    </row>
    <row r="1636" spans="16374:16378" x14ac:dyDescent="0.2">
      <c r="XET1636" s="220">
        <v>43328</v>
      </c>
      <c r="XEU1636" s="221">
        <v>22.363333000000001</v>
      </c>
      <c r="XEV1636" s="198">
        <f t="shared" si="199"/>
        <v>-9.5662263170585016E-3</v>
      </c>
      <c r="XEW1636" s="221">
        <v>7806.5200199999999</v>
      </c>
      <c r="XEX1636" s="198">
        <f t="shared" si="200"/>
        <v>4.1676617433719088E-3</v>
      </c>
    </row>
    <row r="1637" spans="16374:16378" x14ac:dyDescent="0.2">
      <c r="XET1637" s="220">
        <v>43329</v>
      </c>
      <c r="XEU1637" s="221">
        <v>20.366667</v>
      </c>
      <c r="XEV1637" s="198">
        <f t="shared" si="199"/>
        <v>-8.9283024135981881E-2</v>
      </c>
      <c r="XEW1637" s="221">
        <v>7816.330078</v>
      </c>
      <c r="XEX1637" s="198">
        <f t="shared" si="200"/>
        <v>1.2566493104311238E-3</v>
      </c>
    </row>
    <row r="1638" spans="16374:16378" x14ac:dyDescent="0.2">
      <c r="XET1638" s="220">
        <v>43332</v>
      </c>
      <c r="XEU1638" s="221">
        <v>20.562667999999999</v>
      </c>
      <c r="XEV1638" s="198">
        <f t="shared" si="199"/>
        <v>9.6236168637704456E-3</v>
      </c>
      <c r="XEW1638" s="221">
        <v>7821.0097660000001</v>
      </c>
      <c r="XEX1638" s="198">
        <f t="shared" si="200"/>
        <v>5.9870654812432811E-4</v>
      </c>
    </row>
    <row r="1639" spans="16374:16378" x14ac:dyDescent="0.2">
      <c r="XET1639" s="220">
        <v>43333</v>
      </c>
      <c r="XEU1639" s="221">
        <v>21.459999</v>
      </c>
      <c r="XEV1639" s="198">
        <f t="shared" si="199"/>
        <v>4.3638841029773001E-2</v>
      </c>
      <c r="XEW1639" s="221">
        <v>7859.169922</v>
      </c>
      <c r="XEX1639" s="198">
        <f t="shared" si="200"/>
        <v>4.8791853151612941E-3</v>
      </c>
    </row>
    <row r="1640" spans="16374:16378" x14ac:dyDescent="0.2">
      <c r="XET1640" s="220">
        <v>43334</v>
      </c>
      <c r="XEU1640" s="221">
        <v>21.442667</v>
      </c>
      <c r="XEV1640" s="198">
        <f t="shared" si="199"/>
        <v>-8.0764216251827392E-4</v>
      </c>
      <c r="XEW1640" s="221">
        <v>7889.1000979999999</v>
      </c>
      <c r="XEX1640" s="198">
        <f t="shared" si="200"/>
        <v>3.8083126204226936E-3</v>
      </c>
    </row>
    <row r="1641" spans="16374:16378" x14ac:dyDescent="0.2">
      <c r="XET1641" s="220">
        <v>43335</v>
      </c>
      <c r="XEU1641" s="221">
        <v>21.34</v>
      </c>
      <c r="XEV1641" s="198">
        <f t="shared" si="199"/>
        <v>-4.7879771672059146E-3</v>
      </c>
      <c r="XEW1641" s="221">
        <v>7878.4599609999996</v>
      </c>
      <c r="XEX1641" s="198">
        <f t="shared" si="200"/>
        <v>-1.3487136514718223E-3</v>
      </c>
    </row>
    <row r="1642" spans="16374:16378" x14ac:dyDescent="0.2">
      <c r="XET1642" s="220">
        <v>43336</v>
      </c>
      <c r="XEU1642" s="221">
        <v>21.521334</v>
      </c>
      <c r="XEV1642" s="198">
        <f t="shared" si="199"/>
        <v>8.4973758200561633E-3</v>
      </c>
      <c r="XEW1642" s="221">
        <v>7945.9799800000001</v>
      </c>
      <c r="XEX1642" s="198">
        <f t="shared" si="200"/>
        <v>8.5702052601952516E-3</v>
      </c>
    </row>
    <row r="1643" spans="16374:16378" x14ac:dyDescent="0.2">
      <c r="XET1643" s="220">
        <v>43339</v>
      </c>
      <c r="XEU1643" s="221">
        <v>21.284666000000001</v>
      </c>
      <c r="XEV1643" s="198">
        <f t="shared" si="199"/>
        <v>-1.0996901957843197E-2</v>
      </c>
      <c r="XEW1643" s="221">
        <v>8017.8999020000001</v>
      </c>
      <c r="XEX1643" s="198">
        <f t="shared" si="200"/>
        <v>9.0511078785777688E-3</v>
      </c>
    </row>
    <row r="1644" spans="16374:16378" x14ac:dyDescent="0.2">
      <c r="XET1644" s="220">
        <v>43340</v>
      </c>
      <c r="XEU1644" s="221">
        <v>20.790666999999999</v>
      </c>
      <c r="XEV1644" s="198">
        <f t="shared" si="199"/>
        <v>-2.3209149723091849E-2</v>
      </c>
      <c r="XEW1644" s="221">
        <v>8030.0400390000004</v>
      </c>
      <c r="XEX1644" s="198">
        <f t="shared" si="200"/>
        <v>1.5141292792857364E-3</v>
      </c>
    </row>
    <row r="1645" spans="16374:16378" x14ac:dyDescent="0.2">
      <c r="XET1645" s="220">
        <v>43341</v>
      </c>
      <c r="XEU1645" s="221">
        <v>20.334</v>
      </c>
      <c r="XEV1645" s="198">
        <f t="shared" si="199"/>
        <v>-2.1964999968495436E-2</v>
      </c>
      <c r="XEW1645" s="221">
        <v>8109.6899409999996</v>
      </c>
      <c r="XEX1645" s="198">
        <f t="shared" si="200"/>
        <v>9.9189918871087634E-3</v>
      </c>
    </row>
    <row r="1646" spans="16374:16378" x14ac:dyDescent="0.2">
      <c r="XET1646" s="220">
        <v>43342</v>
      </c>
      <c r="XEU1646" s="221">
        <v>20.209999</v>
      </c>
      <c r="XEV1646" s="198">
        <f t="shared" si="199"/>
        <v>-6.0982098947575114E-3</v>
      </c>
      <c r="XEW1646" s="221">
        <v>8088.3598629999997</v>
      </c>
      <c r="XEX1646" s="198">
        <f t="shared" si="200"/>
        <v>-2.6301964878042705E-3</v>
      </c>
    </row>
    <row r="1647" spans="16374:16378" x14ac:dyDescent="0.2">
      <c r="XET1647" s="220">
        <v>43343</v>
      </c>
      <c r="XEU1647" s="221">
        <v>20.110665999999998</v>
      </c>
      <c r="XEV1647" s="198">
        <f t="shared" si="199"/>
        <v>-4.9150423015855704E-3</v>
      </c>
      <c r="XEW1647" s="221">
        <v>8109.5400390000004</v>
      </c>
      <c r="XEX1647" s="198">
        <f t="shared" si="200"/>
        <v>2.6185996121277366E-3</v>
      </c>
    </row>
    <row r="1648" spans="16374:16378" x14ac:dyDescent="0.2">
      <c r="XET1648" s="220">
        <v>43347</v>
      </c>
      <c r="XEU1648" s="221">
        <v>19.263331999999998</v>
      </c>
      <c r="XEV1648" s="198">
        <f t="shared" si="199"/>
        <v>-4.2133562359396803E-2</v>
      </c>
      <c r="XEW1648" s="221">
        <v>8091.25</v>
      </c>
      <c r="XEX1648" s="198">
        <f t="shared" si="200"/>
        <v>-2.2553731669171517E-3</v>
      </c>
    </row>
    <row r="1649" spans="16374:16378" x14ac:dyDescent="0.2">
      <c r="XET1649" s="220">
        <v>43348</v>
      </c>
      <c r="XEU1649" s="221">
        <v>18.716000000000001</v>
      </c>
      <c r="XEV1649" s="198">
        <f t="shared" si="199"/>
        <v>-2.8413153030846239E-2</v>
      </c>
      <c r="XEW1649" s="221">
        <v>7995.169922</v>
      </c>
      <c r="XEX1649" s="198">
        <f t="shared" si="200"/>
        <v>-1.1874565487409283E-2</v>
      </c>
    </row>
    <row r="1650" spans="16374:16378" x14ac:dyDescent="0.2">
      <c r="XET1650" s="220">
        <v>43349</v>
      </c>
      <c r="XEU1650" s="221">
        <v>18.73</v>
      </c>
      <c r="XEV1650" s="198">
        <f t="shared" si="199"/>
        <v>7.4802308185506483E-4</v>
      </c>
      <c r="XEW1650" s="221">
        <v>7922.7299800000001</v>
      </c>
      <c r="XEX1650" s="198">
        <f t="shared" si="200"/>
        <v>-9.0604630929318475E-3</v>
      </c>
    </row>
    <row r="1651" spans="16374:16378" x14ac:dyDescent="0.2">
      <c r="XET1651" s="220">
        <v>43350</v>
      </c>
      <c r="XEU1651" s="221">
        <v>17.549334000000002</v>
      </c>
      <c r="XEV1651" s="198">
        <f t="shared" si="199"/>
        <v>-6.3036091831286667E-2</v>
      </c>
      <c r="XEW1651" s="221">
        <v>7902.5400390000004</v>
      </c>
      <c r="XEX1651" s="198">
        <f t="shared" si="200"/>
        <v>-2.5483565703952049E-3</v>
      </c>
    </row>
    <row r="1652" spans="16374:16378" x14ac:dyDescent="0.2">
      <c r="XET1652" s="220">
        <v>43353</v>
      </c>
      <c r="XEU1652" s="221">
        <v>19.033332999999999</v>
      </c>
      <c r="XEV1652" s="198">
        <f t="shared" si="199"/>
        <v>8.4561556581007391E-2</v>
      </c>
      <c r="XEW1652" s="221">
        <v>7924.1601559999999</v>
      </c>
      <c r="XEX1652" s="198">
        <f t="shared" si="200"/>
        <v>2.7358440315774502E-3</v>
      </c>
    </row>
    <row r="1653" spans="16374:16378" x14ac:dyDescent="0.2">
      <c r="XET1653" s="220">
        <v>43354</v>
      </c>
      <c r="XEU1653" s="221">
        <v>18.629332999999999</v>
      </c>
      <c r="XEV1653" s="198">
        <f t="shared" si="199"/>
        <v>-2.1225919811312055E-2</v>
      </c>
      <c r="XEW1653" s="221">
        <v>7972.4702150000003</v>
      </c>
      <c r="XEX1653" s="198">
        <f t="shared" si="200"/>
        <v>6.0965525745237947E-3</v>
      </c>
    </row>
    <row r="1654" spans="16374:16378" x14ac:dyDescent="0.2">
      <c r="XET1654" s="220">
        <v>43355</v>
      </c>
      <c r="XEU1654" s="221">
        <v>19.369333000000001</v>
      </c>
      <c r="XEV1654" s="198">
        <f t="shared" si="199"/>
        <v>3.9722302457098291E-2</v>
      </c>
      <c r="XEW1654" s="221">
        <v>7954.2299800000001</v>
      </c>
      <c r="XEX1654" s="198">
        <f t="shared" si="200"/>
        <v>-2.2879025581910017E-3</v>
      </c>
    </row>
    <row r="1655" spans="16374:16378" x14ac:dyDescent="0.2">
      <c r="XET1655" s="220">
        <v>43356</v>
      </c>
      <c r="XEU1655" s="221">
        <v>19.297332999999998</v>
      </c>
      <c r="XEV1655" s="198">
        <f t="shared" si="199"/>
        <v>-3.7172162820476862E-3</v>
      </c>
      <c r="XEW1655" s="221">
        <v>8013.7099609999996</v>
      </c>
      <c r="XEX1655" s="198">
        <f t="shared" si="200"/>
        <v>7.4777798919010152E-3</v>
      </c>
    </row>
    <row r="1656" spans="16374:16378" x14ac:dyDescent="0.2">
      <c r="XET1656" s="220">
        <v>43357</v>
      </c>
      <c r="XEU1656" s="221">
        <v>19.68</v>
      </c>
      <c r="XEV1656" s="198">
        <f t="shared" si="199"/>
        <v>1.9830045944690955E-2</v>
      </c>
      <c r="XEW1656" s="221">
        <v>8010.0400390000004</v>
      </c>
      <c r="XEX1656" s="198">
        <f t="shared" si="200"/>
        <v>-4.5795543111237791E-4</v>
      </c>
    </row>
    <row r="1657" spans="16374:16378" x14ac:dyDescent="0.2">
      <c r="XET1657" s="220">
        <v>43360</v>
      </c>
      <c r="XEU1657" s="221">
        <v>19.655999999999999</v>
      </c>
      <c r="XEV1657" s="198">
        <f t="shared" si="199"/>
        <v>-1.2195121951219523E-3</v>
      </c>
      <c r="XEW1657" s="221">
        <v>7895.7900390000004</v>
      </c>
      <c r="XEX1657" s="198">
        <f t="shared" si="200"/>
        <v>-1.4263349426935412E-2</v>
      </c>
    </row>
    <row r="1658" spans="16374:16378" x14ac:dyDescent="0.2">
      <c r="XET1658" s="220">
        <v>43361</v>
      </c>
      <c r="XEU1658" s="221">
        <v>18.997333999999999</v>
      </c>
      <c r="XEV1658" s="198">
        <f t="shared" si="199"/>
        <v>-3.3509666259666226E-2</v>
      </c>
      <c r="XEW1658" s="221">
        <v>7956.1098629999997</v>
      </c>
      <c r="XEX1658" s="198">
        <f t="shared" si="200"/>
        <v>7.6394918940421164E-3</v>
      </c>
    </row>
    <row r="1659" spans="16374:16378" x14ac:dyDescent="0.2">
      <c r="XET1659" s="220">
        <v>43362</v>
      </c>
      <c r="XEU1659" s="221">
        <v>19.934667999999999</v>
      </c>
      <c r="XEV1659" s="198">
        <f t="shared" si="199"/>
        <v>4.9340291643027445E-2</v>
      </c>
      <c r="XEW1659" s="221">
        <v>7950.0400390000004</v>
      </c>
      <c r="XEX1659" s="198">
        <f t="shared" si="200"/>
        <v>-7.6291354751489848E-4</v>
      </c>
    </row>
    <row r="1660" spans="16374:16378" x14ac:dyDescent="0.2">
      <c r="XET1660" s="220">
        <v>43363</v>
      </c>
      <c r="XEU1660" s="221">
        <v>19.888666000000001</v>
      </c>
      <c r="XEV1660" s="198">
        <f t="shared" si="199"/>
        <v>-2.3076381307176597E-3</v>
      </c>
      <c r="XEW1660" s="221">
        <v>8028.2299800000001</v>
      </c>
      <c r="XEX1660" s="198">
        <f t="shared" si="200"/>
        <v>9.8351631710567045E-3</v>
      </c>
    </row>
    <row r="1661" spans="16374:16378" x14ac:dyDescent="0.2">
      <c r="XET1661" s="220">
        <v>43364</v>
      </c>
      <c r="XEU1661" s="221">
        <v>19.940000999999999</v>
      </c>
      <c r="XEV1661" s="198">
        <f t="shared" si="199"/>
        <v>2.5811183113033653E-3</v>
      </c>
      <c r="XEW1661" s="221">
        <v>7986.9599609999996</v>
      </c>
      <c r="XEX1661" s="198">
        <f t="shared" si="200"/>
        <v>-5.1406124516627516E-3</v>
      </c>
    </row>
    <row r="1662" spans="16374:16378" x14ac:dyDescent="0.2">
      <c r="XET1662" s="220">
        <v>43367</v>
      </c>
      <c r="XEU1662" s="221">
        <v>19.978666</v>
      </c>
      <c r="XEV1662" s="198">
        <f t="shared" si="199"/>
        <v>1.9390671043597596E-3</v>
      </c>
      <c r="XEW1662" s="221">
        <v>7993.25</v>
      </c>
      <c r="XEX1662" s="198">
        <f t="shared" si="200"/>
        <v>7.875385667031054E-4</v>
      </c>
    </row>
    <row r="1663" spans="16374:16378" x14ac:dyDescent="0.2">
      <c r="XET1663" s="220">
        <v>43368</v>
      </c>
      <c r="XEU1663" s="221">
        <v>20.065999999999999</v>
      </c>
      <c r="XEV1663" s="198">
        <f t="shared" si="199"/>
        <v>4.3713629328403503E-3</v>
      </c>
      <c r="XEW1663" s="221">
        <v>8007.4702150000003</v>
      </c>
      <c r="XEX1663" s="198">
        <f t="shared" si="200"/>
        <v>1.7790279298157685E-3</v>
      </c>
    </row>
    <row r="1664" spans="16374:16378" x14ac:dyDescent="0.2">
      <c r="XET1664" s="220">
        <v>43369</v>
      </c>
      <c r="XEU1664" s="221">
        <v>20.638666000000001</v>
      </c>
      <c r="XEV1664" s="198">
        <f t="shared" si="199"/>
        <v>2.8539120901026616E-2</v>
      </c>
      <c r="XEW1664" s="221">
        <v>7990.3701170000004</v>
      </c>
      <c r="XEX1664" s="198">
        <f t="shared" si="200"/>
        <v>-2.1355181525329892E-3</v>
      </c>
    </row>
    <row r="1665" spans="16374:16378" x14ac:dyDescent="0.2">
      <c r="XET1665" s="220">
        <v>43370</v>
      </c>
      <c r="XEU1665" s="221">
        <v>20.501332999999999</v>
      </c>
      <c r="XEV1665" s="198">
        <f t="shared" si="199"/>
        <v>-6.6541606904245709E-3</v>
      </c>
      <c r="XEW1665" s="221">
        <v>8041.9702150000003</v>
      </c>
      <c r="XEX1665" s="198">
        <f t="shared" si="200"/>
        <v>6.4577857151093543E-3</v>
      </c>
    </row>
    <row r="1666" spans="16374:16378" x14ac:dyDescent="0.2">
      <c r="XET1666" s="220">
        <v>43371</v>
      </c>
      <c r="XEU1666" s="221">
        <v>17.651333000000001</v>
      </c>
      <c r="XEV1666" s="198">
        <f t="shared" si="199"/>
        <v>-0.13901535085547845</v>
      </c>
      <c r="XEW1666" s="221">
        <v>8046.3500979999999</v>
      </c>
      <c r="XEX1666" s="198">
        <f t="shared" si="200"/>
        <v>5.4462810516642257E-4</v>
      </c>
    </row>
    <row r="1667" spans="16374:16378" x14ac:dyDescent="0.2">
      <c r="XET1667" s="220">
        <v>43374</v>
      </c>
      <c r="XEU1667" s="221">
        <v>20.713332999999999</v>
      </c>
      <c r="XEV1667" s="198">
        <f t="shared" si="199"/>
        <v>0.17347131800187543</v>
      </c>
      <c r="XEW1667" s="221">
        <v>8037.2998049999997</v>
      </c>
      <c r="XEX1667" s="198">
        <f t="shared" si="200"/>
        <v>-1.1247699751779638E-3</v>
      </c>
    </row>
    <row r="1668" spans="16374:16378" x14ac:dyDescent="0.2">
      <c r="XET1668" s="220">
        <v>43375</v>
      </c>
      <c r="XEU1668" s="221">
        <v>20.068000999999999</v>
      </c>
      <c r="XEV1668" s="198">
        <f t="shared" si="199"/>
        <v>-3.1155391553836398E-2</v>
      </c>
      <c r="XEW1668" s="221">
        <v>7999.5498049999997</v>
      </c>
      <c r="XEX1668" s="198">
        <f t="shared" si="200"/>
        <v>-4.6968510464815427E-3</v>
      </c>
    </row>
    <row r="1669" spans="16374:16378" x14ac:dyDescent="0.2">
      <c r="XET1669" s="220">
        <v>43376</v>
      </c>
      <c r="XEU1669" s="221">
        <v>19.653334000000001</v>
      </c>
      <c r="XEV1669" s="198">
        <f t="shared" si="199"/>
        <v>-2.0663094445729668E-2</v>
      </c>
      <c r="XEW1669" s="221">
        <v>8025.0898440000001</v>
      </c>
      <c r="XEX1669" s="198">
        <f t="shared" si="200"/>
        <v>3.192684541327262E-3</v>
      </c>
    </row>
    <row r="1670" spans="16374:16378" x14ac:dyDescent="0.2">
      <c r="XET1670" s="220">
        <v>43377</v>
      </c>
      <c r="XEU1670" s="221">
        <v>18.788668000000001</v>
      </c>
      <c r="XEV1670" s="198">
        <f t="shared" si="199"/>
        <v>-4.3995894029990046E-2</v>
      </c>
      <c r="XEW1670" s="221">
        <v>7879.5097660000001</v>
      </c>
      <c r="XEX1670" s="198">
        <f t="shared" si="200"/>
        <v>-1.8140616594946146E-2</v>
      </c>
    </row>
    <row r="1671" spans="16374:16378" x14ac:dyDescent="0.2">
      <c r="XET1671" s="220">
        <v>43378</v>
      </c>
      <c r="XEU1671" s="221">
        <v>17.463332999999999</v>
      </c>
      <c r="XEV1671" s="198">
        <f t="shared" si="199"/>
        <v>-7.0539061097891653E-2</v>
      </c>
      <c r="XEW1671" s="221">
        <v>7788.4501950000003</v>
      </c>
      <c r="XEX1671" s="198">
        <f t="shared" si="200"/>
        <v>-1.1556502079979714E-2</v>
      </c>
    </row>
    <row r="1672" spans="16374:16378" x14ac:dyDescent="0.2">
      <c r="XET1672" s="220">
        <v>43381</v>
      </c>
      <c r="XEU1672" s="221">
        <v>16.704000000000001</v>
      </c>
      <c r="XEV1672" s="198">
        <f t="shared" si="199"/>
        <v>-4.3481562196632129E-2</v>
      </c>
      <c r="XEW1672" s="221">
        <v>7735.9501950000003</v>
      </c>
      <c r="XEX1672" s="198">
        <f t="shared" si="200"/>
        <v>-6.7407505582693927E-3</v>
      </c>
    </row>
    <row r="1673" spans="16374:16378" x14ac:dyDescent="0.2">
      <c r="XET1673" s="220">
        <v>43382</v>
      </c>
      <c r="XEU1673" s="221">
        <v>17.52</v>
      </c>
      <c r="XEV1673" s="198">
        <f t="shared" si="199"/>
        <v>4.8850574712643535E-2</v>
      </c>
      <c r="XEW1673" s="221">
        <v>7738.0200199999999</v>
      </c>
      <c r="XEX1673" s="198">
        <f t="shared" si="200"/>
        <v>2.6755924583610202E-4</v>
      </c>
    </row>
    <row r="1674" spans="16374:16378" x14ac:dyDescent="0.2">
      <c r="XET1674" s="220">
        <v>43383</v>
      </c>
      <c r="XEU1674" s="221">
        <v>17.125333999999999</v>
      </c>
      <c r="XEV1674" s="198">
        <f t="shared" si="199"/>
        <v>-2.2526598173515988E-2</v>
      </c>
      <c r="XEW1674" s="221">
        <v>7422.0498049999997</v>
      </c>
      <c r="XEX1674" s="198">
        <f t="shared" si="200"/>
        <v>-4.0833470859900967E-2</v>
      </c>
    </row>
    <row r="1675" spans="16374:16378" x14ac:dyDescent="0.2">
      <c r="XET1675" s="220">
        <v>43384</v>
      </c>
      <c r="XEU1675" s="221">
        <v>16.815332000000001</v>
      </c>
      <c r="XEV1675" s="198">
        <f t="shared" si="199"/>
        <v>-1.8101953515183844E-2</v>
      </c>
      <c r="XEW1675" s="221">
        <v>7329.0600590000004</v>
      </c>
      <c r="XEX1675" s="198">
        <f t="shared" si="200"/>
        <v>-1.2528849636303296E-2</v>
      </c>
    </row>
    <row r="1676" spans="16374:16378" x14ac:dyDescent="0.2">
      <c r="XET1676" s="220">
        <v>43385</v>
      </c>
      <c r="XEU1676" s="221">
        <v>17.252001</v>
      </c>
      <c r="XEV1676" s="198">
        <f t="shared" ref="XEV1676:XEV1739" si="201">XEU1676/XEU1675-1</f>
        <v>2.596850303044862E-2</v>
      </c>
      <c r="XEW1676" s="221">
        <v>7496.8901370000003</v>
      </c>
      <c r="XEX1676" s="198">
        <f t="shared" ref="XEX1676:XEX1739" si="202">XEW1676/XEW1675-1</f>
        <v>2.2899263568444406E-2</v>
      </c>
    </row>
    <row r="1677" spans="16374:16378" x14ac:dyDescent="0.2">
      <c r="XET1677" s="220">
        <v>43388</v>
      </c>
      <c r="XEU1677" s="221">
        <v>17.306000000000001</v>
      </c>
      <c r="XEV1677" s="198">
        <f t="shared" si="201"/>
        <v>3.1300137300016573E-3</v>
      </c>
      <c r="XEW1677" s="221">
        <v>7430.7402339999999</v>
      </c>
      <c r="XEX1677" s="198">
        <f t="shared" si="202"/>
        <v>-8.8236457772704613E-3</v>
      </c>
    </row>
    <row r="1678" spans="16374:16378" x14ac:dyDescent="0.2">
      <c r="XET1678" s="220">
        <v>43389</v>
      </c>
      <c r="XEU1678" s="221">
        <v>18.439333000000001</v>
      </c>
      <c r="XEV1678" s="198">
        <f t="shared" si="201"/>
        <v>6.5487865480180263E-2</v>
      </c>
      <c r="XEW1678" s="221">
        <v>7645.4902339999999</v>
      </c>
      <c r="XEX1678" s="198">
        <f t="shared" si="202"/>
        <v>2.890021629573214E-2</v>
      </c>
    </row>
    <row r="1679" spans="16374:16378" x14ac:dyDescent="0.2">
      <c r="XET1679" s="220">
        <v>43390</v>
      </c>
      <c r="XEU1679" s="221">
        <v>18.118668</v>
      </c>
      <c r="XEV1679" s="198">
        <f t="shared" si="201"/>
        <v>-1.7390271112301181E-2</v>
      </c>
      <c r="XEW1679" s="221">
        <v>7642.7001950000003</v>
      </c>
      <c r="XEX1679" s="198">
        <f t="shared" si="202"/>
        <v>-3.649261086741129E-4</v>
      </c>
    </row>
    <row r="1680" spans="16374:16378" x14ac:dyDescent="0.2">
      <c r="XET1680" s="220">
        <v>43391</v>
      </c>
      <c r="XEU1680" s="221">
        <v>17.594000000000001</v>
      </c>
      <c r="XEV1680" s="198">
        <f t="shared" si="201"/>
        <v>-2.8957316288371615E-2</v>
      </c>
      <c r="XEW1680" s="221">
        <v>7485.1401370000003</v>
      </c>
      <c r="XEX1680" s="198">
        <f t="shared" si="202"/>
        <v>-2.0615758040996912E-2</v>
      </c>
    </row>
    <row r="1681" spans="16374:16378" x14ac:dyDescent="0.2">
      <c r="XET1681" s="220">
        <v>43392</v>
      </c>
      <c r="XEU1681" s="221">
        <v>17.333331999999999</v>
      </c>
      <c r="XEV1681" s="198">
        <f t="shared" si="201"/>
        <v>-1.4815732636126122E-2</v>
      </c>
      <c r="XEW1681" s="221">
        <v>7449.0297849999997</v>
      </c>
      <c r="XEX1681" s="198">
        <f t="shared" si="202"/>
        <v>-4.8242720028048858E-3</v>
      </c>
    </row>
    <row r="1682" spans="16374:16378" x14ac:dyDescent="0.2">
      <c r="XET1682" s="220">
        <v>43395</v>
      </c>
      <c r="XEU1682" s="221">
        <v>17.396667000000001</v>
      </c>
      <c r="XEV1682" s="198">
        <f t="shared" si="201"/>
        <v>3.6539425887649468E-3</v>
      </c>
      <c r="XEW1682" s="221">
        <v>7468.6298829999996</v>
      </c>
      <c r="XEX1682" s="198">
        <f t="shared" si="202"/>
        <v>2.6312283029754635E-3</v>
      </c>
    </row>
    <row r="1683" spans="16374:16378" x14ac:dyDescent="0.2">
      <c r="XET1683" s="220">
        <v>43396</v>
      </c>
      <c r="XEU1683" s="221">
        <v>19.609332999999999</v>
      </c>
      <c r="XEV1683" s="198">
        <f t="shared" si="201"/>
        <v>0.12718907593046413</v>
      </c>
      <c r="XEW1683" s="221">
        <v>7437.5400390000004</v>
      </c>
      <c r="XEX1683" s="198">
        <f t="shared" si="202"/>
        <v>-4.1627238847068426E-3</v>
      </c>
    </row>
    <row r="1684" spans="16374:16378" x14ac:dyDescent="0.2">
      <c r="XET1684" s="220">
        <v>43397</v>
      </c>
      <c r="XEU1684" s="221">
        <v>19.233333999999999</v>
      </c>
      <c r="XEV1684" s="198">
        <f t="shared" si="201"/>
        <v>-1.9174492064569448E-2</v>
      </c>
      <c r="XEW1684" s="221">
        <v>7108.3999020000001</v>
      </c>
      <c r="XEX1684" s="198">
        <f t="shared" si="202"/>
        <v>-4.425389783101652E-2</v>
      </c>
    </row>
    <row r="1685" spans="16374:16378" x14ac:dyDescent="0.2">
      <c r="XET1685" s="220">
        <v>43398</v>
      </c>
      <c r="XEU1685" s="221">
        <v>20.990666999999998</v>
      </c>
      <c r="XEV1685" s="198">
        <f t="shared" si="201"/>
        <v>9.1369130281832467E-2</v>
      </c>
      <c r="XEW1685" s="221">
        <v>7318.3398440000001</v>
      </c>
      <c r="XEX1685" s="198">
        <f t="shared" si="202"/>
        <v>2.9534064612900091E-2</v>
      </c>
    </row>
    <row r="1686" spans="16374:16378" x14ac:dyDescent="0.2">
      <c r="XET1686" s="220">
        <v>43399</v>
      </c>
      <c r="XEU1686" s="221">
        <v>22.059999000000001</v>
      </c>
      <c r="XEV1686" s="198">
        <f t="shared" si="201"/>
        <v>5.0943212047525943E-2</v>
      </c>
      <c r="XEW1686" s="221">
        <v>7167.2099609999996</v>
      </c>
      <c r="XEX1686" s="198">
        <f t="shared" si="202"/>
        <v>-2.0650842434422501E-2</v>
      </c>
    </row>
    <row r="1687" spans="16374:16378" x14ac:dyDescent="0.2">
      <c r="XET1687" s="220">
        <v>43402</v>
      </c>
      <c r="XEU1687" s="221">
        <v>22.323333999999999</v>
      </c>
      <c r="XEV1687" s="198">
        <f t="shared" si="201"/>
        <v>1.1937217222901753E-2</v>
      </c>
      <c r="XEW1687" s="221">
        <v>7050.2900390000004</v>
      </c>
      <c r="XEX1687" s="198">
        <f t="shared" si="202"/>
        <v>-1.6313171043713326E-2</v>
      </c>
    </row>
    <row r="1688" spans="16374:16378" x14ac:dyDescent="0.2">
      <c r="XET1688" s="220">
        <v>43403</v>
      </c>
      <c r="XEU1688" s="221">
        <v>21.993334000000001</v>
      </c>
      <c r="XEV1688" s="198">
        <f t="shared" si="201"/>
        <v>-1.47827380981711E-2</v>
      </c>
      <c r="XEW1688" s="221">
        <v>7161.6499020000001</v>
      </c>
      <c r="XEX1688" s="198">
        <f t="shared" si="202"/>
        <v>1.5795075434342554E-2</v>
      </c>
    </row>
    <row r="1689" spans="16374:16378" x14ac:dyDescent="0.2">
      <c r="XET1689" s="220">
        <v>43404</v>
      </c>
      <c r="XEU1689" s="221">
        <v>22.488001000000001</v>
      </c>
      <c r="XEV1689" s="198">
        <f t="shared" si="201"/>
        <v>2.2491678614984023E-2</v>
      </c>
      <c r="XEW1689" s="221">
        <v>7305.8999020000001</v>
      </c>
      <c r="XEX1689" s="198">
        <f t="shared" si="202"/>
        <v>2.0142006656834299E-2</v>
      </c>
    </row>
    <row r="1690" spans="16374:16378" x14ac:dyDescent="0.2">
      <c r="XET1690" s="220">
        <v>43405</v>
      </c>
      <c r="XEU1690" s="221">
        <v>22.952000000000002</v>
      </c>
      <c r="XEV1690" s="198">
        <f t="shared" si="201"/>
        <v>2.0633181224066988E-2</v>
      </c>
      <c r="XEW1690" s="221">
        <v>7434.0600590000004</v>
      </c>
      <c r="XEX1690" s="198">
        <f t="shared" si="202"/>
        <v>1.7542008338345294E-2</v>
      </c>
    </row>
    <row r="1691" spans="16374:16378" x14ac:dyDescent="0.2">
      <c r="XET1691" s="220">
        <v>43406</v>
      </c>
      <c r="XEU1691" s="221">
        <v>23.094000000000001</v>
      </c>
      <c r="XEV1691" s="198">
        <f t="shared" si="201"/>
        <v>6.1868246775880209E-3</v>
      </c>
      <c r="XEW1691" s="221">
        <v>7356.9902339999999</v>
      </c>
      <c r="XEX1691" s="198">
        <f t="shared" si="202"/>
        <v>-1.0367124342329781E-2</v>
      </c>
    </row>
    <row r="1692" spans="16374:16378" x14ac:dyDescent="0.2">
      <c r="XET1692" s="220">
        <v>43409</v>
      </c>
      <c r="XEU1692" s="221">
        <v>22.76</v>
      </c>
      <c r="XEV1692" s="198">
        <f t="shared" si="201"/>
        <v>-1.4462630986403324E-2</v>
      </c>
      <c r="XEW1692" s="221">
        <v>7328.8500979999999</v>
      </c>
      <c r="XEX1692" s="198">
        <f t="shared" si="202"/>
        <v>-3.8249522025939342E-3</v>
      </c>
    </row>
    <row r="1693" spans="16374:16378" x14ac:dyDescent="0.2">
      <c r="XET1693" s="220">
        <v>43410</v>
      </c>
      <c r="XEU1693" s="221">
        <v>22.737333</v>
      </c>
      <c r="XEV1693" s="198">
        <f t="shared" si="201"/>
        <v>-9.9591388400710468E-4</v>
      </c>
      <c r="XEW1693" s="221">
        <v>7375.9599609999996</v>
      </c>
      <c r="XEX1693" s="198">
        <f t="shared" si="202"/>
        <v>6.4280019880411654E-3</v>
      </c>
    </row>
    <row r="1694" spans="16374:16378" x14ac:dyDescent="0.2">
      <c r="XET1694" s="220">
        <v>43411</v>
      </c>
      <c r="XEU1694" s="221">
        <v>23.210667000000001</v>
      </c>
      <c r="XEV1694" s="198">
        <f t="shared" si="201"/>
        <v>2.0817481100356083E-2</v>
      </c>
      <c r="XEW1694" s="221">
        <v>7570.75</v>
      </c>
      <c r="XEX1694" s="198">
        <f t="shared" si="202"/>
        <v>2.6408771201300141E-2</v>
      </c>
    </row>
    <row r="1695" spans="16374:16378" x14ac:dyDescent="0.2">
      <c r="XET1695" s="220">
        <v>43412</v>
      </c>
      <c r="XEU1695" s="221">
        <v>23.426666000000001</v>
      </c>
      <c r="XEV1695" s="198">
        <f t="shared" si="201"/>
        <v>9.3060229591850341E-3</v>
      </c>
      <c r="XEW1695" s="221">
        <v>7530.8798829999996</v>
      </c>
      <c r="XEX1695" s="198">
        <f t="shared" si="202"/>
        <v>-5.2663364924215861E-3</v>
      </c>
    </row>
    <row r="1696" spans="16374:16378" x14ac:dyDescent="0.2">
      <c r="XET1696" s="220">
        <v>43413</v>
      </c>
      <c r="XEU1696" s="221">
        <v>23.367332000000001</v>
      </c>
      <c r="XEV1696" s="198">
        <f t="shared" si="201"/>
        <v>-2.532754767579859E-3</v>
      </c>
      <c r="XEW1696" s="221">
        <v>7406.8999020000001</v>
      </c>
      <c r="XEX1696" s="198">
        <f t="shared" si="202"/>
        <v>-1.646288122054218E-2</v>
      </c>
    </row>
    <row r="1697" spans="16374:16378" x14ac:dyDescent="0.2">
      <c r="XET1697" s="220">
        <v>43416</v>
      </c>
      <c r="XEU1697" s="221">
        <v>22.085332999999999</v>
      </c>
      <c r="XEV1697" s="198">
        <f t="shared" si="201"/>
        <v>-5.4862874375217641E-2</v>
      </c>
      <c r="XEW1697" s="221">
        <v>7200.8701170000004</v>
      </c>
      <c r="XEX1697" s="198">
        <f t="shared" si="202"/>
        <v>-2.7815926733985918E-2</v>
      </c>
    </row>
    <row r="1698" spans="16374:16378" x14ac:dyDescent="0.2">
      <c r="XET1698" s="220">
        <v>43417</v>
      </c>
      <c r="XEU1698" s="221">
        <v>22.582001000000002</v>
      </c>
      <c r="XEV1698" s="198">
        <f t="shared" si="201"/>
        <v>2.2488590052049728E-2</v>
      </c>
      <c r="XEW1698" s="221">
        <v>7200.8701170000004</v>
      </c>
      <c r="XEX1698" s="198">
        <f t="shared" si="202"/>
        <v>0</v>
      </c>
    </row>
    <row r="1699" spans="16374:16378" x14ac:dyDescent="0.2">
      <c r="XET1699" s="220">
        <v>43418</v>
      </c>
      <c r="XEU1699" s="221">
        <v>22.933332</v>
      </c>
      <c r="XEV1699" s="198">
        <f t="shared" si="201"/>
        <v>1.5558010116109688E-2</v>
      </c>
      <c r="XEW1699" s="221">
        <v>7136.3901370000003</v>
      </c>
      <c r="XEX1699" s="198">
        <f t="shared" si="202"/>
        <v>-8.9544706337327806E-3</v>
      </c>
    </row>
    <row r="1700" spans="16374:16378" x14ac:dyDescent="0.2">
      <c r="XET1700" s="220">
        <v>43419</v>
      </c>
      <c r="XEU1700" s="221">
        <v>23.229334000000001</v>
      </c>
      <c r="XEV1700" s="198">
        <f t="shared" si="201"/>
        <v>1.2907064703899129E-2</v>
      </c>
      <c r="XEW1700" s="221">
        <v>7259.0297849999997</v>
      </c>
      <c r="XEX1700" s="198">
        <f t="shared" si="202"/>
        <v>1.7185109788792285E-2</v>
      </c>
    </row>
    <row r="1701" spans="16374:16378" x14ac:dyDescent="0.2">
      <c r="XET1701" s="220">
        <v>43420</v>
      </c>
      <c r="XEU1701" s="221">
        <v>23.620667000000001</v>
      </c>
      <c r="XEV1701" s="198">
        <f t="shared" si="201"/>
        <v>1.684650106628105E-2</v>
      </c>
      <c r="XEW1701" s="221">
        <v>7247.8701170000004</v>
      </c>
      <c r="XEX1701" s="198">
        <f t="shared" si="202"/>
        <v>-1.5373498016304499E-3</v>
      </c>
    </row>
    <row r="1702" spans="16374:16378" x14ac:dyDescent="0.2">
      <c r="XET1702" s="220">
        <v>43423</v>
      </c>
      <c r="XEU1702" s="221">
        <v>23.564667</v>
      </c>
      <c r="XEV1702" s="198">
        <f t="shared" si="201"/>
        <v>-2.3708051936044416E-3</v>
      </c>
      <c r="XEW1702" s="221">
        <v>7028.4799800000001</v>
      </c>
      <c r="XEX1702" s="198">
        <f t="shared" si="202"/>
        <v>-3.0269601063271923E-2</v>
      </c>
    </row>
    <row r="1703" spans="16374:16378" x14ac:dyDescent="0.2">
      <c r="XET1703" s="220">
        <v>43424</v>
      </c>
      <c r="XEU1703" s="221">
        <v>23.166</v>
      </c>
      <c r="XEV1703" s="198">
        <f t="shared" si="201"/>
        <v>-1.6917998459303529E-2</v>
      </c>
      <c r="XEW1703" s="221">
        <v>6908.8198240000002</v>
      </c>
      <c r="XEX1703" s="198">
        <f t="shared" si="202"/>
        <v>-1.7025040455475593E-2</v>
      </c>
    </row>
    <row r="1704" spans="16374:16378" x14ac:dyDescent="0.2">
      <c r="XET1704" s="220">
        <v>43425</v>
      </c>
      <c r="XEU1704" s="221">
        <v>22.545999999999999</v>
      </c>
      <c r="XEV1704" s="198">
        <f t="shared" si="201"/>
        <v>-2.6763360096693445E-2</v>
      </c>
      <c r="XEW1704" s="221">
        <v>6972.25</v>
      </c>
      <c r="XEX1704" s="198">
        <f t="shared" si="202"/>
        <v>9.1810435958474823E-3</v>
      </c>
    </row>
    <row r="1705" spans="16374:16378" x14ac:dyDescent="0.2">
      <c r="XET1705" s="220">
        <v>43427</v>
      </c>
      <c r="XEU1705" s="221">
        <v>21.722000000000001</v>
      </c>
      <c r="XEV1705" s="198">
        <f t="shared" si="201"/>
        <v>-3.6547502882994687E-2</v>
      </c>
      <c r="XEW1705" s="221">
        <v>6938.9799800000001</v>
      </c>
      <c r="XEX1705" s="198">
        <f t="shared" si="202"/>
        <v>-4.7717766861486988E-3</v>
      </c>
    </row>
    <row r="1706" spans="16374:16378" x14ac:dyDescent="0.2">
      <c r="XET1706" s="220">
        <v>43430</v>
      </c>
      <c r="XEU1706" s="221">
        <v>23.066668</v>
      </c>
      <c r="XEV1706" s="198">
        <f t="shared" si="201"/>
        <v>6.1903507964275795E-2</v>
      </c>
      <c r="XEW1706" s="221">
        <v>7081.8500979999999</v>
      </c>
      <c r="XEX1706" s="198">
        <f t="shared" si="202"/>
        <v>2.058949851588987E-2</v>
      </c>
    </row>
    <row r="1707" spans="16374:16378" x14ac:dyDescent="0.2">
      <c r="XET1707" s="220">
        <v>43431</v>
      </c>
      <c r="XEU1707" s="221">
        <v>22.927999</v>
      </c>
      <c r="XEV1707" s="198">
        <f t="shared" si="201"/>
        <v>-6.0116615022161035E-3</v>
      </c>
      <c r="XEW1707" s="221">
        <v>7082.7001950000003</v>
      </c>
      <c r="XEX1707" s="198">
        <f t="shared" si="202"/>
        <v>1.2003883000022419E-4</v>
      </c>
    </row>
    <row r="1708" spans="16374:16378" x14ac:dyDescent="0.2">
      <c r="XET1708" s="220">
        <v>43432</v>
      </c>
      <c r="XEU1708" s="221">
        <v>23.191334000000001</v>
      </c>
      <c r="XEV1708" s="198">
        <f t="shared" si="201"/>
        <v>1.1485302315304535E-2</v>
      </c>
      <c r="XEW1708" s="221">
        <v>7291.5898440000001</v>
      </c>
      <c r="XEX1708" s="198">
        <f t="shared" si="202"/>
        <v>2.9492939592087319E-2</v>
      </c>
    </row>
    <row r="1709" spans="16374:16378" x14ac:dyDescent="0.2">
      <c r="XET1709" s="220">
        <v>43433</v>
      </c>
      <c r="XEU1709" s="221">
        <v>22.744667</v>
      </c>
      <c r="XEV1709" s="198">
        <f t="shared" si="201"/>
        <v>-1.9260082235890374E-2</v>
      </c>
      <c r="XEW1709" s="221">
        <v>7273.080078</v>
      </c>
      <c r="XEX1709" s="198">
        <f t="shared" si="202"/>
        <v>-2.5385089392035987E-3</v>
      </c>
    </row>
    <row r="1710" spans="16374:16378" x14ac:dyDescent="0.2">
      <c r="XET1710" s="220">
        <v>43434</v>
      </c>
      <c r="XEU1710" s="221">
        <v>23.365334000000001</v>
      </c>
      <c r="XEV1710" s="198">
        <f t="shared" si="201"/>
        <v>2.7288462829550442E-2</v>
      </c>
      <c r="XEW1710" s="221">
        <v>7330.5400390000004</v>
      </c>
      <c r="XEX1710" s="198">
        <f t="shared" si="202"/>
        <v>7.9003613852415278E-3</v>
      </c>
    </row>
    <row r="1711" spans="16374:16378" x14ac:dyDescent="0.2">
      <c r="XET1711" s="220">
        <v>43437</v>
      </c>
      <c r="XEU1711" s="221">
        <v>23.899332000000001</v>
      </c>
      <c r="XEV1711" s="198">
        <f t="shared" si="201"/>
        <v>2.2854284899158639E-2</v>
      </c>
      <c r="XEW1711" s="221">
        <v>7441.5097660000001</v>
      </c>
      <c r="XEX1711" s="198">
        <f t="shared" si="202"/>
        <v>1.5138001621929353E-2</v>
      </c>
    </row>
    <row r="1712" spans="16374:16378" x14ac:dyDescent="0.2">
      <c r="XET1712" s="220">
        <v>43438</v>
      </c>
      <c r="XEU1712" s="221">
        <v>23.98</v>
      </c>
      <c r="XEV1712" s="198">
        <f t="shared" si="201"/>
        <v>3.3753244651355541E-3</v>
      </c>
      <c r="XEW1712" s="221">
        <v>7158.4301759999998</v>
      </c>
      <c r="XEX1712" s="198">
        <f t="shared" si="202"/>
        <v>-3.8040612577488142E-2</v>
      </c>
    </row>
    <row r="1713" spans="16374:16378" x14ac:dyDescent="0.2">
      <c r="XET1713" s="220">
        <v>43440</v>
      </c>
      <c r="XEU1713" s="221">
        <v>24.204000000000001</v>
      </c>
      <c r="XEV1713" s="198">
        <f t="shared" si="201"/>
        <v>9.3411175979982719E-3</v>
      </c>
      <c r="XEW1713" s="221">
        <v>7188.2597660000001</v>
      </c>
      <c r="XEX1713" s="198">
        <f t="shared" si="202"/>
        <v>4.1670574786087933E-3</v>
      </c>
    </row>
    <row r="1714" spans="16374:16378" x14ac:dyDescent="0.2">
      <c r="XET1714" s="220">
        <v>43441</v>
      </c>
      <c r="XEU1714" s="221">
        <v>23.864668000000002</v>
      </c>
      <c r="XEV1714" s="198">
        <f t="shared" si="201"/>
        <v>-1.4019666170880796E-2</v>
      </c>
      <c r="XEW1714" s="221">
        <v>6969.25</v>
      </c>
      <c r="XEX1714" s="198">
        <f t="shared" si="202"/>
        <v>-3.0467703328683537E-2</v>
      </c>
    </row>
    <row r="1715" spans="16374:16378" x14ac:dyDescent="0.2">
      <c r="XET1715" s="220">
        <v>43444</v>
      </c>
      <c r="XEU1715" s="221">
        <v>24.343332</v>
      </c>
      <c r="XEV1715" s="198">
        <f t="shared" si="201"/>
        <v>2.0057433859963947E-2</v>
      </c>
      <c r="XEW1715" s="221">
        <v>7020.5200199999999</v>
      </c>
      <c r="XEX1715" s="198">
        <f t="shared" si="202"/>
        <v>7.3566050866304966E-3</v>
      </c>
    </row>
    <row r="1716" spans="16374:16378" x14ac:dyDescent="0.2">
      <c r="XET1716" s="220">
        <v>43445</v>
      </c>
      <c r="XEU1716" s="221">
        <v>24.450665999999998</v>
      </c>
      <c r="XEV1716" s="198">
        <f t="shared" si="201"/>
        <v>4.4091745534258209E-3</v>
      </c>
      <c r="XEW1716" s="221">
        <v>7031.830078</v>
      </c>
      <c r="XEX1716" s="198">
        <f t="shared" si="202"/>
        <v>1.6110000352935749E-3</v>
      </c>
    </row>
    <row r="1717" spans="16374:16378" x14ac:dyDescent="0.2">
      <c r="XET1717" s="220">
        <v>43446</v>
      </c>
      <c r="XEU1717" s="221">
        <v>24.440000999999999</v>
      </c>
      <c r="XEV1717" s="198">
        <f t="shared" si="201"/>
        <v>-4.3618443767545756E-4</v>
      </c>
      <c r="XEW1717" s="221">
        <v>7098.3100590000004</v>
      </c>
      <c r="XEX1717" s="198">
        <f t="shared" si="202"/>
        <v>9.4541506638494699E-3</v>
      </c>
    </row>
    <row r="1718" spans="16374:16378" x14ac:dyDescent="0.2">
      <c r="XET1718" s="220">
        <v>43447</v>
      </c>
      <c r="XEU1718" s="221">
        <v>25.119333000000001</v>
      </c>
      <c r="XEV1718" s="198">
        <f t="shared" si="201"/>
        <v>2.7795907209660298E-2</v>
      </c>
      <c r="XEW1718" s="221">
        <v>7070.330078</v>
      </c>
      <c r="XEX1718" s="198">
        <f t="shared" si="202"/>
        <v>-3.9417806164333546E-3</v>
      </c>
    </row>
    <row r="1719" spans="16374:16378" x14ac:dyDescent="0.2">
      <c r="XET1719" s="220">
        <v>43448</v>
      </c>
      <c r="XEU1719" s="221">
        <v>24.380666999999999</v>
      </c>
      <c r="XEV1719" s="198">
        <f t="shared" si="201"/>
        <v>-2.9406274442080216E-2</v>
      </c>
      <c r="XEW1719" s="221">
        <v>6910.6601559999999</v>
      </c>
      <c r="XEX1719" s="198">
        <f t="shared" si="202"/>
        <v>-2.2583093043538116E-2</v>
      </c>
    </row>
    <row r="1720" spans="16374:16378" x14ac:dyDescent="0.2">
      <c r="XET1720" s="220">
        <v>43451</v>
      </c>
      <c r="XEU1720" s="221">
        <v>23.228000999999999</v>
      </c>
      <c r="XEV1720" s="198">
        <f t="shared" si="201"/>
        <v>-4.7277869797409555E-2</v>
      </c>
      <c r="XEW1720" s="221">
        <v>6753.7299800000001</v>
      </c>
      <c r="XEX1720" s="198">
        <f t="shared" si="202"/>
        <v>-2.2708420390742168E-2</v>
      </c>
    </row>
    <row r="1721" spans="16374:16378" x14ac:dyDescent="0.2">
      <c r="XET1721" s="220">
        <v>43452</v>
      </c>
      <c r="XEU1721" s="221">
        <v>22.468665999999999</v>
      </c>
      <c r="XEV1721" s="198">
        <f t="shared" si="201"/>
        <v>-3.2690501434023522E-2</v>
      </c>
      <c r="XEW1721" s="221">
        <v>6783.9101559999999</v>
      </c>
      <c r="XEX1721" s="198">
        <f t="shared" si="202"/>
        <v>4.4686678456753448E-3</v>
      </c>
    </row>
    <row r="1722" spans="16374:16378" x14ac:dyDescent="0.2">
      <c r="XET1722" s="220">
        <v>43453</v>
      </c>
      <c r="XEU1722" s="221">
        <v>22.198</v>
      </c>
      <c r="XEV1722" s="198">
        <f t="shared" si="201"/>
        <v>-1.2046376050985796E-2</v>
      </c>
      <c r="XEW1722" s="221">
        <v>6636.830078</v>
      </c>
      <c r="XEX1722" s="198">
        <f t="shared" si="202"/>
        <v>-2.1680723154907322E-2</v>
      </c>
    </row>
    <row r="1723" spans="16374:16378" x14ac:dyDescent="0.2">
      <c r="XET1723" s="220">
        <v>43454</v>
      </c>
      <c r="XEU1723" s="221">
        <v>21.025333</v>
      </c>
      <c r="XEV1723" s="198">
        <f t="shared" si="201"/>
        <v>-5.2827597080818078E-2</v>
      </c>
      <c r="XEW1723" s="221">
        <v>6528.4101559999999</v>
      </c>
      <c r="XEX1723" s="198">
        <f t="shared" si="202"/>
        <v>-1.6336100325876068E-2</v>
      </c>
    </row>
    <row r="1724" spans="16374:16378" x14ac:dyDescent="0.2">
      <c r="XET1724" s="220">
        <v>43455</v>
      </c>
      <c r="XEU1724" s="221">
        <v>21.318000999999999</v>
      </c>
      <c r="XEV1724" s="198">
        <f t="shared" si="201"/>
        <v>1.3919779534526278E-2</v>
      </c>
      <c r="XEW1724" s="221">
        <v>6332.9902339999999</v>
      </c>
      <c r="XEX1724" s="198">
        <f t="shared" si="202"/>
        <v>-2.9933769069395488E-2</v>
      </c>
    </row>
    <row r="1725" spans="16374:16378" x14ac:dyDescent="0.2">
      <c r="XET1725" s="220">
        <v>43458</v>
      </c>
      <c r="XEU1725" s="221">
        <v>19.692667</v>
      </c>
      <c r="XEV1725" s="198">
        <f t="shared" si="201"/>
        <v>-7.6242326848563247E-2</v>
      </c>
      <c r="XEW1725" s="221">
        <v>6192.919922</v>
      </c>
      <c r="XEX1725" s="198">
        <f t="shared" si="202"/>
        <v>-2.2117563240189875E-2</v>
      </c>
    </row>
    <row r="1726" spans="16374:16378" x14ac:dyDescent="0.2">
      <c r="XET1726" s="220">
        <v>43460</v>
      </c>
      <c r="XEU1726" s="221">
        <v>21.739332000000001</v>
      </c>
      <c r="XEV1726" s="198">
        <f t="shared" si="201"/>
        <v>0.10393031070905745</v>
      </c>
      <c r="XEW1726" s="221">
        <v>6554.3598629999997</v>
      </c>
      <c r="XEX1726" s="198">
        <f t="shared" si="202"/>
        <v>5.8363412663549052E-2</v>
      </c>
    </row>
    <row r="1727" spans="16374:16378" x14ac:dyDescent="0.2">
      <c r="XET1727" s="220">
        <v>43461</v>
      </c>
      <c r="XEU1727" s="221">
        <v>21.075333000000001</v>
      </c>
      <c r="XEV1727" s="198">
        <f t="shared" si="201"/>
        <v>-3.0543670799084377E-2</v>
      </c>
      <c r="XEW1727" s="221">
        <v>6579.4902339999999</v>
      </c>
      <c r="XEX1727" s="198">
        <f t="shared" si="202"/>
        <v>3.834145748063511E-3</v>
      </c>
    </row>
    <row r="1728" spans="16374:16378" x14ac:dyDescent="0.2">
      <c r="XET1728" s="220">
        <v>43462</v>
      </c>
      <c r="XEU1728" s="221">
        <v>22.257999000000002</v>
      </c>
      <c r="XEV1728" s="198">
        <f t="shared" si="201"/>
        <v>5.6116124001457157E-2</v>
      </c>
      <c r="XEW1728" s="221">
        <v>6584.5200199999999</v>
      </c>
      <c r="XEX1728" s="198">
        <f t="shared" si="202"/>
        <v>7.6446439178656789E-4</v>
      </c>
    </row>
    <row r="1729" spans="16374:16378" x14ac:dyDescent="0.2">
      <c r="XET1729" s="220">
        <v>43465</v>
      </c>
      <c r="XEU1729" s="221">
        <v>22.186665999999999</v>
      </c>
      <c r="XEV1729" s="198">
        <f t="shared" si="201"/>
        <v>-3.2048253753629297E-3</v>
      </c>
      <c r="XEW1729" s="221">
        <v>6635.2797849999997</v>
      </c>
      <c r="XEX1729" s="198">
        <f t="shared" si="202"/>
        <v>7.7089544637758411E-3</v>
      </c>
    </row>
    <row r="1730" spans="16374:16378" x14ac:dyDescent="0.2">
      <c r="XET1730" s="220">
        <v>43467</v>
      </c>
      <c r="XEU1730" s="221">
        <v>20.674666999999999</v>
      </c>
      <c r="XEV1730" s="198">
        <f t="shared" si="201"/>
        <v>-6.8148995437169346E-2</v>
      </c>
      <c r="XEW1730" s="221">
        <v>6665.9399409999996</v>
      </c>
      <c r="XEX1730" s="198">
        <f t="shared" si="202"/>
        <v>4.6207781726570474E-3</v>
      </c>
    </row>
    <row r="1731" spans="16374:16378" x14ac:dyDescent="0.2">
      <c r="XET1731" s="220">
        <v>43468</v>
      </c>
      <c r="XEU1731" s="221">
        <v>20.024000000000001</v>
      </c>
      <c r="XEV1731" s="198">
        <f t="shared" si="201"/>
        <v>-3.1471703994071509E-2</v>
      </c>
      <c r="XEW1731" s="221">
        <v>6463.5</v>
      </c>
      <c r="XEX1731" s="198">
        <f t="shared" si="202"/>
        <v>-3.0369301672650617E-2</v>
      </c>
    </row>
    <row r="1732" spans="16374:16378" x14ac:dyDescent="0.2">
      <c r="XET1732" s="220">
        <v>43469</v>
      </c>
      <c r="XEU1732" s="221">
        <v>21.179333</v>
      </c>
      <c r="XEV1732" s="198">
        <f t="shared" si="201"/>
        <v>5.7697413104274897E-2</v>
      </c>
      <c r="XEW1732" s="221">
        <v>6738.8598629999997</v>
      </c>
      <c r="XEX1732" s="198">
        <f t="shared" si="202"/>
        <v>4.2602284056625583E-2</v>
      </c>
    </row>
    <row r="1733" spans="16374:16378" x14ac:dyDescent="0.2">
      <c r="XET1733" s="220">
        <v>43472</v>
      </c>
      <c r="XEU1733" s="221">
        <v>22.330666999999998</v>
      </c>
      <c r="XEV1733" s="198">
        <f t="shared" si="201"/>
        <v>5.4361202026522726E-2</v>
      </c>
      <c r="XEW1733" s="221">
        <v>6823.4702150000003</v>
      </c>
      <c r="XEX1733" s="198">
        <f t="shared" si="202"/>
        <v>1.2555588589185041E-2</v>
      </c>
    </row>
    <row r="1734" spans="16374:16378" x14ac:dyDescent="0.2">
      <c r="XET1734" s="220">
        <v>43473</v>
      </c>
      <c r="XEU1734" s="221">
        <v>22.356667000000002</v>
      </c>
      <c r="XEV1734" s="198">
        <f t="shared" si="201"/>
        <v>1.1643181101577138E-3</v>
      </c>
      <c r="XEW1734" s="221">
        <v>6897</v>
      </c>
      <c r="XEX1734" s="198">
        <f t="shared" si="202"/>
        <v>1.0776010253310542E-2</v>
      </c>
    </row>
    <row r="1735" spans="16374:16378" x14ac:dyDescent="0.2">
      <c r="XET1735" s="220">
        <v>43474</v>
      </c>
      <c r="XEU1735" s="221">
        <v>22.568666</v>
      </c>
      <c r="XEV1735" s="198">
        <f t="shared" si="201"/>
        <v>9.482585217197137E-3</v>
      </c>
      <c r="XEW1735" s="221">
        <v>6957.080078</v>
      </c>
      <c r="XEX1735" s="198">
        <f t="shared" si="202"/>
        <v>8.7110450920691029E-3</v>
      </c>
    </row>
    <row r="1736" spans="16374:16378" x14ac:dyDescent="0.2">
      <c r="XET1736" s="220">
        <v>43475</v>
      </c>
      <c r="XEU1736" s="221">
        <v>22.997999</v>
      </c>
      <c r="XEV1736" s="198">
        <f t="shared" si="201"/>
        <v>1.9023410599456669E-2</v>
      </c>
      <c r="XEW1736" s="221">
        <v>6986.0698240000002</v>
      </c>
      <c r="XEX1736" s="198">
        <f t="shared" si="202"/>
        <v>4.1669415437193269E-3</v>
      </c>
    </row>
    <row r="1737" spans="16374:16378" x14ac:dyDescent="0.2">
      <c r="XET1737" s="220">
        <v>43476</v>
      </c>
      <c r="XEU1737" s="221">
        <v>23.150666999999999</v>
      </c>
      <c r="XEV1737" s="198">
        <f t="shared" si="201"/>
        <v>6.6383166639845115E-3</v>
      </c>
      <c r="XEW1737" s="221">
        <v>6971.4799800000001</v>
      </c>
      <c r="XEX1737" s="198">
        <f t="shared" si="202"/>
        <v>-2.0884194357574382E-3</v>
      </c>
    </row>
    <row r="1738" spans="16374:16378" x14ac:dyDescent="0.2">
      <c r="XET1738" s="220">
        <v>43479</v>
      </c>
      <c r="XEU1738" s="221">
        <v>22.293333000000001</v>
      </c>
      <c r="XEV1738" s="198">
        <f t="shared" si="201"/>
        <v>-3.7032799098185687E-2</v>
      </c>
      <c r="XEW1738" s="221">
        <v>6905.919922</v>
      </c>
      <c r="XEX1738" s="198">
        <f t="shared" si="202"/>
        <v>-9.4040373332607841E-3</v>
      </c>
    </row>
    <row r="1739" spans="16374:16378" x14ac:dyDescent="0.2">
      <c r="XET1739" s="220">
        <v>43480</v>
      </c>
      <c r="XEU1739" s="221">
        <v>22.962</v>
      </c>
      <c r="XEV1739" s="198">
        <f t="shared" si="201"/>
        <v>2.999403453938454E-2</v>
      </c>
      <c r="XEW1739" s="221">
        <v>7023.830078</v>
      </c>
      <c r="XEX1739" s="198">
        <f t="shared" si="202"/>
        <v>1.7073779790636845E-2</v>
      </c>
    </row>
    <row r="1740" spans="16374:16378" x14ac:dyDescent="0.2">
      <c r="XET1740" s="220">
        <v>43481</v>
      </c>
      <c r="XEU1740" s="221">
        <v>23.07</v>
      </c>
      <c r="XEV1740" s="198">
        <f t="shared" ref="XEV1740:XEV1803" si="203">XEU1740/XEU1739-1</f>
        <v>4.7034230467728477E-3</v>
      </c>
      <c r="XEW1740" s="221">
        <v>7034.6899409999996</v>
      </c>
      <c r="XEX1740" s="198">
        <f t="shared" ref="XEX1740:XEX1803" si="204">XEW1740/XEW1739-1</f>
        <v>1.5461454618634907E-3</v>
      </c>
    </row>
    <row r="1741" spans="16374:16378" x14ac:dyDescent="0.2">
      <c r="XET1741" s="220">
        <v>43482</v>
      </c>
      <c r="XEU1741" s="221">
        <v>23.153998999999999</v>
      </c>
      <c r="XEV1741" s="198">
        <f t="shared" si="203"/>
        <v>3.6410489813609725E-3</v>
      </c>
      <c r="XEW1741" s="221">
        <v>7084.4599609999996</v>
      </c>
      <c r="XEX1741" s="198">
        <f t="shared" si="204"/>
        <v>7.0749415279738326E-3</v>
      </c>
    </row>
    <row r="1742" spans="16374:16378" x14ac:dyDescent="0.2">
      <c r="XET1742" s="220">
        <v>43483</v>
      </c>
      <c r="XEU1742" s="221">
        <v>20.150666999999999</v>
      </c>
      <c r="XEV1742" s="198">
        <f t="shared" si="203"/>
        <v>-0.1297111570230266</v>
      </c>
      <c r="XEW1742" s="221">
        <v>7157.2299800000001</v>
      </c>
      <c r="XEX1742" s="198">
        <f t="shared" si="204"/>
        <v>1.0271780686262666E-2</v>
      </c>
    </row>
    <row r="1743" spans="16374:16378" x14ac:dyDescent="0.2">
      <c r="XET1743" s="220">
        <v>43487</v>
      </c>
      <c r="XEU1743" s="221">
        <v>19.927999</v>
      </c>
      <c r="XEV1743" s="198">
        <f t="shared" si="203"/>
        <v>-1.1050155312476662E-2</v>
      </c>
      <c r="XEW1743" s="221">
        <v>7020.3598629999997</v>
      </c>
      <c r="XEX1743" s="198">
        <f t="shared" si="204"/>
        <v>-1.9123336455928786E-2</v>
      </c>
    </row>
    <row r="1744" spans="16374:16378" x14ac:dyDescent="0.2">
      <c r="XET1744" s="220">
        <v>43488</v>
      </c>
      <c r="XEU1744" s="221">
        <v>19.172667000000001</v>
      </c>
      <c r="XEV1744" s="198">
        <f t="shared" si="203"/>
        <v>-3.7903052885540522E-2</v>
      </c>
      <c r="XEW1744" s="221">
        <v>7025.7700199999999</v>
      </c>
      <c r="XEX1744" s="198">
        <f t="shared" si="204"/>
        <v>7.7063813046307494E-4</v>
      </c>
    </row>
    <row r="1745" spans="16374:16378" x14ac:dyDescent="0.2">
      <c r="XET1745" s="220">
        <v>43489</v>
      </c>
      <c r="XEU1745" s="221">
        <v>19.434000000000001</v>
      </c>
      <c r="XEV1745" s="198">
        <f t="shared" si="203"/>
        <v>1.3630498041821815E-2</v>
      </c>
      <c r="XEW1745" s="221">
        <v>7073.4599609999996</v>
      </c>
      <c r="XEX1745" s="198">
        <f t="shared" si="204"/>
        <v>6.787859674347807E-3</v>
      </c>
    </row>
    <row r="1746" spans="16374:16378" x14ac:dyDescent="0.2">
      <c r="XET1746" s="220">
        <v>43490</v>
      </c>
      <c r="XEU1746" s="221">
        <v>19.802668000000001</v>
      </c>
      <c r="XEV1746" s="198">
        <f t="shared" si="203"/>
        <v>1.8970258310178068E-2</v>
      </c>
      <c r="XEW1746" s="221">
        <v>7164.8598629999997</v>
      </c>
      <c r="XEX1746" s="198">
        <f t="shared" si="204"/>
        <v>1.2921526735705013E-2</v>
      </c>
    </row>
    <row r="1747" spans="16374:16378" x14ac:dyDescent="0.2">
      <c r="XET1747" s="220">
        <v>43493</v>
      </c>
      <c r="XEU1747" s="221">
        <v>19.758666999999999</v>
      </c>
      <c r="XEV1747" s="198">
        <f t="shared" si="203"/>
        <v>-2.2219733219787097E-3</v>
      </c>
      <c r="XEW1747" s="221">
        <v>7085.6801759999998</v>
      </c>
      <c r="XEX1747" s="198">
        <f t="shared" si="204"/>
        <v>-1.1051114538735196E-2</v>
      </c>
    </row>
    <row r="1748" spans="16374:16378" x14ac:dyDescent="0.2">
      <c r="XET1748" s="220">
        <v>43494</v>
      </c>
      <c r="XEU1748" s="221">
        <v>19.830666999999998</v>
      </c>
      <c r="XEV1748" s="198">
        <f t="shared" si="203"/>
        <v>3.6439705168369585E-3</v>
      </c>
      <c r="XEW1748" s="221">
        <v>7028.2900390000004</v>
      </c>
      <c r="XEX1748" s="198">
        <f t="shared" si="204"/>
        <v>-8.0994534856916323E-3</v>
      </c>
    </row>
    <row r="1749" spans="16374:16378" x14ac:dyDescent="0.2">
      <c r="XET1749" s="220">
        <v>43495</v>
      </c>
      <c r="XEU1749" s="221">
        <v>20.584667</v>
      </c>
      <c r="XEV1749" s="198">
        <f t="shared" si="203"/>
        <v>3.8021918274357747E-2</v>
      </c>
      <c r="XEW1749" s="221">
        <v>7183.080078</v>
      </c>
      <c r="XEX1749" s="198">
        <f t="shared" si="204"/>
        <v>2.2023854755718553E-2</v>
      </c>
    </row>
    <row r="1750" spans="16374:16378" x14ac:dyDescent="0.2">
      <c r="XET1750" s="220">
        <v>43496</v>
      </c>
      <c r="XEU1750" s="221">
        <v>20.468</v>
      </c>
      <c r="XEV1750" s="198">
        <f t="shared" si="203"/>
        <v>-5.6676651606751838E-3</v>
      </c>
      <c r="XEW1750" s="221">
        <v>7281.7402339999999</v>
      </c>
      <c r="XEX1750" s="198">
        <f t="shared" si="204"/>
        <v>1.3735076725953865E-2</v>
      </c>
    </row>
    <row r="1751" spans="16374:16378" x14ac:dyDescent="0.2">
      <c r="XET1751" s="220">
        <v>43497</v>
      </c>
      <c r="XEU1751" s="221">
        <v>20.813998999999999</v>
      </c>
      <c r="XEV1751" s="198">
        <f t="shared" si="203"/>
        <v>1.6904387336329929E-2</v>
      </c>
      <c r="XEW1751" s="221">
        <v>7263.8701170000004</v>
      </c>
      <c r="XEX1751" s="198">
        <f t="shared" si="204"/>
        <v>-2.4540997654050045E-3</v>
      </c>
    </row>
    <row r="1752" spans="16374:16378" x14ac:dyDescent="0.2">
      <c r="XET1752" s="220">
        <v>43500</v>
      </c>
      <c r="XEU1752" s="221">
        <v>20.859332999999999</v>
      </c>
      <c r="XEV1752" s="198">
        <f t="shared" si="203"/>
        <v>2.1780533380442169E-3</v>
      </c>
      <c r="XEW1752" s="221">
        <v>7347.5400390000004</v>
      </c>
      <c r="XEX1752" s="198">
        <f t="shared" si="204"/>
        <v>1.1518642356253439E-2</v>
      </c>
    </row>
    <row r="1753" spans="16374:16378" x14ac:dyDescent="0.2">
      <c r="XET1753" s="220">
        <v>43501</v>
      </c>
      <c r="XEU1753" s="221">
        <v>21.423331999999998</v>
      </c>
      <c r="XEV1753" s="198">
        <f t="shared" si="203"/>
        <v>2.7038208748093595E-2</v>
      </c>
      <c r="XEW1753" s="221">
        <v>7402.080078</v>
      </c>
      <c r="XEX1753" s="198">
        <f t="shared" si="204"/>
        <v>7.4228978284578417E-3</v>
      </c>
    </row>
    <row r="1754" spans="16374:16378" x14ac:dyDescent="0.2">
      <c r="XET1754" s="220">
        <v>43502</v>
      </c>
      <c r="XEU1754" s="221">
        <v>21.148001000000001</v>
      </c>
      <c r="XEV1754" s="198">
        <f t="shared" si="203"/>
        <v>-1.285192238070143E-2</v>
      </c>
      <c r="XEW1754" s="221">
        <v>7375.2797849999997</v>
      </c>
      <c r="XEX1754" s="198">
        <f t="shared" si="204"/>
        <v>-3.6206434836680845E-3</v>
      </c>
    </row>
    <row r="1755" spans="16374:16378" x14ac:dyDescent="0.2">
      <c r="XET1755" s="220">
        <v>43503</v>
      </c>
      <c r="XEU1755" s="221">
        <v>20.500668000000001</v>
      </c>
      <c r="XEV1755" s="198">
        <f t="shared" si="203"/>
        <v>-3.0609654312008017E-2</v>
      </c>
      <c r="XEW1755" s="221">
        <v>7288.3500979999999</v>
      </c>
      <c r="XEX1755" s="198">
        <f t="shared" si="204"/>
        <v>-1.1786629054642672E-2</v>
      </c>
    </row>
    <row r="1756" spans="16374:16378" x14ac:dyDescent="0.2">
      <c r="XET1756" s="220">
        <v>43504</v>
      </c>
      <c r="XEU1756" s="221">
        <v>20.386666999999999</v>
      </c>
      <c r="XEV1756" s="198">
        <f t="shared" si="203"/>
        <v>-5.5608431881342124E-3</v>
      </c>
      <c r="XEW1756" s="221">
        <v>7298.2001950000003</v>
      </c>
      <c r="XEX1756" s="198">
        <f t="shared" si="204"/>
        <v>1.3514851602289824E-3</v>
      </c>
    </row>
    <row r="1757" spans="16374:16378" x14ac:dyDescent="0.2">
      <c r="XET1757" s="220">
        <v>43507</v>
      </c>
      <c r="XEU1757" s="221">
        <v>20.856000999999999</v>
      </c>
      <c r="XEV1757" s="198">
        <f t="shared" si="203"/>
        <v>2.3021615058508527E-2</v>
      </c>
      <c r="XEW1757" s="221">
        <v>7307.8999020000001</v>
      </c>
      <c r="XEX1757" s="198">
        <f t="shared" si="204"/>
        <v>1.3290546629078914E-3</v>
      </c>
    </row>
    <row r="1758" spans="16374:16378" x14ac:dyDescent="0.2">
      <c r="XET1758" s="220">
        <v>43508</v>
      </c>
      <c r="XEU1758" s="221">
        <v>20.787333</v>
      </c>
      <c r="XEV1758" s="198">
        <f t="shared" si="203"/>
        <v>-3.292481621956167E-3</v>
      </c>
      <c r="XEW1758" s="221">
        <v>7414.6201170000004</v>
      </c>
      <c r="XEX1758" s="198">
        <f t="shared" si="204"/>
        <v>1.4603404046461099E-2</v>
      </c>
    </row>
    <row r="1759" spans="16374:16378" x14ac:dyDescent="0.2">
      <c r="XET1759" s="220">
        <v>43509</v>
      </c>
      <c r="XEU1759" s="221">
        <v>20.544665999999999</v>
      </c>
      <c r="XEV1759" s="198">
        <f t="shared" si="203"/>
        <v>-1.1673791919338594E-2</v>
      </c>
      <c r="XEW1759" s="221">
        <v>7420.3798829999996</v>
      </c>
      <c r="XEX1759" s="198">
        <f t="shared" si="204"/>
        <v>7.7681201587020965E-4</v>
      </c>
    </row>
    <row r="1760" spans="16374:16378" x14ac:dyDescent="0.2">
      <c r="XET1760" s="220">
        <v>43510</v>
      </c>
      <c r="XEU1760" s="221">
        <v>20.251332999999999</v>
      </c>
      <c r="XEV1760" s="198">
        <f t="shared" si="203"/>
        <v>-1.4277817901736656E-2</v>
      </c>
      <c r="XEW1760" s="221">
        <v>7426.9501950000003</v>
      </c>
      <c r="XEX1760" s="198">
        <f t="shared" si="204"/>
        <v>8.8544146035607341E-4</v>
      </c>
    </row>
    <row r="1761" spans="16374:16378" x14ac:dyDescent="0.2">
      <c r="XET1761" s="220">
        <v>43511</v>
      </c>
      <c r="XEU1761" s="221">
        <v>20.525333</v>
      </c>
      <c r="XEV1761" s="198">
        <f t="shared" si="203"/>
        <v>1.3529973557790065E-2</v>
      </c>
      <c r="XEW1761" s="221">
        <v>7472.4101559999999</v>
      </c>
      <c r="XEX1761" s="198">
        <f t="shared" si="204"/>
        <v>6.1209459881128581E-3</v>
      </c>
    </row>
    <row r="1762" spans="16374:16378" x14ac:dyDescent="0.2">
      <c r="XET1762" s="220">
        <v>43515</v>
      </c>
      <c r="XEU1762" s="221">
        <v>20.375999</v>
      </c>
      <c r="XEV1762" s="198">
        <f t="shared" si="203"/>
        <v>-7.2755945055800186E-3</v>
      </c>
      <c r="XEW1762" s="221">
        <v>7486.7700199999999</v>
      </c>
      <c r="XEX1762" s="198">
        <f t="shared" si="204"/>
        <v>1.9217178527692891E-3</v>
      </c>
    </row>
    <row r="1763" spans="16374:16378" x14ac:dyDescent="0.2">
      <c r="XET1763" s="220">
        <v>43516</v>
      </c>
      <c r="XEU1763" s="221">
        <v>20.170667999999999</v>
      </c>
      <c r="XEV1763" s="198">
        <f t="shared" si="203"/>
        <v>-1.0077101004961841E-2</v>
      </c>
      <c r="XEW1763" s="221">
        <v>7489.0698240000002</v>
      </c>
      <c r="XEX1763" s="198">
        <f t="shared" si="204"/>
        <v>3.0718240227178839E-4</v>
      </c>
    </row>
    <row r="1764" spans="16374:16378" x14ac:dyDescent="0.2">
      <c r="XET1764" s="220">
        <v>43517</v>
      </c>
      <c r="XEU1764" s="221">
        <v>19.415333</v>
      </c>
      <c r="XEV1764" s="198">
        <f t="shared" si="203"/>
        <v>-3.7447198079904931E-2</v>
      </c>
      <c r="XEW1764" s="221">
        <v>7459.7099609999996</v>
      </c>
      <c r="XEX1764" s="198">
        <f t="shared" si="204"/>
        <v>-3.9203617658780665E-3</v>
      </c>
    </row>
    <row r="1765" spans="16374:16378" x14ac:dyDescent="0.2">
      <c r="XET1765" s="220">
        <v>43518</v>
      </c>
      <c r="XEU1765" s="221">
        <v>19.647333</v>
      </c>
      <c r="XEV1765" s="198">
        <f t="shared" si="203"/>
        <v>1.1949318613283522E-2</v>
      </c>
      <c r="XEW1765" s="221">
        <v>7527.5400390000004</v>
      </c>
      <c r="XEX1765" s="198">
        <f t="shared" si="204"/>
        <v>9.0928572765727189E-3</v>
      </c>
    </row>
    <row r="1766" spans="16374:16378" x14ac:dyDescent="0.2">
      <c r="XET1766" s="220">
        <v>43521</v>
      </c>
      <c r="XEU1766" s="221">
        <v>19.917998999999998</v>
      </c>
      <c r="XEV1766" s="198">
        <f t="shared" si="203"/>
        <v>1.3776220925252325E-2</v>
      </c>
      <c r="XEW1766" s="221">
        <v>7554.4599609999996</v>
      </c>
      <c r="XEX1766" s="198">
        <f t="shared" si="204"/>
        <v>3.5761911408678237E-3</v>
      </c>
    </row>
    <row r="1767" spans="16374:16378" x14ac:dyDescent="0.2">
      <c r="XET1767" s="220">
        <v>43522</v>
      </c>
      <c r="XEU1767" s="221">
        <v>19.857332</v>
      </c>
      <c r="XEV1767" s="198">
        <f t="shared" si="203"/>
        <v>-3.0458380884544889E-3</v>
      </c>
      <c r="XEW1767" s="221">
        <v>7549.2998049999997</v>
      </c>
      <c r="XEX1767" s="198">
        <f t="shared" si="204"/>
        <v>-6.8306087088143563E-4</v>
      </c>
    </row>
    <row r="1768" spans="16374:16378" x14ac:dyDescent="0.2">
      <c r="XET1768" s="220">
        <v>43523</v>
      </c>
      <c r="XEU1768" s="221">
        <v>20.982668</v>
      </c>
      <c r="XEV1768" s="198">
        <f t="shared" si="203"/>
        <v>5.6671057320288654E-2</v>
      </c>
      <c r="XEW1768" s="221">
        <v>7554.5097660000001</v>
      </c>
      <c r="XEX1768" s="198">
        <f t="shared" si="204"/>
        <v>6.9012506253218753E-4</v>
      </c>
    </row>
    <row r="1769" spans="16374:16378" x14ac:dyDescent="0.2">
      <c r="XET1769" s="220">
        <v>43524</v>
      </c>
      <c r="XEU1769" s="221">
        <v>21.325333000000001</v>
      </c>
      <c r="XEV1769" s="198">
        <f t="shared" si="203"/>
        <v>1.6330859354968696E-2</v>
      </c>
      <c r="XEW1769" s="221">
        <v>7532.5297849999997</v>
      </c>
      <c r="XEX1769" s="198">
        <f t="shared" si="204"/>
        <v>-2.9095178483882211E-3</v>
      </c>
    </row>
    <row r="1770" spans="16374:16378" x14ac:dyDescent="0.2">
      <c r="XET1770" s="220">
        <v>43525</v>
      </c>
      <c r="XEU1770" s="221">
        <v>19.652666</v>
      </c>
      <c r="XEV1770" s="198">
        <f t="shared" si="203"/>
        <v>-7.8435680230644067E-2</v>
      </c>
      <c r="XEW1770" s="221">
        <v>7595.3500979999999</v>
      </c>
      <c r="XEX1770" s="198">
        <f t="shared" si="204"/>
        <v>8.3398691798204361E-3</v>
      </c>
    </row>
    <row r="1771" spans="16374:16378" x14ac:dyDescent="0.2">
      <c r="XET1771" s="220">
        <v>43528</v>
      </c>
      <c r="XEU1771" s="221">
        <v>19.024000000000001</v>
      </c>
      <c r="XEV1771" s="198">
        <f t="shared" si="203"/>
        <v>-3.1988840598013435E-2</v>
      </c>
      <c r="XEW1771" s="221">
        <v>7577.5698240000002</v>
      </c>
      <c r="XEX1771" s="198">
        <f t="shared" si="204"/>
        <v>-2.3409419935338516E-3</v>
      </c>
    </row>
    <row r="1772" spans="16374:16378" x14ac:dyDescent="0.2">
      <c r="XET1772" s="220">
        <v>43529</v>
      </c>
      <c r="XEU1772" s="221">
        <v>18.436001000000001</v>
      </c>
      <c r="XEV1772" s="198">
        <f t="shared" si="203"/>
        <v>-3.0908273759461702E-2</v>
      </c>
      <c r="XEW1772" s="221">
        <v>7576.3598629999997</v>
      </c>
      <c r="XEX1772" s="198">
        <f t="shared" si="204"/>
        <v>-1.5967665466676273E-4</v>
      </c>
    </row>
    <row r="1773" spans="16374:16378" x14ac:dyDescent="0.2">
      <c r="XET1773" s="220">
        <v>43530</v>
      </c>
      <c r="XEU1773" s="221">
        <v>18.416</v>
      </c>
      <c r="XEV1773" s="198">
        <f t="shared" si="203"/>
        <v>-1.0848882032497009E-3</v>
      </c>
      <c r="XEW1773" s="221">
        <v>7505.919922</v>
      </c>
      <c r="XEX1773" s="198">
        <f t="shared" si="204"/>
        <v>-9.297333056208279E-3</v>
      </c>
    </row>
    <row r="1774" spans="16374:16378" x14ac:dyDescent="0.2">
      <c r="XET1774" s="220">
        <v>43531</v>
      </c>
      <c r="XEU1774" s="221">
        <v>18.439333000000001</v>
      </c>
      <c r="XEV1774" s="198">
        <f t="shared" si="203"/>
        <v>1.2669960903561872E-3</v>
      </c>
      <c r="XEW1774" s="221">
        <v>7421.4599609999996</v>
      </c>
      <c r="XEX1774" s="198">
        <f t="shared" si="204"/>
        <v>-1.1252446319397369E-2</v>
      </c>
    </row>
    <row r="1775" spans="16374:16378" x14ac:dyDescent="0.2">
      <c r="XET1775" s="220">
        <v>43532</v>
      </c>
      <c r="XEU1775" s="221">
        <v>18.942667</v>
      </c>
      <c r="XEV1775" s="198">
        <f t="shared" si="203"/>
        <v>2.7296757426095608E-2</v>
      </c>
      <c r="XEW1775" s="221">
        <v>7408.1401370000003</v>
      </c>
      <c r="XEX1775" s="198">
        <f t="shared" si="204"/>
        <v>-1.79477138864792E-3</v>
      </c>
    </row>
    <row r="1776" spans="16374:16378" x14ac:dyDescent="0.2">
      <c r="XET1776" s="220">
        <v>43535</v>
      </c>
      <c r="XEU1776" s="221">
        <v>19.394666999999998</v>
      </c>
      <c r="XEV1776" s="198">
        <f t="shared" si="203"/>
        <v>2.3861476316930252E-2</v>
      </c>
      <c r="XEW1776" s="221">
        <v>7558.0600590000004</v>
      </c>
      <c r="XEX1776" s="198">
        <f t="shared" si="204"/>
        <v>2.0237187637855758E-2</v>
      </c>
    </row>
    <row r="1777" spans="16374:16378" x14ac:dyDescent="0.2">
      <c r="XET1777" s="220">
        <v>43536</v>
      </c>
      <c r="XEU1777" s="221">
        <v>18.890667000000001</v>
      </c>
      <c r="XEV1777" s="198">
        <f t="shared" si="203"/>
        <v>-2.5986525058666832E-2</v>
      </c>
      <c r="XEW1777" s="221">
        <v>7591.0297849999997</v>
      </c>
      <c r="XEX1777" s="198">
        <f t="shared" si="204"/>
        <v>4.3621942327303209E-3</v>
      </c>
    </row>
    <row r="1778" spans="16374:16378" x14ac:dyDescent="0.2">
      <c r="XET1778" s="220">
        <v>43537</v>
      </c>
      <c r="XEU1778" s="221">
        <v>19.263999999999999</v>
      </c>
      <c r="XEV1778" s="198">
        <f t="shared" si="203"/>
        <v>1.9762827855681175E-2</v>
      </c>
      <c r="XEW1778" s="221">
        <v>7643.4101559999999</v>
      </c>
      <c r="XEX1778" s="198">
        <f t="shared" si="204"/>
        <v>6.9002984421830948E-3</v>
      </c>
    </row>
    <row r="1779" spans="16374:16378" x14ac:dyDescent="0.2">
      <c r="XET1779" s="220">
        <v>43538</v>
      </c>
      <c r="XEU1779" s="221">
        <v>19.330666999999998</v>
      </c>
      <c r="XEV1779" s="198">
        <f t="shared" si="203"/>
        <v>3.460703903654494E-3</v>
      </c>
      <c r="XEW1779" s="221">
        <v>7630.9101559999999</v>
      </c>
      <c r="XEX1779" s="198">
        <f t="shared" si="204"/>
        <v>-1.6353956865952091E-3</v>
      </c>
    </row>
    <row r="1780" spans="16374:16378" x14ac:dyDescent="0.2">
      <c r="XET1780" s="220">
        <v>43539</v>
      </c>
      <c r="XEU1780" s="221">
        <v>18.361999999999998</v>
      </c>
      <c r="XEV1780" s="198">
        <f t="shared" si="203"/>
        <v>-5.0110376429328585E-2</v>
      </c>
      <c r="XEW1780" s="221">
        <v>7688.5297849999997</v>
      </c>
      <c r="XEX1780" s="198">
        <f t="shared" si="204"/>
        <v>7.550819996838154E-3</v>
      </c>
    </row>
    <row r="1781" spans="16374:16378" x14ac:dyDescent="0.2">
      <c r="XET1781" s="220">
        <v>43542</v>
      </c>
      <c r="XEU1781" s="221">
        <v>17.966000000000001</v>
      </c>
      <c r="XEV1781" s="198">
        <f t="shared" si="203"/>
        <v>-2.1566278183204335E-2</v>
      </c>
      <c r="XEW1781" s="221">
        <v>7714.4799800000001</v>
      </c>
      <c r="XEX1781" s="198">
        <f t="shared" si="204"/>
        <v>3.3751829967061386E-3</v>
      </c>
    </row>
    <row r="1782" spans="16374:16378" x14ac:dyDescent="0.2">
      <c r="XET1782" s="220">
        <v>43543</v>
      </c>
      <c r="XEU1782" s="221">
        <v>17.831333000000001</v>
      </c>
      <c r="XEV1782" s="198">
        <f t="shared" si="203"/>
        <v>-7.4956584659913172E-3</v>
      </c>
      <c r="XEW1782" s="221">
        <v>7723.9501950000003</v>
      </c>
      <c r="XEX1782" s="198">
        <f t="shared" si="204"/>
        <v>1.2275895490754252E-3</v>
      </c>
    </row>
    <row r="1783" spans="16374:16378" x14ac:dyDescent="0.2">
      <c r="XET1783" s="220">
        <v>43544</v>
      </c>
      <c r="XEU1783" s="221">
        <v>18.239999999999998</v>
      </c>
      <c r="XEV1783" s="198">
        <f t="shared" si="203"/>
        <v>2.2918477266954618E-2</v>
      </c>
      <c r="XEW1783" s="221">
        <v>7728.9702150000003</v>
      </c>
      <c r="XEX1783" s="198">
        <f t="shared" si="204"/>
        <v>6.499291001706986E-4</v>
      </c>
    </row>
    <row r="1784" spans="16374:16378" x14ac:dyDescent="0.2">
      <c r="XET1784" s="220">
        <v>43545</v>
      </c>
      <c r="XEU1784" s="221">
        <v>18.268000000000001</v>
      </c>
      <c r="XEV1784" s="198">
        <f t="shared" si="203"/>
        <v>1.5350877192983337E-3</v>
      </c>
      <c r="XEW1784" s="221">
        <v>7838.9599609999996</v>
      </c>
      <c r="XEX1784" s="198">
        <f t="shared" si="204"/>
        <v>1.4230840971095615E-2</v>
      </c>
    </row>
    <row r="1785" spans="16374:16378" x14ac:dyDescent="0.2">
      <c r="XET1785" s="220">
        <v>43546</v>
      </c>
      <c r="XEU1785" s="221">
        <v>17.635331999999998</v>
      </c>
      <c r="XEV1785" s="198">
        <f t="shared" si="203"/>
        <v>-3.4632581563389664E-2</v>
      </c>
      <c r="XEW1785" s="221">
        <v>7642.669922</v>
      </c>
      <c r="XEX1785" s="198">
        <f t="shared" si="204"/>
        <v>-2.5040316569617915E-2</v>
      </c>
    </row>
    <row r="1786" spans="16374:16378" x14ac:dyDescent="0.2">
      <c r="XET1786" s="220">
        <v>43549</v>
      </c>
      <c r="XEU1786" s="221">
        <v>17.361333999999999</v>
      </c>
      <c r="XEV1786" s="198">
        <f t="shared" si="203"/>
        <v>-1.5536877899435031E-2</v>
      </c>
      <c r="XEW1786" s="221">
        <v>7637.5400390000004</v>
      </c>
      <c r="XEX1786" s="198">
        <f t="shared" si="204"/>
        <v>-6.7121608709452829E-4</v>
      </c>
    </row>
    <row r="1787" spans="16374:16378" x14ac:dyDescent="0.2">
      <c r="XET1787" s="220">
        <v>43550</v>
      </c>
      <c r="XEU1787" s="221">
        <v>17.851334000000001</v>
      </c>
      <c r="XEV1787" s="198">
        <f t="shared" si="203"/>
        <v>2.8223637653650435E-2</v>
      </c>
      <c r="XEW1787" s="221">
        <v>7691.5200199999999</v>
      </c>
      <c r="XEX1787" s="198">
        <f t="shared" si="204"/>
        <v>7.0677182344522915E-3</v>
      </c>
    </row>
    <row r="1788" spans="16374:16378" x14ac:dyDescent="0.2">
      <c r="XET1788" s="220">
        <v>43551</v>
      </c>
      <c r="XEU1788" s="221">
        <v>18.322001</v>
      </c>
      <c r="XEV1788" s="198">
        <f t="shared" si="203"/>
        <v>2.6365928731152399E-2</v>
      </c>
      <c r="XEW1788" s="221">
        <v>7643.3798829999996</v>
      </c>
      <c r="XEX1788" s="198">
        <f t="shared" si="204"/>
        <v>-6.258858700857961E-3</v>
      </c>
    </row>
    <row r="1789" spans="16374:16378" x14ac:dyDescent="0.2">
      <c r="XET1789" s="220">
        <v>43552</v>
      </c>
      <c r="XEU1789" s="221">
        <v>18.574667000000002</v>
      </c>
      <c r="XEV1789" s="198">
        <f t="shared" si="203"/>
        <v>1.3790305982408935E-2</v>
      </c>
      <c r="XEW1789" s="221">
        <v>7669.169922</v>
      </c>
      <c r="XEX1789" s="198">
        <f t="shared" si="204"/>
        <v>3.3741668469680075E-3</v>
      </c>
    </row>
    <row r="1790" spans="16374:16378" x14ac:dyDescent="0.2">
      <c r="XET1790" s="220">
        <v>43553</v>
      </c>
      <c r="XEU1790" s="221">
        <v>18.657333000000001</v>
      </c>
      <c r="XEV1790" s="198">
        <f t="shared" si="203"/>
        <v>4.4504700945648956E-3</v>
      </c>
      <c r="XEW1790" s="221">
        <v>7729.3198240000002</v>
      </c>
      <c r="XEX1790" s="198">
        <f t="shared" si="204"/>
        <v>7.8430785354557386E-3</v>
      </c>
    </row>
    <row r="1791" spans="16374:16378" x14ac:dyDescent="0.2">
      <c r="XET1791" s="220">
        <v>43556</v>
      </c>
      <c r="XEU1791" s="221">
        <v>19.278666999999999</v>
      </c>
      <c r="XEV1791" s="198">
        <f t="shared" si="203"/>
        <v>3.3302401795583414E-2</v>
      </c>
      <c r="XEW1791" s="221">
        <v>7828.9101559999999</v>
      </c>
      <c r="XEX1791" s="198">
        <f t="shared" si="204"/>
        <v>1.2884747205150759E-2</v>
      </c>
    </row>
    <row r="1792" spans="16374:16378" x14ac:dyDescent="0.2">
      <c r="XET1792" s="220">
        <v>43557</v>
      </c>
      <c r="XEU1792" s="221">
        <v>19.058665999999999</v>
      </c>
      <c r="XEV1792" s="198">
        <f t="shared" si="203"/>
        <v>-1.1411629237643828E-2</v>
      </c>
      <c r="XEW1792" s="221">
        <v>7848.6899409999996</v>
      </c>
      <c r="XEX1792" s="198">
        <f t="shared" si="204"/>
        <v>2.5265055551622062E-3</v>
      </c>
    </row>
    <row r="1793" spans="16374:16378" x14ac:dyDescent="0.2">
      <c r="XET1793" s="220">
        <v>43558</v>
      </c>
      <c r="XEU1793" s="221">
        <v>19.454000000000001</v>
      </c>
      <c r="XEV1793" s="198">
        <f t="shared" si="203"/>
        <v>2.07430047832311E-2</v>
      </c>
      <c r="XEW1793" s="221">
        <v>7895.5498049999997</v>
      </c>
      <c r="XEX1793" s="198">
        <f t="shared" si="204"/>
        <v>5.9704058068612564E-3</v>
      </c>
    </row>
    <row r="1794" spans="16374:16378" x14ac:dyDescent="0.2">
      <c r="XET1794" s="220">
        <v>43559</v>
      </c>
      <c r="XEU1794" s="221">
        <v>17.851998999999999</v>
      </c>
      <c r="XEV1794" s="198">
        <f t="shared" si="203"/>
        <v>-8.2348154621157632E-2</v>
      </c>
      <c r="XEW1794" s="221">
        <v>7891.7797849999997</v>
      </c>
      <c r="XEX1794" s="198">
        <f t="shared" si="204"/>
        <v>-4.7748669733072013E-4</v>
      </c>
    </row>
    <row r="1795" spans="16374:16378" x14ac:dyDescent="0.2">
      <c r="XET1795" s="220">
        <v>43560</v>
      </c>
      <c r="XEU1795" s="221">
        <v>18.330666999999998</v>
      </c>
      <c r="XEV1795" s="198">
        <f t="shared" si="203"/>
        <v>2.6813131683460112E-2</v>
      </c>
      <c r="XEW1795" s="221">
        <v>7938.6899409999996</v>
      </c>
      <c r="XEX1795" s="198">
        <f t="shared" si="204"/>
        <v>5.9441795485934978E-3</v>
      </c>
    </row>
    <row r="1796" spans="16374:16378" x14ac:dyDescent="0.2">
      <c r="XET1796" s="220">
        <v>43563</v>
      </c>
      <c r="XEU1796" s="221">
        <v>18.213332999999999</v>
      </c>
      <c r="XEV1796" s="198">
        <f t="shared" si="203"/>
        <v>-6.4009672970437581E-3</v>
      </c>
      <c r="XEW1796" s="221">
        <v>7953.8798829999996</v>
      </c>
      <c r="XEX1796" s="198">
        <f t="shared" si="204"/>
        <v>1.9134066342043621E-3</v>
      </c>
    </row>
    <row r="1797" spans="16374:16378" x14ac:dyDescent="0.2">
      <c r="XET1797" s="220">
        <v>43564</v>
      </c>
      <c r="XEU1797" s="221">
        <v>18.153998999999999</v>
      </c>
      <c r="XEV1797" s="198">
        <f t="shared" si="203"/>
        <v>-3.2577233392702132E-3</v>
      </c>
      <c r="XEW1797" s="221">
        <v>7909.2797849999997</v>
      </c>
      <c r="XEX1797" s="198">
        <f t="shared" si="204"/>
        <v>-5.6073386392626601E-3</v>
      </c>
    </row>
    <row r="1798" spans="16374:16378" x14ac:dyDescent="0.2">
      <c r="XET1798" s="220">
        <v>43565</v>
      </c>
      <c r="XEU1798" s="221">
        <v>18.403998999999999</v>
      </c>
      <c r="XEV1798" s="198">
        <f t="shared" si="203"/>
        <v>1.3771070495266713E-2</v>
      </c>
      <c r="XEW1798" s="221">
        <v>7964.2402339999999</v>
      </c>
      <c r="XEX1798" s="198">
        <f t="shared" si="204"/>
        <v>6.9488563426765015E-3</v>
      </c>
    </row>
    <row r="1799" spans="16374:16378" x14ac:dyDescent="0.2">
      <c r="XET1799" s="220">
        <v>43566</v>
      </c>
      <c r="XEU1799" s="221">
        <v>17.894666999999998</v>
      </c>
      <c r="XEV1799" s="198">
        <f t="shared" si="203"/>
        <v>-2.7675072140571189E-2</v>
      </c>
      <c r="XEW1799" s="221">
        <v>7947.3598629999997</v>
      </c>
      <c r="XEX1799" s="198">
        <f t="shared" si="204"/>
        <v>-2.1195205699516828E-3</v>
      </c>
    </row>
    <row r="1800" spans="16374:16378" x14ac:dyDescent="0.2">
      <c r="XET1800" s="220">
        <v>43567</v>
      </c>
      <c r="XEU1800" s="221">
        <v>17.846665999999999</v>
      </c>
      <c r="XEV1800" s="198">
        <f t="shared" si="203"/>
        <v>-2.6824192928540658E-3</v>
      </c>
      <c r="XEW1800" s="221">
        <v>7984.1601559999999</v>
      </c>
      <c r="XEX1800" s="198">
        <f t="shared" si="204"/>
        <v>4.6305054300270765E-3</v>
      </c>
    </row>
    <row r="1801" spans="16374:16378" x14ac:dyDescent="0.2">
      <c r="XET1801" s="220">
        <v>43570</v>
      </c>
      <c r="XEU1801" s="221">
        <v>17.758666999999999</v>
      </c>
      <c r="XEV1801" s="198">
        <f t="shared" si="203"/>
        <v>-4.9308369417571107E-3</v>
      </c>
      <c r="XEW1801" s="221">
        <v>7976.0097660000001</v>
      </c>
      <c r="XEX1801" s="198">
        <f t="shared" si="204"/>
        <v>-1.0208199536021478E-3</v>
      </c>
    </row>
    <row r="1802" spans="16374:16378" x14ac:dyDescent="0.2">
      <c r="XET1802" s="220">
        <v>43571</v>
      </c>
      <c r="XEU1802" s="221">
        <v>18.224001000000001</v>
      </c>
      <c r="XEV1802" s="198">
        <f t="shared" si="203"/>
        <v>2.6203205454553569E-2</v>
      </c>
      <c r="XEW1802" s="221">
        <v>8000.2299800000001</v>
      </c>
      <c r="XEX1802" s="198">
        <f t="shared" si="204"/>
        <v>3.0366329418558546E-3</v>
      </c>
    </row>
    <row r="1803" spans="16374:16378" x14ac:dyDescent="0.2">
      <c r="XET1803" s="220">
        <v>43572</v>
      </c>
      <c r="XEU1803" s="221">
        <v>18.082001000000002</v>
      </c>
      <c r="XEV1803" s="198">
        <f t="shared" si="203"/>
        <v>-7.791922311681132E-3</v>
      </c>
      <c r="XEW1803" s="221">
        <v>7996.080078</v>
      </c>
      <c r="XEX1803" s="198">
        <f t="shared" si="204"/>
        <v>-5.1872283801523977E-4</v>
      </c>
    </row>
    <row r="1804" spans="16374:16378" x14ac:dyDescent="0.2">
      <c r="XET1804" s="220">
        <v>43573</v>
      </c>
      <c r="XEU1804" s="221">
        <v>18.217333</v>
      </c>
      <c r="XEV1804" s="198">
        <f t="shared" ref="XEV1804:XEV1867" si="205">XEU1804/XEU1803-1</f>
        <v>7.4843486625180145E-3</v>
      </c>
      <c r="XEW1804" s="221">
        <v>7998.0600590000004</v>
      </c>
      <c r="XEX1804" s="198">
        <f t="shared" ref="XEX1804:XEX1867" si="206">XEW1804/XEW1803-1</f>
        <v>2.4761895587421812E-4</v>
      </c>
    </row>
    <row r="1805" spans="16374:16378" x14ac:dyDescent="0.2">
      <c r="XET1805" s="220">
        <v>43577</v>
      </c>
      <c r="XEU1805" s="221">
        <v>17.516666000000001</v>
      </c>
      <c r="XEV1805" s="198">
        <f t="shared" si="205"/>
        <v>-3.8461557462884377E-2</v>
      </c>
      <c r="XEW1805" s="221">
        <v>8015.2700199999999</v>
      </c>
      <c r="XEX1805" s="198">
        <f t="shared" si="206"/>
        <v>2.1517669126069894E-3</v>
      </c>
    </row>
    <row r="1806" spans="16374:16378" x14ac:dyDescent="0.2">
      <c r="XET1806" s="220">
        <v>43578</v>
      </c>
      <c r="XEU1806" s="221">
        <v>17.593332</v>
      </c>
      <c r="XEV1806" s="198">
        <f t="shared" si="205"/>
        <v>4.3767461228065851E-3</v>
      </c>
      <c r="XEW1806" s="221">
        <v>8120.8198240000002</v>
      </c>
      <c r="XEX1806" s="198">
        <f t="shared" si="206"/>
        <v>1.3168589921066731E-2</v>
      </c>
    </row>
    <row r="1807" spans="16374:16378" x14ac:dyDescent="0.2">
      <c r="XET1807" s="220">
        <v>43579</v>
      </c>
      <c r="XEU1807" s="221">
        <v>17.243998999999999</v>
      </c>
      <c r="XEV1807" s="198">
        <f t="shared" si="205"/>
        <v>-1.9855988621143572E-2</v>
      </c>
      <c r="XEW1807" s="221">
        <v>8102.0097660000001</v>
      </c>
      <c r="XEX1807" s="198">
        <f t="shared" si="206"/>
        <v>-2.316275746496621E-3</v>
      </c>
    </row>
    <row r="1808" spans="16374:16378" x14ac:dyDescent="0.2">
      <c r="XET1808" s="220">
        <v>43580</v>
      </c>
      <c r="XEU1808" s="221">
        <v>16.508666999999999</v>
      </c>
      <c r="XEV1808" s="198">
        <f t="shared" si="205"/>
        <v>-4.2642776771211865E-2</v>
      </c>
      <c r="XEW1808" s="221">
        <v>8118.6801759999998</v>
      </c>
      <c r="XEX1808" s="198">
        <f t="shared" si="206"/>
        <v>2.0575647871909908E-3</v>
      </c>
    </row>
    <row r="1809" spans="16374:16378" x14ac:dyDescent="0.2">
      <c r="XET1809" s="220">
        <v>43581</v>
      </c>
      <c r="XEU1809" s="221">
        <v>15.676</v>
      </c>
      <c r="XEV1809" s="198">
        <f t="shared" si="205"/>
        <v>-5.0438172870044484E-2</v>
      </c>
      <c r="XEW1809" s="221">
        <v>8146.3999020000001</v>
      </c>
      <c r="XEX1809" s="198">
        <f t="shared" si="206"/>
        <v>3.4143143219194094E-3</v>
      </c>
    </row>
    <row r="1810" spans="16374:16378" x14ac:dyDescent="0.2">
      <c r="XET1810" s="220">
        <v>43584</v>
      </c>
      <c r="XEU1810" s="221">
        <v>16.097999999999999</v>
      </c>
      <c r="XEV1810" s="198">
        <f t="shared" si="205"/>
        <v>2.6920132686909959E-2</v>
      </c>
      <c r="XEW1810" s="221">
        <v>8161.8500979999999</v>
      </c>
      <c r="XEX1810" s="198">
        <f t="shared" si="206"/>
        <v>1.896567340894606E-3</v>
      </c>
    </row>
    <row r="1811" spans="16374:16378" x14ac:dyDescent="0.2">
      <c r="XET1811" s="220">
        <v>43585</v>
      </c>
      <c r="XEU1811" s="221">
        <v>15.912667000000001</v>
      </c>
      <c r="XEV1811" s="198">
        <f t="shared" si="205"/>
        <v>-1.1512796620698151E-2</v>
      </c>
      <c r="XEW1811" s="221">
        <v>8095.3901370000003</v>
      </c>
      <c r="XEX1811" s="198">
        <f t="shared" si="206"/>
        <v>-8.1427568752193702E-3</v>
      </c>
    </row>
    <row r="1812" spans="16374:16378" x14ac:dyDescent="0.2">
      <c r="XET1812" s="220">
        <v>43586</v>
      </c>
      <c r="XEU1812" s="221">
        <v>15.600667</v>
      </c>
      <c r="XEV1812" s="198">
        <f t="shared" si="205"/>
        <v>-1.9607021249172241E-2</v>
      </c>
      <c r="XEW1812" s="221">
        <v>8049.6401370000003</v>
      </c>
      <c r="XEX1812" s="198">
        <f t="shared" si="206"/>
        <v>-5.6513644464025736E-3</v>
      </c>
    </row>
    <row r="1813" spans="16374:16378" x14ac:dyDescent="0.2">
      <c r="XET1813" s="220">
        <v>43587</v>
      </c>
      <c r="XEU1813" s="221">
        <v>16.273333000000001</v>
      </c>
      <c r="XEV1813" s="198">
        <f t="shared" si="205"/>
        <v>4.3117771823474094E-2</v>
      </c>
      <c r="XEW1813" s="221">
        <v>8036.7700199999999</v>
      </c>
      <c r="XEX1813" s="198">
        <f t="shared" si="206"/>
        <v>-1.5988437720144688E-3</v>
      </c>
    </row>
    <row r="1814" spans="16374:16378" x14ac:dyDescent="0.2">
      <c r="XET1814" s="220">
        <v>43588</v>
      </c>
      <c r="XEU1814" s="221">
        <v>17.002001</v>
      </c>
      <c r="XEV1814" s="198">
        <f t="shared" si="205"/>
        <v>4.4776813698828466E-2</v>
      </c>
      <c r="XEW1814" s="221">
        <v>8164</v>
      </c>
      <c r="XEX1814" s="198">
        <f t="shared" si="206"/>
        <v>1.5830984298839113E-2</v>
      </c>
    </row>
    <row r="1815" spans="16374:16378" x14ac:dyDescent="0.2">
      <c r="XET1815" s="220">
        <v>43591</v>
      </c>
      <c r="XEU1815" s="221">
        <v>17.022666999999998</v>
      </c>
      <c r="XEV1815" s="198">
        <f t="shared" si="205"/>
        <v>1.2155039868542161E-3</v>
      </c>
      <c r="XEW1815" s="221">
        <v>8123.2900390000004</v>
      </c>
      <c r="XEX1815" s="198">
        <f t="shared" si="206"/>
        <v>-4.9865214355707677E-3</v>
      </c>
    </row>
    <row r="1816" spans="16374:16378" x14ac:dyDescent="0.2">
      <c r="XET1816" s="220">
        <v>43592</v>
      </c>
      <c r="XEU1816" s="221">
        <v>16.470666999999999</v>
      </c>
      <c r="XEV1816" s="198">
        <f t="shared" si="205"/>
        <v>-3.2427351131288584E-2</v>
      </c>
      <c r="XEW1816" s="221">
        <v>7963.7597660000001</v>
      </c>
      <c r="XEX1816" s="198">
        <f t="shared" si="206"/>
        <v>-1.9638628220104648E-2</v>
      </c>
    </row>
    <row r="1817" spans="16374:16378" x14ac:dyDescent="0.2">
      <c r="XET1817" s="220">
        <v>43593</v>
      </c>
      <c r="XEU1817" s="221">
        <v>16.322666000000002</v>
      </c>
      <c r="XEV1817" s="198">
        <f t="shared" si="205"/>
        <v>-8.9857320289455922E-3</v>
      </c>
      <c r="XEW1817" s="221">
        <v>7943.3198240000002</v>
      </c>
      <c r="XEX1817" s="198">
        <f t="shared" si="206"/>
        <v>-2.5666196119156215E-3</v>
      </c>
    </row>
    <row r="1818" spans="16374:16378" x14ac:dyDescent="0.2">
      <c r="XET1818" s="220">
        <v>43594</v>
      </c>
      <c r="XEU1818" s="221">
        <v>16.132000000000001</v>
      </c>
      <c r="XEV1818" s="198">
        <f t="shared" si="205"/>
        <v>-1.1681057493916791E-2</v>
      </c>
      <c r="XEW1818" s="221">
        <v>7910.5898440000001</v>
      </c>
      <c r="XEX1818" s="198">
        <f t="shared" si="206"/>
        <v>-4.1204409145291221E-3</v>
      </c>
    </row>
    <row r="1819" spans="16374:16378" x14ac:dyDescent="0.2">
      <c r="XET1819" s="220">
        <v>43595</v>
      </c>
      <c r="XEU1819" s="221">
        <v>15.968</v>
      </c>
      <c r="XEV1819" s="198">
        <f t="shared" si="205"/>
        <v>-1.0166129432184534E-2</v>
      </c>
      <c r="XEW1819" s="221">
        <v>7916.9399409999996</v>
      </c>
      <c r="XEX1819" s="198">
        <f t="shared" si="206"/>
        <v>8.0273369309069587E-4</v>
      </c>
    </row>
    <row r="1820" spans="16374:16378" x14ac:dyDescent="0.2">
      <c r="XET1820" s="220">
        <v>43598</v>
      </c>
      <c r="XEU1820" s="221">
        <v>15.134</v>
      </c>
      <c r="XEV1820" s="198">
        <f t="shared" si="205"/>
        <v>-5.2229458917835703E-2</v>
      </c>
      <c r="XEW1820" s="221">
        <v>7647.0200199999999</v>
      </c>
      <c r="XEX1820" s="198">
        <f t="shared" si="206"/>
        <v>-3.4093971030668913E-2</v>
      </c>
    </row>
    <row r="1821" spans="16374:16378" x14ac:dyDescent="0.2">
      <c r="XET1821" s="220">
        <v>43599</v>
      </c>
      <c r="XEU1821" s="221">
        <v>15.487333</v>
      </c>
      <c r="XEV1821" s="198">
        <f t="shared" si="205"/>
        <v>2.3346967093960558E-2</v>
      </c>
      <c r="XEW1821" s="221">
        <v>7734.4902339999999</v>
      </c>
      <c r="XEX1821" s="198">
        <f t="shared" si="206"/>
        <v>1.143847064231962E-2</v>
      </c>
    </row>
    <row r="1822" spans="16374:16378" x14ac:dyDescent="0.2">
      <c r="XET1822" s="220">
        <v>43600</v>
      </c>
      <c r="XEU1822" s="221">
        <v>15.463333</v>
      </c>
      <c r="XEV1822" s="198">
        <f t="shared" si="205"/>
        <v>-1.5496535136165779E-3</v>
      </c>
      <c r="XEW1822" s="221">
        <v>7822.1499020000001</v>
      </c>
      <c r="XEX1822" s="198">
        <f t="shared" si="206"/>
        <v>1.1333606397827989E-2</v>
      </c>
    </row>
    <row r="1823" spans="16374:16378" x14ac:dyDescent="0.2">
      <c r="XET1823" s="220">
        <v>43601</v>
      </c>
      <c r="XEU1823" s="221">
        <v>15.222</v>
      </c>
      <c r="XEV1823" s="198">
        <f t="shared" si="205"/>
        <v>-1.5606790592946562E-2</v>
      </c>
      <c r="XEW1823" s="221">
        <v>7898.0498049999997</v>
      </c>
      <c r="XEX1823" s="198">
        <f t="shared" si="206"/>
        <v>9.7032023102232579E-3</v>
      </c>
    </row>
    <row r="1824" spans="16374:16378" x14ac:dyDescent="0.2">
      <c r="XET1824" s="220">
        <v>43602</v>
      </c>
      <c r="XEU1824" s="221">
        <v>14.068667</v>
      </c>
      <c r="XEV1824" s="198">
        <f t="shared" si="205"/>
        <v>-7.576750755485484E-2</v>
      </c>
      <c r="XEW1824" s="221">
        <v>7816.2797849999997</v>
      </c>
      <c r="XEX1824" s="198">
        <f t="shared" si="206"/>
        <v>-1.0353191233136272E-2</v>
      </c>
    </row>
    <row r="1825" spans="16374:16378" x14ac:dyDescent="0.2">
      <c r="XET1825" s="220">
        <v>43605</v>
      </c>
      <c r="XEU1825" s="221">
        <v>13.690666999999999</v>
      </c>
      <c r="XEV1825" s="198">
        <f t="shared" si="205"/>
        <v>-2.6868217152342888E-2</v>
      </c>
      <c r="XEW1825" s="221">
        <v>7702.3798829999996</v>
      </c>
      <c r="XEX1825" s="198">
        <f t="shared" si="206"/>
        <v>-1.457213727412654E-2</v>
      </c>
    </row>
    <row r="1826" spans="16374:16378" x14ac:dyDescent="0.2">
      <c r="XET1826" s="220">
        <v>43606</v>
      </c>
      <c r="XEU1826" s="221">
        <v>13.672000000000001</v>
      </c>
      <c r="XEV1826" s="198">
        <f t="shared" si="205"/>
        <v>-1.3634836052910382E-3</v>
      </c>
      <c r="XEW1826" s="221">
        <v>7785.7202150000003</v>
      </c>
      <c r="XEX1826" s="198">
        <f t="shared" si="206"/>
        <v>1.0820075517690597E-2</v>
      </c>
    </row>
    <row r="1827" spans="16374:16378" x14ac:dyDescent="0.2">
      <c r="XET1827" s="220">
        <v>43607</v>
      </c>
      <c r="XEU1827" s="221">
        <v>12.848667000000001</v>
      </c>
      <c r="XEV1827" s="198">
        <f t="shared" si="205"/>
        <v>-6.0220377413692239E-2</v>
      </c>
      <c r="XEW1827" s="221">
        <v>7750.8398440000001</v>
      </c>
      <c r="XEX1827" s="198">
        <f t="shared" si="206"/>
        <v>-4.4800442395552809E-3</v>
      </c>
    </row>
    <row r="1828" spans="16374:16378" x14ac:dyDescent="0.2">
      <c r="XET1828" s="220">
        <v>43608</v>
      </c>
      <c r="XEU1828" s="221">
        <v>13.032667</v>
      </c>
      <c r="XEV1828" s="198">
        <f t="shared" si="205"/>
        <v>1.4320551696140882E-2</v>
      </c>
      <c r="XEW1828" s="221">
        <v>7628.2797849999997</v>
      </c>
      <c r="XEX1828" s="198">
        <f t="shared" si="206"/>
        <v>-1.5812487609955572E-2</v>
      </c>
    </row>
    <row r="1829" spans="16374:16378" x14ac:dyDescent="0.2">
      <c r="XET1829" s="220">
        <v>43609</v>
      </c>
      <c r="XEU1829" s="221">
        <v>12.708667</v>
      </c>
      <c r="XEV1829" s="198">
        <f t="shared" si="205"/>
        <v>-2.4860606044795008E-2</v>
      </c>
      <c r="XEW1829" s="221">
        <v>7637.0097660000001</v>
      </c>
      <c r="XEX1829" s="198">
        <f t="shared" si="206"/>
        <v>1.1444232836304025E-3</v>
      </c>
    </row>
    <row r="1830" spans="16374:16378" x14ac:dyDescent="0.2">
      <c r="XET1830" s="220">
        <v>43613</v>
      </c>
      <c r="XEU1830" s="221">
        <v>12.58</v>
      </c>
      <c r="XEV1830" s="198">
        <f t="shared" si="205"/>
        <v>-1.0124350571149576E-2</v>
      </c>
      <c r="XEW1830" s="221">
        <v>7607.3500979999999</v>
      </c>
      <c r="XEX1830" s="198">
        <f t="shared" si="206"/>
        <v>-3.88367553647051E-3</v>
      </c>
    </row>
    <row r="1831" spans="16374:16378" x14ac:dyDescent="0.2">
      <c r="XET1831" s="220">
        <v>43614</v>
      </c>
      <c r="XEU1831" s="221">
        <v>12.657333</v>
      </c>
      <c r="XEV1831" s="198">
        <f t="shared" si="205"/>
        <v>6.1472972972973494E-3</v>
      </c>
      <c r="XEW1831" s="221">
        <v>7547.3100590000004</v>
      </c>
      <c r="XEX1831" s="198">
        <f t="shared" si="206"/>
        <v>-7.8923722750428027E-3</v>
      </c>
    </row>
    <row r="1832" spans="16374:16378" x14ac:dyDescent="0.2">
      <c r="XET1832" s="220">
        <v>43615</v>
      </c>
      <c r="XEU1832" s="221">
        <v>12.548</v>
      </c>
      <c r="XEV1832" s="198">
        <f t="shared" si="205"/>
        <v>-8.637917640311743E-3</v>
      </c>
      <c r="XEW1832" s="221">
        <v>7567.7202150000003</v>
      </c>
      <c r="XEX1832" s="198">
        <f t="shared" si="206"/>
        <v>2.7042954165716893E-3</v>
      </c>
    </row>
    <row r="1833" spans="16374:16378" x14ac:dyDescent="0.2">
      <c r="XET1833" s="220">
        <v>43616</v>
      </c>
      <c r="XEU1833" s="221">
        <v>12.343999999999999</v>
      </c>
      <c r="XEV1833" s="198">
        <f t="shared" si="205"/>
        <v>-1.625757092763791E-2</v>
      </c>
      <c r="XEW1833" s="221">
        <v>7453.1499020000001</v>
      </c>
      <c r="XEX1833" s="198">
        <f t="shared" si="206"/>
        <v>-1.5139343123826143E-2</v>
      </c>
    </row>
    <row r="1834" spans="16374:16378" x14ac:dyDescent="0.2">
      <c r="XET1834" s="220">
        <v>43619</v>
      </c>
      <c r="XEU1834" s="221">
        <v>11.931333</v>
      </c>
      <c r="XEV1834" s="198">
        <f t="shared" si="205"/>
        <v>-3.3430573558003829E-2</v>
      </c>
      <c r="XEW1834" s="221">
        <v>7333.0200199999999</v>
      </c>
      <c r="XEX1834" s="198">
        <f t="shared" si="206"/>
        <v>-1.6118001593898423E-2</v>
      </c>
    </row>
    <row r="1835" spans="16374:16378" x14ac:dyDescent="0.2">
      <c r="XET1835" s="220">
        <v>43620</v>
      </c>
      <c r="XEU1835" s="221">
        <v>12.906667000000001</v>
      </c>
      <c r="XEV1835" s="198">
        <f t="shared" si="205"/>
        <v>8.1745602104978499E-2</v>
      </c>
      <c r="XEW1835" s="221">
        <v>7527.1201170000004</v>
      </c>
      <c r="XEX1835" s="198">
        <f t="shared" si="206"/>
        <v>2.6469325935373655E-2</v>
      </c>
    </row>
    <row r="1836" spans="16374:16378" x14ac:dyDescent="0.2">
      <c r="XET1836" s="220">
        <v>43621</v>
      </c>
      <c r="XEU1836" s="221">
        <v>13.106</v>
      </c>
      <c r="XEV1836" s="198">
        <f t="shared" si="205"/>
        <v>1.5444188650718171E-2</v>
      </c>
      <c r="XEW1836" s="221">
        <v>7575.4799800000001</v>
      </c>
      <c r="XEX1836" s="198">
        <f t="shared" si="206"/>
        <v>6.4247497380542917E-3</v>
      </c>
    </row>
    <row r="1837" spans="16374:16378" x14ac:dyDescent="0.2">
      <c r="XET1837" s="220">
        <v>43622</v>
      </c>
      <c r="XEU1837" s="221">
        <v>13.73</v>
      </c>
      <c r="XEV1837" s="198">
        <f t="shared" si="205"/>
        <v>4.7611780863726638E-2</v>
      </c>
      <c r="XEW1837" s="221">
        <v>7615.5498049999997</v>
      </c>
      <c r="XEX1837" s="198">
        <f t="shared" si="206"/>
        <v>5.2894107179726202E-3</v>
      </c>
    </row>
    <row r="1838" spans="16374:16378" x14ac:dyDescent="0.2">
      <c r="XET1838" s="220">
        <v>43623</v>
      </c>
      <c r="XEU1838" s="221">
        <v>13.633333</v>
      </c>
      <c r="XEV1838" s="198">
        <f t="shared" si="205"/>
        <v>-7.0405680990531794E-3</v>
      </c>
      <c r="XEW1838" s="221">
        <v>7742.1000979999999</v>
      </c>
      <c r="XEX1838" s="198">
        <f t="shared" si="206"/>
        <v>1.6617354785981808E-2</v>
      </c>
    </row>
    <row r="1839" spans="16374:16378" x14ac:dyDescent="0.2">
      <c r="XET1839" s="220">
        <v>43626</v>
      </c>
      <c r="XEU1839" s="221">
        <v>14.192</v>
      </c>
      <c r="XEV1839" s="198">
        <f t="shared" si="205"/>
        <v>4.0978020561809769E-2</v>
      </c>
      <c r="XEW1839" s="221">
        <v>7823.169922</v>
      </c>
      <c r="XEX1839" s="198">
        <f t="shared" si="206"/>
        <v>1.0471296285738063E-2</v>
      </c>
    </row>
    <row r="1840" spans="16374:16378" x14ac:dyDescent="0.2">
      <c r="XET1840" s="220">
        <v>43627</v>
      </c>
      <c r="XEU1840" s="221">
        <v>14.473333</v>
      </c>
      <c r="XEV1840" s="198">
        <f t="shared" si="205"/>
        <v>1.9823351183765547E-2</v>
      </c>
      <c r="XEW1840" s="221">
        <v>7822.5698240000002</v>
      </c>
      <c r="XEX1840" s="198">
        <f t="shared" si="206"/>
        <v>-7.6707780347740062E-5</v>
      </c>
    </row>
    <row r="1841" spans="16374:16378" x14ac:dyDescent="0.2">
      <c r="XET1841" s="220">
        <v>43628</v>
      </c>
      <c r="XEU1841" s="221">
        <v>13.950666999999999</v>
      </c>
      <c r="XEV1841" s="198">
        <f t="shared" si="205"/>
        <v>-3.6112345373384369E-2</v>
      </c>
      <c r="XEW1841" s="221">
        <v>7792.7202150000003</v>
      </c>
      <c r="XEX1841" s="198">
        <f t="shared" si="206"/>
        <v>-3.8158315836849255E-3</v>
      </c>
    </row>
    <row r="1842" spans="16374:16378" x14ac:dyDescent="0.2">
      <c r="XET1842" s="220">
        <v>43629</v>
      </c>
      <c r="XEU1842" s="221">
        <v>14.260667</v>
      </c>
      <c r="XEV1842" s="198">
        <f t="shared" si="205"/>
        <v>2.2221159748132546E-2</v>
      </c>
      <c r="XEW1842" s="221">
        <v>7837.1298829999996</v>
      </c>
      <c r="XEX1842" s="198">
        <f t="shared" si="206"/>
        <v>5.6988659639694017E-3</v>
      </c>
    </row>
    <row r="1843" spans="16374:16378" x14ac:dyDescent="0.2">
      <c r="XET1843" s="220">
        <v>43630</v>
      </c>
      <c r="XEU1843" s="221">
        <v>14.327999999999999</v>
      </c>
      <c r="XEV1843" s="198">
        <f t="shared" si="205"/>
        <v>4.7215884081719395E-3</v>
      </c>
      <c r="XEW1843" s="221">
        <v>7796.6601559999999</v>
      </c>
      <c r="XEX1843" s="198">
        <f t="shared" si="206"/>
        <v>-5.1638453878102286E-3</v>
      </c>
    </row>
    <row r="1844" spans="16374:16378" x14ac:dyDescent="0.2">
      <c r="XET1844" s="220">
        <v>43633</v>
      </c>
      <c r="XEU1844" s="221">
        <v>15.002000000000001</v>
      </c>
      <c r="XEV1844" s="198">
        <f t="shared" si="205"/>
        <v>4.7040759352317219E-2</v>
      </c>
      <c r="XEW1844" s="221">
        <v>7845.0200199999999</v>
      </c>
      <c r="XEX1844" s="198">
        <f t="shared" si="206"/>
        <v>6.2026384416389302E-3</v>
      </c>
    </row>
    <row r="1845" spans="16374:16378" x14ac:dyDescent="0.2">
      <c r="XET1845" s="220">
        <v>43634</v>
      </c>
      <c r="XEU1845" s="221">
        <v>14.982666999999999</v>
      </c>
      <c r="XEV1845" s="198">
        <f t="shared" si="205"/>
        <v>-1.2886948406880538E-3</v>
      </c>
      <c r="XEW1845" s="221">
        <v>7953.8798829999996</v>
      </c>
      <c r="XEX1845" s="198">
        <f t="shared" si="206"/>
        <v>1.3876301490942433E-2</v>
      </c>
    </row>
    <row r="1846" spans="16374:16378" x14ac:dyDescent="0.2">
      <c r="XET1846" s="220">
        <v>43635</v>
      </c>
      <c r="XEU1846" s="221">
        <v>15.095333</v>
      </c>
      <c r="XEV1846" s="198">
        <f t="shared" si="205"/>
        <v>7.5197559953779081E-3</v>
      </c>
      <c r="XEW1846" s="221">
        <v>7987.3198240000002</v>
      </c>
      <c r="XEX1846" s="198">
        <f t="shared" si="206"/>
        <v>4.2042300728568627E-3</v>
      </c>
    </row>
    <row r="1847" spans="16374:16378" x14ac:dyDescent="0.2">
      <c r="XET1847" s="220">
        <v>43636</v>
      </c>
      <c r="XEU1847" s="221">
        <v>14.641332999999999</v>
      </c>
      <c r="XEV1847" s="198">
        <f t="shared" si="205"/>
        <v>-3.0075520692388835E-2</v>
      </c>
      <c r="XEW1847" s="221">
        <v>8051.3398440000001</v>
      </c>
      <c r="XEX1847" s="198">
        <f t="shared" si="206"/>
        <v>8.015206779079298E-3</v>
      </c>
    </row>
    <row r="1848" spans="16374:16378" x14ac:dyDescent="0.2">
      <c r="XET1848" s="220">
        <v>43637</v>
      </c>
      <c r="XEU1848" s="221">
        <v>14.790666999999999</v>
      </c>
      <c r="XEV1848" s="198">
        <f t="shared" si="205"/>
        <v>1.0199481153799317E-2</v>
      </c>
      <c r="XEW1848" s="221">
        <v>8031.7099609999996</v>
      </c>
      <c r="XEX1848" s="198">
        <f t="shared" si="206"/>
        <v>-2.4380889864721311E-3</v>
      </c>
    </row>
    <row r="1849" spans="16374:16378" x14ac:dyDescent="0.2">
      <c r="XET1849" s="220">
        <v>43640</v>
      </c>
      <c r="XEU1849" s="221">
        <v>14.909333</v>
      </c>
      <c r="XEV1849" s="198">
        <f t="shared" si="205"/>
        <v>8.0230323622323407E-3</v>
      </c>
      <c r="XEW1849" s="221">
        <v>8005.7001950000003</v>
      </c>
      <c r="XEX1849" s="198">
        <f t="shared" si="206"/>
        <v>-3.2383846187544751E-3</v>
      </c>
    </row>
    <row r="1850" spans="16374:16378" x14ac:dyDescent="0.2">
      <c r="XET1850" s="220">
        <v>43641</v>
      </c>
      <c r="XEU1850" s="221">
        <v>14.650667</v>
      </c>
      <c r="XEV1850" s="198">
        <f t="shared" si="205"/>
        <v>-1.7349267066474439E-2</v>
      </c>
      <c r="XEW1850" s="221">
        <v>7884.7202150000003</v>
      </c>
      <c r="XEX1850" s="198">
        <f t="shared" si="206"/>
        <v>-1.5111730024009451E-2</v>
      </c>
    </row>
    <row r="1851" spans="16374:16378" x14ac:dyDescent="0.2">
      <c r="XET1851" s="220">
        <v>43642</v>
      </c>
      <c r="XEU1851" s="221">
        <v>14.618</v>
      </c>
      <c r="XEV1851" s="198">
        <f t="shared" si="205"/>
        <v>-2.229727834234474E-3</v>
      </c>
      <c r="XEW1851" s="221">
        <v>7909.9702150000003</v>
      </c>
      <c r="XEX1851" s="198">
        <f t="shared" si="206"/>
        <v>3.2023964467329247E-3</v>
      </c>
    </row>
    <row r="1852" spans="16374:16378" x14ac:dyDescent="0.2">
      <c r="XET1852" s="220">
        <v>43643</v>
      </c>
      <c r="XEU1852" s="221">
        <v>14.856</v>
      </c>
      <c r="XEV1852" s="198">
        <f t="shared" si="205"/>
        <v>1.6281297031057518E-2</v>
      </c>
      <c r="XEW1852" s="221">
        <v>7967.7597660000001</v>
      </c>
      <c r="XEX1852" s="198">
        <f t="shared" si="206"/>
        <v>7.3059125924912482E-3</v>
      </c>
    </row>
    <row r="1853" spans="16374:16378" x14ac:dyDescent="0.2">
      <c r="XET1853" s="220">
        <v>43644</v>
      </c>
      <c r="XEU1853" s="221">
        <v>14.897333</v>
      </c>
      <c r="XEV1853" s="198">
        <f t="shared" si="205"/>
        <v>2.7822428648356379E-3</v>
      </c>
      <c r="XEW1853" s="221">
        <v>8006.2402339999999</v>
      </c>
      <c r="XEX1853" s="198">
        <f t="shared" si="206"/>
        <v>4.8295216133653618E-3</v>
      </c>
    </row>
    <row r="1854" spans="16374:16378" x14ac:dyDescent="0.2">
      <c r="XET1854" s="220">
        <v>43647</v>
      </c>
      <c r="XEU1854" s="221">
        <v>15.144667</v>
      </c>
      <c r="XEV1854" s="198">
        <f t="shared" si="205"/>
        <v>1.660256906387203E-2</v>
      </c>
      <c r="XEW1854" s="221">
        <v>8091.1601559999999</v>
      </c>
      <c r="XEX1854" s="198">
        <f t="shared" si="206"/>
        <v>1.0606716700726881E-2</v>
      </c>
    </row>
    <row r="1855" spans="16374:16378" x14ac:dyDescent="0.2">
      <c r="XET1855" s="220">
        <v>43648</v>
      </c>
      <c r="XEU1855" s="221">
        <v>14.97</v>
      </c>
      <c r="XEV1855" s="198">
        <f t="shared" si="205"/>
        <v>-1.1533234768384082E-2</v>
      </c>
      <c r="XEW1855" s="221">
        <v>8109.0898440000001</v>
      </c>
      <c r="XEX1855" s="198">
        <f t="shared" si="206"/>
        <v>2.2159600915456767E-3</v>
      </c>
    </row>
    <row r="1856" spans="16374:16378" x14ac:dyDescent="0.2">
      <c r="XET1856" s="220">
        <v>43649</v>
      </c>
      <c r="XEU1856" s="221">
        <v>15.66</v>
      </c>
      <c r="XEV1856" s="198">
        <f t="shared" si="205"/>
        <v>4.609218436873741E-2</v>
      </c>
      <c r="XEW1856" s="221">
        <v>8170.2299800000001</v>
      </c>
      <c r="XEX1856" s="198">
        <f t="shared" si="206"/>
        <v>7.5397038602598165E-3</v>
      </c>
    </row>
    <row r="1857" spans="16374:16378" x14ac:dyDescent="0.2">
      <c r="XET1857" s="220">
        <v>43651</v>
      </c>
      <c r="XEU1857" s="221">
        <v>15.54</v>
      </c>
      <c r="XEV1857" s="198">
        <f t="shared" si="205"/>
        <v>-7.6628352490422103E-3</v>
      </c>
      <c r="XEW1857" s="221">
        <v>8161.7900390000004</v>
      </c>
      <c r="XEX1857" s="198">
        <f t="shared" si="206"/>
        <v>-1.0330114354993869E-3</v>
      </c>
    </row>
    <row r="1858" spans="16374:16378" x14ac:dyDescent="0.2">
      <c r="XET1858" s="220">
        <v>43654</v>
      </c>
      <c r="XEU1858" s="221">
        <v>15.356</v>
      </c>
      <c r="XEV1858" s="198">
        <f t="shared" si="205"/>
        <v>-1.1840411840411846E-2</v>
      </c>
      <c r="XEW1858" s="221">
        <v>8098.3798829999996</v>
      </c>
      <c r="XEX1858" s="198">
        <f t="shared" si="206"/>
        <v>-7.7691481521827699E-3</v>
      </c>
    </row>
    <row r="1859" spans="16374:16378" x14ac:dyDescent="0.2">
      <c r="XET1859" s="220">
        <v>43655</v>
      </c>
      <c r="XEU1859" s="221">
        <v>15.337332999999999</v>
      </c>
      <c r="XEV1859" s="198">
        <f t="shared" si="205"/>
        <v>-1.2156160458453025E-3</v>
      </c>
      <c r="XEW1859" s="221">
        <v>8141.7299800000001</v>
      </c>
      <c r="XEX1859" s="198">
        <f t="shared" si="206"/>
        <v>5.3529344913789689E-3</v>
      </c>
    </row>
    <row r="1860" spans="16374:16378" x14ac:dyDescent="0.2">
      <c r="XET1860" s="220">
        <v>43656</v>
      </c>
      <c r="XEU1860" s="221">
        <v>15.928000000000001</v>
      </c>
      <c r="XEV1860" s="198">
        <f t="shared" si="205"/>
        <v>3.851171517238372E-2</v>
      </c>
      <c r="XEW1860" s="221">
        <v>8202.5302730000003</v>
      </c>
      <c r="XEX1860" s="198">
        <f t="shared" si="206"/>
        <v>7.4677363593922408E-3</v>
      </c>
    </row>
    <row r="1861" spans="16374:16378" x14ac:dyDescent="0.2">
      <c r="XET1861" s="220">
        <v>43657</v>
      </c>
      <c r="XEU1861" s="221">
        <v>15.906667000000001</v>
      </c>
      <c r="XEV1861" s="198">
        <f t="shared" si="205"/>
        <v>-1.3393395278754605E-3</v>
      </c>
      <c r="XEW1861" s="221">
        <v>8196.0400389999995</v>
      </c>
      <c r="XEX1861" s="198">
        <f t="shared" si="206"/>
        <v>-7.9124779598371831E-4</v>
      </c>
    </row>
    <row r="1862" spans="16374:16378" x14ac:dyDescent="0.2">
      <c r="XET1862" s="220">
        <v>43658</v>
      </c>
      <c r="XEU1862" s="221">
        <v>16.338667000000001</v>
      </c>
      <c r="XEV1862" s="198">
        <f t="shared" si="205"/>
        <v>2.7158423571701062E-2</v>
      </c>
      <c r="XEW1862" s="221">
        <v>8244.1396480000003</v>
      </c>
      <c r="XEX1862" s="198">
        <f t="shared" si="206"/>
        <v>5.8686400714398346E-3</v>
      </c>
    </row>
    <row r="1863" spans="16374:16378" x14ac:dyDescent="0.2">
      <c r="XET1863" s="220">
        <v>43661</v>
      </c>
      <c r="XEU1863" s="221">
        <v>16.899999999999999</v>
      </c>
      <c r="XEV1863" s="198">
        <f t="shared" si="205"/>
        <v>3.4356107508647815E-2</v>
      </c>
      <c r="XEW1863" s="221">
        <v>8258.1904300000006</v>
      </c>
      <c r="XEX1863" s="198">
        <f t="shared" si="206"/>
        <v>1.7043357584813901E-3</v>
      </c>
    </row>
    <row r="1864" spans="16374:16378" x14ac:dyDescent="0.2">
      <c r="XET1864" s="220">
        <v>43662</v>
      </c>
      <c r="XEU1864" s="221">
        <v>16.825333000000001</v>
      </c>
      <c r="XEV1864" s="198">
        <f t="shared" si="205"/>
        <v>-4.4181656804732627E-3</v>
      </c>
      <c r="XEW1864" s="221">
        <v>8222.7998050000006</v>
      </c>
      <c r="XEX1864" s="198">
        <f t="shared" si="206"/>
        <v>-4.285518153157919E-3</v>
      </c>
    </row>
    <row r="1865" spans="16374:16378" x14ac:dyDescent="0.2">
      <c r="XET1865" s="220">
        <v>43663</v>
      </c>
      <c r="XEU1865" s="221">
        <v>16.990666999999998</v>
      </c>
      <c r="XEV1865" s="198">
        <f t="shared" si="205"/>
        <v>9.8264919927586458E-3</v>
      </c>
      <c r="XEW1865" s="221">
        <v>8185.2099609999996</v>
      </c>
      <c r="XEX1865" s="198">
        <f t="shared" si="206"/>
        <v>-4.5714166575165915E-3</v>
      </c>
    </row>
    <row r="1866" spans="16374:16378" x14ac:dyDescent="0.2">
      <c r="XET1866" s="220">
        <v>43664</v>
      </c>
      <c r="XEU1866" s="221">
        <v>16.902666</v>
      </c>
      <c r="XEV1866" s="198">
        <f t="shared" si="205"/>
        <v>-5.1793728874798273E-3</v>
      </c>
      <c r="XEW1866" s="221">
        <v>8207.2402340000008</v>
      </c>
      <c r="XEX1866" s="198">
        <f t="shared" si="206"/>
        <v>2.6914731698965966E-3</v>
      </c>
    </row>
    <row r="1867" spans="16374:16378" x14ac:dyDescent="0.2">
      <c r="XET1867" s="220">
        <v>43665</v>
      </c>
      <c r="XEU1867" s="221">
        <v>17.212</v>
      </c>
      <c r="XEV1867" s="198">
        <f t="shared" si="205"/>
        <v>1.8300899988203057E-2</v>
      </c>
      <c r="XEW1867" s="221">
        <v>8146.4902339999999</v>
      </c>
      <c r="XEX1867" s="198">
        <f t="shared" si="206"/>
        <v>-7.4020009489100813E-3</v>
      </c>
    </row>
    <row r="1868" spans="16374:16378" x14ac:dyDescent="0.2">
      <c r="XET1868" s="220">
        <v>43668</v>
      </c>
      <c r="XEU1868" s="221">
        <v>17.045334</v>
      </c>
      <c r="XEV1868" s="198">
        <f t="shared" ref="XEV1868:XEV1931" si="207">XEU1868/XEU1867-1</f>
        <v>-9.6831280501974426E-3</v>
      </c>
      <c r="XEW1868" s="221">
        <v>8204.1396480000003</v>
      </c>
      <c r="XEX1868" s="198">
        <f t="shared" ref="XEX1868:XEX1931" si="208">XEW1868/XEW1867-1</f>
        <v>7.0765952384495012E-3</v>
      </c>
    </row>
    <row r="1869" spans="16374:16378" x14ac:dyDescent="0.2">
      <c r="XET1869" s="220">
        <v>43669</v>
      </c>
      <c r="XEU1869" s="221">
        <v>17.344667000000001</v>
      </c>
      <c r="XEV1869" s="198">
        <f t="shared" si="207"/>
        <v>1.7560993524679658E-2</v>
      </c>
      <c r="XEW1869" s="221">
        <v>8251.4003909999992</v>
      </c>
      <c r="XEX1869" s="198">
        <f t="shared" si="208"/>
        <v>5.7605970921668082E-3</v>
      </c>
    </row>
    <row r="1870" spans="16374:16378" x14ac:dyDescent="0.2">
      <c r="XET1870" s="220">
        <v>43670</v>
      </c>
      <c r="XEU1870" s="221">
        <v>17.658667000000001</v>
      </c>
      <c r="XEV1870" s="198">
        <f t="shared" si="207"/>
        <v>1.8103547332445125E-2</v>
      </c>
      <c r="XEW1870" s="221">
        <v>8321.5</v>
      </c>
      <c r="XEX1870" s="198">
        <f t="shared" si="208"/>
        <v>8.4954802431427279E-3</v>
      </c>
    </row>
    <row r="1871" spans="16374:16378" x14ac:dyDescent="0.2">
      <c r="XET1871" s="220">
        <v>43671</v>
      </c>
      <c r="XEU1871" s="221">
        <v>15.254667</v>
      </c>
      <c r="XEV1871" s="198">
        <f t="shared" si="207"/>
        <v>-0.13613711612546986</v>
      </c>
      <c r="XEW1871" s="221">
        <v>8238.5400389999995</v>
      </c>
      <c r="XEX1871" s="198">
        <f t="shared" si="208"/>
        <v>-9.9693517995553815E-3</v>
      </c>
    </row>
    <row r="1872" spans="16374:16378" x14ac:dyDescent="0.2">
      <c r="XET1872" s="220">
        <v>43672</v>
      </c>
      <c r="XEU1872" s="221">
        <v>15.202667</v>
      </c>
      <c r="XEV1872" s="198">
        <f t="shared" si="207"/>
        <v>-3.4087928631939546E-3</v>
      </c>
      <c r="XEW1872" s="221">
        <v>8330.2099610000005</v>
      </c>
      <c r="XEX1872" s="198">
        <f t="shared" si="208"/>
        <v>1.1126962006138053E-2</v>
      </c>
    </row>
    <row r="1873" spans="16374:16378" x14ac:dyDescent="0.2">
      <c r="XET1873" s="220">
        <v>43675</v>
      </c>
      <c r="XEU1873" s="221">
        <v>15.718</v>
      </c>
      <c r="XEV1873" s="198">
        <f t="shared" si="207"/>
        <v>3.3897539162043078E-2</v>
      </c>
      <c r="XEW1873" s="221">
        <v>8293.3300780000009</v>
      </c>
      <c r="XEX1873" s="198">
        <f t="shared" si="208"/>
        <v>-4.4272453122624622E-3</v>
      </c>
    </row>
    <row r="1874" spans="16374:16378" x14ac:dyDescent="0.2">
      <c r="XET1874" s="220">
        <v>43676</v>
      </c>
      <c r="XEU1874" s="221">
        <v>16.150666999999999</v>
      </c>
      <c r="XEV1874" s="198">
        <f t="shared" si="207"/>
        <v>2.7526848199516341E-2</v>
      </c>
      <c r="XEW1874" s="221">
        <v>8273.6103519999997</v>
      </c>
      <c r="XEX1874" s="198">
        <f t="shared" si="208"/>
        <v>-2.3777813995746744E-3</v>
      </c>
    </row>
    <row r="1875" spans="16374:16378" x14ac:dyDescent="0.2">
      <c r="XET1875" s="220">
        <v>43677</v>
      </c>
      <c r="XEU1875" s="221">
        <v>16.107332</v>
      </c>
      <c r="XEV1875" s="198">
        <f t="shared" si="207"/>
        <v>-2.6831709179564456E-3</v>
      </c>
      <c r="XEW1875" s="221">
        <v>8175.419922</v>
      </c>
      <c r="XEX1875" s="198">
        <f t="shared" si="208"/>
        <v>-1.1867906007474005E-2</v>
      </c>
    </row>
    <row r="1876" spans="16374:16378" x14ac:dyDescent="0.2">
      <c r="XET1876" s="220">
        <v>43678</v>
      </c>
      <c r="XEU1876" s="221">
        <v>15.59</v>
      </c>
      <c r="XEV1876" s="198">
        <f t="shared" si="207"/>
        <v>-3.2117795796349102E-2</v>
      </c>
      <c r="XEW1876" s="221">
        <v>8111.1201170000004</v>
      </c>
      <c r="XEX1876" s="198">
        <f t="shared" si="208"/>
        <v>-7.8650155727132409E-3</v>
      </c>
    </row>
    <row r="1877" spans="16374:16378" x14ac:dyDescent="0.2">
      <c r="XET1877" s="220">
        <v>43679</v>
      </c>
      <c r="XEU1877" s="221">
        <v>15.622667</v>
      </c>
      <c r="XEV1877" s="198">
        <f t="shared" si="207"/>
        <v>2.0953816549069693E-3</v>
      </c>
      <c r="XEW1877" s="221">
        <v>8004.0698240000002</v>
      </c>
      <c r="XEX1877" s="198">
        <f t="shared" si="208"/>
        <v>-1.3197966674865835E-2</v>
      </c>
    </row>
    <row r="1878" spans="16374:16378" x14ac:dyDescent="0.2">
      <c r="XET1878" s="220">
        <v>43682</v>
      </c>
      <c r="XEU1878" s="221">
        <v>15.221333</v>
      </c>
      <c r="XEV1878" s="198">
        <f t="shared" si="207"/>
        <v>-2.5689211707578541E-2</v>
      </c>
      <c r="XEW1878" s="221">
        <v>7726.0400390000004</v>
      </c>
      <c r="XEX1878" s="198">
        <f t="shared" si="208"/>
        <v>-3.47360519227774E-2</v>
      </c>
    </row>
    <row r="1879" spans="16374:16378" x14ac:dyDescent="0.2">
      <c r="XET1879" s="220">
        <v>43683</v>
      </c>
      <c r="XEU1879" s="221">
        <v>15.383333</v>
      </c>
      <c r="XEV1879" s="198">
        <f t="shared" si="207"/>
        <v>1.0642957486049376E-2</v>
      </c>
      <c r="XEW1879" s="221">
        <v>7833.2700199999999</v>
      </c>
      <c r="XEX1879" s="198">
        <f t="shared" si="208"/>
        <v>1.3879035114847671E-2</v>
      </c>
    </row>
    <row r="1880" spans="16374:16378" x14ac:dyDescent="0.2">
      <c r="XET1880" s="220">
        <v>43684</v>
      </c>
      <c r="XEU1880" s="221">
        <v>15.561332999999999</v>
      </c>
      <c r="XEV1880" s="198">
        <f t="shared" si="207"/>
        <v>1.157096449774575E-2</v>
      </c>
      <c r="XEW1880" s="221">
        <v>7862.830078</v>
      </c>
      <c r="XEX1880" s="198">
        <f t="shared" si="208"/>
        <v>3.773654926298553E-3</v>
      </c>
    </row>
    <row r="1881" spans="16374:16378" x14ac:dyDescent="0.2">
      <c r="XET1881" s="220">
        <v>43685</v>
      </c>
      <c r="XEU1881" s="221">
        <v>15.886666999999999</v>
      </c>
      <c r="XEV1881" s="198">
        <f t="shared" si="207"/>
        <v>2.0906563724328642E-2</v>
      </c>
      <c r="XEW1881" s="221">
        <v>8039.1601559999999</v>
      </c>
      <c r="XEX1881" s="198">
        <f t="shared" si="208"/>
        <v>2.2425777519136103E-2</v>
      </c>
    </row>
    <row r="1882" spans="16374:16378" x14ac:dyDescent="0.2">
      <c r="XET1882" s="220">
        <v>43686</v>
      </c>
      <c r="XEU1882" s="221">
        <v>15.667332999999999</v>
      </c>
      <c r="XEV1882" s="198">
        <f t="shared" si="207"/>
        <v>-1.3806168405241959E-2</v>
      </c>
      <c r="XEW1882" s="221">
        <v>7959.1401370000003</v>
      </c>
      <c r="XEX1882" s="198">
        <f t="shared" si="208"/>
        <v>-9.9537784354597481E-3</v>
      </c>
    </row>
    <row r="1883" spans="16374:16378" x14ac:dyDescent="0.2">
      <c r="XET1883" s="220">
        <v>43689</v>
      </c>
      <c r="XEU1883" s="221">
        <v>15.267333000000001</v>
      </c>
      <c r="XEV1883" s="198">
        <f t="shared" si="207"/>
        <v>-2.5530829018569956E-2</v>
      </c>
      <c r="XEW1883" s="221">
        <v>7863.4101559999999</v>
      </c>
      <c r="XEX1883" s="198">
        <f t="shared" si="208"/>
        <v>-1.2027678788438023E-2</v>
      </c>
    </row>
    <row r="1884" spans="16374:16378" x14ac:dyDescent="0.2">
      <c r="XET1884" s="220">
        <v>43690</v>
      </c>
      <c r="XEU1884" s="221">
        <v>15.666667</v>
      </c>
      <c r="XEV1884" s="198">
        <f t="shared" si="207"/>
        <v>2.6156107291299691E-2</v>
      </c>
      <c r="XEW1884" s="221">
        <v>8016.3598629999997</v>
      </c>
      <c r="XEX1884" s="198">
        <f t="shared" si="208"/>
        <v>1.9450811284884351E-2</v>
      </c>
    </row>
    <row r="1885" spans="16374:16378" x14ac:dyDescent="0.2">
      <c r="XET1885" s="220">
        <v>43691</v>
      </c>
      <c r="XEU1885" s="221">
        <v>14.641332999999999</v>
      </c>
      <c r="XEV1885" s="198">
        <f t="shared" si="207"/>
        <v>-6.5446849671343732E-2</v>
      </c>
      <c r="XEW1885" s="221">
        <v>7773.9399409999996</v>
      </c>
      <c r="XEX1885" s="198">
        <f t="shared" si="208"/>
        <v>-3.0240648641399415E-2</v>
      </c>
    </row>
    <row r="1886" spans="16374:16378" x14ac:dyDescent="0.2">
      <c r="XET1886" s="220">
        <v>43692</v>
      </c>
      <c r="XEU1886" s="221">
        <v>14.375999999999999</v>
      </c>
      <c r="XEV1886" s="198">
        <f t="shared" si="207"/>
        <v>-1.8122188737869749E-2</v>
      </c>
      <c r="XEW1886" s="221">
        <v>7766.6201170000004</v>
      </c>
      <c r="XEX1886" s="198">
        <f t="shared" si="208"/>
        <v>-9.4158484057671465E-4</v>
      </c>
    </row>
    <row r="1887" spans="16374:16378" x14ac:dyDescent="0.2">
      <c r="XET1887" s="220">
        <v>43693</v>
      </c>
      <c r="XEU1887" s="221">
        <v>14.662667000000001</v>
      </c>
      <c r="XEV1887" s="198">
        <f t="shared" si="207"/>
        <v>1.9940664997217583E-2</v>
      </c>
      <c r="XEW1887" s="221">
        <v>7895.9902339999999</v>
      </c>
      <c r="XEX1887" s="198">
        <f t="shared" si="208"/>
        <v>1.6657196444670674E-2</v>
      </c>
    </row>
    <row r="1888" spans="16374:16378" x14ac:dyDescent="0.2">
      <c r="XET1888" s="220">
        <v>43696</v>
      </c>
      <c r="XEU1888" s="221">
        <v>15.122</v>
      </c>
      <c r="XEV1888" s="198">
        <f t="shared" si="207"/>
        <v>3.1326702024945252E-2</v>
      </c>
      <c r="XEW1888" s="221">
        <v>8002.8100590000004</v>
      </c>
      <c r="XEX1888" s="198">
        <f t="shared" si="208"/>
        <v>1.3528363363474849E-2</v>
      </c>
    </row>
    <row r="1889" spans="16374:16378" x14ac:dyDescent="0.2">
      <c r="XET1889" s="220">
        <v>43697</v>
      </c>
      <c r="XEU1889" s="221">
        <v>15.057333</v>
      </c>
      <c r="XEV1889" s="198">
        <f t="shared" si="207"/>
        <v>-4.2763523343473109E-3</v>
      </c>
      <c r="XEW1889" s="221">
        <v>7948.5600590000004</v>
      </c>
      <c r="XEX1889" s="198">
        <f t="shared" si="208"/>
        <v>-6.7788688723144919E-3</v>
      </c>
    </row>
    <row r="1890" spans="16374:16378" x14ac:dyDescent="0.2">
      <c r="XET1890" s="220">
        <v>43698</v>
      </c>
      <c r="XEU1890" s="221">
        <v>14.722</v>
      </c>
      <c r="XEV1890" s="198">
        <f t="shared" si="207"/>
        <v>-2.227041136700636E-2</v>
      </c>
      <c r="XEW1890" s="221">
        <v>8020.2099609999996</v>
      </c>
      <c r="XEX1890" s="198">
        <f t="shared" si="208"/>
        <v>9.0141989829808367E-3</v>
      </c>
    </row>
    <row r="1891" spans="16374:16378" x14ac:dyDescent="0.2">
      <c r="XET1891" s="220">
        <v>43699</v>
      </c>
      <c r="XEU1891" s="221">
        <v>14.81</v>
      </c>
      <c r="XEV1891" s="198">
        <f t="shared" si="207"/>
        <v>5.977448716207201E-3</v>
      </c>
      <c r="XEW1891" s="221">
        <v>7991.3901370000003</v>
      </c>
      <c r="XEX1891" s="198">
        <f t="shared" si="208"/>
        <v>-3.5934001902869772E-3</v>
      </c>
    </row>
    <row r="1892" spans="16374:16378" x14ac:dyDescent="0.2">
      <c r="XET1892" s="220">
        <v>43700</v>
      </c>
      <c r="XEU1892" s="221">
        <v>14.093332999999999</v>
      </c>
      <c r="XEV1892" s="198">
        <f t="shared" si="207"/>
        <v>-4.8390749493585461E-2</v>
      </c>
      <c r="XEW1892" s="221">
        <v>7751.7700199999999</v>
      </c>
      <c r="XEX1892" s="198">
        <f t="shared" si="208"/>
        <v>-2.9984785236621514E-2</v>
      </c>
    </row>
    <row r="1893" spans="16374:16378" x14ac:dyDescent="0.2">
      <c r="XET1893" s="220">
        <v>43703</v>
      </c>
      <c r="XEU1893" s="221">
        <v>14.333333</v>
      </c>
      <c r="XEV1893" s="198">
        <f t="shared" si="207"/>
        <v>1.702932869038154E-2</v>
      </c>
      <c r="XEW1893" s="221">
        <v>7853.7402339999999</v>
      </c>
      <c r="XEX1893" s="198">
        <f t="shared" si="208"/>
        <v>1.3154442628833252E-2</v>
      </c>
    </row>
    <row r="1894" spans="16374:16378" x14ac:dyDescent="0.2">
      <c r="XET1894" s="220">
        <v>43704</v>
      </c>
      <c r="XEU1894" s="221">
        <v>14.272</v>
      </c>
      <c r="XEV1894" s="198">
        <f t="shared" si="207"/>
        <v>-4.2790466111405356E-3</v>
      </c>
      <c r="XEW1894" s="221">
        <v>7826.9501950000003</v>
      </c>
      <c r="XEX1894" s="198">
        <f t="shared" si="208"/>
        <v>-3.4111185501172203E-3</v>
      </c>
    </row>
    <row r="1895" spans="16374:16378" x14ac:dyDescent="0.2">
      <c r="XET1895" s="220">
        <v>43705</v>
      </c>
      <c r="XEU1895" s="221">
        <v>14.372667</v>
      </c>
      <c r="XEV1895" s="198">
        <f t="shared" si="207"/>
        <v>7.0534613228698806E-3</v>
      </c>
      <c r="XEW1895" s="221">
        <v>7856.8798829999996</v>
      </c>
      <c r="XEX1895" s="198">
        <f t="shared" si="208"/>
        <v>3.8239272327449392E-3</v>
      </c>
    </row>
    <row r="1896" spans="16374:16378" x14ac:dyDescent="0.2">
      <c r="XET1896" s="220">
        <v>43706</v>
      </c>
      <c r="XEU1896" s="221">
        <v>14.780666999999999</v>
      </c>
      <c r="XEV1896" s="198">
        <f t="shared" si="207"/>
        <v>2.8387215817356592E-2</v>
      </c>
      <c r="XEW1896" s="221">
        <v>7973.3901370000003</v>
      </c>
      <c r="XEX1896" s="198">
        <f t="shared" si="208"/>
        <v>1.4829074102570283E-2</v>
      </c>
    </row>
    <row r="1897" spans="16374:16378" x14ac:dyDescent="0.2">
      <c r="XET1897" s="220">
        <v>43707</v>
      </c>
      <c r="XEU1897" s="221">
        <v>15.040666999999999</v>
      </c>
      <c r="XEV1897" s="198">
        <f t="shared" si="207"/>
        <v>1.759054581231001E-2</v>
      </c>
      <c r="XEW1897" s="221">
        <v>7962.8798829999996</v>
      </c>
      <c r="XEX1897" s="198">
        <f t="shared" si="208"/>
        <v>-1.3181662780087366E-3</v>
      </c>
    </row>
    <row r="1898" spans="16374:16378" x14ac:dyDescent="0.2">
      <c r="XET1898" s="220">
        <v>43711</v>
      </c>
      <c r="XEU1898" s="221">
        <v>15.000667</v>
      </c>
      <c r="XEV1898" s="198">
        <f t="shared" si="207"/>
        <v>-2.6594565254319802E-3</v>
      </c>
      <c r="XEW1898" s="221">
        <v>7874.1601559999999</v>
      </c>
      <c r="XEX1898" s="198">
        <f t="shared" si="208"/>
        <v>-1.1141663355918263E-2</v>
      </c>
    </row>
    <row r="1899" spans="16374:16378" x14ac:dyDescent="0.2">
      <c r="XET1899" s="220">
        <v>43712</v>
      </c>
      <c r="XEU1899" s="221">
        <v>14.712</v>
      </c>
      <c r="XEV1899" s="198">
        <f t="shared" si="207"/>
        <v>-1.9243610967432323E-2</v>
      </c>
      <c r="XEW1899" s="221">
        <v>7976.8798829999996</v>
      </c>
      <c r="XEX1899" s="198">
        <f t="shared" si="208"/>
        <v>1.3045166083106574E-2</v>
      </c>
    </row>
    <row r="1900" spans="16374:16378" x14ac:dyDescent="0.2">
      <c r="XET1900" s="220">
        <v>43713</v>
      </c>
      <c r="XEU1900" s="221">
        <v>15.305332999999999</v>
      </c>
      <c r="XEV1900" s="198">
        <f t="shared" si="207"/>
        <v>4.0329866775421497E-2</v>
      </c>
      <c r="XEW1900" s="221">
        <v>8116.830078</v>
      </c>
      <c r="XEX1900" s="198">
        <f t="shared" si="208"/>
        <v>1.7544478173509459E-2</v>
      </c>
    </row>
    <row r="1901" spans="16374:16378" x14ac:dyDescent="0.2">
      <c r="XET1901" s="220">
        <v>43714</v>
      </c>
      <c r="XEU1901" s="221">
        <v>15.163333</v>
      </c>
      <c r="XEV1901" s="198">
        <f t="shared" si="207"/>
        <v>-9.2778118581281488E-3</v>
      </c>
      <c r="XEW1901" s="221">
        <v>8103.0698240000002</v>
      </c>
      <c r="XEX1901" s="198">
        <f t="shared" si="208"/>
        <v>-1.6952743703845252E-3</v>
      </c>
    </row>
    <row r="1902" spans="16374:16378" x14ac:dyDescent="0.2">
      <c r="XET1902" s="220">
        <v>43717</v>
      </c>
      <c r="XEU1902" s="221">
        <v>15.452667</v>
      </c>
      <c r="XEV1902" s="198">
        <f t="shared" si="207"/>
        <v>1.9081161114116618E-2</v>
      </c>
      <c r="XEW1902" s="221">
        <v>8087.4399409999996</v>
      </c>
      <c r="XEX1902" s="198">
        <f t="shared" si="208"/>
        <v>-1.9288841561881931E-3</v>
      </c>
    </row>
    <row r="1903" spans="16374:16378" x14ac:dyDescent="0.2">
      <c r="XET1903" s="220">
        <v>43718</v>
      </c>
      <c r="XEU1903" s="221">
        <v>15.702667</v>
      </c>
      <c r="XEV1903" s="198">
        <f t="shared" si="207"/>
        <v>1.6178437029672699E-2</v>
      </c>
      <c r="XEW1903" s="221">
        <v>8084.1601559999999</v>
      </c>
      <c r="XEX1903" s="198">
        <f t="shared" si="208"/>
        <v>-4.0554056956543238E-4</v>
      </c>
    </row>
    <row r="1904" spans="16374:16378" x14ac:dyDescent="0.2">
      <c r="XET1904" s="220">
        <v>43719</v>
      </c>
      <c r="XEU1904" s="221">
        <v>16.473333</v>
      </c>
      <c r="XEV1904" s="198">
        <f t="shared" si="207"/>
        <v>4.9078669247714535E-2</v>
      </c>
      <c r="XEW1904" s="221">
        <v>8169.6801759999998</v>
      </c>
      <c r="XEX1904" s="198">
        <f t="shared" si="208"/>
        <v>1.0578714220119467E-2</v>
      </c>
    </row>
    <row r="1905" spans="16374:16378" x14ac:dyDescent="0.2">
      <c r="XET1905" s="220">
        <v>43720</v>
      </c>
      <c r="XEU1905" s="221">
        <v>16.391332999999999</v>
      </c>
      <c r="XEV1905" s="198">
        <f t="shared" si="207"/>
        <v>-4.9777419056605821E-3</v>
      </c>
      <c r="XEW1905" s="221">
        <v>8194.4697269999997</v>
      </c>
      <c r="XEX1905" s="198">
        <f t="shared" si="208"/>
        <v>3.0343355512034709E-3</v>
      </c>
    </row>
    <row r="1906" spans="16374:16378" x14ac:dyDescent="0.2">
      <c r="XET1906" s="220">
        <v>43721</v>
      </c>
      <c r="XEU1906" s="221">
        <v>16.346665999999999</v>
      </c>
      <c r="XEV1906" s="198">
        <f t="shared" si="207"/>
        <v>-2.7250376769235585E-3</v>
      </c>
      <c r="XEW1906" s="221">
        <v>8176.7099609999996</v>
      </c>
      <c r="XEX1906" s="198">
        <f t="shared" si="208"/>
        <v>-2.1672867911737281E-3</v>
      </c>
    </row>
    <row r="1907" spans="16374:16378" x14ac:dyDescent="0.2">
      <c r="XET1907" s="220">
        <v>43724</v>
      </c>
      <c r="XEU1907" s="221">
        <v>16.187332000000001</v>
      </c>
      <c r="XEV1907" s="198">
        <f t="shared" si="207"/>
        <v>-9.7471863681558579E-3</v>
      </c>
      <c r="XEW1907" s="221">
        <v>8153.5400390000004</v>
      </c>
      <c r="XEX1907" s="198">
        <f t="shared" si="208"/>
        <v>-2.8336485102824494E-3</v>
      </c>
    </row>
    <row r="1908" spans="16374:16378" x14ac:dyDescent="0.2">
      <c r="XET1908" s="220">
        <v>43725</v>
      </c>
      <c r="XEU1908" s="221">
        <v>16.319331999999999</v>
      </c>
      <c r="XEV1908" s="198">
        <f t="shared" si="207"/>
        <v>8.1545247851837477E-3</v>
      </c>
      <c r="XEW1908" s="221">
        <v>8186.0200199999999</v>
      </c>
      <c r="XEX1908" s="198">
        <f t="shared" si="208"/>
        <v>3.9835434479553733E-3</v>
      </c>
    </row>
    <row r="1909" spans="16374:16378" x14ac:dyDescent="0.2">
      <c r="XET1909" s="220">
        <v>43726</v>
      </c>
      <c r="XEU1909" s="221">
        <v>16.232668</v>
      </c>
      <c r="XEV1909" s="198">
        <f t="shared" si="207"/>
        <v>-5.3105114841709433E-3</v>
      </c>
      <c r="XEW1909" s="221">
        <v>8177.3901370000003</v>
      </c>
      <c r="XEX1909" s="198">
        <f t="shared" si="208"/>
        <v>-1.0542220735980656E-3</v>
      </c>
    </row>
    <row r="1910" spans="16374:16378" x14ac:dyDescent="0.2">
      <c r="XET1910" s="220">
        <v>43727</v>
      </c>
      <c r="XEU1910" s="221">
        <v>16.440000999999999</v>
      </c>
      <c r="XEV1910" s="198">
        <f t="shared" si="207"/>
        <v>1.2772576880152986E-2</v>
      </c>
      <c r="XEW1910" s="221">
        <v>8182.8798829999996</v>
      </c>
      <c r="XEX1910" s="198">
        <f t="shared" si="208"/>
        <v>6.713322842650804E-4</v>
      </c>
    </row>
    <row r="1911" spans="16374:16378" x14ac:dyDescent="0.2">
      <c r="XET1911" s="220">
        <v>43728</v>
      </c>
      <c r="XEU1911" s="221">
        <v>16.041332000000001</v>
      </c>
      <c r="XEV1911" s="198">
        <f t="shared" si="207"/>
        <v>-2.4249937697692237E-2</v>
      </c>
      <c r="XEW1911" s="221">
        <v>8117.669922</v>
      </c>
      <c r="XEX1911" s="198">
        <f t="shared" si="208"/>
        <v>-7.9690722499146105E-3</v>
      </c>
    </row>
    <row r="1912" spans="16374:16378" x14ac:dyDescent="0.2">
      <c r="XET1912" s="220">
        <v>43731</v>
      </c>
      <c r="XEU1912" s="221">
        <v>16.082001000000002</v>
      </c>
      <c r="XEV1912" s="198">
        <f t="shared" si="207"/>
        <v>2.5352632811290743E-3</v>
      </c>
      <c r="XEW1912" s="221">
        <v>8112.4599609999996</v>
      </c>
      <c r="XEX1912" s="198">
        <f t="shared" si="208"/>
        <v>-6.4180498222532467E-4</v>
      </c>
    </row>
    <row r="1913" spans="16374:16378" x14ac:dyDescent="0.2">
      <c r="XET1913" s="220">
        <v>43732</v>
      </c>
      <c r="XEU1913" s="221">
        <v>14.880667000000001</v>
      </c>
      <c r="XEV1913" s="198">
        <f t="shared" si="207"/>
        <v>-7.4700530114380714E-2</v>
      </c>
      <c r="XEW1913" s="221">
        <v>7993.6298829999996</v>
      </c>
      <c r="XEX1913" s="198">
        <f t="shared" si="208"/>
        <v>-1.4647847702332739E-2</v>
      </c>
    </row>
    <row r="1914" spans="16374:16378" x14ac:dyDescent="0.2">
      <c r="XET1914" s="220">
        <v>43733</v>
      </c>
      <c r="XEU1914" s="221">
        <v>15.246667</v>
      </c>
      <c r="XEV1914" s="198">
        <f t="shared" si="207"/>
        <v>2.4595671685953224E-2</v>
      </c>
      <c r="XEW1914" s="221">
        <v>8077.3798829999996</v>
      </c>
      <c r="XEX1914" s="198">
        <f t="shared" si="208"/>
        <v>1.0477092538160981E-2</v>
      </c>
    </row>
    <row r="1915" spans="16374:16378" x14ac:dyDescent="0.2">
      <c r="XET1915" s="220">
        <v>43734</v>
      </c>
      <c r="XEU1915" s="221">
        <v>16.170667999999999</v>
      </c>
      <c r="XEV1915" s="198">
        <f t="shared" si="207"/>
        <v>6.0603474844698857E-2</v>
      </c>
      <c r="XEW1915" s="221">
        <v>8030.6601559999999</v>
      </c>
      <c r="XEX1915" s="198">
        <f t="shared" si="208"/>
        <v>-5.7840200258908459E-3</v>
      </c>
    </row>
    <row r="1916" spans="16374:16378" x14ac:dyDescent="0.2">
      <c r="XET1916" s="220">
        <v>43735</v>
      </c>
      <c r="XEU1916" s="221">
        <v>16.141999999999999</v>
      </c>
      <c r="XEV1916" s="198">
        <f t="shared" si="207"/>
        <v>-1.7728395635850935E-3</v>
      </c>
      <c r="XEW1916" s="221">
        <v>7939.6298829999996</v>
      </c>
      <c r="XEX1916" s="198">
        <f t="shared" si="208"/>
        <v>-1.1335341208778216E-2</v>
      </c>
    </row>
    <row r="1917" spans="16374:16378" x14ac:dyDescent="0.2">
      <c r="XET1917" s="220">
        <v>43738</v>
      </c>
      <c r="XEU1917" s="221">
        <v>16.058001000000001</v>
      </c>
      <c r="XEV1917" s="198">
        <f t="shared" si="207"/>
        <v>-5.2037541816378763E-3</v>
      </c>
      <c r="XEW1917" s="221">
        <v>7999.3398440000001</v>
      </c>
      <c r="XEX1917" s="198">
        <f t="shared" si="208"/>
        <v>7.5204967838424785E-3</v>
      </c>
    </row>
    <row r="1918" spans="16374:16378" x14ac:dyDescent="0.2">
      <c r="XET1918" s="220">
        <v>43739</v>
      </c>
      <c r="XEU1918" s="221">
        <v>16.312667999999999</v>
      </c>
      <c r="XEV1918" s="198">
        <f t="shared" si="207"/>
        <v>1.5859196919965068E-2</v>
      </c>
      <c r="XEW1918" s="221">
        <v>7908.6801759999998</v>
      </c>
      <c r="XEX1918" s="198">
        <f t="shared" si="208"/>
        <v>-1.1333393725983631E-2</v>
      </c>
    </row>
    <row r="1919" spans="16374:16378" x14ac:dyDescent="0.2">
      <c r="XET1919" s="220">
        <v>43740</v>
      </c>
      <c r="XEU1919" s="221">
        <v>16.208667999999999</v>
      </c>
      <c r="XEV1919" s="198">
        <f t="shared" si="207"/>
        <v>-6.3754132677744657E-3</v>
      </c>
      <c r="XEW1919" s="221">
        <v>7785.25</v>
      </c>
      <c r="XEX1919" s="198">
        <f t="shared" si="208"/>
        <v>-1.5606924702122327E-2</v>
      </c>
    </row>
    <row r="1920" spans="16374:16378" x14ac:dyDescent="0.2">
      <c r="XET1920" s="220">
        <v>43741</v>
      </c>
      <c r="XEU1920" s="221">
        <v>15.535333</v>
      </c>
      <c r="XEV1920" s="198">
        <f t="shared" si="207"/>
        <v>-4.1541661535667185E-2</v>
      </c>
      <c r="XEW1920" s="221">
        <v>7872.2597660000001</v>
      </c>
      <c r="XEX1920" s="198">
        <f t="shared" si="208"/>
        <v>1.1176232747824422E-2</v>
      </c>
    </row>
    <row r="1921" spans="16374:16378" x14ac:dyDescent="0.2">
      <c r="XET1921" s="220">
        <v>43742</v>
      </c>
      <c r="XEU1921" s="221">
        <v>15.428667000000001</v>
      </c>
      <c r="XEV1921" s="198">
        <f t="shared" si="207"/>
        <v>-6.8660259809042445E-3</v>
      </c>
      <c r="XEW1921" s="221">
        <v>7982.4702150000003</v>
      </c>
      <c r="XEX1921" s="198">
        <f t="shared" si="208"/>
        <v>1.3999849125405417E-2</v>
      </c>
    </row>
    <row r="1922" spans="16374:16378" x14ac:dyDescent="0.2">
      <c r="XET1922" s="220">
        <v>43745</v>
      </c>
      <c r="XEU1922" s="221">
        <v>15.848000000000001</v>
      </c>
      <c r="XEV1922" s="198">
        <f t="shared" si="207"/>
        <v>2.7178822383035373E-2</v>
      </c>
      <c r="XEW1922" s="221">
        <v>7956.2900390000004</v>
      </c>
      <c r="XEX1922" s="198">
        <f t="shared" si="208"/>
        <v>-3.2797085732689801E-3</v>
      </c>
    </row>
    <row r="1923" spans="16374:16378" x14ac:dyDescent="0.2">
      <c r="XET1923" s="220">
        <v>43746</v>
      </c>
      <c r="XEU1923" s="221">
        <v>16.003332</v>
      </c>
      <c r="XEV1923" s="198">
        <f t="shared" si="207"/>
        <v>9.8013629480060427E-3</v>
      </c>
      <c r="XEW1923" s="221">
        <v>7823.7797849999997</v>
      </c>
      <c r="XEX1923" s="198">
        <f t="shared" si="208"/>
        <v>-1.665477921876457E-2</v>
      </c>
    </row>
    <row r="1924" spans="16374:16378" x14ac:dyDescent="0.2">
      <c r="XET1924" s="220">
        <v>43747</v>
      </c>
      <c r="XEU1924" s="221">
        <v>16.302</v>
      </c>
      <c r="XEV1924" s="198">
        <f t="shared" si="207"/>
        <v>1.8662863458684731E-2</v>
      </c>
      <c r="XEW1924" s="221">
        <v>7903.7402339999999</v>
      </c>
      <c r="XEX1924" s="198">
        <f t="shared" si="208"/>
        <v>1.0220181446479737E-2</v>
      </c>
    </row>
    <row r="1925" spans="16374:16378" x14ac:dyDescent="0.2">
      <c r="XET1925" s="220">
        <v>43748</v>
      </c>
      <c r="XEU1925" s="221">
        <v>16.315999999999999</v>
      </c>
      <c r="XEV1925" s="198">
        <f t="shared" si="207"/>
        <v>8.5879033247460157E-4</v>
      </c>
      <c r="XEW1925" s="221">
        <v>7950.7797849999997</v>
      </c>
      <c r="XEX1925" s="198">
        <f t="shared" si="208"/>
        <v>5.9515557960327925E-3</v>
      </c>
    </row>
    <row r="1926" spans="16374:16378" x14ac:dyDescent="0.2">
      <c r="XET1926" s="220">
        <v>43749</v>
      </c>
      <c r="XEU1926" s="221">
        <v>16.525998999999999</v>
      </c>
      <c r="XEV1926" s="198">
        <f t="shared" si="207"/>
        <v>1.2870740377543433E-2</v>
      </c>
      <c r="XEW1926" s="221">
        <v>8057.0400390000004</v>
      </c>
      <c r="XEX1926" s="198">
        <f t="shared" si="208"/>
        <v>1.3364758787618891E-2</v>
      </c>
    </row>
    <row r="1927" spans="16374:16378" x14ac:dyDescent="0.2">
      <c r="XET1927" s="220">
        <v>43752</v>
      </c>
      <c r="XEU1927" s="221">
        <v>17.130666999999999</v>
      </c>
      <c r="XEV1927" s="198">
        <f t="shared" si="207"/>
        <v>3.6588892447591226E-2</v>
      </c>
      <c r="XEW1927" s="221">
        <v>8048.6499020000001</v>
      </c>
      <c r="XEX1927" s="198">
        <f t="shared" si="208"/>
        <v>-1.0413423489753493E-3</v>
      </c>
    </row>
    <row r="1928" spans="16374:16378" x14ac:dyDescent="0.2">
      <c r="XET1928" s="220">
        <v>43753</v>
      </c>
      <c r="XEU1928" s="221">
        <v>17.192667</v>
      </c>
      <c r="XEV1928" s="198">
        <f t="shared" si="207"/>
        <v>3.6192402782682098E-3</v>
      </c>
      <c r="XEW1928" s="221">
        <v>8148.7099609999996</v>
      </c>
      <c r="XEX1928" s="198">
        <f t="shared" si="208"/>
        <v>1.2431905998934845E-2</v>
      </c>
    </row>
    <row r="1929" spans="16374:16378" x14ac:dyDescent="0.2">
      <c r="XET1929" s="220">
        <v>43754</v>
      </c>
      <c r="XEU1929" s="221">
        <v>17.316668</v>
      </c>
      <c r="XEV1929" s="198">
        <f t="shared" si="207"/>
        <v>7.2124353946947384E-3</v>
      </c>
      <c r="XEW1929" s="221">
        <v>8124.1801759999998</v>
      </c>
      <c r="XEX1929" s="198">
        <f t="shared" si="208"/>
        <v>-3.0102660565168859E-3</v>
      </c>
    </row>
    <row r="1930" spans="16374:16378" x14ac:dyDescent="0.2">
      <c r="XET1930" s="220">
        <v>43755</v>
      </c>
      <c r="XEU1930" s="221">
        <v>17.464666000000001</v>
      </c>
      <c r="XEV1930" s="198">
        <f t="shared" si="207"/>
        <v>8.5465633457892931E-3</v>
      </c>
      <c r="XEW1930" s="221">
        <v>8156.8500979999999</v>
      </c>
      <c r="XEX1930" s="198">
        <f t="shared" si="208"/>
        <v>4.0213192337255066E-3</v>
      </c>
    </row>
    <row r="1931" spans="16374:16378" x14ac:dyDescent="0.2">
      <c r="XET1931" s="220">
        <v>43756</v>
      </c>
      <c r="XEU1931" s="221">
        <v>17.129999000000002</v>
      </c>
      <c r="XEV1931" s="198">
        <f t="shared" si="207"/>
        <v>-1.9162519340478634E-2</v>
      </c>
      <c r="XEW1931" s="221">
        <v>8089.5400390000004</v>
      </c>
      <c r="XEX1931" s="198">
        <f t="shared" si="208"/>
        <v>-8.2519671431137143E-3</v>
      </c>
    </row>
    <row r="1932" spans="16374:16378" x14ac:dyDescent="0.2">
      <c r="XET1932" s="220">
        <v>43759</v>
      </c>
      <c r="XEU1932" s="221">
        <v>16.899999999999999</v>
      </c>
      <c r="XEV1932" s="198">
        <f t="shared" ref="XEV1932:XEV1995" si="209">XEU1932/XEU1931-1</f>
        <v>-1.3426679125900898E-2</v>
      </c>
      <c r="XEW1932" s="221">
        <v>8162.9902339999999</v>
      </c>
      <c r="XEX1932" s="198">
        <f t="shared" ref="XEX1932:XEX1995" si="210">XEW1932/XEW1931-1</f>
        <v>9.0796503442585053E-3</v>
      </c>
    </row>
    <row r="1933" spans="16374:16378" x14ac:dyDescent="0.2">
      <c r="XET1933" s="220">
        <v>43760</v>
      </c>
      <c r="XEU1933" s="221">
        <v>17.038668000000001</v>
      </c>
      <c r="XEV1933" s="198">
        <f t="shared" si="209"/>
        <v>8.2052071005918048E-3</v>
      </c>
      <c r="XEW1933" s="221">
        <v>8104.2998049999997</v>
      </c>
      <c r="XEX1933" s="198">
        <f t="shared" si="210"/>
        <v>-7.1898198230774257E-3</v>
      </c>
    </row>
    <row r="1934" spans="16374:16378" x14ac:dyDescent="0.2">
      <c r="XET1934" s="220">
        <v>43761</v>
      </c>
      <c r="XEU1934" s="221">
        <v>16.978666</v>
      </c>
      <c r="XEV1934" s="198">
        <f t="shared" si="209"/>
        <v>-3.5215194051554377E-3</v>
      </c>
      <c r="XEW1934" s="221">
        <v>8119.7900390000004</v>
      </c>
      <c r="XEX1934" s="198">
        <f t="shared" si="210"/>
        <v>1.9113599413540516E-3</v>
      </c>
    </row>
    <row r="1935" spans="16374:16378" x14ac:dyDescent="0.2">
      <c r="XET1935" s="220">
        <v>43762</v>
      </c>
      <c r="XEU1935" s="221">
        <v>19.978666</v>
      </c>
      <c r="XEV1935" s="198">
        <f t="shared" si="209"/>
        <v>0.17669232671165092</v>
      </c>
      <c r="XEW1935" s="221">
        <v>8185.7998049999997</v>
      </c>
      <c r="XEX1935" s="198">
        <f t="shared" si="210"/>
        <v>8.1294917335237304E-3</v>
      </c>
    </row>
    <row r="1936" spans="16374:16378" x14ac:dyDescent="0.2">
      <c r="XET1936" s="220">
        <v>43763</v>
      </c>
      <c r="XEU1936" s="221">
        <v>21.875333999999999</v>
      </c>
      <c r="XEV1936" s="198">
        <f t="shared" si="209"/>
        <v>9.4934666809085133E-2</v>
      </c>
      <c r="XEW1936" s="221">
        <v>8243.1201170000004</v>
      </c>
      <c r="XEX1936" s="198">
        <f t="shared" si="210"/>
        <v>7.0024082393254083E-3</v>
      </c>
    </row>
    <row r="1937" spans="16374:16378" x14ac:dyDescent="0.2">
      <c r="XET1937" s="220">
        <v>43766</v>
      </c>
      <c r="XEU1937" s="221">
        <v>21.847334</v>
      </c>
      <c r="XEV1937" s="198">
        <f t="shared" si="209"/>
        <v>-1.2799804565268857E-3</v>
      </c>
      <c r="XEW1937" s="221">
        <v>8325.9902340000008</v>
      </c>
      <c r="XEX1937" s="198">
        <f t="shared" si="210"/>
        <v>1.0053246322238474E-2</v>
      </c>
    </row>
    <row r="1938" spans="16374:16378" x14ac:dyDescent="0.2">
      <c r="XET1938" s="220">
        <v>43767</v>
      </c>
      <c r="XEU1938" s="221">
        <v>21.081333000000001</v>
      </c>
      <c r="XEV1938" s="198">
        <f t="shared" si="209"/>
        <v>-3.5061531992873762E-2</v>
      </c>
      <c r="XEW1938" s="221">
        <v>8276.8496090000008</v>
      </c>
      <c r="XEX1938" s="198">
        <f t="shared" si="210"/>
        <v>-5.9020757434148363E-3</v>
      </c>
    </row>
    <row r="1939" spans="16374:16378" x14ac:dyDescent="0.2">
      <c r="XET1939" s="220">
        <v>43768</v>
      </c>
      <c r="XEU1939" s="221">
        <v>21.000668000000001</v>
      </c>
      <c r="XEV1939" s="198">
        <f t="shared" si="209"/>
        <v>-3.8263709415339298E-3</v>
      </c>
      <c r="XEW1939" s="221">
        <v>8303.9804690000001</v>
      </c>
      <c r="XEX1939" s="198">
        <f t="shared" si="210"/>
        <v>3.2779211030362632E-3</v>
      </c>
    </row>
    <row r="1940" spans="16374:16378" x14ac:dyDescent="0.2">
      <c r="XET1940" s="220">
        <v>43769</v>
      </c>
      <c r="XEU1940" s="221">
        <v>20.994667</v>
      </c>
      <c r="XEV1940" s="198">
        <f t="shared" si="209"/>
        <v>-2.8575281510101469E-4</v>
      </c>
      <c r="XEW1940" s="221">
        <v>8292.3603519999997</v>
      </c>
      <c r="XEX1940" s="198">
        <f t="shared" si="210"/>
        <v>-1.3993430070530222E-3</v>
      </c>
    </row>
    <row r="1941" spans="16374:16378" x14ac:dyDescent="0.2">
      <c r="XET1941" s="220">
        <v>43770</v>
      </c>
      <c r="XEU1941" s="221">
        <v>20.887333000000002</v>
      </c>
      <c r="XEV1941" s="198">
        <f t="shared" si="209"/>
        <v>-5.1124411737513142E-3</v>
      </c>
      <c r="XEW1941" s="221">
        <v>8386.4003909999992</v>
      </c>
      <c r="XEX1941" s="198">
        <f t="shared" si="210"/>
        <v>1.1340563483510202E-2</v>
      </c>
    </row>
    <row r="1942" spans="16374:16378" x14ac:dyDescent="0.2">
      <c r="XET1942" s="220">
        <v>43773</v>
      </c>
      <c r="XEU1942" s="221">
        <v>21.164667000000001</v>
      </c>
      <c r="XEV1942" s="198">
        <f t="shared" si="209"/>
        <v>1.3277616630136491E-2</v>
      </c>
      <c r="XEW1942" s="221">
        <v>8433.2001949999994</v>
      </c>
      <c r="XEX1942" s="198">
        <f t="shared" si="210"/>
        <v>5.5804399763961232E-3</v>
      </c>
    </row>
    <row r="1943" spans="16374:16378" x14ac:dyDescent="0.2">
      <c r="XET1943" s="220">
        <v>43774</v>
      </c>
      <c r="XEU1943" s="221">
        <v>21.148001000000001</v>
      </c>
      <c r="XEV1943" s="198">
        <f t="shared" si="209"/>
        <v>-7.8744447054146516E-4</v>
      </c>
      <c r="XEW1943" s="221">
        <v>8434.6796880000002</v>
      </c>
      <c r="XEX1943" s="198">
        <f t="shared" si="210"/>
        <v>1.7543672221576045E-4</v>
      </c>
    </row>
    <row r="1944" spans="16374:16378" x14ac:dyDescent="0.2">
      <c r="XET1944" s="220">
        <v>43775</v>
      </c>
      <c r="XEU1944" s="221">
        <v>21.771999000000001</v>
      </c>
      <c r="XEV1944" s="198">
        <f t="shared" si="209"/>
        <v>2.9506240329759681E-2</v>
      </c>
      <c r="XEW1944" s="221">
        <v>8410.6298829999996</v>
      </c>
      <c r="XEX1944" s="198">
        <f t="shared" si="210"/>
        <v>-2.8513003326274822E-3</v>
      </c>
    </row>
    <row r="1945" spans="16374:16378" x14ac:dyDescent="0.2">
      <c r="XET1945" s="220">
        <v>43776</v>
      </c>
      <c r="XEU1945" s="221">
        <v>22.369333000000001</v>
      </c>
      <c r="XEV1945" s="198">
        <f t="shared" si="209"/>
        <v>2.7435882208151963E-2</v>
      </c>
      <c r="XEW1945" s="221">
        <v>8434.5195309999999</v>
      </c>
      <c r="XEX1945" s="198">
        <f t="shared" si="210"/>
        <v>2.8404112810014315E-3</v>
      </c>
    </row>
    <row r="1946" spans="16374:16378" x14ac:dyDescent="0.2">
      <c r="XET1946" s="220">
        <v>43777</v>
      </c>
      <c r="XEU1946" s="221">
        <v>22.475999999999999</v>
      </c>
      <c r="XEV1946" s="198">
        <f t="shared" si="209"/>
        <v>4.7684479461231888E-3</v>
      </c>
      <c r="XEW1946" s="221">
        <v>8475.3095699999994</v>
      </c>
      <c r="XEX1946" s="198">
        <f t="shared" si="210"/>
        <v>4.8360832943810106E-3</v>
      </c>
    </row>
    <row r="1947" spans="16374:16378" x14ac:dyDescent="0.2">
      <c r="XET1947" s="220">
        <v>43780</v>
      </c>
      <c r="XEU1947" s="221">
        <v>23.006001000000001</v>
      </c>
      <c r="XEV1947" s="198">
        <f t="shared" si="209"/>
        <v>2.3580752802989879E-2</v>
      </c>
      <c r="XEW1947" s="221">
        <v>8464.2802730000003</v>
      </c>
      <c r="XEX1947" s="198">
        <f t="shared" si="210"/>
        <v>-1.3013444416283271E-3</v>
      </c>
    </row>
    <row r="1948" spans="16374:16378" x14ac:dyDescent="0.2">
      <c r="XET1948" s="220">
        <v>43781</v>
      </c>
      <c r="XEU1948" s="221">
        <v>23.328666999999999</v>
      </c>
      <c r="XEV1948" s="198">
        <f t="shared" si="209"/>
        <v>1.4025297138776871E-2</v>
      </c>
      <c r="XEW1948" s="221">
        <v>8486.0898440000001</v>
      </c>
      <c r="XEX1948" s="198">
        <f t="shared" si="210"/>
        <v>2.5766598336269819E-3</v>
      </c>
    </row>
    <row r="1949" spans="16374:16378" x14ac:dyDescent="0.2">
      <c r="XET1949" s="220">
        <v>43782</v>
      </c>
      <c r="XEU1949" s="221">
        <v>23.073999000000001</v>
      </c>
      <c r="XEV1949" s="198">
        <f t="shared" si="209"/>
        <v>-1.0916526006393701E-2</v>
      </c>
      <c r="XEW1949" s="221">
        <v>8482.0996090000008</v>
      </c>
      <c r="XEX1949" s="198">
        <f t="shared" si="210"/>
        <v>-4.7020890343518751E-4</v>
      </c>
    </row>
    <row r="1950" spans="16374:16378" x14ac:dyDescent="0.2">
      <c r="XET1950" s="220">
        <v>43783</v>
      </c>
      <c r="XEU1950" s="221">
        <v>23.290001</v>
      </c>
      <c r="XEV1950" s="198">
        <f t="shared" si="209"/>
        <v>9.3612728335474849E-3</v>
      </c>
      <c r="XEW1950" s="221">
        <v>8479.0195309999999</v>
      </c>
      <c r="XEX1950" s="198">
        <f t="shared" si="210"/>
        <v>-3.6312683674832869E-4</v>
      </c>
    </row>
    <row r="1951" spans="16374:16378" x14ac:dyDescent="0.2">
      <c r="XET1951" s="220">
        <v>43784</v>
      </c>
      <c r="XEU1951" s="221">
        <v>23.478000999999999</v>
      </c>
      <c r="XEV1951" s="198">
        <f t="shared" si="209"/>
        <v>8.0721336164819579E-3</v>
      </c>
      <c r="XEW1951" s="221">
        <v>8540.8300780000009</v>
      </c>
      <c r="XEX1951" s="198">
        <f t="shared" si="210"/>
        <v>7.2898224581292581E-3</v>
      </c>
    </row>
    <row r="1952" spans="16374:16378" x14ac:dyDescent="0.2">
      <c r="XET1952" s="220">
        <v>43787</v>
      </c>
      <c r="XEU1952" s="221">
        <v>23.332666</v>
      </c>
      <c r="XEV1952" s="198">
        <f t="shared" si="209"/>
        <v>-6.1902629614846161E-3</v>
      </c>
      <c r="XEW1952" s="221">
        <v>8549.9404300000006</v>
      </c>
      <c r="XEX1952" s="198">
        <f t="shared" si="210"/>
        <v>1.0666822682103838E-3</v>
      </c>
    </row>
    <row r="1953" spans="16374:16378" x14ac:dyDescent="0.2">
      <c r="XET1953" s="220">
        <v>43788</v>
      </c>
      <c r="XEU1953" s="221">
        <v>23.968</v>
      </c>
      <c r="XEV1953" s="198">
        <f t="shared" si="209"/>
        <v>2.7229378760232459E-2</v>
      </c>
      <c r="XEW1953" s="221">
        <v>8570.6601559999999</v>
      </c>
      <c r="XEX1953" s="198">
        <f t="shared" si="210"/>
        <v>2.4233766503563015E-3</v>
      </c>
    </row>
    <row r="1954" spans="16374:16378" x14ac:dyDescent="0.2">
      <c r="XET1954" s="220">
        <v>43789</v>
      </c>
      <c r="XEU1954" s="221">
        <v>23.481332999999999</v>
      </c>
      <c r="XEV1954" s="198">
        <f t="shared" si="209"/>
        <v>-2.0304864819759683E-2</v>
      </c>
      <c r="XEW1954" s="221">
        <v>8526.7304690000001</v>
      </c>
      <c r="XEX1954" s="198">
        <f t="shared" si="210"/>
        <v>-5.1255896512529819E-3</v>
      </c>
    </row>
    <row r="1955" spans="16374:16378" x14ac:dyDescent="0.2">
      <c r="XET1955" s="220">
        <v>43790</v>
      </c>
      <c r="XEU1955" s="221">
        <v>23.655332999999999</v>
      </c>
      <c r="XEV1955" s="198">
        <f t="shared" si="209"/>
        <v>7.4101414940965782E-3</v>
      </c>
      <c r="XEW1955" s="221">
        <v>8506.2099610000005</v>
      </c>
      <c r="XEX1955" s="198">
        <f t="shared" si="210"/>
        <v>-2.4066092008659945E-3</v>
      </c>
    </row>
    <row r="1956" spans="16374:16378" x14ac:dyDescent="0.2">
      <c r="XET1956" s="220">
        <v>43791</v>
      </c>
      <c r="XEU1956" s="221">
        <v>22.202667000000002</v>
      </c>
      <c r="XEV1956" s="198">
        <f t="shared" si="209"/>
        <v>-6.1409661829744611E-2</v>
      </c>
      <c r="XEW1956" s="221">
        <v>8519.8798829999996</v>
      </c>
      <c r="XEX1956" s="198">
        <f t="shared" si="210"/>
        <v>1.6070520317126302E-3</v>
      </c>
    </row>
    <row r="1957" spans="16374:16378" x14ac:dyDescent="0.2">
      <c r="XET1957" s="220">
        <v>43794</v>
      </c>
      <c r="XEU1957" s="221">
        <v>22.422667000000001</v>
      </c>
      <c r="XEV1957" s="198">
        <f t="shared" si="209"/>
        <v>9.9087195245508575E-3</v>
      </c>
      <c r="XEW1957" s="221">
        <v>8632.4902340000008</v>
      </c>
      <c r="XEX1957" s="198">
        <f t="shared" si="210"/>
        <v>1.321736368897608E-2</v>
      </c>
    </row>
    <row r="1958" spans="16374:16378" x14ac:dyDescent="0.2">
      <c r="XET1958" s="220">
        <v>43795</v>
      </c>
      <c r="XEU1958" s="221">
        <v>21.927999</v>
      </c>
      <c r="XEV1958" s="198">
        <f t="shared" si="209"/>
        <v>-2.2061068828253205E-2</v>
      </c>
      <c r="XEW1958" s="221">
        <v>8647.9296880000002</v>
      </c>
      <c r="XEX1958" s="198">
        <f t="shared" si="210"/>
        <v>1.7885284062284512E-3</v>
      </c>
    </row>
    <row r="1959" spans="16374:16378" x14ac:dyDescent="0.2">
      <c r="XET1959" s="220">
        <v>43796</v>
      </c>
      <c r="XEU1959" s="221">
        <v>22.085999999999999</v>
      </c>
      <c r="XEV1959" s="198">
        <f t="shared" si="209"/>
        <v>7.2054454216272656E-3</v>
      </c>
      <c r="XEW1959" s="221">
        <v>8705.1796880000002</v>
      </c>
      <c r="XEX1959" s="198">
        <f t="shared" si="210"/>
        <v>6.6200815762229581E-3</v>
      </c>
    </row>
    <row r="1960" spans="16374:16378" x14ac:dyDescent="0.2">
      <c r="XET1960" s="220">
        <v>43798</v>
      </c>
      <c r="XEU1960" s="221">
        <v>21.995999999999999</v>
      </c>
      <c r="XEV1960" s="198">
        <f t="shared" si="209"/>
        <v>-4.0749796251018378E-3</v>
      </c>
      <c r="XEW1960" s="221">
        <v>8665.4697269999997</v>
      </c>
      <c r="XEX1960" s="198">
        <f t="shared" si="210"/>
        <v>-4.5616474815264318E-3</v>
      </c>
    </row>
    <row r="1961" spans="16374:16378" x14ac:dyDescent="0.2">
      <c r="XET1961" s="220">
        <v>43801</v>
      </c>
      <c r="XEU1961" s="221">
        <v>22.324667000000002</v>
      </c>
      <c r="XEV1961" s="198">
        <f t="shared" si="209"/>
        <v>1.4942125841062248E-2</v>
      </c>
      <c r="XEW1961" s="221">
        <v>8567.9902340000008</v>
      </c>
      <c r="XEX1961" s="198">
        <f t="shared" si="210"/>
        <v>-1.1249187415226958E-2</v>
      </c>
    </row>
    <row r="1962" spans="16374:16378" x14ac:dyDescent="0.2">
      <c r="XET1962" s="220">
        <v>43802</v>
      </c>
      <c r="XEU1962" s="221">
        <v>22.413333999999999</v>
      </c>
      <c r="XEV1962" s="198">
        <f t="shared" si="209"/>
        <v>3.971705378628787E-3</v>
      </c>
      <c r="XEW1962" s="221">
        <v>8520.6396480000003</v>
      </c>
      <c r="XEX1962" s="198">
        <f t="shared" si="210"/>
        <v>-5.5264519107527388E-3</v>
      </c>
    </row>
    <row r="1963" spans="16374:16378" x14ac:dyDescent="0.2">
      <c r="XET1963" s="220">
        <v>43803</v>
      </c>
      <c r="XEU1963" s="221">
        <v>22.202000000000002</v>
      </c>
      <c r="XEV1963" s="198">
        <f t="shared" si="209"/>
        <v>-9.428940826027854E-3</v>
      </c>
      <c r="XEW1963" s="221">
        <v>8566.6699219999991</v>
      </c>
      <c r="XEX1963" s="198">
        <f t="shared" si="210"/>
        <v>5.4022087427207932E-3</v>
      </c>
    </row>
    <row r="1964" spans="16374:16378" x14ac:dyDescent="0.2">
      <c r="XET1964" s="220">
        <v>43804</v>
      </c>
      <c r="XEU1964" s="221">
        <v>22.024667999999998</v>
      </c>
      <c r="XEV1964" s="198">
        <f t="shared" si="209"/>
        <v>-7.9872083596074228E-3</v>
      </c>
      <c r="XEW1964" s="221">
        <v>8570.7001949999994</v>
      </c>
      <c r="XEX1964" s="198">
        <f t="shared" si="210"/>
        <v>4.7045970449377528E-4</v>
      </c>
    </row>
    <row r="1965" spans="16374:16378" x14ac:dyDescent="0.2">
      <c r="XET1965" s="220">
        <v>43805</v>
      </c>
      <c r="XEU1965" s="221">
        <v>22.392668</v>
      </c>
      <c r="XEV1965" s="198">
        <f t="shared" si="209"/>
        <v>1.6708537899413622E-2</v>
      </c>
      <c r="XEW1965" s="221">
        <v>8656.5302730000003</v>
      </c>
      <c r="XEX1965" s="198">
        <f t="shared" si="210"/>
        <v>1.0014360092781338E-2</v>
      </c>
    </row>
    <row r="1966" spans="16374:16378" x14ac:dyDescent="0.2">
      <c r="XET1966" s="220">
        <v>43808</v>
      </c>
      <c r="XEU1966" s="221">
        <v>22.635331999999998</v>
      </c>
      <c r="XEV1966" s="198">
        <f t="shared" si="209"/>
        <v>1.0836761389933391E-2</v>
      </c>
      <c r="XEW1966" s="221">
        <v>8621.8300780000009</v>
      </c>
      <c r="XEX1966" s="198">
        <f t="shared" si="210"/>
        <v>-4.0085569975109037E-3</v>
      </c>
    </row>
    <row r="1967" spans="16374:16378" x14ac:dyDescent="0.2">
      <c r="XET1967" s="220">
        <v>43809</v>
      </c>
      <c r="XEU1967" s="221">
        <v>23.256001000000001</v>
      </c>
      <c r="XEV1967" s="198">
        <f t="shared" si="209"/>
        <v>2.7420362113531382E-2</v>
      </c>
      <c r="XEW1967" s="221">
        <v>8616.1796880000002</v>
      </c>
      <c r="XEX1967" s="198">
        <f t="shared" si="210"/>
        <v>-6.5535854324227927E-4</v>
      </c>
    </row>
    <row r="1968" spans="16374:16378" x14ac:dyDescent="0.2">
      <c r="XET1968" s="220">
        <v>43810</v>
      </c>
      <c r="XEU1968" s="221">
        <v>23.513331999999998</v>
      </c>
      <c r="XEV1968" s="198">
        <f t="shared" si="209"/>
        <v>1.1065144003046701E-2</v>
      </c>
      <c r="XEW1968" s="221">
        <v>8654.0498050000006</v>
      </c>
      <c r="XEX1968" s="198">
        <f t="shared" si="210"/>
        <v>4.395232965341167E-3</v>
      </c>
    </row>
    <row r="1969" spans="16374:16378" x14ac:dyDescent="0.2">
      <c r="XET1969" s="220">
        <v>43811</v>
      </c>
      <c r="XEU1969" s="221">
        <v>23.978666</v>
      </c>
      <c r="XEV1969" s="198">
        <f t="shared" si="209"/>
        <v>1.9790219438061918E-2</v>
      </c>
      <c r="XEW1969" s="221">
        <v>8717.3203130000002</v>
      </c>
      <c r="XEX1969" s="198">
        <f t="shared" si="210"/>
        <v>7.3110866502574812E-3</v>
      </c>
    </row>
    <row r="1970" spans="16374:16378" x14ac:dyDescent="0.2">
      <c r="XET1970" s="220">
        <v>43812</v>
      </c>
      <c r="XEU1970" s="221">
        <v>23.892668</v>
      </c>
      <c r="XEV1970" s="198">
        <f t="shared" si="209"/>
        <v>-3.5864380445517208E-3</v>
      </c>
      <c r="XEW1970" s="221">
        <v>8734.8798829999996</v>
      </c>
      <c r="XEX1970" s="198">
        <f t="shared" si="210"/>
        <v>2.0143311670919317E-3</v>
      </c>
    </row>
    <row r="1971" spans="16374:16378" x14ac:dyDescent="0.2">
      <c r="XET1971" s="220">
        <v>43815</v>
      </c>
      <c r="XEU1971" s="221">
        <v>25.433332</v>
      </c>
      <c r="XEV1971" s="198">
        <f t="shared" si="209"/>
        <v>6.448271076298373E-2</v>
      </c>
      <c r="XEW1971" s="221">
        <v>8814.2304690000001</v>
      </c>
      <c r="XEX1971" s="198">
        <f t="shared" si="210"/>
        <v>9.0843362545183215E-3</v>
      </c>
    </row>
    <row r="1972" spans="16374:16378" x14ac:dyDescent="0.2">
      <c r="XET1972" s="220">
        <v>43816</v>
      </c>
      <c r="XEU1972" s="221">
        <v>25.266000999999999</v>
      </c>
      <c r="XEV1972" s="198">
        <f t="shared" si="209"/>
        <v>-6.5792008691586412E-3</v>
      </c>
      <c r="XEW1972" s="221">
        <v>8823.3603519999997</v>
      </c>
      <c r="XEX1972" s="198">
        <f t="shared" si="210"/>
        <v>1.0358116947486451E-3</v>
      </c>
    </row>
    <row r="1973" spans="16374:16378" x14ac:dyDescent="0.2">
      <c r="XET1973" s="220">
        <v>43817</v>
      </c>
      <c r="XEU1973" s="221">
        <v>26.209999</v>
      </c>
      <c r="XEV1973" s="198">
        <f t="shared" si="209"/>
        <v>3.7362382753012735E-2</v>
      </c>
      <c r="XEW1973" s="221">
        <v>8827.7402340000008</v>
      </c>
      <c r="XEX1973" s="198">
        <f t="shared" si="210"/>
        <v>4.9639613766983004E-4</v>
      </c>
    </row>
    <row r="1974" spans="16374:16378" x14ac:dyDescent="0.2">
      <c r="XET1974" s="220">
        <v>43818</v>
      </c>
      <c r="XEU1974" s="221">
        <v>26.936001000000001</v>
      </c>
      <c r="XEV1974" s="198">
        <f t="shared" si="209"/>
        <v>2.7699428756178257E-2</v>
      </c>
      <c r="XEW1974" s="221">
        <v>8887.2197269999997</v>
      </c>
      <c r="XEX1974" s="198">
        <f t="shared" si="210"/>
        <v>6.7377937528014797E-3</v>
      </c>
    </row>
    <row r="1975" spans="16374:16378" x14ac:dyDescent="0.2">
      <c r="XET1975" s="220">
        <v>43819</v>
      </c>
      <c r="XEU1975" s="221">
        <v>27.039332999999999</v>
      </c>
      <c r="XEV1975" s="198">
        <f t="shared" si="209"/>
        <v>3.8362041937849423E-3</v>
      </c>
      <c r="XEW1975" s="221">
        <v>8924.9599610000005</v>
      </c>
      <c r="XEX1975" s="198">
        <f t="shared" si="210"/>
        <v>4.2465737496444333E-3</v>
      </c>
    </row>
    <row r="1976" spans="16374:16378" x14ac:dyDescent="0.2">
      <c r="XET1976" s="220">
        <v>43822</v>
      </c>
      <c r="XEU1976" s="221">
        <v>27.948</v>
      </c>
      <c r="XEV1976" s="198">
        <f t="shared" si="209"/>
        <v>3.3605377765790312E-2</v>
      </c>
      <c r="XEW1976" s="221">
        <v>8945.6503909999992</v>
      </c>
      <c r="XEX1976" s="198">
        <f t="shared" si="210"/>
        <v>2.3182658623019936E-3</v>
      </c>
    </row>
    <row r="1977" spans="16374:16378" x14ac:dyDescent="0.2">
      <c r="XET1977" s="220">
        <v>43823</v>
      </c>
      <c r="XEU1977" s="221">
        <v>28.35</v>
      </c>
      <c r="XEV1977" s="198">
        <f t="shared" si="209"/>
        <v>1.4383855732073902E-2</v>
      </c>
      <c r="XEW1977" s="221">
        <v>8952.8798829999996</v>
      </c>
      <c r="XEX1977" s="198">
        <f t="shared" si="210"/>
        <v>8.0815722546834223E-4</v>
      </c>
    </row>
    <row r="1978" spans="16374:16378" x14ac:dyDescent="0.2">
      <c r="XET1978" s="220">
        <v>43825</v>
      </c>
      <c r="XEU1978" s="221">
        <v>28.729334000000001</v>
      </c>
      <c r="XEV1978" s="198">
        <f t="shared" si="209"/>
        <v>1.3380388007054655E-2</v>
      </c>
      <c r="XEW1978" s="221">
        <v>9022.3896480000003</v>
      </c>
      <c r="XEX1978" s="198">
        <f t="shared" si="210"/>
        <v>7.7639559458391183E-3</v>
      </c>
    </row>
    <row r="1979" spans="16374:16378" x14ac:dyDescent="0.2">
      <c r="XET1979" s="220">
        <v>43826</v>
      </c>
      <c r="XEU1979" s="221">
        <v>28.691998999999999</v>
      </c>
      <c r="XEV1979" s="198">
        <f t="shared" si="209"/>
        <v>-1.2995428296389555E-3</v>
      </c>
      <c r="XEW1979" s="221">
        <v>9006.6201170000004</v>
      </c>
      <c r="XEX1979" s="198">
        <f t="shared" si="210"/>
        <v>-1.7478219867721467E-3</v>
      </c>
    </row>
    <row r="1980" spans="16374:16378" x14ac:dyDescent="0.2">
      <c r="XET1980" s="220">
        <v>43829</v>
      </c>
      <c r="XEU1980" s="221">
        <v>27.646667000000001</v>
      </c>
      <c r="XEV1980" s="198">
        <f t="shared" si="209"/>
        <v>-3.6432874544572447E-2</v>
      </c>
      <c r="XEW1980" s="221">
        <v>8945.9902340000008</v>
      </c>
      <c r="XEX1980" s="198">
        <f t="shared" si="210"/>
        <v>-6.7317020383218518E-3</v>
      </c>
    </row>
    <row r="1981" spans="16374:16378" x14ac:dyDescent="0.2">
      <c r="XET1981" s="220">
        <v>43830</v>
      </c>
      <c r="XEU1981" s="221">
        <v>27.888666000000001</v>
      </c>
      <c r="XEV1981" s="198">
        <f t="shared" si="209"/>
        <v>8.7532793736040393E-3</v>
      </c>
      <c r="XEW1981" s="221">
        <v>8972.5996090000008</v>
      </c>
      <c r="XEX1981" s="198">
        <f t="shared" si="210"/>
        <v>2.9744471326236255E-3</v>
      </c>
    </row>
    <row r="1982" spans="16374:16378" x14ac:dyDescent="0.2">
      <c r="XET1982" s="220">
        <v>43832</v>
      </c>
      <c r="XEU1982" s="221">
        <v>28.684000000000001</v>
      </c>
      <c r="XEV1982" s="198">
        <f t="shared" si="209"/>
        <v>2.8518180109439406E-2</v>
      </c>
      <c r="XEW1982" s="221">
        <v>9092.1904300000006</v>
      </c>
      <c r="XEX1982" s="198">
        <f t="shared" si="210"/>
        <v>1.3328447296371504E-2</v>
      </c>
    </row>
    <row r="1983" spans="16374:16378" x14ac:dyDescent="0.2">
      <c r="XET1983" s="220">
        <v>43833</v>
      </c>
      <c r="XEU1983" s="221">
        <v>29.533999999999999</v>
      </c>
      <c r="XEV1983" s="198">
        <f t="shared" si="209"/>
        <v>2.9633245014642151E-2</v>
      </c>
      <c r="XEW1983" s="221">
        <v>9020.7695309999999</v>
      </c>
      <c r="XEX1983" s="198">
        <f t="shared" si="210"/>
        <v>-7.855191721935828E-3</v>
      </c>
    </row>
    <row r="1984" spans="16374:16378" x14ac:dyDescent="0.2">
      <c r="XET1984" s="220">
        <v>43836</v>
      </c>
      <c r="XEU1984" s="221">
        <v>30.102667</v>
      </c>
      <c r="XEV1984" s="198">
        <f t="shared" si="209"/>
        <v>1.925465565111395E-2</v>
      </c>
      <c r="XEW1984" s="221">
        <v>9071.4697269999997</v>
      </c>
      <c r="XEX1984" s="198">
        <f t="shared" si="210"/>
        <v>5.6203848048403948E-3</v>
      </c>
    </row>
    <row r="1985" spans="16374:16378" x14ac:dyDescent="0.2">
      <c r="XET1985" s="220">
        <v>43837</v>
      </c>
      <c r="XEU1985" s="221">
        <v>31.270665999999999</v>
      </c>
      <c r="XEV1985" s="198">
        <f t="shared" si="209"/>
        <v>3.8800515582223971E-2</v>
      </c>
      <c r="XEW1985" s="221">
        <v>9068.5800780000009</v>
      </c>
      <c r="XEX1985" s="198">
        <f t="shared" si="210"/>
        <v>-3.18542539077038E-4</v>
      </c>
    </row>
    <row r="1986" spans="16374:16378" x14ac:dyDescent="0.2">
      <c r="XET1986" s="220">
        <v>43838</v>
      </c>
      <c r="XEU1986" s="221">
        <v>32.809334</v>
      </c>
      <c r="XEV1986" s="198">
        <f t="shared" si="209"/>
        <v>4.9204836251329098E-2</v>
      </c>
      <c r="XEW1986" s="221">
        <v>9129.2402340000008</v>
      </c>
      <c r="XEX1986" s="198">
        <f t="shared" si="210"/>
        <v>6.6890467392088926E-3</v>
      </c>
    </row>
    <row r="1987" spans="16374:16378" x14ac:dyDescent="0.2">
      <c r="XET1987" s="220">
        <v>43839</v>
      </c>
      <c r="XEU1987" s="221">
        <v>32.089333000000003</v>
      </c>
      <c r="XEV1987" s="198">
        <f t="shared" si="209"/>
        <v>-2.1945005040333809E-2</v>
      </c>
      <c r="XEW1987" s="221">
        <v>9203.4296880000002</v>
      </c>
      <c r="XEX1987" s="198">
        <f t="shared" si="210"/>
        <v>8.1265748406638139E-3</v>
      </c>
    </row>
    <row r="1988" spans="16374:16378" x14ac:dyDescent="0.2">
      <c r="XET1988" s="220">
        <v>43840</v>
      </c>
      <c r="XEU1988" s="221">
        <v>31.876667000000001</v>
      </c>
      <c r="XEV1988" s="198">
        <f t="shared" si="209"/>
        <v>-6.6273113249191162E-3</v>
      </c>
      <c r="XEW1988" s="221">
        <v>9178.8603519999997</v>
      </c>
      <c r="XEX1988" s="198">
        <f t="shared" si="210"/>
        <v>-2.6695847996791588E-3</v>
      </c>
    </row>
    <row r="1989" spans="16374:16378" x14ac:dyDescent="0.2">
      <c r="XET1989" s="220">
        <v>43843</v>
      </c>
      <c r="XEU1989" s="221">
        <v>34.990665</v>
      </c>
      <c r="XEV1989" s="198">
        <f t="shared" si="209"/>
        <v>9.7688945961633911E-2</v>
      </c>
      <c r="XEW1989" s="221">
        <v>9273.9296880000002</v>
      </c>
      <c r="XEX1989" s="198">
        <f t="shared" si="210"/>
        <v>1.0357422637907954E-2</v>
      </c>
    </row>
    <row r="1990" spans="16374:16378" x14ac:dyDescent="0.2">
      <c r="XET1990" s="220">
        <v>43844</v>
      </c>
      <c r="XEU1990" s="221">
        <v>35.861331999999997</v>
      </c>
      <c r="XEV1990" s="198">
        <f t="shared" si="209"/>
        <v>2.4882836607992287E-2</v>
      </c>
      <c r="XEW1990" s="221">
        <v>9251.3300780000009</v>
      </c>
      <c r="XEX1990" s="198">
        <f t="shared" si="210"/>
        <v>-2.4368968452760376E-3</v>
      </c>
    </row>
    <row r="1991" spans="16374:16378" x14ac:dyDescent="0.2">
      <c r="XET1991" s="220">
        <v>43845</v>
      </c>
      <c r="XEU1991" s="221">
        <v>34.566665999999998</v>
      </c>
      <c r="XEV1991" s="198">
        <f t="shared" si="209"/>
        <v>-3.6102005357748546E-2</v>
      </c>
      <c r="XEW1991" s="221">
        <v>9258.7001949999994</v>
      </c>
      <c r="XEX1991" s="198">
        <f t="shared" si="210"/>
        <v>7.9665485263835656E-4</v>
      </c>
    </row>
    <row r="1992" spans="16374:16378" x14ac:dyDescent="0.2">
      <c r="XET1992" s="220">
        <v>43846</v>
      </c>
      <c r="XEU1992" s="221">
        <v>34.232666000000002</v>
      </c>
      <c r="XEV1992" s="198">
        <f t="shared" si="209"/>
        <v>-9.662488132352598E-3</v>
      </c>
      <c r="XEW1992" s="221">
        <v>9357.1298829999996</v>
      </c>
      <c r="XEX1992" s="198">
        <f t="shared" si="210"/>
        <v>1.0631048195421045E-2</v>
      </c>
    </row>
    <row r="1993" spans="16374:16378" x14ac:dyDescent="0.2">
      <c r="XET1993" s="220">
        <v>43847</v>
      </c>
      <c r="XEU1993" s="221">
        <v>34.033332999999999</v>
      </c>
      <c r="XEV1993" s="198">
        <f t="shared" si="209"/>
        <v>-5.8228885825019061E-3</v>
      </c>
      <c r="XEW1993" s="221">
        <v>9388.9404300000006</v>
      </c>
      <c r="XEX1993" s="198">
        <f t="shared" si="210"/>
        <v>3.3996051564695318E-3</v>
      </c>
    </row>
    <row r="1994" spans="16374:16378" x14ac:dyDescent="0.2">
      <c r="XET1994" s="220">
        <v>43851</v>
      </c>
      <c r="XEU1994" s="221">
        <v>36.479999999999997</v>
      </c>
      <c r="XEV1994" s="198">
        <f t="shared" si="209"/>
        <v>7.1890314122334154E-2</v>
      </c>
      <c r="XEW1994" s="221">
        <v>9370.8095699999994</v>
      </c>
      <c r="XEX1994" s="198">
        <f t="shared" si="210"/>
        <v>-1.9310869139257392E-3</v>
      </c>
    </row>
    <row r="1995" spans="16374:16378" x14ac:dyDescent="0.2">
      <c r="XET1995" s="220">
        <v>43852</v>
      </c>
      <c r="XEU1995" s="221">
        <v>37.970669000000001</v>
      </c>
      <c r="XEV1995" s="198">
        <f t="shared" si="209"/>
        <v>4.0862637061403584E-2</v>
      </c>
      <c r="XEW1995" s="221">
        <v>9383.7695309999999</v>
      </c>
      <c r="XEX1995" s="198">
        <f t="shared" si="210"/>
        <v>1.3830140184996065E-3</v>
      </c>
    </row>
    <row r="1996" spans="16374:16378" x14ac:dyDescent="0.2">
      <c r="XET1996" s="220">
        <v>43853</v>
      </c>
      <c r="XEU1996" s="221">
        <v>38.146667000000001</v>
      </c>
      <c r="XEV1996" s="198">
        <f t="shared" ref="XEV1996:XEV2059" si="211">XEU1996/XEU1995-1</f>
        <v>4.6351040062000415E-3</v>
      </c>
      <c r="XEW1996" s="221">
        <v>9402.4804690000001</v>
      </c>
      <c r="XEX1996" s="198">
        <f t="shared" ref="XEX1996:XEX2059" si="212">XEW1996/XEW1995-1</f>
        <v>1.9939681956369082E-3</v>
      </c>
    </row>
    <row r="1997" spans="16374:16378" x14ac:dyDescent="0.2">
      <c r="XET1997" s="220">
        <v>43854</v>
      </c>
      <c r="XEU1997" s="221">
        <v>37.654667000000003</v>
      </c>
      <c r="XEV1997" s="198">
        <f t="shared" si="211"/>
        <v>-1.2897588143152783E-2</v>
      </c>
      <c r="XEW1997" s="221">
        <v>9314.9101559999999</v>
      </c>
      <c r="XEX1997" s="198">
        <f t="shared" si="212"/>
        <v>-9.3135330925407933E-3</v>
      </c>
    </row>
    <row r="1998" spans="16374:16378" x14ac:dyDescent="0.2">
      <c r="XET1998" s="220">
        <v>43857</v>
      </c>
      <c r="XEU1998" s="221">
        <v>37.201332000000001</v>
      </c>
      <c r="XEV1998" s="198">
        <f t="shared" si="211"/>
        <v>-1.2039277893494682E-2</v>
      </c>
      <c r="XEW1998" s="221">
        <v>9139.3095699999994</v>
      </c>
      <c r="XEX1998" s="198">
        <f t="shared" si="212"/>
        <v>-1.8851559817449348E-2</v>
      </c>
    </row>
    <row r="1999" spans="16374:16378" x14ac:dyDescent="0.2">
      <c r="XET1999" s="220">
        <v>43858</v>
      </c>
      <c r="XEU1999" s="221">
        <v>37.793331000000002</v>
      </c>
      <c r="XEV1999" s="198">
        <f t="shared" si="211"/>
        <v>1.5913381811167415E-2</v>
      </c>
      <c r="XEW1999" s="221">
        <v>9269.6796880000002</v>
      </c>
      <c r="XEX1999" s="198">
        <f t="shared" si="212"/>
        <v>1.4264766610810886E-2</v>
      </c>
    </row>
    <row r="2000" spans="16374:16378" x14ac:dyDescent="0.2">
      <c r="XET2000" s="220">
        <v>43859</v>
      </c>
      <c r="XEU2000" s="221">
        <v>38.732666000000002</v>
      </c>
      <c r="XEV2000" s="198">
        <f t="shared" si="211"/>
        <v>2.4854517322116854E-2</v>
      </c>
      <c r="XEW2000" s="221">
        <v>9275.1601559999999</v>
      </c>
      <c r="XEX2000" s="198">
        <f t="shared" si="212"/>
        <v>5.9122517546050801E-4</v>
      </c>
    </row>
    <row r="2001" spans="16374:16378" x14ac:dyDescent="0.2">
      <c r="XET2001" s="220">
        <v>43860</v>
      </c>
      <c r="XEU2001" s="221">
        <v>42.720669000000001</v>
      </c>
      <c r="XEV2001" s="198">
        <f t="shared" si="211"/>
        <v>0.10296226446173362</v>
      </c>
      <c r="XEW2001" s="221">
        <v>9298.9296880000002</v>
      </c>
      <c r="XEX2001" s="198">
        <f t="shared" si="212"/>
        <v>2.5627085247281745E-3</v>
      </c>
    </row>
    <row r="2002" spans="16374:16378" x14ac:dyDescent="0.2">
      <c r="XET2002" s="220">
        <v>43861</v>
      </c>
      <c r="XEU2002" s="221">
        <v>43.371333999999997</v>
      </c>
      <c r="XEV2002" s="198">
        <f t="shared" si="211"/>
        <v>1.5230683770425024E-2</v>
      </c>
      <c r="XEW2002" s="221">
        <v>9150.9404300000006</v>
      </c>
      <c r="XEX2002" s="198">
        <f t="shared" si="212"/>
        <v>-1.5914655015724644E-2</v>
      </c>
    </row>
    <row r="2003" spans="16374:16378" x14ac:dyDescent="0.2">
      <c r="XET2003" s="220">
        <v>43864</v>
      </c>
      <c r="XEU2003" s="221">
        <v>52</v>
      </c>
      <c r="XEV2003" s="198">
        <f t="shared" si="211"/>
        <v>0.19894859586288027</v>
      </c>
      <c r="XEW2003" s="221">
        <v>9273.4003909999992</v>
      </c>
      <c r="XEX2003" s="198">
        <f t="shared" si="212"/>
        <v>1.338222688004076E-2</v>
      </c>
    </row>
    <row r="2004" spans="16374:16378" x14ac:dyDescent="0.2">
      <c r="XET2004" s="220">
        <v>43865</v>
      </c>
      <c r="XEU2004" s="221">
        <v>59.137332999999998</v>
      </c>
      <c r="XEV2004" s="198">
        <f t="shared" si="211"/>
        <v>0.1372564038461539</v>
      </c>
      <c r="XEW2004" s="221">
        <v>9467.9697269999997</v>
      </c>
      <c r="XEX2004" s="198">
        <f t="shared" si="212"/>
        <v>2.0981444539894367E-2</v>
      </c>
    </row>
    <row r="2005" spans="16374:16378" x14ac:dyDescent="0.2">
      <c r="XET2005" s="220">
        <v>43866</v>
      </c>
      <c r="XEU2005" s="221">
        <v>48.98</v>
      </c>
      <c r="XEV2005" s="198">
        <f t="shared" si="211"/>
        <v>-0.17175838822491374</v>
      </c>
      <c r="XEW2005" s="221">
        <v>9508.6796880000002</v>
      </c>
      <c r="XEX2005" s="198">
        <f t="shared" si="212"/>
        <v>4.2997561434852116E-3</v>
      </c>
    </row>
    <row r="2006" spans="16374:16378" x14ac:dyDescent="0.2">
      <c r="XET2006" s="220">
        <v>43867</v>
      </c>
      <c r="XEU2006" s="221">
        <v>49.930667999999997</v>
      </c>
      <c r="XEV2006" s="198">
        <f t="shared" si="211"/>
        <v>1.9409309922417295E-2</v>
      </c>
      <c r="XEW2006" s="221">
        <v>9572.1503909999992</v>
      </c>
      <c r="XEX2006" s="198">
        <f t="shared" si="212"/>
        <v>6.6750279831278014E-3</v>
      </c>
    </row>
    <row r="2007" spans="16374:16378" x14ac:dyDescent="0.2">
      <c r="XET2007" s="220">
        <v>43868</v>
      </c>
      <c r="XEU2007" s="221">
        <v>49.871333999999997</v>
      </c>
      <c r="XEV2007" s="198">
        <f t="shared" si="211"/>
        <v>-1.1883277828368399E-3</v>
      </c>
      <c r="XEW2007" s="221">
        <v>9520.5097659999992</v>
      </c>
      <c r="XEX2007" s="198">
        <f t="shared" si="212"/>
        <v>-5.3948823295290049E-3</v>
      </c>
    </row>
    <row r="2008" spans="16374:16378" x14ac:dyDescent="0.2">
      <c r="XET2008" s="220">
        <v>43871</v>
      </c>
      <c r="XEU2008" s="221">
        <v>51.418666999999999</v>
      </c>
      <c r="XEV2008" s="198">
        <f t="shared" si="211"/>
        <v>3.1026501115851479E-2</v>
      </c>
      <c r="XEW2008" s="221">
        <v>9628.3896480000003</v>
      </c>
      <c r="XEX2008" s="198">
        <f t="shared" si="212"/>
        <v>1.1331313622014783E-2</v>
      </c>
    </row>
    <row r="2009" spans="16374:16378" x14ac:dyDescent="0.2">
      <c r="XET2009" s="220">
        <v>43872</v>
      </c>
      <c r="XEU2009" s="221">
        <v>51.625332</v>
      </c>
      <c r="XEV2009" s="198">
        <f t="shared" si="211"/>
        <v>4.0192601647957016E-3</v>
      </c>
      <c r="XEW2009" s="221">
        <v>9638.9404300000006</v>
      </c>
      <c r="XEX2009" s="198">
        <f t="shared" si="212"/>
        <v>1.0957992339031275E-3</v>
      </c>
    </row>
    <row r="2010" spans="16374:16378" x14ac:dyDescent="0.2">
      <c r="XET2010" s="220">
        <v>43873</v>
      </c>
      <c r="XEU2010" s="221">
        <v>51.152667999999998</v>
      </c>
      <c r="XEV2010" s="198">
        <f t="shared" si="211"/>
        <v>-9.1556602483447991E-3</v>
      </c>
      <c r="XEW2010" s="221">
        <v>9725.9599610000005</v>
      </c>
      <c r="XEX2010" s="198">
        <f t="shared" si="212"/>
        <v>9.0279145962104401E-3</v>
      </c>
    </row>
    <row r="2011" spans="16374:16378" x14ac:dyDescent="0.2">
      <c r="XET2011" s="220">
        <v>43874</v>
      </c>
      <c r="XEU2011" s="221">
        <v>53.599997999999999</v>
      </c>
      <c r="XEV2011" s="198">
        <f t="shared" si="211"/>
        <v>4.7843643268030478E-2</v>
      </c>
      <c r="XEW2011" s="221">
        <v>9711.9697269999997</v>
      </c>
      <c r="XEX2011" s="198">
        <f t="shared" si="212"/>
        <v>-1.4384424834258391E-3</v>
      </c>
    </row>
    <row r="2012" spans="16374:16378" x14ac:dyDescent="0.2">
      <c r="XET2012" s="220">
        <v>43875</v>
      </c>
      <c r="XEU2012" s="221">
        <v>53.335335000000001</v>
      </c>
      <c r="XEV2012" s="198">
        <f t="shared" si="211"/>
        <v>-4.9377427215575587E-3</v>
      </c>
      <c r="XEW2012" s="221">
        <v>9731.1796880000002</v>
      </c>
      <c r="XEX2012" s="198">
        <f t="shared" si="212"/>
        <v>1.977967553440374E-3</v>
      </c>
    </row>
    <row r="2013" spans="16374:16378" x14ac:dyDescent="0.2">
      <c r="XET2013" s="220">
        <v>43879</v>
      </c>
      <c r="XEU2013" s="221">
        <v>57.226664999999997</v>
      </c>
      <c r="XEV2013" s="198">
        <f t="shared" si="211"/>
        <v>7.29596992312882E-2</v>
      </c>
      <c r="XEW2013" s="221">
        <v>9732.7402340000008</v>
      </c>
      <c r="XEX2013" s="198">
        <f t="shared" si="212"/>
        <v>1.6036555176612843E-4</v>
      </c>
    </row>
    <row r="2014" spans="16374:16378" x14ac:dyDescent="0.2">
      <c r="XET2014" s="220">
        <v>43880</v>
      </c>
      <c r="XEU2014" s="221">
        <v>61.161330999999997</v>
      </c>
      <c r="XEV2014" s="198">
        <f t="shared" si="211"/>
        <v>6.8755815143167975E-2</v>
      </c>
      <c r="XEW2014" s="221">
        <v>9817.1796880000002</v>
      </c>
      <c r="XEX2014" s="198">
        <f t="shared" si="212"/>
        <v>8.6758150294632408E-3</v>
      </c>
    </row>
    <row r="2015" spans="16374:16378" x14ac:dyDescent="0.2">
      <c r="XET2015" s="220">
        <v>43881</v>
      </c>
      <c r="XEU2015" s="221">
        <v>59.960667000000001</v>
      </c>
      <c r="XEV2015" s="198">
        <f t="shared" si="211"/>
        <v>-1.9631096648305424E-2</v>
      </c>
      <c r="XEW2015" s="221">
        <v>9750.9697269999997</v>
      </c>
      <c r="XEX2015" s="198">
        <f t="shared" si="212"/>
        <v>-6.7442955211395317E-3</v>
      </c>
    </row>
    <row r="2016" spans="16374:16378" x14ac:dyDescent="0.2">
      <c r="XET2016" s="220">
        <v>43882</v>
      </c>
      <c r="XEU2016" s="221">
        <v>60.066665999999998</v>
      </c>
      <c r="XEV2016" s="198">
        <f t="shared" si="211"/>
        <v>1.7678088871158071E-3</v>
      </c>
      <c r="XEW2016" s="221">
        <v>9576.5898440000001</v>
      </c>
      <c r="XEX2016" s="198">
        <f t="shared" si="212"/>
        <v>-1.7883337543049604E-2</v>
      </c>
    </row>
    <row r="2017" spans="16374:16378" x14ac:dyDescent="0.2">
      <c r="XET2017" s="220">
        <v>43885</v>
      </c>
      <c r="XEU2017" s="221">
        <v>55.585999000000001</v>
      </c>
      <c r="XEV2017" s="198">
        <f t="shared" si="211"/>
        <v>-7.4594900938900088E-2</v>
      </c>
      <c r="XEW2017" s="221">
        <v>9221.2802730000003</v>
      </c>
      <c r="XEX2017" s="198">
        <f t="shared" si="212"/>
        <v>-3.7101888750368794E-2</v>
      </c>
    </row>
    <row r="2018" spans="16374:16378" x14ac:dyDescent="0.2">
      <c r="XET2018" s="220">
        <v>43886</v>
      </c>
      <c r="XEU2018" s="221">
        <v>53.327331999999998</v>
      </c>
      <c r="XEV2018" s="198">
        <f t="shared" si="211"/>
        <v>-4.0633739442193062E-2</v>
      </c>
      <c r="XEW2018" s="221">
        <v>8965.6103519999997</v>
      </c>
      <c r="XEX2018" s="198">
        <f t="shared" si="212"/>
        <v>-2.7726076361500929E-2</v>
      </c>
    </row>
    <row r="2019" spans="16374:16378" x14ac:dyDescent="0.2">
      <c r="XET2019" s="220">
        <v>43887</v>
      </c>
      <c r="XEU2019" s="221">
        <v>51.919998</v>
      </c>
      <c r="XEV2019" s="198">
        <f t="shared" si="211"/>
        <v>-2.639048208899708E-2</v>
      </c>
      <c r="XEW2019" s="221">
        <v>8980.7802730000003</v>
      </c>
      <c r="XEX2019" s="198">
        <f t="shared" si="212"/>
        <v>1.6920120777517145E-3</v>
      </c>
    </row>
    <row r="2020" spans="16374:16378" x14ac:dyDescent="0.2">
      <c r="XET2020" s="220">
        <v>43888</v>
      </c>
      <c r="XEU2020" s="221">
        <v>45.266666000000001</v>
      </c>
      <c r="XEV2020" s="198">
        <f t="shared" si="211"/>
        <v>-0.12814584468974743</v>
      </c>
      <c r="XEW2020" s="221">
        <v>8566.4804690000001</v>
      </c>
      <c r="XEX2020" s="198">
        <f t="shared" si="212"/>
        <v>-4.6131827236165601E-2</v>
      </c>
    </row>
    <row r="2021" spans="16374:16378" x14ac:dyDescent="0.2">
      <c r="XET2021" s="220">
        <v>43889</v>
      </c>
      <c r="XEU2021" s="221">
        <v>44.532665000000001</v>
      </c>
      <c r="XEV2021" s="198">
        <f t="shared" si="211"/>
        <v>-1.6215044421429181E-2</v>
      </c>
      <c r="XEW2021" s="221">
        <v>8567.3701170000004</v>
      </c>
      <c r="XEX2021" s="198">
        <f t="shared" si="212"/>
        <v>1.0385221833164593E-4</v>
      </c>
    </row>
    <row r="2022" spans="16374:16378" x14ac:dyDescent="0.2">
      <c r="XET2022" s="220">
        <v>43892</v>
      </c>
      <c r="XEU2022" s="221">
        <v>49.574669</v>
      </c>
      <c r="XEV2022" s="198">
        <f t="shared" si="211"/>
        <v>0.11322035184734625</v>
      </c>
      <c r="XEW2022" s="221">
        <v>8952.1699219999991</v>
      </c>
      <c r="XEX2022" s="198">
        <f t="shared" si="212"/>
        <v>4.491457702246926E-2</v>
      </c>
    </row>
    <row r="2023" spans="16374:16378" x14ac:dyDescent="0.2">
      <c r="XET2023" s="220">
        <v>43893</v>
      </c>
      <c r="XEU2023" s="221">
        <v>49.700668</v>
      </c>
      <c r="XEV2023" s="198">
        <f t="shared" si="211"/>
        <v>2.5416004290417238E-3</v>
      </c>
      <c r="XEW2023" s="221">
        <v>8684.0898440000001</v>
      </c>
      <c r="XEX2023" s="198">
        <f t="shared" si="212"/>
        <v>-2.9945820994884298E-2</v>
      </c>
    </row>
    <row r="2024" spans="16374:16378" x14ac:dyDescent="0.2">
      <c r="XET2024" s="220">
        <v>43894</v>
      </c>
      <c r="XEU2024" s="221">
        <v>49.966667000000001</v>
      </c>
      <c r="XEV2024" s="198">
        <f t="shared" si="211"/>
        <v>5.3520206207289256E-3</v>
      </c>
      <c r="XEW2024" s="221">
        <v>9018.0898440000001</v>
      </c>
      <c r="XEX2024" s="198">
        <f t="shared" si="212"/>
        <v>3.8461140545519301E-2</v>
      </c>
    </row>
    <row r="2025" spans="16374:16378" x14ac:dyDescent="0.2">
      <c r="XET2025" s="220">
        <v>43895</v>
      </c>
      <c r="XEU2025" s="221">
        <v>48.302666000000002</v>
      </c>
      <c r="XEV2025" s="198">
        <f t="shared" si="211"/>
        <v>-3.3302221258824427E-2</v>
      </c>
      <c r="XEW2025" s="221">
        <v>8738.5898440000001</v>
      </c>
      <c r="XEX2025" s="198">
        <f t="shared" si="212"/>
        <v>-3.0993259640893833E-2</v>
      </c>
    </row>
    <row r="2026" spans="16374:16378" x14ac:dyDescent="0.2">
      <c r="XET2026" s="220">
        <v>43896</v>
      </c>
      <c r="XEU2026" s="221">
        <v>46.898665999999999</v>
      </c>
      <c r="XEV2026" s="198">
        <f t="shared" si="211"/>
        <v>-2.9066718594787377E-2</v>
      </c>
      <c r="XEW2026" s="221">
        <v>8575.6201170000004</v>
      </c>
      <c r="XEX2026" s="198">
        <f t="shared" si="212"/>
        <v>-1.8649430847460624E-2</v>
      </c>
    </row>
    <row r="2027" spans="16374:16378" x14ac:dyDescent="0.2">
      <c r="XET2027" s="220">
        <v>43899</v>
      </c>
      <c r="XEU2027" s="221">
        <v>40.533332999999999</v>
      </c>
      <c r="XEV2027" s="198">
        <f t="shared" si="211"/>
        <v>-0.13572524642811801</v>
      </c>
      <c r="XEW2027" s="221">
        <v>7950.6801759999998</v>
      </c>
      <c r="XEX2027" s="198">
        <f t="shared" si="212"/>
        <v>-7.2874023391164666E-2</v>
      </c>
    </row>
    <row r="2028" spans="16374:16378" x14ac:dyDescent="0.2">
      <c r="XET2028" s="220">
        <v>43900</v>
      </c>
      <c r="XEU2028" s="221">
        <v>43.021999000000001</v>
      </c>
      <c r="XEV2028" s="198">
        <f t="shared" si="211"/>
        <v>6.1398010373338918E-2</v>
      </c>
      <c r="XEW2028" s="221">
        <v>8344.25</v>
      </c>
      <c r="XEX2028" s="198">
        <f t="shared" si="212"/>
        <v>4.9501403060839166E-2</v>
      </c>
    </row>
    <row r="2029" spans="16374:16378" x14ac:dyDescent="0.2">
      <c r="XET2029" s="220">
        <v>43901</v>
      </c>
      <c r="XEU2029" s="221">
        <v>42.282001000000001</v>
      </c>
      <c r="XEV2029" s="198">
        <f t="shared" si="211"/>
        <v>-1.7200455980671658E-2</v>
      </c>
      <c r="XEW2029" s="221">
        <v>7952.0498049999997</v>
      </c>
      <c r="XEX2029" s="198">
        <f t="shared" si="212"/>
        <v>-4.7002450190250844E-2</v>
      </c>
    </row>
    <row r="2030" spans="16374:16378" x14ac:dyDescent="0.2">
      <c r="XET2030" s="220">
        <v>43902</v>
      </c>
      <c r="XEU2030" s="221">
        <v>37.369999</v>
      </c>
      <c r="XEV2030" s="198">
        <f t="shared" si="211"/>
        <v>-0.11617241104554155</v>
      </c>
      <c r="XEW2030" s="221">
        <v>7201.7998049999997</v>
      </c>
      <c r="XEX2030" s="198">
        <f t="shared" si="212"/>
        <v>-9.4346743091104135E-2</v>
      </c>
    </row>
    <row r="2031" spans="16374:16378" x14ac:dyDescent="0.2">
      <c r="XET2031" s="220">
        <v>43903</v>
      </c>
      <c r="XEU2031" s="221">
        <v>36.441333999999998</v>
      </c>
      <c r="XEV2031" s="198">
        <f t="shared" si="211"/>
        <v>-2.4850549233357055E-2</v>
      </c>
      <c r="XEW2031" s="221">
        <v>7874.8798829999996</v>
      </c>
      <c r="XEX2031" s="198">
        <f t="shared" si="212"/>
        <v>9.3459981702448847E-2</v>
      </c>
    </row>
    <row r="2032" spans="16374:16378" x14ac:dyDescent="0.2">
      <c r="XET2032" s="220">
        <v>43906</v>
      </c>
      <c r="XEU2032" s="221">
        <v>29.671333000000001</v>
      </c>
      <c r="XEV2032" s="198">
        <f t="shared" si="211"/>
        <v>-0.18577807826683834</v>
      </c>
      <c r="XEW2032" s="221">
        <v>6904.5898440000001</v>
      </c>
      <c r="XEX2032" s="198">
        <f t="shared" si="212"/>
        <v>-0.12321331289060367</v>
      </c>
    </row>
    <row r="2033" spans="16374:16378" x14ac:dyDescent="0.2">
      <c r="XET2033" s="220">
        <v>43907</v>
      </c>
      <c r="XEU2033" s="221">
        <v>28.68</v>
      </c>
      <c r="XEV2033" s="198">
        <f t="shared" si="211"/>
        <v>-3.3410463897931453E-2</v>
      </c>
      <c r="XEW2033" s="221">
        <v>7334.7797849999997</v>
      </c>
      <c r="XEX2033" s="198">
        <f t="shared" si="212"/>
        <v>6.2304923350925634E-2</v>
      </c>
    </row>
    <row r="2034" spans="16374:16378" x14ac:dyDescent="0.2">
      <c r="XET2034" s="220">
        <v>43908</v>
      </c>
      <c r="XEU2034" s="221">
        <v>24.081333000000001</v>
      </c>
      <c r="XEV2034" s="198">
        <f t="shared" si="211"/>
        <v>-0.16034403765690375</v>
      </c>
      <c r="XEW2034" s="221">
        <v>6989.8398440000001</v>
      </c>
      <c r="XEX2034" s="198">
        <f t="shared" si="212"/>
        <v>-4.7027988721000114E-2</v>
      </c>
    </row>
    <row r="2035" spans="16374:16378" x14ac:dyDescent="0.2">
      <c r="XET2035" s="220">
        <v>43909</v>
      </c>
      <c r="XEU2035" s="221">
        <v>28.509333000000002</v>
      </c>
      <c r="XEV2035" s="198">
        <f t="shared" si="211"/>
        <v>0.18387686429152406</v>
      </c>
      <c r="XEW2035" s="221">
        <v>7150.580078</v>
      </c>
      <c r="XEX2035" s="198">
        <f t="shared" si="212"/>
        <v>2.2996268525090402E-2</v>
      </c>
    </row>
    <row r="2036" spans="16374:16378" x14ac:dyDescent="0.2">
      <c r="XET2036" s="220">
        <v>43910</v>
      </c>
      <c r="XEU2036" s="221">
        <v>28.502001</v>
      </c>
      <c r="XEV2036" s="198">
        <f t="shared" si="211"/>
        <v>-2.5717893856025409E-4</v>
      </c>
      <c r="XEW2036" s="221">
        <v>6879.5200199999999</v>
      </c>
      <c r="XEX2036" s="198">
        <f t="shared" si="212"/>
        <v>-3.7907422201167051E-2</v>
      </c>
    </row>
    <row r="2037" spans="16374:16378" x14ac:dyDescent="0.2">
      <c r="XET2037" s="220">
        <v>43913</v>
      </c>
      <c r="XEU2037" s="221">
        <v>28.952667000000002</v>
      </c>
      <c r="XEV2037" s="198">
        <f t="shared" si="211"/>
        <v>1.581173195524066E-2</v>
      </c>
      <c r="XEW2037" s="221">
        <v>6860.669922</v>
      </c>
      <c r="XEX2037" s="198">
        <f t="shared" si="212"/>
        <v>-2.7400309825684754E-3</v>
      </c>
    </row>
    <row r="2038" spans="16374:16378" x14ac:dyDescent="0.2">
      <c r="XET2038" s="220">
        <v>43914</v>
      </c>
      <c r="XEU2038" s="221">
        <v>33.666668000000001</v>
      </c>
      <c r="XEV2038" s="198">
        <f t="shared" si="211"/>
        <v>0.16281750486060576</v>
      </c>
      <c r="XEW2038" s="221">
        <v>7417.8598629999997</v>
      </c>
      <c r="XEX2038" s="198">
        <f t="shared" si="212"/>
        <v>8.1215092306549774E-2</v>
      </c>
    </row>
    <row r="2039" spans="16374:16378" x14ac:dyDescent="0.2">
      <c r="XET2039" s="220">
        <v>43915</v>
      </c>
      <c r="XEU2039" s="221">
        <v>35.950001</v>
      </c>
      <c r="XEV2039" s="198">
        <f t="shared" si="211"/>
        <v>6.7821769591217107E-2</v>
      </c>
      <c r="XEW2039" s="221">
        <v>7384.2998049999997</v>
      </c>
      <c r="XEX2039" s="198">
        <f t="shared" si="212"/>
        <v>-4.5242237814974162E-3</v>
      </c>
    </row>
    <row r="2040" spans="16374:16378" x14ac:dyDescent="0.2">
      <c r="XET2040" s="220">
        <v>43916</v>
      </c>
      <c r="XEU2040" s="221">
        <v>35.210667000000001</v>
      </c>
      <c r="XEV2040" s="198">
        <f t="shared" si="211"/>
        <v>-2.0565618343098224E-2</v>
      </c>
      <c r="XEW2040" s="221">
        <v>7797.5400390000004</v>
      </c>
      <c r="XEX2040" s="198">
        <f t="shared" si="212"/>
        <v>5.5962006542609632E-2</v>
      </c>
    </row>
    <row r="2041" spans="16374:16378" x14ac:dyDescent="0.2">
      <c r="XET2041" s="220">
        <v>43917</v>
      </c>
      <c r="XEU2041" s="221">
        <v>34.290667999999997</v>
      </c>
      <c r="XEV2041" s="198">
        <f t="shared" si="211"/>
        <v>-2.612841727763926E-2</v>
      </c>
      <c r="XEW2041" s="221">
        <v>7502.3798829999996</v>
      </c>
      <c r="XEX2041" s="198">
        <f t="shared" si="212"/>
        <v>-3.7852983700466303E-2</v>
      </c>
    </row>
    <row r="2042" spans="16374:16378" x14ac:dyDescent="0.2">
      <c r="XET2042" s="220">
        <v>43920</v>
      </c>
      <c r="XEU2042" s="221">
        <v>33.475333999999997</v>
      </c>
      <c r="XEV2042" s="198">
        <f t="shared" si="211"/>
        <v>-2.3777139599613473E-2</v>
      </c>
      <c r="XEW2042" s="221">
        <v>7774.1499020000001</v>
      </c>
      <c r="XEX2042" s="198">
        <f t="shared" si="212"/>
        <v>3.6224507854609955E-2</v>
      </c>
    </row>
    <row r="2043" spans="16374:16378" x14ac:dyDescent="0.2">
      <c r="XET2043" s="220">
        <v>43921</v>
      </c>
      <c r="XEU2043" s="221">
        <v>34.933334000000002</v>
      </c>
      <c r="XEV2043" s="198">
        <f t="shared" si="211"/>
        <v>4.3554457141488312E-2</v>
      </c>
      <c r="XEW2043" s="221">
        <v>7700.1000979999999</v>
      </c>
      <c r="XEX2043" s="198">
        <f t="shared" si="212"/>
        <v>-9.5251319994421602E-3</v>
      </c>
    </row>
    <row r="2044" spans="16374:16378" x14ac:dyDescent="0.2">
      <c r="XET2044" s="220">
        <v>43922</v>
      </c>
      <c r="XEU2044" s="221">
        <v>32.103999999999999</v>
      </c>
      <c r="XEV2044" s="198">
        <f t="shared" si="211"/>
        <v>-8.0992383950527103E-2</v>
      </c>
      <c r="XEW2044" s="221">
        <v>7360.580078</v>
      </c>
      <c r="XEX2044" s="198">
        <f t="shared" si="212"/>
        <v>-4.4092935894195162E-2</v>
      </c>
    </row>
    <row r="2045" spans="16374:16378" x14ac:dyDescent="0.2">
      <c r="XET2045" s="220">
        <v>43923</v>
      </c>
      <c r="XEU2045" s="221">
        <v>30.297999999999998</v>
      </c>
      <c r="XEV2045" s="198">
        <f t="shared" si="211"/>
        <v>-5.6254672314976384E-2</v>
      </c>
      <c r="XEW2045" s="221">
        <v>7487.3100590000004</v>
      </c>
      <c r="XEX2045" s="198">
        <f t="shared" si="212"/>
        <v>1.7217390430787294E-2</v>
      </c>
    </row>
    <row r="2046" spans="16374:16378" x14ac:dyDescent="0.2">
      <c r="XET2046" s="220">
        <v>43924</v>
      </c>
      <c r="XEU2046" s="221">
        <v>32.000667999999997</v>
      </c>
      <c r="XEV2046" s="198">
        <f t="shared" si="211"/>
        <v>5.6197372763878706E-2</v>
      </c>
      <c r="XEW2046" s="221">
        <v>7373.080078</v>
      </c>
      <c r="XEX2046" s="198">
        <f t="shared" si="212"/>
        <v>-1.5256477974047833E-2</v>
      </c>
    </row>
    <row r="2047" spans="16374:16378" x14ac:dyDescent="0.2">
      <c r="XET2047" s="220">
        <v>43927</v>
      </c>
      <c r="XEU2047" s="221">
        <v>34.415999999999997</v>
      </c>
      <c r="XEV2047" s="198">
        <f t="shared" si="211"/>
        <v>7.5477549406156141E-2</v>
      </c>
      <c r="XEW2047" s="221">
        <v>7913.2402339999999</v>
      </c>
      <c r="XEX2047" s="198">
        <f t="shared" si="212"/>
        <v>7.3261127003318993E-2</v>
      </c>
    </row>
    <row r="2048" spans="16374:16378" x14ac:dyDescent="0.2">
      <c r="XET2048" s="220">
        <v>43928</v>
      </c>
      <c r="XEU2048" s="221">
        <v>36.363334999999999</v>
      </c>
      <c r="XEV2048" s="198">
        <f t="shared" si="211"/>
        <v>5.6582258251975937E-2</v>
      </c>
      <c r="XEW2048" s="221">
        <v>7887.2597660000001</v>
      </c>
      <c r="XEX2048" s="198">
        <f t="shared" si="212"/>
        <v>-3.2831643210289307E-3</v>
      </c>
    </row>
    <row r="2049" spans="16374:16378" x14ac:dyDescent="0.2">
      <c r="XET2049" s="220">
        <v>43929</v>
      </c>
      <c r="XEU2049" s="221">
        <v>36.589333000000003</v>
      </c>
      <c r="XEV2049" s="198">
        <f t="shared" si="211"/>
        <v>6.2149965067836987E-3</v>
      </c>
      <c r="XEW2049" s="221">
        <v>8090.8999020000001</v>
      </c>
      <c r="XEX2049" s="198">
        <f t="shared" si="212"/>
        <v>2.5818870183259568E-2</v>
      </c>
    </row>
    <row r="2050" spans="16374:16378" x14ac:dyDescent="0.2">
      <c r="XET2050" s="220">
        <v>43930</v>
      </c>
      <c r="XEU2050" s="221">
        <v>38.200001</v>
      </c>
      <c r="XEV2050" s="198">
        <f t="shared" si="211"/>
        <v>4.4020151993478418E-2</v>
      </c>
      <c r="XEW2050" s="221">
        <v>8153.580078</v>
      </c>
      <c r="XEX2050" s="198">
        <f t="shared" si="212"/>
        <v>7.7469968432690717E-3</v>
      </c>
    </row>
    <row r="2051" spans="16374:16378" x14ac:dyDescent="0.2">
      <c r="XET2051" s="220">
        <v>43934</v>
      </c>
      <c r="XEU2051" s="221">
        <v>43.396667000000001</v>
      </c>
      <c r="XEV2051" s="198">
        <f t="shared" si="211"/>
        <v>0.13603837340213687</v>
      </c>
      <c r="XEW2051" s="221">
        <v>8192.4199219999991</v>
      </c>
      <c r="XEX2051" s="198">
        <f t="shared" si="212"/>
        <v>4.7635325376635951E-3</v>
      </c>
    </row>
    <row r="2052" spans="16374:16378" x14ac:dyDescent="0.2">
      <c r="XET2052" s="220">
        <v>43935</v>
      </c>
      <c r="XEU2052" s="221">
        <v>47.326000000000001</v>
      </c>
      <c r="XEV2052" s="198">
        <f t="shared" si="211"/>
        <v>9.0544580301524125E-2</v>
      </c>
      <c r="XEW2052" s="221">
        <v>8515.7402340000008</v>
      </c>
      <c r="XEX2052" s="198">
        <f t="shared" si="212"/>
        <v>3.9465788506733546E-2</v>
      </c>
    </row>
    <row r="2053" spans="16374:16378" x14ac:dyDescent="0.2">
      <c r="XET2053" s="220">
        <v>43936</v>
      </c>
      <c r="XEU2053" s="221">
        <v>48.655334000000003</v>
      </c>
      <c r="XEV2053" s="198">
        <f t="shared" si="211"/>
        <v>2.8088872923974106E-2</v>
      </c>
      <c r="XEW2053" s="221">
        <v>8393.1796880000002</v>
      </c>
      <c r="XEX2053" s="198">
        <f t="shared" si="212"/>
        <v>-1.4392236333215624E-2</v>
      </c>
    </row>
    <row r="2054" spans="16374:16378" x14ac:dyDescent="0.2">
      <c r="XET2054" s="220">
        <v>43937</v>
      </c>
      <c r="XEU2054" s="221">
        <v>49.680667999999997</v>
      </c>
      <c r="XEV2054" s="198">
        <f t="shared" si="211"/>
        <v>2.1073414068023766E-2</v>
      </c>
      <c r="XEW2054" s="221">
        <v>8532.3603519999997</v>
      </c>
      <c r="XEX2054" s="198">
        <f t="shared" si="212"/>
        <v>1.6582590766999861E-2</v>
      </c>
    </row>
    <row r="2055" spans="16374:16378" x14ac:dyDescent="0.2">
      <c r="XET2055" s="220">
        <v>43938</v>
      </c>
      <c r="XEU2055" s="221">
        <v>50.259335</v>
      </c>
      <c r="XEV2055" s="198">
        <f t="shared" si="211"/>
        <v>1.1647729857416689E-2</v>
      </c>
      <c r="XEW2055" s="221">
        <v>8650.1396480000003</v>
      </c>
      <c r="XEX2055" s="198">
        <f t="shared" si="212"/>
        <v>1.3803835180542068E-2</v>
      </c>
    </row>
    <row r="2056" spans="16374:16378" x14ac:dyDescent="0.2">
      <c r="XET2056" s="220">
        <v>43941</v>
      </c>
      <c r="XEU2056" s="221">
        <v>49.757331999999998</v>
      </c>
      <c r="XEV2056" s="198">
        <f t="shared" si="211"/>
        <v>-9.9882539233756562E-3</v>
      </c>
      <c r="XEW2056" s="221">
        <v>8560.7304690000001</v>
      </c>
      <c r="XEX2056" s="198">
        <f t="shared" si="212"/>
        <v>-1.0336154401931807E-2</v>
      </c>
    </row>
    <row r="2057" spans="16374:16378" x14ac:dyDescent="0.2">
      <c r="XET2057" s="220">
        <v>43942</v>
      </c>
      <c r="XEU2057" s="221">
        <v>45.781334000000001</v>
      </c>
      <c r="XEV2057" s="198">
        <f t="shared" si="211"/>
        <v>-7.9907781229106023E-2</v>
      </c>
      <c r="XEW2057" s="221">
        <v>8263.2304690000001</v>
      </c>
      <c r="XEX2057" s="198">
        <f t="shared" si="212"/>
        <v>-3.4751707354565453E-2</v>
      </c>
    </row>
    <row r="2058" spans="16374:16378" x14ac:dyDescent="0.2">
      <c r="XET2058" s="220">
        <v>43943</v>
      </c>
      <c r="XEU2058" s="221">
        <v>48.807335000000002</v>
      </c>
      <c r="XEV2058" s="198">
        <f t="shared" si="211"/>
        <v>6.6096828895374715E-2</v>
      </c>
      <c r="XEW2058" s="221">
        <v>8495.3798829999996</v>
      </c>
      <c r="XEX2058" s="198">
        <f t="shared" si="212"/>
        <v>2.8094268321683824E-2</v>
      </c>
    </row>
    <row r="2059" spans="16374:16378" x14ac:dyDescent="0.2">
      <c r="XET2059" s="220">
        <v>43944</v>
      </c>
      <c r="XEU2059" s="221">
        <v>47.042000000000002</v>
      </c>
      <c r="XEV2059" s="198">
        <f t="shared" si="211"/>
        <v>-3.6169461004170844E-2</v>
      </c>
      <c r="XEW2059" s="221">
        <v>8494.75</v>
      </c>
      <c r="XEX2059" s="198">
        <f t="shared" si="212"/>
        <v>-7.4144182917623702E-5</v>
      </c>
    </row>
    <row r="2060" spans="16374:16378" x14ac:dyDescent="0.2">
      <c r="XET2060" s="220">
        <v>43945</v>
      </c>
      <c r="XEU2060" s="221">
        <v>48.343333999999999</v>
      </c>
      <c r="XEV2060" s="198">
        <f t="shared" ref="XEV2060:XEV2123" si="213">XEU2060/XEU2059-1</f>
        <v>2.7663237107265815E-2</v>
      </c>
      <c r="XEW2060" s="221">
        <v>8634.5195309999999</v>
      </c>
      <c r="XEX2060" s="198">
        <f t="shared" ref="XEX2060:XEX2123" si="214">XEW2060/XEW2059-1</f>
        <v>1.6453636775655589E-2</v>
      </c>
    </row>
    <row r="2061" spans="16374:16378" x14ac:dyDescent="0.2">
      <c r="XET2061" s="220">
        <v>43948</v>
      </c>
      <c r="XEU2061" s="221">
        <v>53.25</v>
      </c>
      <c r="XEV2061" s="198">
        <f t="shared" si="213"/>
        <v>0.10149622696688643</v>
      </c>
      <c r="XEW2061" s="221">
        <v>8730.1601559999999</v>
      </c>
      <c r="XEX2061" s="198">
        <f t="shared" si="214"/>
        <v>1.1076542783489796E-2</v>
      </c>
    </row>
    <row r="2062" spans="16374:16378" x14ac:dyDescent="0.2">
      <c r="XET2062" s="220">
        <v>43949</v>
      </c>
      <c r="XEU2062" s="221">
        <v>51.274666000000003</v>
      </c>
      <c r="XEV2062" s="198">
        <f t="shared" si="213"/>
        <v>-3.7095474178403642E-2</v>
      </c>
      <c r="XEW2062" s="221">
        <v>8607.7304690000001</v>
      </c>
      <c r="XEX2062" s="198">
        <f t="shared" si="214"/>
        <v>-1.4023761856860939E-2</v>
      </c>
    </row>
    <row r="2063" spans="16374:16378" x14ac:dyDescent="0.2">
      <c r="XET2063" s="220">
        <v>43950</v>
      </c>
      <c r="XEU2063" s="221">
        <v>53.367331999999998</v>
      </c>
      <c r="XEV2063" s="198">
        <f t="shared" si="213"/>
        <v>4.0812864583066988E-2</v>
      </c>
      <c r="XEW2063" s="221">
        <v>8914.7099610000005</v>
      </c>
      <c r="XEX2063" s="198">
        <f t="shared" si="214"/>
        <v>3.5663232382282528E-2</v>
      </c>
    </row>
    <row r="2064" spans="16374:16378" x14ac:dyDescent="0.2">
      <c r="XET2064" s="220">
        <v>43951</v>
      </c>
      <c r="XEU2064" s="221">
        <v>52.125332</v>
      </c>
      <c r="XEV2064" s="198">
        <f t="shared" si="213"/>
        <v>-2.3272664258351838E-2</v>
      </c>
      <c r="XEW2064" s="221">
        <v>8889.5498050000006</v>
      </c>
      <c r="XEX2064" s="198">
        <f t="shared" si="214"/>
        <v>-2.8223190782504792E-3</v>
      </c>
    </row>
    <row r="2065" spans="16374:16378" x14ac:dyDescent="0.2">
      <c r="XET2065" s="220">
        <v>43952</v>
      </c>
      <c r="XEU2065" s="221">
        <v>46.754665000000003</v>
      </c>
      <c r="XEV2065" s="198">
        <f t="shared" si="213"/>
        <v>-0.10303372264372335</v>
      </c>
      <c r="XEW2065" s="221">
        <v>8604.9501949999994</v>
      </c>
      <c r="XEX2065" s="198">
        <f t="shared" si="214"/>
        <v>-3.2015075706075202E-2</v>
      </c>
    </row>
    <row r="2066" spans="16374:16378" x14ac:dyDescent="0.2">
      <c r="XET2066" s="220">
        <v>43955</v>
      </c>
      <c r="XEU2066" s="221">
        <v>50.745998</v>
      </c>
      <c r="XEV2066" s="198">
        <f t="shared" si="213"/>
        <v>8.5367588453473031E-2</v>
      </c>
      <c r="XEW2066" s="221">
        <v>8710.7099610000005</v>
      </c>
      <c r="XEX2066" s="198">
        <f t="shared" si="214"/>
        <v>1.2290572705633274E-2</v>
      </c>
    </row>
    <row r="2067" spans="16374:16378" x14ac:dyDescent="0.2">
      <c r="XET2067" s="220">
        <v>43956</v>
      </c>
      <c r="XEU2067" s="221">
        <v>51.214001000000003</v>
      </c>
      <c r="XEV2067" s="198">
        <f t="shared" si="213"/>
        <v>9.2224612470919176E-3</v>
      </c>
      <c r="XEW2067" s="221">
        <v>8809.1201170000004</v>
      </c>
      <c r="XEX2067" s="198">
        <f t="shared" si="214"/>
        <v>1.1297604493847979E-2</v>
      </c>
    </row>
    <row r="2068" spans="16374:16378" x14ac:dyDescent="0.2">
      <c r="XET2068" s="220">
        <v>43957</v>
      </c>
      <c r="XEU2068" s="221">
        <v>52.172001000000002</v>
      </c>
      <c r="XEV2068" s="198">
        <f t="shared" si="213"/>
        <v>1.8705822261377181E-2</v>
      </c>
      <c r="XEW2068" s="221">
        <v>8854.3896480000003</v>
      </c>
      <c r="XEX2068" s="198">
        <f t="shared" si="214"/>
        <v>5.1389390085212483E-3</v>
      </c>
    </row>
    <row r="2069" spans="16374:16378" x14ac:dyDescent="0.2">
      <c r="XET2069" s="220">
        <v>43958</v>
      </c>
      <c r="XEU2069" s="221">
        <v>52.002665999999998</v>
      </c>
      <c r="XEV2069" s="198">
        <f t="shared" si="213"/>
        <v>-3.2457064470270414E-3</v>
      </c>
      <c r="XEW2069" s="221">
        <v>8979.6601559999999</v>
      </c>
      <c r="XEX2069" s="198">
        <f t="shared" si="214"/>
        <v>1.4147842254524701E-2</v>
      </c>
    </row>
    <row r="2070" spans="16374:16378" x14ac:dyDescent="0.2">
      <c r="XET2070" s="220">
        <v>43959</v>
      </c>
      <c r="XEU2070" s="221">
        <v>54.627997999999998</v>
      </c>
      <c r="XEV2070" s="198">
        <f t="shared" si="213"/>
        <v>5.0484565541312865E-2</v>
      </c>
      <c r="XEW2070" s="221">
        <v>9121.3203130000002</v>
      </c>
      <c r="XEX2070" s="198">
        <f t="shared" si="214"/>
        <v>1.5775670185619095E-2</v>
      </c>
    </row>
    <row r="2071" spans="16374:16378" x14ac:dyDescent="0.2">
      <c r="XET2071" s="220">
        <v>43962</v>
      </c>
      <c r="XEU2071" s="221">
        <v>54.085999000000001</v>
      </c>
      <c r="XEV2071" s="198">
        <f t="shared" si="213"/>
        <v>-9.9216339577371526E-3</v>
      </c>
      <c r="XEW2071" s="221">
        <v>9192.3398440000001</v>
      </c>
      <c r="XEX2071" s="198">
        <f t="shared" si="214"/>
        <v>7.7861020732690189E-3</v>
      </c>
    </row>
    <row r="2072" spans="16374:16378" x14ac:dyDescent="0.2">
      <c r="XET2072" s="220">
        <v>43963</v>
      </c>
      <c r="XEU2072" s="221">
        <v>53.960667000000001</v>
      </c>
      <c r="XEV2072" s="198">
        <f t="shared" si="213"/>
        <v>-2.3172725348015177E-3</v>
      </c>
      <c r="XEW2072" s="221">
        <v>9002.5498050000006</v>
      </c>
      <c r="XEX2072" s="198">
        <f t="shared" si="214"/>
        <v>-2.0646542906469945E-2</v>
      </c>
    </row>
    <row r="2073" spans="16374:16378" x14ac:dyDescent="0.2">
      <c r="XET2073" s="220">
        <v>43964</v>
      </c>
      <c r="XEU2073" s="221">
        <v>52.730666999999997</v>
      </c>
      <c r="XEV2073" s="198">
        <f t="shared" si="213"/>
        <v>-2.2794380951592141E-2</v>
      </c>
      <c r="XEW2073" s="221">
        <v>8863.1699219999991</v>
      </c>
      <c r="XEX2073" s="198">
        <f t="shared" si="214"/>
        <v>-1.5482267359697377E-2</v>
      </c>
    </row>
    <row r="2074" spans="16374:16378" x14ac:dyDescent="0.2">
      <c r="XET2074" s="220">
        <v>43965</v>
      </c>
      <c r="XEU2074" s="221">
        <v>53.555332</v>
      </c>
      <c r="XEV2074" s="198">
        <f t="shared" si="213"/>
        <v>1.5639191516390261E-2</v>
      </c>
      <c r="XEW2074" s="221">
        <v>8943.7197269999997</v>
      </c>
      <c r="XEX2074" s="198">
        <f t="shared" si="214"/>
        <v>9.0881485641001181E-3</v>
      </c>
    </row>
    <row r="2075" spans="16374:16378" x14ac:dyDescent="0.2">
      <c r="XET2075" s="220">
        <v>43966</v>
      </c>
      <c r="XEU2075" s="221">
        <v>53.277999999999999</v>
      </c>
      <c r="XEV2075" s="198">
        <f t="shared" si="213"/>
        <v>-5.1784199563920108E-3</v>
      </c>
      <c r="XEW2075" s="221">
        <v>9014.5595699999994</v>
      </c>
      <c r="XEX2075" s="198">
        <f t="shared" si="214"/>
        <v>7.9206242103206925E-3</v>
      </c>
    </row>
    <row r="2076" spans="16374:16378" x14ac:dyDescent="0.2">
      <c r="XET2076" s="220">
        <v>43969</v>
      </c>
      <c r="XEU2076" s="221">
        <v>54.242001000000002</v>
      </c>
      <c r="XEV2076" s="198">
        <f t="shared" si="213"/>
        <v>1.8093791058223063E-2</v>
      </c>
      <c r="XEW2076" s="221">
        <v>9234.8300780000009</v>
      </c>
      <c r="XEX2076" s="198">
        <f t="shared" si="214"/>
        <v>2.4434971702117281E-2</v>
      </c>
    </row>
    <row r="2077" spans="16374:16378" x14ac:dyDescent="0.2">
      <c r="XET2077" s="220">
        <v>43970</v>
      </c>
      <c r="XEU2077" s="221">
        <v>53.867331999999998</v>
      </c>
      <c r="XEV2077" s="198">
        <f t="shared" si="213"/>
        <v>-6.907359483290576E-3</v>
      </c>
      <c r="XEW2077" s="221">
        <v>9185.0996090000008</v>
      </c>
      <c r="XEX2077" s="198">
        <f t="shared" si="214"/>
        <v>-5.3850984349427256E-3</v>
      </c>
    </row>
    <row r="2078" spans="16374:16378" x14ac:dyDescent="0.2">
      <c r="XET2078" s="220">
        <v>43971</v>
      </c>
      <c r="XEU2078" s="221">
        <v>54.370666999999997</v>
      </c>
      <c r="XEV2078" s="198">
        <f t="shared" si="213"/>
        <v>9.3439749345669565E-3</v>
      </c>
      <c r="XEW2078" s="221">
        <v>9375.7802730000003</v>
      </c>
      <c r="XEX2078" s="198">
        <f t="shared" si="214"/>
        <v>2.0759781833303403E-2</v>
      </c>
    </row>
    <row r="2079" spans="16374:16378" x14ac:dyDescent="0.2">
      <c r="XET2079" s="220">
        <v>43972</v>
      </c>
      <c r="XEU2079" s="221">
        <v>55.173332000000002</v>
      </c>
      <c r="XEV2079" s="198">
        <f t="shared" si="213"/>
        <v>1.4762831583434499E-2</v>
      </c>
      <c r="XEW2079" s="221">
        <v>9284.8798829999996</v>
      </c>
      <c r="XEX2079" s="198">
        <f t="shared" si="214"/>
        <v>-9.6952346741498996E-3</v>
      </c>
    </row>
    <row r="2080" spans="16374:16378" x14ac:dyDescent="0.2">
      <c r="XET2080" s="220">
        <v>43973</v>
      </c>
      <c r="XEU2080" s="221">
        <v>54.458668000000003</v>
      </c>
      <c r="XEV2080" s="198">
        <f t="shared" si="213"/>
        <v>-1.2953069428542019E-2</v>
      </c>
      <c r="XEW2080" s="221">
        <v>9324.5898440000001</v>
      </c>
      <c r="XEX2080" s="198">
        <f t="shared" si="214"/>
        <v>4.2768416501226536E-3</v>
      </c>
    </row>
    <row r="2081" spans="16374:16378" x14ac:dyDescent="0.2">
      <c r="XET2081" s="220">
        <v>43977</v>
      </c>
      <c r="XEU2081" s="221">
        <v>54.591330999999997</v>
      </c>
      <c r="XEV2081" s="198">
        <f t="shared" si="213"/>
        <v>2.4360309363422594E-3</v>
      </c>
      <c r="XEW2081" s="221">
        <v>9340.2197269999997</v>
      </c>
      <c r="XEX2081" s="198">
        <f t="shared" si="214"/>
        <v>1.676200590212229E-3</v>
      </c>
    </row>
    <row r="2082" spans="16374:16378" x14ac:dyDescent="0.2">
      <c r="XET2082" s="220">
        <v>43978</v>
      </c>
      <c r="XEU2082" s="221">
        <v>54.681998999999998</v>
      </c>
      <c r="XEV2082" s="198">
        <f t="shared" si="213"/>
        <v>1.6608497785115528E-3</v>
      </c>
      <c r="XEW2082" s="221">
        <v>9412.3603519999997</v>
      </c>
      <c r="XEX2082" s="198">
        <f t="shared" si="214"/>
        <v>7.723653951251519E-3</v>
      </c>
    </row>
    <row r="2083" spans="16374:16378" x14ac:dyDescent="0.2">
      <c r="XET2083" s="220">
        <v>43979</v>
      </c>
      <c r="XEU2083" s="221">
        <v>53.720669000000001</v>
      </c>
      <c r="XEV2083" s="198">
        <f t="shared" si="213"/>
        <v>-1.7580374119095299E-2</v>
      </c>
      <c r="XEW2083" s="221">
        <v>9368.9902340000008</v>
      </c>
      <c r="XEX2083" s="198">
        <f t="shared" si="214"/>
        <v>-4.6077834228672732E-3</v>
      </c>
    </row>
    <row r="2084" spans="16374:16378" x14ac:dyDescent="0.2">
      <c r="XET2084" s="220">
        <v>43980</v>
      </c>
      <c r="XEU2084" s="221">
        <v>55.666668000000001</v>
      </c>
      <c r="XEV2084" s="198">
        <f t="shared" si="213"/>
        <v>3.6224399960469666E-2</v>
      </c>
      <c r="XEW2084" s="221">
        <v>9489.8701170000004</v>
      </c>
      <c r="XEX2084" s="198">
        <f t="shared" si="214"/>
        <v>1.290212498688792E-2</v>
      </c>
    </row>
    <row r="2085" spans="16374:16378" x14ac:dyDescent="0.2">
      <c r="XET2085" s="220">
        <v>43983</v>
      </c>
      <c r="XEU2085" s="221">
        <v>59.873333000000002</v>
      </c>
      <c r="XEV2085" s="198">
        <f t="shared" si="213"/>
        <v>7.5568830525297503E-2</v>
      </c>
      <c r="XEW2085" s="221">
        <v>9552.0498050000006</v>
      </c>
      <c r="XEX2085" s="198">
        <f t="shared" si="214"/>
        <v>6.5522169675023001E-3</v>
      </c>
    </row>
    <row r="2086" spans="16374:16378" x14ac:dyDescent="0.2">
      <c r="XET2086" s="220">
        <v>43984</v>
      </c>
      <c r="XEU2086" s="221">
        <v>58.770668000000001</v>
      </c>
      <c r="XEV2086" s="198">
        <f t="shared" si="213"/>
        <v>-1.8416629653805972E-2</v>
      </c>
      <c r="XEW2086" s="221">
        <v>9608.3798829999996</v>
      </c>
      <c r="XEX2086" s="198">
        <f t="shared" si="214"/>
        <v>5.8971717222948694E-3</v>
      </c>
    </row>
    <row r="2087" spans="16374:16378" x14ac:dyDescent="0.2">
      <c r="XET2087" s="220">
        <v>43985</v>
      </c>
      <c r="XEU2087" s="221">
        <v>58.863998000000002</v>
      </c>
      <c r="XEV2087" s="198">
        <f t="shared" si="213"/>
        <v>1.5880370799936649E-3</v>
      </c>
      <c r="XEW2087" s="221">
        <v>9682.9101559999999</v>
      </c>
      <c r="XEX2087" s="198">
        <f t="shared" si="214"/>
        <v>7.7567991594365004E-3</v>
      </c>
    </row>
    <row r="2088" spans="16374:16378" x14ac:dyDescent="0.2">
      <c r="XET2088" s="220">
        <v>43986</v>
      </c>
      <c r="XEU2088" s="221">
        <v>57.625332</v>
      </c>
      <c r="XEV2088" s="198">
        <f t="shared" si="213"/>
        <v>-2.1042845237933094E-2</v>
      </c>
      <c r="XEW2088" s="221">
        <v>9615.8095699999994</v>
      </c>
      <c r="XEX2088" s="198">
        <f t="shared" si="214"/>
        <v>-6.929795373390113E-3</v>
      </c>
    </row>
    <row r="2089" spans="16374:16378" x14ac:dyDescent="0.2">
      <c r="XET2089" s="220">
        <v>43987</v>
      </c>
      <c r="XEU2089" s="221">
        <v>59.043998999999999</v>
      </c>
      <c r="XEV2089" s="198">
        <f t="shared" si="213"/>
        <v>2.4618808269946335E-2</v>
      </c>
      <c r="XEW2089" s="221">
        <v>9814.0800780000009</v>
      </c>
      <c r="XEX2089" s="198">
        <f t="shared" si="214"/>
        <v>2.0619221559729839E-2</v>
      </c>
    </row>
    <row r="2090" spans="16374:16378" x14ac:dyDescent="0.2">
      <c r="XET2090" s="220">
        <v>43990</v>
      </c>
      <c r="XEU2090" s="221">
        <v>63.327998999999998</v>
      </c>
      <c r="XEV2090" s="198">
        <f t="shared" si="213"/>
        <v>7.2556061116388904E-2</v>
      </c>
      <c r="XEW2090" s="221">
        <v>9924.75</v>
      </c>
      <c r="XEX2090" s="198">
        <f t="shared" si="214"/>
        <v>1.1276647543164486E-2</v>
      </c>
    </row>
    <row r="2091" spans="16374:16378" x14ac:dyDescent="0.2">
      <c r="XET2091" s="220">
        <v>43991</v>
      </c>
      <c r="XEU2091" s="221">
        <v>62.711334000000001</v>
      </c>
      <c r="XEV2091" s="198">
        <f t="shared" si="213"/>
        <v>-9.7376359546745839E-3</v>
      </c>
      <c r="XEW2091" s="221">
        <v>9953.75</v>
      </c>
      <c r="XEX2091" s="198">
        <f t="shared" si="214"/>
        <v>2.9219879593944675E-3</v>
      </c>
    </row>
    <row r="2092" spans="16374:16378" x14ac:dyDescent="0.2">
      <c r="XET2092" s="220">
        <v>43992</v>
      </c>
      <c r="XEU2092" s="221">
        <v>68.336669999999998</v>
      </c>
      <c r="XEV2092" s="198">
        <f t="shared" si="213"/>
        <v>8.9702062469281918E-2</v>
      </c>
      <c r="XEW2092" s="221">
        <v>10020.349609000001</v>
      </c>
      <c r="XEX2092" s="198">
        <f t="shared" si="214"/>
        <v>6.6909063418310044E-3</v>
      </c>
    </row>
    <row r="2093" spans="16374:16378" x14ac:dyDescent="0.2">
      <c r="XET2093" s="220">
        <v>43993</v>
      </c>
      <c r="XEU2093" s="221">
        <v>64.856003000000001</v>
      </c>
      <c r="XEV2093" s="198">
        <f t="shared" si="213"/>
        <v>-5.0934103168913558E-2</v>
      </c>
      <c r="XEW2093" s="221">
        <v>9492.7304690000001</v>
      </c>
      <c r="XEX2093" s="198">
        <f t="shared" si="214"/>
        <v>-5.2654763614845113E-2</v>
      </c>
    </row>
    <row r="2094" spans="16374:16378" x14ac:dyDescent="0.2">
      <c r="XET2094" s="220">
        <v>43994</v>
      </c>
      <c r="XEU2094" s="221">
        <v>62.352001000000001</v>
      </c>
      <c r="XEV2094" s="198">
        <f t="shared" si="213"/>
        <v>-3.8608638894999436E-2</v>
      </c>
      <c r="XEW2094" s="221">
        <v>9588.8095699999994</v>
      </c>
      <c r="XEX2094" s="198">
        <f t="shared" si="214"/>
        <v>1.0121334563723439E-2</v>
      </c>
    </row>
    <row r="2095" spans="16374:16378" x14ac:dyDescent="0.2">
      <c r="XET2095" s="220">
        <v>43997</v>
      </c>
      <c r="XEU2095" s="221">
        <v>66.059997999999993</v>
      </c>
      <c r="XEV2095" s="198">
        <f t="shared" si="213"/>
        <v>5.9468773103207972E-2</v>
      </c>
      <c r="XEW2095" s="221">
        <v>9726.0195309999999</v>
      </c>
      <c r="XEX2095" s="198">
        <f t="shared" si="214"/>
        <v>1.4309384287835014E-2</v>
      </c>
    </row>
    <row r="2096" spans="16374:16378" x14ac:dyDescent="0.2">
      <c r="XET2096" s="220">
        <v>43998</v>
      </c>
      <c r="XEU2096" s="221">
        <v>65.475334000000004</v>
      </c>
      <c r="XEV2096" s="198">
        <f t="shared" si="213"/>
        <v>-8.8504998138205782E-3</v>
      </c>
      <c r="XEW2096" s="221">
        <v>9895.8701170000004</v>
      </c>
      <c r="XEX2096" s="198">
        <f t="shared" si="214"/>
        <v>1.746352507915816E-2</v>
      </c>
    </row>
    <row r="2097" spans="16374:16378" x14ac:dyDescent="0.2">
      <c r="XET2097" s="220">
        <v>43999</v>
      </c>
      <c r="XEU2097" s="221">
        <v>66.119331000000003</v>
      </c>
      <c r="XEV2097" s="198">
        <f t="shared" si="213"/>
        <v>9.8357192038149854E-3</v>
      </c>
      <c r="XEW2097" s="221">
        <v>9910.5302730000003</v>
      </c>
      <c r="XEX2097" s="198">
        <f t="shared" si="214"/>
        <v>1.4814418365107773E-3</v>
      </c>
    </row>
    <row r="2098" spans="16374:16378" x14ac:dyDescent="0.2">
      <c r="XET2098" s="220">
        <v>44000</v>
      </c>
      <c r="XEU2098" s="221">
        <v>66.930663999999993</v>
      </c>
      <c r="XEV2098" s="198">
        <f t="shared" si="213"/>
        <v>1.2270738190015784E-2</v>
      </c>
      <c r="XEW2098" s="221">
        <v>9943.0498050000006</v>
      </c>
      <c r="XEX2098" s="198">
        <f t="shared" si="214"/>
        <v>3.2813109999365597E-3</v>
      </c>
    </row>
    <row r="2099" spans="16374:16378" x14ac:dyDescent="0.2">
      <c r="XET2099" s="220">
        <v>44001</v>
      </c>
      <c r="XEU2099" s="221">
        <v>66.726669000000001</v>
      </c>
      <c r="XEV2099" s="198">
        <f t="shared" si="213"/>
        <v>-3.0478556136839252E-3</v>
      </c>
      <c r="XEW2099" s="221">
        <v>9946.1201170000004</v>
      </c>
      <c r="XEX2099" s="198">
        <f t="shared" si="214"/>
        <v>3.0878976372572531E-4</v>
      </c>
    </row>
    <row r="2100" spans="16374:16378" x14ac:dyDescent="0.2">
      <c r="XET2100" s="220">
        <v>44004</v>
      </c>
      <c r="XEU2100" s="221">
        <v>66.288002000000006</v>
      </c>
      <c r="XEV2100" s="198">
        <f t="shared" si="213"/>
        <v>-6.5740880906253185E-3</v>
      </c>
      <c r="XEW2100" s="221">
        <v>10056.480469</v>
      </c>
      <c r="XEX2100" s="198">
        <f t="shared" si="214"/>
        <v>1.1095819344808744E-2</v>
      </c>
    </row>
    <row r="2101" spans="16374:16378" x14ac:dyDescent="0.2">
      <c r="XET2101" s="220">
        <v>44005</v>
      </c>
      <c r="XEU2101" s="221">
        <v>66.785331999999997</v>
      </c>
      <c r="XEV2101" s="198">
        <f t="shared" si="213"/>
        <v>7.5025643403763276E-3</v>
      </c>
      <c r="XEW2101" s="221">
        <v>10131.370117</v>
      </c>
      <c r="XEX2101" s="198">
        <f t="shared" si="214"/>
        <v>7.4469043350557929E-3</v>
      </c>
    </row>
    <row r="2102" spans="16374:16378" x14ac:dyDescent="0.2">
      <c r="XET2102" s="220">
        <v>44006</v>
      </c>
      <c r="XEU2102" s="221">
        <v>64.056663999999998</v>
      </c>
      <c r="XEV2102" s="198">
        <f t="shared" si="213"/>
        <v>-4.0857294832344349E-2</v>
      </c>
      <c r="XEW2102" s="221">
        <v>9909.1699219999991</v>
      </c>
      <c r="XEX2102" s="198">
        <f t="shared" si="214"/>
        <v>-2.1931899874742422E-2</v>
      </c>
    </row>
    <row r="2103" spans="16374:16378" x14ac:dyDescent="0.2">
      <c r="XET2103" s="220">
        <v>44007</v>
      </c>
      <c r="XEU2103" s="221">
        <v>65.732001999999994</v>
      </c>
      <c r="XEV2103" s="198">
        <f t="shared" si="213"/>
        <v>2.615400015211522E-2</v>
      </c>
      <c r="XEW2103" s="221">
        <v>10017</v>
      </c>
      <c r="XEX2103" s="198">
        <f t="shared" si="214"/>
        <v>1.0881847707606696E-2</v>
      </c>
    </row>
    <row r="2104" spans="16374:16378" x14ac:dyDescent="0.2">
      <c r="XET2104" s="220">
        <v>44008</v>
      </c>
      <c r="XEU2104" s="221">
        <v>63.982666000000002</v>
      </c>
      <c r="XEV2104" s="198">
        <f t="shared" si="213"/>
        <v>-2.6613155643730346E-2</v>
      </c>
      <c r="XEW2104" s="221">
        <v>9757.2197269999997</v>
      </c>
      <c r="XEX2104" s="198">
        <f t="shared" si="214"/>
        <v>-2.5933939602675538E-2</v>
      </c>
    </row>
    <row r="2105" spans="16374:16378" x14ac:dyDescent="0.2">
      <c r="XET2105" s="220">
        <v>44011</v>
      </c>
      <c r="XEU2105" s="221">
        <v>67.290001000000004</v>
      </c>
      <c r="XEV2105" s="198">
        <f t="shared" si="213"/>
        <v>5.1691109588962725E-2</v>
      </c>
      <c r="XEW2105" s="221">
        <v>9874.1503909999992</v>
      </c>
      <c r="XEX2105" s="198">
        <f t="shared" si="214"/>
        <v>1.1984014634458973E-2</v>
      </c>
    </row>
    <row r="2106" spans="16374:16378" x14ac:dyDescent="0.2">
      <c r="XET2106" s="220">
        <v>44012</v>
      </c>
      <c r="XEU2106" s="221">
        <v>71.987335000000002</v>
      </c>
      <c r="XEV2106" s="198">
        <f t="shared" si="213"/>
        <v>6.9807310598791528E-2</v>
      </c>
      <c r="XEW2106" s="221">
        <v>10058.769531</v>
      </c>
      <c r="XEX2106" s="198">
        <f t="shared" si="214"/>
        <v>1.8697217754377604E-2</v>
      </c>
    </row>
    <row r="2107" spans="16374:16378" x14ac:dyDescent="0.2">
      <c r="XET2107" s="220">
        <v>44013</v>
      </c>
      <c r="XEU2107" s="221">
        <v>74.641998000000001</v>
      </c>
      <c r="XEV2107" s="198">
        <f t="shared" si="213"/>
        <v>3.6876806177086552E-2</v>
      </c>
      <c r="XEW2107" s="221">
        <v>10154.629883</v>
      </c>
      <c r="XEX2107" s="198">
        <f t="shared" si="214"/>
        <v>9.5300276743162105E-3</v>
      </c>
    </row>
    <row r="2108" spans="16374:16378" x14ac:dyDescent="0.2">
      <c r="XET2108" s="220">
        <v>44014</v>
      </c>
      <c r="XEU2108" s="221">
        <v>80.577331999999998</v>
      </c>
      <c r="XEV2108" s="198">
        <f t="shared" si="213"/>
        <v>7.9517351612158116E-2</v>
      </c>
      <c r="XEW2108" s="221">
        <v>10207.629883</v>
      </c>
      <c r="XEX2108" s="198">
        <f t="shared" si="214"/>
        <v>5.2192941161477435E-3</v>
      </c>
    </row>
    <row r="2109" spans="16374:16378" x14ac:dyDescent="0.2">
      <c r="XET2109" s="220">
        <v>44018</v>
      </c>
      <c r="XEU2109" s="221">
        <v>91.438666999999995</v>
      </c>
      <c r="XEV2109" s="198">
        <f t="shared" si="213"/>
        <v>0.1347939269073839</v>
      </c>
      <c r="XEW2109" s="221">
        <v>10433.650390999999</v>
      </c>
      <c r="XEX2109" s="198">
        <f t="shared" si="214"/>
        <v>2.2142310270910182E-2</v>
      </c>
    </row>
    <row r="2110" spans="16374:16378" x14ac:dyDescent="0.2">
      <c r="XET2110" s="220">
        <v>44019</v>
      </c>
      <c r="XEU2110" s="221">
        <v>92.657332999999994</v>
      </c>
      <c r="XEV2110" s="198">
        <f t="shared" si="213"/>
        <v>1.3327687727556103E-2</v>
      </c>
      <c r="XEW2110" s="221">
        <v>10343.889648</v>
      </c>
      <c r="XEX2110" s="198">
        <f t="shared" si="214"/>
        <v>-8.6030046662696202E-3</v>
      </c>
    </row>
    <row r="2111" spans="16374:16378" x14ac:dyDescent="0.2">
      <c r="XET2111" s="220">
        <v>44020</v>
      </c>
      <c r="XEU2111" s="221">
        <v>91.058670000000006</v>
      </c>
      <c r="XEV2111" s="198">
        <f t="shared" si="213"/>
        <v>-1.7253496817137948E-2</v>
      </c>
      <c r="XEW2111" s="221">
        <v>10492.5</v>
      </c>
      <c r="XEX2111" s="198">
        <f t="shared" si="214"/>
        <v>1.4366969975238897E-2</v>
      </c>
    </row>
    <row r="2112" spans="16374:16378" x14ac:dyDescent="0.2">
      <c r="XET2112" s="220">
        <v>44021</v>
      </c>
      <c r="XEU2112" s="221">
        <v>92.952003000000005</v>
      </c>
      <c r="XEV2112" s="198">
        <f t="shared" si="213"/>
        <v>2.079245172370725E-2</v>
      </c>
      <c r="XEW2112" s="221">
        <v>10547.75</v>
      </c>
      <c r="XEX2112" s="198">
        <f t="shared" si="214"/>
        <v>5.2656659518703908E-3</v>
      </c>
    </row>
    <row r="2113" spans="16374:16378" x14ac:dyDescent="0.2">
      <c r="XET2113" s="220">
        <v>44022</v>
      </c>
      <c r="XEU2113" s="221">
        <v>102.976669</v>
      </c>
      <c r="XEV2113" s="198">
        <f t="shared" si="213"/>
        <v>0.10784776741174684</v>
      </c>
      <c r="XEW2113" s="221">
        <v>10617.440430000001</v>
      </c>
      <c r="XEX2113" s="198">
        <f t="shared" si="214"/>
        <v>6.6071370671469953E-3</v>
      </c>
    </row>
    <row r="2114" spans="16374:16378" x14ac:dyDescent="0.2">
      <c r="XET2114" s="220">
        <v>44025</v>
      </c>
      <c r="XEU2114" s="221">
        <v>99.804001</v>
      </c>
      <c r="XEV2114" s="198">
        <f t="shared" si="213"/>
        <v>-3.0809580760473021E-2</v>
      </c>
      <c r="XEW2114" s="221">
        <v>10390.839844</v>
      </c>
      <c r="XEX2114" s="198">
        <f t="shared" si="214"/>
        <v>-2.1342298786036218E-2</v>
      </c>
    </row>
    <row r="2115" spans="16374:16378" x14ac:dyDescent="0.2">
      <c r="XET2115" s="220">
        <v>44026</v>
      </c>
      <c r="XEU2115" s="221">
        <v>101.120003</v>
      </c>
      <c r="XEV2115" s="198">
        <f t="shared" si="213"/>
        <v>1.3185864161898708E-2</v>
      </c>
      <c r="XEW2115" s="221">
        <v>10488.580078000001</v>
      </c>
      <c r="XEX2115" s="198">
        <f t="shared" si="214"/>
        <v>9.4063844181411227E-3</v>
      </c>
    </row>
    <row r="2116" spans="16374:16378" x14ac:dyDescent="0.2">
      <c r="XET2116" s="220">
        <v>44027</v>
      </c>
      <c r="XEU2116" s="221">
        <v>103.067329</v>
      </c>
      <c r="XEV2116" s="198">
        <f t="shared" si="213"/>
        <v>1.9257574586899473E-2</v>
      </c>
      <c r="XEW2116" s="221">
        <v>10550.490234000001</v>
      </c>
      <c r="XEX2116" s="198">
        <f t="shared" si="214"/>
        <v>5.9026250969715921E-3</v>
      </c>
    </row>
    <row r="2117" spans="16374:16378" x14ac:dyDescent="0.2">
      <c r="XET2117" s="220">
        <v>44028</v>
      </c>
      <c r="XEU2117" s="221">
        <v>100.042664</v>
      </c>
      <c r="XEV2117" s="198">
        <f t="shared" si="213"/>
        <v>-2.9346496405276978E-2</v>
      </c>
      <c r="XEW2117" s="221">
        <v>10473.830078000001</v>
      </c>
      <c r="XEX2117" s="198">
        <f t="shared" si="214"/>
        <v>-7.2660278621893282E-3</v>
      </c>
    </row>
    <row r="2118" spans="16374:16378" x14ac:dyDescent="0.2">
      <c r="XET2118" s="220">
        <v>44029</v>
      </c>
      <c r="XEU2118" s="221">
        <v>100.056</v>
      </c>
      <c r="XEV2118" s="198">
        <f t="shared" si="213"/>
        <v>1.3330312755366336E-4</v>
      </c>
      <c r="XEW2118" s="221">
        <v>10503.190430000001</v>
      </c>
      <c r="XEX2118" s="198">
        <f t="shared" si="214"/>
        <v>2.8032106480007091E-3</v>
      </c>
    </row>
    <row r="2119" spans="16374:16378" x14ac:dyDescent="0.2">
      <c r="XET2119" s="220">
        <v>44032</v>
      </c>
      <c r="XEU2119" s="221">
        <v>109.533333</v>
      </c>
      <c r="XEV2119" s="198">
        <f t="shared" si="213"/>
        <v>9.4720286639481843E-2</v>
      </c>
      <c r="XEW2119" s="221">
        <v>10767.089844</v>
      </c>
      <c r="XEX2119" s="198">
        <f t="shared" si="214"/>
        <v>2.5125643085193383E-2</v>
      </c>
    </row>
    <row r="2120" spans="16374:16378" x14ac:dyDescent="0.2">
      <c r="XET2120" s="220">
        <v>44033</v>
      </c>
      <c r="XEU2120" s="221">
        <v>104.55733499999999</v>
      </c>
      <c r="XEV2120" s="198">
        <f t="shared" si="213"/>
        <v>-4.5429075001305774E-2</v>
      </c>
      <c r="XEW2120" s="221">
        <v>10680.360352</v>
      </c>
      <c r="XEX2120" s="198">
        <f t="shared" si="214"/>
        <v>-8.0550541749524474E-3</v>
      </c>
    </row>
    <row r="2121" spans="16374:16378" x14ac:dyDescent="0.2">
      <c r="XET2121" s="220">
        <v>44034</v>
      </c>
      <c r="XEU2121" s="221">
        <v>106.155334</v>
      </c>
      <c r="XEV2121" s="198">
        <f t="shared" si="213"/>
        <v>1.5283471025729689E-2</v>
      </c>
      <c r="XEW2121" s="221">
        <v>10706.129883</v>
      </c>
      <c r="XEX2121" s="198">
        <f t="shared" si="214"/>
        <v>2.4127960247308788E-3</v>
      </c>
    </row>
    <row r="2122" spans="16374:16378" x14ac:dyDescent="0.2">
      <c r="XET2122" s="220">
        <v>44035</v>
      </c>
      <c r="XEU2122" s="221">
        <v>100.87133</v>
      </c>
      <c r="XEV2122" s="198">
        <f t="shared" si="213"/>
        <v>-4.977615161570681E-2</v>
      </c>
      <c r="XEW2122" s="221">
        <v>10461.419921999999</v>
      </c>
      <c r="XEX2122" s="198">
        <f t="shared" si="214"/>
        <v>-2.2856995354462284E-2</v>
      </c>
    </row>
    <row r="2123" spans="16374:16378" x14ac:dyDescent="0.2">
      <c r="XET2123" s="220">
        <v>44036</v>
      </c>
      <c r="XEU2123" s="221">
        <v>94.466667000000001</v>
      </c>
      <c r="XEV2123" s="198">
        <f t="shared" si="213"/>
        <v>-6.34933930186109E-2</v>
      </c>
      <c r="XEW2123" s="221">
        <v>10363.179688</v>
      </c>
      <c r="XEX2123" s="198">
        <f t="shared" si="214"/>
        <v>-9.3907170090173908E-3</v>
      </c>
    </row>
    <row r="2124" spans="16374:16378" x14ac:dyDescent="0.2">
      <c r="XET2124" s="220">
        <v>44039</v>
      </c>
      <c r="XEU2124" s="221">
        <v>102.639999</v>
      </c>
      <c r="XEV2124" s="198">
        <f t="shared" ref="XEV2124:XEV2187" si="215">XEU2124/XEU2123-1</f>
        <v>8.6520804211288604E-2</v>
      </c>
      <c r="XEW2124" s="221">
        <v>10536.269531</v>
      </c>
      <c r="XEX2124" s="198">
        <f t="shared" ref="XEX2124:XEX2187" si="216">XEW2124/XEW2123-1</f>
        <v>1.6702387511472905E-2</v>
      </c>
    </row>
    <row r="2125" spans="16374:16378" x14ac:dyDescent="0.2">
      <c r="XET2125" s="220">
        <v>44040</v>
      </c>
      <c r="XEU2125" s="221">
        <v>98.432670999999999</v>
      </c>
      <c r="XEV2125" s="198">
        <f t="shared" si="215"/>
        <v>-4.0991114974582188E-2</v>
      </c>
      <c r="XEW2125" s="221">
        <v>10402.089844</v>
      </c>
      <c r="XEX2125" s="198">
        <f t="shared" si="216"/>
        <v>-1.2735027953225231E-2</v>
      </c>
    </row>
    <row r="2126" spans="16374:16378" x14ac:dyDescent="0.2">
      <c r="XET2126" s="220">
        <v>44041</v>
      </c>
      <c r="XEU2126" s="221">
        <v>99.940665999999993</v>
      </c>
      <c r="XEV2126" s="198">
        <f t="shared" si="215"/>
        <v>1.5320065834645513E-2</v>
      </c>
      <c r="XEW2126" s="221">
        <v>10542.940430000001</v>
      </c>
      <c r="XEX2126" s="198">
        <f t="shared" si="216"/>
        <v>1.3540604639292075E-2</v>
      </c>
    </row>
    <row r="2127" spans="16374:16378" x14ac:dyDescent="0.2">
      <c r="XET2127" s="220">
        <v>44042</v>
      </c>
      <c r="XEU2127" s="221">
        <v>99.165999999999997</v>
      </c>
      <c r="XEV2127" s="198">
        <f t="shared" si="215"/>
        <v>-7.7512591320934021E-3</v>
      </c>
      <c r="XEW2127" s="221">
        <v>10587.809569999999</v>
      </c>
      <c r="XEX2127" s="198">
        <f t="shared" si="216"/>
        <v>4.2558468671911598E-3</v>
      </c>
    </row>
    <row r="2128" spans="16374:16378" x14ac:dyDescent="0.2">
      <c r="XET2128" s="220">
        <v>44043</v>
      </c>
      <c r="XEU2128" s="221">
        <v>95.384003000000007</v>
      </c>
      <c r="XEV2128" s="198">
        <f t="shared" si="215"/>
        <v>-3.8138041264142886E-2</v>
      </c>
      <c r="XEW2128" s="221">
        <v>10745.269531</v>
      </c>
      <c r="XEX2128" s="198">
        <f t="shared" si="216"/>
        <v>1.4871816494145706E-2</v>
      </c>
    </row>
    <row r="2129" spans="16374:16378" x14ac:dyDescent="0.2">
      <c r="XET2129" s="220">
        <v>44046</v>
      </c>
      <c r="XEU2129" s="221">
        <v>99</v>
      </c>
      <c r="XEV2129" s="198">
        <f t="shared" si="215"/>
        <v>3.7909889355346005E-2</v>
      </c>
      <c r="XEW2129" s="221">
        <v>10902.799805000001</v>
      </c>
      <c r="XEX2129" s="198">
        <f t="shared" si="216"/>
        <v>1.4660430205638564E-2</v>
      </c>
    </row>
    <row r="2130" spans="16374:16378" x14ac:dyDescent="0.2">
      <c r="XET2130" s="220">
        <v>44047</v>
      </c>
      <c r="XEU2130" s="221">
        <v>99.133330999999998</v>
      </c>
      <c r="XEV2130" s="198">
        <f t="shared" si="215"/>
        <v>1.3467777777778078E-3</v>
      </c>
      <c r="XEW2130" s="221">
        <v>10941.169921999999</v>
      </c>
      <c r="XEX2130" s="198">
        <f t="shared" si="216"/>
        <v>3.5192902452818586E-3</v>
      </c>
    </row>
    <row r="2131" spans="16374:16378" x14ac:dyDescent="0.2">
      <c r="XET2131" s="220">
        <v>44048</v>
      </c>
      <c r="XEU2131" s="221">
        <v>99.001334999999997</v>
      </c>
      <c r="XEV2131" s="198">
        <f t="shared" si="215"/>
        <v>-1.3314996950924973E-3</v>
      </c>
      <c r="XEW2131" s="221">
        <v>10998.400390999999</v>
      </c>
      <c r="XEX2131" s="198">
        <f t="shared" si="216"/>
        <v>5.2307449210640122E-3</v>
      </c>
    </row>
    <row r="2132" spans="16374:16378" x14ac:dyDescent="0.2">
      <c r="XET2132" s="220">
        <v>44049</v>
      </c>
      <c r="XEU2132" s="221">
        <v>99.305335999999997</v>
      </c>
      <c r="XEV2132" s="198">
        <f t="shared" si="215"/>
        <v>3.0706757641196791E-3</v>
      </c>
      <c r="XEW2132" s="221">
        <v>11108.070313</v>
      </c>
      <c r="XEX2132" s="198">
        <f t="shared" si="216"/>
        <v>9.971442946352882E-3</v>
      </c>
    </row>
    <row r="2133" spans="16374:16378" x14ac:dyDescent="0.2">
      <c r="XET2133" s="220">
        <v>44050</v>
      </c>
      <c r="XEU2133" s="221">
        <v>96.847335999999999</v>
      </c>
      <c r="XEV2133" s="198">
        <f t="shared" si="215"/>
        <v>-2.4751942836183538E-2</v>
      </c>
      <c r="XEW2133" s="221">
        <v>11010.980469</v>
      </c>
      <c r="XEX2133" s="198">
        <f t="shared" si="216"/>
        <v>-8.7404779826045775E-3</v>
      </c>
    </row>
    <row r="2134" spans="16374:16378" x14ac:dyDescent="0.2">
      <c r="XET2134" s="220">
        <v>44053</v>
      </c>
      <c r="XEU2134" s="221">
        <v>94.571335000000005</v>
      </c>
      <c r="XEV2134" s="198">
        <f t="shared" si="215"/>
        <v>-2.3500914883193058E-2</v>
      </c>
      <c r="XEW2134" s="221">
        <v>10968.360352</v>
      </c>
      <c r="XEX2134" s="198">
        <f t="shared" si="216"/>
        <v>-3.8706922712279379E-3</v>
      </c>
    </row>
    <row r="2135" spans="16374:16378" x14ac:dyDescent="0.2">
      <c r="XET2135" s="220">
        <v>44054</v>
      </c>
      <c r="XEU2135" s="221">
        <v>91.625998999999993</v>
      </c>
      <c r="XEV2135" s="198">
        <f t="shared" si="215"/>
        <v>-3.1144067068525683E-2</v>
      </c>
      <c r="XEW2135" s="221">
        <v>10782.820313</v>
      </c>
      <c r="XEX2135" s="198">
        <f t="shared" si="216"/>
        <v>-1.6915932103394815E-2</v>
      </c>
    </row>
    <row r="2136" spans="16374:16378" x14ac:dyDescent="0.2">
      <c r="XET2136" s="220">
        <v>44055</v>
      </c>
      <c r="XEU2136" s="221">
        <v>103.650665</v>
      </c>
      <c r="XEV2136" s="198">
        <f t="shared" si="215"/>
        <v>0.13123639721516178</v>
      </c>
      <c r="XEW2136" s="221">
        <v>11012.240234000001</v>
      </c>
      <c r="XEX2136" s="198">
        <f t="shared" si="216"/>
        <v>2.1276429945086495E-2</v>
      </c>
    </row>
    <row r="2137" spans="16374:16378" x14ac:dyDescent="0.2">
      <c r="XET2137" s="220">
        <v>44056</v>
      </c>
      <c r="XEU2137" s="221">
        <v>108.066666</v>
      </c>
      <c r="XEV2137" s="198">
        <f t="shared" si="215"/>
        <v>4.2604656709148925E-2</v>
      </c>
      <c r="XEW2137" s="221">
        <v>11042.5</v>
      </c>
      <c r="XEX2137" s="198">
        <f t="shared" si="216"/>
        <v>2.7478301741523659E-3</v>
      </c>
    </row>
    <row r="2138" spans="16374:16378" x14ac:dyDescent="0.2">
      <c r="XET2138" s="220">
        <v>44057</v>
      </c>
      <c r="XEU2138" s="221">
        <v>110.04733299999999</v>
      </c>
      <c r="XEV2138" s="198">
        <f t="shared" si="215"/>
        <v>1.8328195671364567E-2</v>
      </c>
      <c r="XEW2138" s="221">
        <v>11019.299805000001</v>
      </c>
      <c r="XEX2138" s="198">
        <f t="shared" si="216"/>
        <v>-2.100991170477684E-3</v>
      </c>
    </row>
    <row r="2139" spans="16374:16378" x14ac:dyDescent="0.2">
      <c r="XET2139" s="220">
        <v>44060</v>
      </c>
      <c r="XEU2139" s="221">
        <v>122.37599899999999</v>
      </c>
      <c r="XEV2139" s="198">
        <f t="shared" si="215"/>
        <v>0.11203057506173275</v>
      </c>
      <c r="XEW2139" s="221">
        <v>11129.730469</v>
      </c>
      <c r="XEX2139" s="198">
        <f t="shared" si="216"/>
        <v>1.0021568153531168E-2</v>
      </c>
    </row>
    <row r="2140" spans="16374:16378" x14ac:dyDescent="0.2">
      <c r="XET2140" s="220">
        <v>44061</v>
      </c>
      <c r="XEU2140" s="221">
        <v>125.806</v>
      </c>
      <c r="XEV2140" s="198">
        <f t="shared" si="215"/>
        <v>2.8028379976697826E-2</v>
      </c>
      <c r="XEW2140" s="221">
        <v>11210.839844</v>
      </c>
      <c r="XEX2140" s="198">
        <f t="shared" si="216"/>
        <v>7.2876315581871243E-3</v>
      </c>
    </row>
    <row r="2141" spans="16374:16378" x14ac:dyDescent="0.2">
      <c r="XET2141" s="220">
        <v>44062</v>
      </c>
      <c r="XEU2141" s="221">
        <v>125.235336</v>
      </c>
      <c r="XEV2141" s="198">
        <f t="shared" si="215"/>
        <v>-4.536063462791895E-3</v>
      </c>
      <c r="XEW2141" s="221">
        <v>11146.459961</v>
      </c>
      <c r="XEX2141" s="198">
        <f t="shared" si="216"/>
        <v>-5.7426458584595164E-3</v>
      </c>
    </row>
    <row r="2142" spans="16374:16378" x14ac:dyDescent="0.2">
      <c r="XET2142" s="220">
        <v>44063</v>
      </c>
      <c r="XEU2142" s="221">
        <v>133.45533800000001</v>
      </c>
      <c r="XEV2142" s="198">
        <f t="shared" si="215"/>
        <v>6.5636443056295235E-2</v>
      </c>
      <c r="XEW2142" s="221">
        <v>11264.950194999999</v>
      </c>
      <c r="XEX2142" s="198">
        <f t="shared" si="216"/>
        <v>1.0630301854990698E-2</v>
      </c>
    </row>
    <row r="2143" spans="16374:16378" x14ac:dyDescent="0.2">
      <c r="XET2143" s="220">
        <v>44064</v>
      </c>
      <c r="XEU2143" s="221">
        <v>136.66532900000001</v>
      </c>
      <c r="XEV2143" s="198">
        <f t="shared" si="215"/>
        <v>2.4052923233389256E-2</v>
      </c>
      <c r="XEW2143" s="221">
        <v>11311.799805000001</v>
      </c>
      <c r="XEX2143" s="198">
        <f t="shared" si="216"/>
        <v>4.158883012265413E-3</v>
      </c>
    </row>
    <row r="2144" spans="16374:16378" x14ac:dyDescent="0.2">
      <c r="XET2144" s="220">
        <v>44067</v>
      </c>
      <c r="XEU2144" s="221">
        <v>134.279999</v>
      </c>
      <c r="XEV2144" s="198">
        <f t="shared" si="215"/>
        <v>-1.7453804980779086E-2</v>
      </c>
      <c r="XEW2144" s="221">
        <v>11379.719727</v>
      </c>
      <c r="XEX2144" s="198">
        <f t="shared" si="216"/>
        <v>6.0043426484597262E-3</v>
      </c>
    </row>
    <row r="2145" spans="16374:16378" x14ac:dyDescent="0.2">
      <c r="XET2145" s="220">
        <v>44068</v>
      </c>
      <c r="XEU2145" s="221">
        <v>134.88932800000001</v>
      </c>
      <c r="XEV2145" s="198">
        <f t="shared" si="215"/>
        <v>4.5377495124945266E-3</v>
      </c>
      <c r="XEW2145" s="221">
        <v>11466.469727</v>
      </c>
      <c r="XEX2145" s="198">
        <f t="shared" si="216"/>
        <v>7.6232105957911855E-3</v>
      </c>
    </row>
    <row r="2146" spans="16374:16378" x14ac:dyDescent="0.2">
      <c r="XET2146" s="220">
        <v>44069</v>
      </c>
      <c r="XEU2146" s="221">
        <v>143.54466199999999</v>
      </c>
      <c r="XEV2146" s="198">
        <f t="shared" si="215"/>
        <v>6.4166188150926118E-2</v>
      </c>
      <c r="XEW2146" s="221">
        <v>11665.059569999999</v>
      </c>
      <c r="XEX2146" s="198">
        <f t="shared" si="216"/>
        <v>1.7319179113374439E-2</v>
      </c>
    </row>
    <row r="2147" spans="16374:16378" x14ac:dyDescent="0.2">
      <c r="XET2147" s="220">
        <v>44070</v>
      </c>
      <c r="XEU2147" s="221">
        <v>149.25</v>
      </c>
      <c r="XEV2147" s="198">
        <f t="shared" si="215"/>
        <v>3.974608265126589E-2</v>
      </c>
      <c r="XEW2147" s="221">
        <v>11625.339844</v>
      </c>
      <c r="XEX2147" s="198">
        <f t="shared" si="216"/>
        <v>-3.4050169878385717E-3</v>
      </c>
    </row>
    <row r="2148" spans="16374:16378" x14ac:dyDescent="0.2">
      <c r="XET2148" s="220">
        <v>44071</v>
      </c>
      <c r="XEU2148" s="221">
        <v>147.55999800000001</v>
      </c>
      <c r="XEV2148" s="198">
        <f t="shared" si="215"/>
        <v>-1.1323296482412037E-2</v>
      </c>
      <c r="XEW2148" s="221">
        <v>11695.629883</v>
      </c>
      <c r="XEX2148" s="198">
        <f t="shared" si="216"/>
        <v>6.0462782114947267E-3</v>
      </c>
    </row>
    <row r="2149" spans="16374:16378" x14ac:dyDescent="0.2">
      <c r="XET2149" s="220">
        <v>44074</v>
      </c>
      <c r="XEU2149" s="221">
        <v>166.106674</v>
      </c>
      <c r="XEV2149" s="198">
        <f t="shared" si="215"/>
        <v>0.12568905022620003</v>
      </c>
      <c r="XEW2149" s="221">
        <v>11775.459961</v>
      </c>
      <c r="XEX2149" s="198">
        <f t="shared" si="216"/>
        <v>6.8256330611176086E-3</v>
      </c>
    </row>
    <row r="2150" spans="16374:16378" x14ac:dyDescent="0.2">
      <c r="XET2150" s="220">
        <v>44075</v>
      </c>
      <c r="XEU2150" s="221">
        <v>158.35000600000001</v>
      </c>
      <c r="XEV2150" s="198">
        <f t="shared" si="215"/>
        <v>-4.6696907554719891E-2</v>
      </c>
      <c r="XEW2150" s="221">
        <v>11939.669921999999</v>
      </c>
      <c r="XEX2150" s="198">
        <f t="shared" si="216"/>
        <v>1.3945099515760617E-2</v>
      </c>
    </row>
    <row r="2151" spans="16374:16378" x14ac:dyDescent="0.2">
      <c r="XET2151" s="220">
        <v>44076</v>
      </c>
      <c r="XEU2151" s="221">
        <v>149.12333699999999</v>
      </c>
      <c r="XEV2151" s="198">
        <f t="shared" si="215"/>
        <v>-5.8267563311617532E-2</v>
      </c>
      <c r="XEW2151" s="221">
        <v>12056.440430000001</v>
      </c>
      <c r="XEX2151" s="198">
        <f t="shared" si="216"/>
        <v>9.7800449060019279E-3</v>
      </c>
    </row>
    <row r="2152" spans="16374:16378" x14ac:dyDescent="0.2">
      <c r="XET2152" s="220">
        <v>44077</v>
      </c>
      <c r="XEU2152" s="221">
        <v>135.66667200000001</v>
      </c>
      <c r="XEV2152" s="198">
        <f t="shared" si="215"/>
        <v>-9.0238491645341812E-2</v>
      </c>
      <c r="XEW2152" s="221">
        <v>11458.099609000001</v>
      </c>
      <c r="XEX2152" s="198">
        <f t="shared" si="216"/>
        <v>-4.9628314797720119E-2</v>
      </c>
    </row>
    <row r="2153" spans="16374:16378" x14ac:dyDescent="0.2">
      <c r="XET2153" s="220">
        <v>44078</v>
      </c>
      <c r="XEU2153" s="221">
        <v>139.44000199999999</v>
      </c>
      <c r="XEV2153" s="198">
        <f t="shared" si="215"/>
        <v>2.7813242149847817E-2</v>
      </c>
      <c r="XEW2153" s="221">
        <v>11313.129883</v>
      </c>
      <c r="XEX2153" s="198">
        <f t="shared" si="216"/>
        <v>-1.265216143575254E-2</v>
      </c>
    </row>
    <row r="2154" spans="16374:16378" x14ac:dyDescent="0.2">
      <c r="XET2154" s="220">
        <v>44082</v>
      </c>
      <c r="XEU2154" s="221">
        <v>110.07</v>
      </c>
      <c r="XEV2154" s="198">
        <f t="shared" si="215"/>
        <v>-0.21062823851651979</v>
      </c>
      <c r="XEW2154" s="221">
        <v>10847.690430000001</v>
      </c>
      <c r="XEX2154" s="198">
        <f t="shared" si="216"/>
        <v>-4.1141528278518691E-2</v>
      </c>
    </row>
    <row r="2155" spans="16374:16378" x14ac:dyDescent="0.2">
      <c r="XET2155" s="220">
        <v>44083</v>
      </c>
      <c r="XEU2155" s="221">
        <v>122.09332999999999</v>
      </c>
      <c r="XEV2155" s="198">
        <f t="shared" si="215"/>
        <v>0.10923348778050324</v>
      </c>
      <c r="XEW2155" s="221">
        <v>11141.559569999999</v>
      </c>
      <c r="XEX2155" s="198">
        <f t="shared" si="216"/>
        <v>2.7090479940991452E-2</v>
      </c>
    </row>
    <row r="2156" spans="16374:16378" x14ac:dyDescent="0.2">
      <c r="XET2156" s="220">
        <v>44084</v>
      </c>
      <c r="XEU2156" s="221">
        <v>123.779999</v>
      </c>
      <c r="XEV2156" s="198">
        <f t="shared" si="215"/>
        <v>1.3814587578207638E-2</v>
      </c>
      <c r="XEW2156" s="221">
        <v>10919.589844</v>
      </c>
      <c r="XEX2156" s="198">
        <f t="shared" si="216"/>
        <v>-1.992267999873909E-2</v>
      </c>
    </row>
    <row r="2157" spans="16374:16378" x14ac:dyDescent="0.2">
      <c r="XET2157" s="220">
        <v>44085</v>
      </c>
      <c r="XEU2157" s="221">
        <v>124.239998</v>
      </c>
      <c r="XEV2157" s="198">
        <f t="shared" si="215"/>
        <v>3.7162627542111082E-3</v>
      </c>
      <c r="XEW2157" s="221">
        <v>10853.549805000001</v>
      </c>
      <c r="XEX2157" s="198">
        <f t="shared" si="216"/>
        <v>-6.0478497767282313E-3</v>
      </c>
    </row>
    <row r="2158" spans="16374:16378" x14ac:dyDescent="0.2">
      <c r="XET2158" s="220">
        <v>44088</v>
      </c>
      <c r="XEU2158" s="221">
        <v>139.87333699999999</v>
      </c>
      <c r="XEV2158" s="198">
        <f t="shared" si="215"/>
        <v>0.12583177118209532</v>
      </c>
      <c r="XEW2158" s="221">
        <v>11056.650390999999</v>
      </c>
      <c r="XEX2158" s="198">
        <f t="shared" si="216"/>
        <v>1.8712825725131443E-2</v>
      </c>
    </row>
    <row r="2159" spans="16374:16378" x14ac:dyDescent="0.2">
      <c r="XET2159" s="220">
        <v>44089</v>
      </c>
      <c r="XEU2159" s="221">
        <v>149.91999799999999</v>
      </c>
      <c r="XEV2159" s="198">
        <f t="shared" si="215"/>
        <v>7.1826848600888171E-2</v>
      </c>
      <c r="XEW2159" s="221">
        <v>11190.320313</v>
      </c>
      <c r="XEX2159" s="198">
        <f t="shared" si="216"/>
        <v>1.2089549481351769E-2</v>
      </c>
    </row>
    <row r="2160" spans="16374:16378" x14ac:dyDescent="0.2">
      <c r="XET2160" s="220">
        <v>44090</v>
      </c>
      <c r="XEU2160" s="221">
        <v>147.25332599999999</v>
      </c>
      <c r="XEV2160" s="198">
        <f t="shared" si="215"/>
        <v>-1.7787300130567063E-2</v>
      </c>
      <c r="XEW2160" s="221">
        <v>11050.469727</v>
      </c>
      <c r="XEX2160" s="198">
        <f t="shared" si="216"/>
        <v>-1.2497460491594059E-2</v>
      </c>
    </row>
    <row r="2161" spans="16374:16378" x14ac:dyDescent="0.2">
      <c r="XET2161" s="220">
        <v>44091</v>
      </c>
      <c r="XEU2161" s="221">
        <v>141.143326</v>
      </c>
      <c r="XEV2161" s="198">
        <f t="shared" si="215"/>
        <v>-4.1493120501739922E-2</v>
      </c>
      <c r="XEW2161" s="221">
        <v>10910.280273</v>
      </c>
      <c r="XEX2161" s="198">
        <f t="shared" si="216"/>
        <v>-1.2686289131897177E-2</v>
      </c>
    </row>
    <row r="2162" spans="16374:16378" x14ac:dyDescent="0.2">
      <c r="XET2162" s="220">
        <v>44092</v>
      </c>
      <c r="XEU2162" s="221">
        <v>147.383331</v>
      </c>
      <c r="XEV2162" s="198">
        <f t="shared" si="215"/>
        <v>4.4210414879978011E-2</v>
      </c>
      <c r="XEW2162" s="221">
        <v>10793.280273</v>
      </c>
      <c r="XEX2162" s="198">
        <f t="shared" si="216"/>
        <v>-1.0723830834075243E-2</v>
      </c>
    </row>
    <row r="2163" spans="16374:16378" x14ac:dyDescent="0.2">
      <c r="XET2163" s="220">
        <v>44095</v>
      </c>
      <c r="XEU2163" s="221">
        <v>149.796661</v>
      </c>
      <c r="XEV2163" s="198">
        <f t="shared" si="215"/>
        <v>1.6374511171823203E-2</v>
      </c>
      <c r="XEW2163" s="221">
        <v>10778.799805000001</v>
      </c>
      <c r="XEX2163" s="198">
        <f t="shared" si="216"/>
        <v>-1.3416188252076688E-3</v>
      </c>
    </row>
    <row r="2164" spans="16374:16378" x14ac:dyDescent="0.2">
      <c r="XET2164" s="220">
        <v>44096</v>
      </c>
      <c r="XEU2164" s="221">
        <v>141.41000399999999</v>
      </c>
      <c r="XEV2164" s="198">
        <f t="shared" si="215"/>
        <v>-5.5986942192256306E-2</v>
      </c>
      <c r="XEW2164" s="221">
        <v>10963.639648</v>
      </c>
      <c r="XEX2164" s="198">
        <f t="shared" si="216"/>
        <v>1.7148462383934193E-2</v>
      </c>
    </row>
    <row r="2165" spans="16374:16378" x14ac:dyDescent="0.2">
      <c r="XET2165" s="220">
        <v>44097</v>
      </c>
      <c r="XEU2165" s="221">
        <v>126.78666699999999</v>
      </c>
      <c r="XEV2165" s="198">
        <f t="shared" si="215"/>
        <v>-0.10341090860870061</v>
      </c>
      <c r="XEW2165" s="221">
        <v>10632.990234000001</v>
      </c>
      <c r="XEX2165" s="198">
        <f t="shared" si="216"/>
        <v>-3.0158726902367428E-2</v>
      </c>
    </row>
    <row r="2166" spans="16374:16378" x14ac:dyDescent="0.2">
      <c r="XET2166" s="220">
        <v>44098</v>
      </c>
      <c r="XEU2166" s="221">
        <v>129.26333600000001</v>
      </c>
      <c r="XEV2166" s="198">
        <f t="shared" si="215"/>
        <v>1.9534143917514735E-2</v>
      </c>
      <c r="XEW2166" s="221">
        <v>10672.269531</v>
      </c>
      <c r="XEX2166" s="198">
        <f t="shared" si="216"/>
        <v>3.6940969694865267E-3</v>
      </c>
    </row>
    <row r="2167" spans="16374:16378" x14ac:dyDescent="0.2">
      <c r="XET2167" s="220">
        <v>44099</v>
      </c>
      <c r="XEU2167" s="221">
        <v>135.779999</v>
      </c>
      <c r="XEV2167" s="198">
        <f t="shared" si="215"/>
        <v>5.0413854397197255E-2</v>
      </c>
      <c r="XEW2167" s="221">
        <v>10913.559569999999</v>
      </c>
      <c r="XEX2167" s="198">
        <f t="shared" si="216"/>
        <v>2.2609065325713384E-2</v>
      </c>
    </row>
    <row r="2168" spans="16374:16378" x14ac:dyDescent="0.2">
      <c r="XET2168" s="220">
        <v>44102</v>
      </c>
      <c r="XEU2168" s="221">
        <v>140.39999399999999</v>
      </c>
      <c r="XEV2168" s="198">
        <f t="shared" si="215"/>
        <v>3.4025593121413955E-2</v>
      </c>
      <c r="XEW2168" s="221">
        <v>11117.530273</v>
      </c>
      <c r="XEX2168" s="198">
        <f t="shared" si="216"/>
        <v>1.8689658648191276E-2</v>
      </c>
    </row>
    <row r="2169" spans="16374:16378" x14ac:dyDescent="0.2">
      <c r="XET2169" s="220">
        <v>44103</v>
      </c>
      <c r="XEU2169" s="221">
        <v>139.69000199999999</v>
      </c>
      <c r="XEV2169" s="198">
        <f t="shared" si="215"/>
        <v>-5.0569232930308683E-3</v>
      </c>
      <c r="XEW2169" s="221">
        <v>11085.25</v>
      </c>
      <c r="XEX2169" s="198">
        <f t="shared" si="216"/>
        <v>-2.9035471194889251E-3</v>
      </c>
    </row>
    <row r="2170" spans="16374:16378" x14ac:dyDescent="0.2">
      <c r="XET2170" s="220">
        <v>44104</v>
      </c>
      <c r="XEU2170" s="221">
        <v>143.00332599999999</v>
      </c>
      <c r="XEV2170" s="198">
        <f t="shared" si="215"/>
        <v>2.3719120570991237E-2</v>
      </c>
      <c r="XEW2170" s="221">
        <v>11167.509765999999</v>
      </c>
      <c r="XEX2170" s="198">
        <f t="shared" si="216"/>
        <v>7.4206505040481652E-3</v>
      </c>
    </row>
    <row r="2171" spans="16374:16378" x14ac:dyDescent="0.2">
      <c r="XET2171" s="220">
        <v>44105</v>
      </c>
      <c r="XEU2171" s="221">
        <v>149.386673</v>
      </c>
      <c r="XEV2171" s="198">
        <f t="shared" si="215"/>
        <v>4.463775199186637E-2</v>
      </c>
      <c r="XEW2171" s="221">
        <v>11326.509765999999</v>
      </c>
      <c r="XEX2171" s="198">
        <f t="shared" si="216"/>
        <v>1.4237731001058407E-2</v>
      </c>
    </row>
    <row r="2172" spans="16374:16378" x14ac:dyDescent="0.2">
      <c r="XET2172" s="220">
        <v>44106</v>
      </c>
      <c r="XEU2172" s="221">
        <v>138.363327</v>
      </c>
      <c r="XEV2172" s="198">
        <f t="shared" si="215"/>
        <v>-7.3790692158998694E-2</v>
      </c>
      <c r="XEW2172" s="221">
        <v>11075.019531</v>
      </c>
      <c r="XEX2172" s="198">
        <f t="shared" si="216"/>
        <v>-2.2203683234788274E-2</v>
      </c>
    </row>
    <row r="2173" spans="16374:16378" x14ac:dyDescent="0.2">
      <c r="XET2173" s="220">
        <v>44109</v>
      </c>
      <c r="XEU2173" s="221">
        <v>141.893326</v>
      </c>
      <c r="XEV2173" s="198">
        <f t="shared" si="215"/>
        <v>2.5512533389718151E-2</v>
      </c>
      <c r="XEW2173" s="221">
        <v>11332.490234000001</v>
      </c>
      <c r="XEX2173" s="198">
        <f t="shared" si="216"/>
        <v>2.3247878008640699E-2</v>
      </c>
    </row>
    <row r="2174" spans="16374:16378" x14ac:dyDescent="0.2">
      <c r="XET2174" s="220">
        <v>44110</v>
      </c>
      <c r="XEU2174" s="221">
        <v>137.99333200000001</v>
      </c>
      <c r="XEV2174" s="198">
        <f t="shared" si="215"/>
        <v>-2.7485394203811908E-2</v>
      </c>
      <c r="XEW2174" s="221">
        <v>11154.599609000001</v>
      </c>
      <c r="XEX2174" s="198">
        <f t="shared" si="216"/>
        <v>-1.5697399364729914E-2</v>
      </c>
    </row>
    <row r="2175" spans="16374:16378" x14ac:dyDescent="0.2">
      <c r="XET2175" s="220">
        <v>44111</v>
      </c>
      <c r="XEU2175" s="221">
        <v>141.76666299999999</v>
      </c>
      <c r="XEV2175" s="198">
        <f t="shared" si="215"/>
        <v>2.7344299505718039E-2</v>
      </c>
      <c r="XEW2175" s="221">
        <v>11364.599609000001</v>
      </c>
      <c r="XEX2175" s="198">
        <f t="shared" si="216"/>
        <v>1.8826314467671468E-2</v>
      </c>
    </row>
    <row r="2176" spans="16374:16378" x14ac:dyDescent="0.2">
      <c r="XET2176" s="220">
        <v>44112</v>
      </c>
      <c r="XEU2176" s="221">
        <v>141.97332800000001</v>
      </c>
      <c r="XEV2176" s="198">
        <f t="shared" si="215"/>
        <v>1.4577827792985332E-3</v>
      </c>
      <c r="XEW2176" s="221">
        <v>11420.980469</v>
      </c>
      <c r="XEX2176" s="198">
        <f t="shared" si="216"/>
        <v>4.9610951498326727E-3</v>
      </c>
    </row>
    <row r="2177" spans="16374:16378" x14ac:dyDescent="0.2">
      <c r="XET2177" s="220">
        <v>44113</v>
      </c>
      <c r="XEU2177" s="221">
        <v>144.66667200000001</v>
      </c>
      <c r="XEV2177" s="198">
        <f t="shared" si="215"/>
        <v>1.8970774566896109E-2</v>
      </c>
      <c r="XEW2177" s="221">
        <v>11579.940430000001</v>
      </c>
      <c r="XEX2177" s="198">
        <f t="shared" si="216"/>
        <v>1.391824120805274E-2</v>
      </c>
    </row>
    <row r="2178" spans="16374:16378" x14ac:dyDescent="0.2">
      <c r="XET2178" s="220">
        <v>44116</v>
      </c>
      <c r="XEU2178" s="221">
        <v>147.433334</v>
      </c>
      <c r="XEV2178" s="198">
        <f t="shared" si="215"/>
        <v>1.91243910000225E-2</v>
      </c>
      <c r="XEW2178" s="221">
        <v>11876.259765999999</v>
      </c>
      <c r="XEX2178" s="198">
        <f t="shared" si="216"/>
        <v>2.5589020754573921E-2</v>
      </c>
    </row>
    <row r="2179" spans="16374:16378" x14ac:dyDescent="0.2">
      <c r="XET2179" s="220">
        <v>44117</v>
      </c>
      <c r="XEU2179" s="221">
        <v>148.883331</v>
      </c>
      <c r="XEV2179" s="198">
        <f t="shared" si="215"/>
        <v>9.8349332587159832E-3</v>
      </c>
      <c r="XEW2179" s="221">
        <v>11863.900390999999</v>
      </c>
      <c r="XEX2179" s="198">
        <f t="shared" si="216"/>
        <v>-1.0406790726642523E-3</v>
      </c>
    </row>
    <row r="2180" spans="16374:16378" x14ac:dyDescent="0.2">
      <c r="XET2180" s="220">
        <v>44118</v>
      </c>
      <c r="XEU2180" s="221">
        <v>153.76666299999999</v>
      </c>
      <c r="XEV2180" s="198">
        <f t="shared" si="215"/>
        <v>3.2799722891745375E-2</v>
      </c>
      <c r="XEW2180" s="221">
        <v>11768.730469</v>
      </c>
      <c r="XEX2180" s="198">
        <f t="shared" si="216"/>
        <v>-8.0218072356874615E-3</v>
      </c>
    </row>
    <row r="2181" spans="16374:16378" x14ac:dyDescent="0.2">
      <c r="XET2181" s="220">
        <v>44119</v>
      </c>
      <c r="XEU2181" s="221">
        <v>149.62666300000001</v>
      </c>
      <c r="XEV2181" s="198">
        <f t="shared" si="215"/>
        <v>-2.6923911329206573E-2</v>
      </c>
      <c r="XEW2181" s="221">
        <v>11713.870117</v>
      </c>
      <c r="XEX2181" s="198">
        <f t="shared" si="216"/>
        <v>-4.6615352560335221E-3</v>
      </c>
    </row>
    <row r="2182" spans="16374:16378" x14ac:dyDescent="0.2">
      <c r="XET2182" s="220">
        <v>44120</v>
      </c>
      <c r="XEU2182" s="221">
        <v>146.55667099999999</v>
      </c>
      <c r="XEV2182" s="198">
        <f t="shared" si="215"/>
        <v>-2.0517680060805787E-2</v>
      </c>
      <c r="XEW2182" s="221">
        <v>11671.559569999999</v>
      </c>
      <c r="XEX2182" s="198">
        <f t="shared" si="216"/>
        <v>-3.6120041094357402E-3</v>
      </c>
    </row>
    <row r="2183" spans="16374:16378" x14ac:dyDescent="0.2">
      <c r="XET2183" s="220">
        <v>44123</v>
      </c>
      <c r="XEU2183" s="221">
        <v>143.61000100000001</v>
      </c>
      <c r="XEV2183" s="198">
        <f t="shared" si="215"/>
        <v>-2.010601073218965E-2</v>
      </c>
      <c r="XEW2183" s="221">
        <v>11478.879883</v>
      </c>
      <c r="XEX2183" s="198">
        <f t="shared" si="216"/>
        <v>-1.6508478223874579E-2</v>
      </c>
    </row>
    <row r="2184" spans="16374:16378" x14ac:dyDescent="0.2">
      <c r="XET2184" s="220">
        <v>44124</v>
      </c>
      <c r="XEU2184" s="221">
        <v>140.64666700000001</v>
      </c>
      <c r="XEV2184" s="198">
        <f t="shared" si="215"/>
        <v>-2.0634593547562252E-2</v>
      </c>
      <c r="XEW2184" s="221">
        <v>11516.490234000001</v>
      </c>
      <c r="XEX2184" s="198">
        <f t="shared" si="216"/>
        <v>3.2764826693327809E-3</v>
      </c>
    </row>
    <row r="2185" spans="16374:16378" x14ac:dyDescent="0.2">
      <c r="XET2185" s="220">
        <v>44125</v>
      </c>
      <c r="XEU2185" s="221">
        <v>140.88000500000001</v>
      </c>
      <c r="XEV2185" s="198">
        <f t="shared" si="215"/>
        <v>1.659036825949034E-3</v>
      </c>
      <c r="XEW2185" s="221">
        <v>11484.690430000001</v>
      </c>
      <c r="XEX2185" s="198">
        <f t="shared" si="216"/>
        <v>-2.7612409122805825E-3</v>
      </c>
    </row>
    <row r="2186" spans="16374:16378" x14ac:dyDescent="0.2">
      <c r="XET2186" s="220">
        <v>44126</v>
      </c>
      <c r="XEU2186" s="221">
        <v>141.929993</v>
      </c>
      <c r="XEV2186" s="198">
        <f t="shared" si="215"/>
        <v>7.4530661750047411E-3</v>
      </c>
      <c r="XEW2186" s="221">
        <v>11506.009765999999</v>
      </c>
      <c r="XEX2186" s="198">
        <f t="shared" si="216"/>
        <v>1.8563265705715537E-3</v>
      </c>
    </row>
    <row r="2187" spans="16374:16378" x14ac:dyDescent="0.2">
      <c r="XET2187" s="220">
        <v>44127</v>
      </c>
      <c r="XEU2187" s="221">
        <v>140.21000699999999</v>
      </c>
      <c r="XEV2187" s="198">
        <f t="shared" si="215"/>
        <v>-1.2118551996264881E-2</v>
      </c>
      <c r="XEW2187" s="221">
        <v>11548.280273</v>
      </c>
      <c r="XEX2187" s="198">
        <f t="shared" si="216"/>
        <v>3.6737763881367069E-3</v>
      </c>
    </row>
    <row r="2188" spans="16374:16378" x14ac:dyDescent="0.2">
      <c r="XET2188" s="220">
        <v>44130</v>
      </c>
      <c r="XEU2188" s="221">
        <v>140.09333799999999</v>
      </c>
      <c r="XEV2188" s="198">
        <f t="shared" ref="XEV2188:XEV2251" si="217">XEU2188/XEU2187-1</f>
        <v>-8.3210180568638048E-4</v>
      </c>
      <c r="XEW2188" s="221">
        <v>11358.940430000001</v>
      </c>
      <c r="XEX2188" s="198">
        <f t="shared" ref="XEX2188:XEX2251" si="218">XEW2188/XEW2187-1</f>
        <v>-1.6395501193600115E-2</v>
      </c>
    </row>
    <row r="2189" spans="16374:16378" x14ac:dyDescent="0.2">
      <c r="XET2189" s="220">
        <v>44131</v>
      </c>
      <c r="XEU2189" s="221">
        <v>141.55999800000001</v>
      </c>
      <c r="XEV2189" s="198">
        <f t="shared" si="217"/>
        <v>1.0469163066126885E-2</v>
      </c>
      <c r="XEW2189" s="221">
        <v>11431.349609000001</v>
      </c>
      <c r="XEX2189" s="198">
        <f t="shared" si="218"/>
        <v>6.3746420228387723E-3</v>
      </c>
    </row>
    <row r="2190" spans="16374:16378" x14ac:dyDescent="0.2">
      <c r="XET2190" s="220">
        <v>44132</v>
      </c>
      <c r="XEU2190" s="221">
        <v>135.33999600000001</v>
      </c>
      <c r="XEV2190" s="198">
        <f t="shared" si="217"/>
        <v>-4.3938980558617891E-2</v>
      </c>
      <c r="XEW2190" s="221">
        <v>11004.870117</v>
      </c>
      <c r="XEX2190" s="198">
        <f t="shared" si="218"/>
        <v>-3.7307886346528041E-2</v>
      </c>
    </row>
    <row r="2191" spans="16374:16378" x14ac:dyDescent="0.2">
      <c r="XET2191" s="220">
        <v>44133</v>
      </c>
      <c r="XEU2191" s="221">
        <v>136.94332900000001</v>
      </c>
      <c r="XEV2191" s="198">
        <f t="shared" si="217"/>
        <v>1.1846704945964293E-2</v>
      </c>
      <c r="XEW2191" s="221">
        <v>11185.589844</v>
      </c>
      <c r="XEX2191" s="198">
        <f t="shared" si="218"/>
        <v>1.6421795539488304E-2</v>
      </c>
    </row>
    <row r="2192" spans="16374:16378" x14ac:dyDescent="0.2">
      <c r="XET2192" s="220">
        <v>44134</v>
      </c>
      <c r="XEU2192" s="221">
        <v>129.346664</v>
      </c>
      <c r="XEV2192" s="198">
        <f t="shared" si="217"/>
        <v>-5.5473056303458224E-2</v>
      </c>
      <c r="XEW2192" s="221">
        <v>10911.589844</v>
      </c>
      <c r="XEX2192" s="198">
        <f t="shared" si="218"/>
        <v>-2.4495802529982291E-2</v>
      </c>
    </row>
    <row r="2193" spans="16374:16378" x14ac:dyDescent="0.2">
      <c r="XET2193" s="220">
        <v>44137</v>
      </c>
      <c r="XEU2193" s="221">
        <v>133.50332599999999</v>
      </c>
      <c r="XEV2193" s="198">
        <f t="shared" si="217"/>
        <v>3.2135826866010131E-2</v>
      </c>
      <c r="XEW2193" s="221">
        <v>10957.610352</v>
      </c>
      <c r="XEX2193" s="198">
        <f t="shared" si="218"/>
        <v>4.2175804495900859E-3</v>
      </c>
    </row>
    <row r="2194" spans="16374:16378" x14ac:dyDescent="0.2">
      <c r="XET2194" s="220">
        <v>44138</v>
      </c>
      <c r="XEU2194" s="221">
        <v>141.300003</v>
      </c>
      <c r="XEV2194" s="198">
        <f t="shared" si="217"/>
        <v>5.8400619921634034E-2</v>
      </c>
      <c r="XEW2194" s="221">
        <v>11160.570313</v>
      </c>
      <c r="XEX2194" s="198">
        <f t="shared" si="218"/>
        <v>1.8522283096419567E-2</v>
      </c>
    </row>
    <row r="2195" spans="16374:16378" x14ac:dyDescent="0.2">
      <c r="XET2195" s="220">
        <v>44139</v>
      </c>
      <c r="XEU2195" s="221">
        <v>140.32666</v>
      </c>
      <c r="XEV2195" s="198">
        <f t="shared" si="217"/>
        <v>-6.8884853456089301E-3</v>
      </c>
      <c r="XEW2195" s="221">
        <v>11590.780273</v>
      </c>
      <c r="XEX2195" s="198">
        <f t="shared" si="218"/>
        <v>3.8547309674567876E-2</v>
      </c>
    </row>
    <row r="2196" spans="16374:16378" x14ac:dyDescent="0.2">
      <c r="XET2196" s="220">
        <v>44140</v>
      </c>
      <c r="XEU2196" s="221">
        <v>146.029999</v>
      </c>
      <c r="XEV2196" s="198">
        <f t="shared" si="217"/>
        <v>4.0643303275371911E-2</v>
      </c>
      <c r="XEW2196" s="221">
        <v>11890.929688</v>
      </c>
      <c r="XEX2196" s="198">
        <f t="shared" si="218"/>
        <v>2.5895531442277298E-2</v>
      </c>
    </row>
    <row r="2197" spans="16374:16378" x14ac:dyDescent="0.2">
      <c r="XET2197" s="220">
        <v>44141</v>
      </c>
      <c r="XEU2197" s="221">
        <v>143.316666</v>
      </c>
      <c r="XEV2197" s="198">
        <f t="shared" si="217"/>
        <v>-1.8580654787240025E-2</v>
      </c>
      <c r="XEW2197" s="221">
        <v>11895.230469</v>
      </c>
      <c r="XEX2197" s="198">
        <f t="shared" si="218"/>
        <v>3.6168584903339962E-4</v>
      </c>
    </row>
    <row r="2198" spans="16374:16378" x14ac:dyDescent="0.2">
      <c r="XET2198" s="220">
        <v>44144</v>
      </c>
      <c r="XEU2198" s="221">
        <v>140.41999799999999</v>
      </c>
      <c r="XEV2198" s="198">
        <f t="shared" si="217"/>
        <v>-2.0211661915160661E-2</v>
      </c>
      <c r="XEW2198" s="221">
        <v>11713.780273</v>
      </c>
      <c r="XEX2198" s="198">
        <f t="shared" si="218"/>
        <v>-1.5254029459359719E-2</v>
      </c>
    </row>
    <row r="2199" spans="16374:16378" x14ac:dyDescent="0.2">
      <c r="XET2199" s="220">
        <v>44145</v>
      </c>
      <c r="XEU2199" s="221">
        <v>136.78666699999999</v>
      </c>
      <c r="XEV2199" s="198">
        <f t="shared" si="217"/>
        <v>-2.5874740434051247E-2</v>
      </c>
      <c r="XEW2199" s="221">
        <v>11553.860352</v>
      </c>
      <c r="XEX2199" s="198">
        <f t="shared" si="218"/>
        <v>-1.3652289634338843E-2</v>
      </c>
    </row>
    <row r="2200" spans="16374:16378" x14ac:dyDescent="0.2">
      <c r="XET2200" s="220">
        <v>44146</v>
      </c>
      <c r="XEU2200" s="221">
        <v>139.04333500000001</v>
      </c>
      <c r="XEV2200" s="198">
        <f t="shared" si="217"/>
        <v>1.6497719035730496E-2</v>
      </c>
      <c r="XEW2200" s="221">
        <v>11786.429688</v>
      </c>
      <c r="XEX2200" s="198">
        <f t="shared" si="218"/>
        <v>2.0129145490298539E-2</v>
      </c>
    </row>
    <row r="2201" spans="16374:16378" x14ac:dyDescent="0.2">
      <c r="XET2201" s="220">
        <v>44147</v>
      </c>
      <c r="XEU2201" s="221">
        <v>137.25332599999999</v>
      </c>
      <c r="XEV2201" s="198">
        <f t="shared" si="217"/>
        <v>-1.2873749036586557E-2</v>
      </c>
      <c r="XEW2201" s="221">
        <v>11709.589844</v>
      </c>
      <c r="XEX2201" s="198">
        <f t="shared" si="218"/>
        <v>-6.5193486097178122E-3</v>
      </c>
    </row>
    <row r="2202" spans="16374:16378" x14ac:dyDescent="0.2">
      <c r="XET2202" s="220">
        <v>44148</v>
      </c>
      <c r="XEU2202" s="221">
        <v>136.16667200000001</v>
      </c>
      <c r="XEV2202" s="198">
        <f t="shared" si="217"/>
        <v>-7.9171414760468295E-3</v>
      </c>
      <c r="XEW2202" s="221">
        <v>11829.290039</v>
      </c>
      <c r="XEX2202" s="198">
        <f t="shared" si="218"/>
        <v>1.0222407154707902E-2</v>
      </c>
    </row>
    <row r="2203" spans="16374:16378" x14ac:dyDescent="0.2">
      <c r="XET2203" s="220">
        <v>44151</v>
      </c>
      <c r="XEU2203" s="221">
        <v>136.029999</v>
      </c>
      <c r="XEV2203" s="198">
        <f t="shared" si="217"/>
        <v>-1.0037184429387835E-3</v>
      </c>
      <c r="XEW2203" s="221">
        <v>11924.129883</v>
      </c>
      <c r="XEX2203" s="198">
        <f t="shared" si="218"/>
        <v>8.017374135499411E-3</v>
      </c>
    </row>
    <row r="2204" spans="16374:16378" x14ac:dyDescent="0.2">
      <c r="XET2204" s="220">
        <v>44152</v>
      </c>
      <c r="XEU2204" s="221">
        <v>147.203339</v>
      </c>
      <c r="XEV2204" s="198">
        <f t="shared" si="217"/>
        <v>8.2138793517156472E-2</v>
      </c>
      <c r="XEW2204" s="221">
        <v>11899.339844</v>
      </c>
      <c r="XEX2204" s="198">
        <f t="shared" si="218"/>
        <v>-2.0789809607275611E-3</v>
      </c>
    </row>
    <row r="2205" spans="16374:16378" x14ac:dyDescent="0.2">
      <c r="XET2205" s="220">
        <v>44153</v>
      </c>
      <c r="XEU2205" s="221">
        <v>162.21333300000001</v>
      </c>
      <c r="XEV2205" s="198">
        <f t="shared" si="217"/>
        <v>0.10196775495697152</v>
      </c>
      <c r="XEW2205" s="221">
        <v>11801.599609000001</v>
      </c>
      <c r="XEX2205" s="198">
        <f t="shared" si="218"/>
        <v>-8.2139207957223626E-3</v>
      </c>
    </row>
    <row r="2206" spans="16374:16378" x14ac:dyDescent="0.2">
      <c r="XET2206" s="220">
        <v>44154</v>
      </c>
      <c r="XEU2206" s="221">
        <v>166.42334</v>
      </c>
      <c r="XEV2206" s="198">
        <f t="shared" si="217"/>
        <v>2.5953520109225581E-2</v>
      </c>
      <c r="XEW2206" s="221">
        <v>11904.709961</v>
      </c>
      <c r="XEX2206" s="198">
        <f t="shared" si="218"/>
        <v>8.7369810378388202E-3</v>
      </c>
    </row>
    <row r="2207" spans="16374:16378" x14ac:dyDescent="0.2">
      <c r="XET2207" s="220">
        <v>44155</v>
      </c>
      <c r="XEU2207" s="221">
        <v>163.203339</v>
      </c>
      <c r="XEV2207" s="198">
        <f t="shared" si="217"/>
        <v>-1.9348253676437444E-2</v>
      </c>
      <c r="XEW2207" s="221">
        <v>11854.969727</v>
      </c>
      <c r="XEX2207" s="198">
        <f t="shared" si="218"/>
        <v>-4.1781978866306524E-3</v>
      </c>
    </row>
    <row r="2208" spans="16374:16378" x14ac:dyDescent="0.2">
      <c r="XET2208" s="220">
        <v>44158</v>
      </c>
      <c r="XEU2208" s="221">
        <v>173.949997</v>
      </c>
      <c r="XEV2208" s="198">
        <f t="shared" si="217"/>
        <v>6.5848272871426916E-2</v>
      </c>
      <c r="XEW2208" s="221">
        <v>11880.629883</v>
      </c>
      <c r="XEX2208" s="198">
        <f t="shared" si="218"/>
        <v>2.1645062442934293E-3</v>
      </c>
    </row>
    <row r="2209" spans="16374:16378" x14ac:dyDescent="0.2">
      <c r="XET2209" s="220">
        <v>44159</v>
      </c>
      <c r="XEU2209" s="221">
        <v>185.12666300000001</v>
      </c>
      <c r="XEV2209" s="198">
        <f t="shared" si="217"/>
        <v>6.4252177020733159E-2</v>
      </c>
      <c r="XEW2209" s="221">
        <v>12036.790039</v>
      </c>
      <c r="XEX2209" s="198">
        <f t="shared" si="218"/>
        <v>1.3144097370077157E-2</v>
      </c>
    </row>
    <row r="2210" spans="16374:16378" x14ac:dyDescent="0.2">
      <c r="XET2210" s="220">
        <v>44160</v>
      </c>
      <c r="XEU2210" s="221">
        <v>191.33332799999999</v>
      </c>
      <c r="XEV2210" s="198">
        <f t="shared" si="217"/>
        <v>3.3526586065022901E-2</v>
      </c>
      <c r="XEW2210" s="221">
        <v>12094.400390999999</v>
      </c>
      <c r="XEX2210" s="198">
        <f t="shared" si="218"/>
        <v>4.7861889933560331E-3</v>
      </c>
    </row>
    <row r="2211" spans="16374:16378" x14ac:dyDescent="0.2">
      <c r="XET2211" s="220">
        <v>44162</v>
      </c>
      <c r="XEU2211" s="221">
        <v>195.25332599999999</v>
      </c>
      <c r="XEV2211" s="198">
        <f t="shared" si="217"/>
        <v>2.0487794996175479E-2</v>
      </c>
      <c r="XEW2211" s="221">
        <v>12205.849609000001</v>
      </c>
      <c r="XEX2211" s="198">
        <f t="shared" si="218"/>
        <v>9.2149436430875031E-3</v>
      </c>
    </row>
    <row r="2212" spans="16374:16378" x14ac:dyDescent="0.2">
      <c r="XET2212" s="220">
        <v>44165</v>
      </c>
      <c r="XEU2212" s="221">
        <v>189.199997</v>
      </c>
      <c r="XEV2212" s="198">
        <f t="shared" si="217"/>
        <v>-3.1002437315715614E-2</v>
      </c>
      <c r="XEW2212" s="221">
        <v>12198.740234000001</v>
      </c>
      <c r="XEX2212" s="198">
        <f t="shared" si="218"/>
        <v>-5.8245638179565962E-4</v>
      </c>
    </row>
    <row r="2213" spans="16374:16378" x14ac:dyDescent="0.2">
      <c r="XET2213" s="220">
        <v>44166</v>
      </c>
      <c r="XEU2213" s="221">
        <v>194.91999799999999</v>
      </c>
      <c r="XEV2213" s="198">
        <f t="shared" si="217"/>
        <v>3.0232563904321719E-2</v>
      </c>
      <c r="XEW2213" s="221">
        <v>12355.110352</v>
      </c>
      <c r="XEX2213" s="198">
        <f t="shared" si="218"/>
        <v>1.281854642368474E-2</v>
      </c>
    </row>
    <row r="2214" spans="16374:16378" x14ac:dyDescent="0.2">
      <c r="XET2214" s="220">
        <v>44167</v>
      </c>
      <c r="XEU2214" s="221">
        <v>189.606674</v>
      </c>
      <c r="XEV2214" s="198">
        <f t="shared" si="217"/>
        <v>-2.7258998843207483E-2</v>
      </c>
      <c r="XEW2214" s="221">
        <v>12349.370117</v>
      </c>
      <c r="XEX2214" s="198">
        <f t="shared" si="218"/>
        <v>-4.646041060305528E-4</v>
      </c>
    </row>
    <row r="2215" spans="16374:16378" x14ac:dyDescent="0.2">
      <c r="XET2215" s="220">
        <v>44168</v>
      </c>
      <c r="XEU2215" s="221">
        <v>197.79333500000001</v>
      </c>
      <c r="XEV2215" s="198">
        <f t="shared" si="217"/>
        <v>4.3177071921002286E-2</v>
      </c>
      <c r="XEW2215" s="221">
        <v>12377.179688</v>
      </c>
      <c r="XEX2215" s="198">
        <f t="shared" si="218"/>
        <v>2.2519019785240957E-3</v>
      </c>
    </row>
    <row r="2216" spans="16374:16378" x14ac:dyDescent="0.2">
      <c r="XET2216" s="220">
        <v>44169</v>
      </c>
      <c r="XEU2216" s="221">
        <v>199.679993</v>
      </c>
      <c r="XEV2216" s="198">
        <f t="shared" si="217"/>
        <v>9.5385317204950137E-3</v>
      </c>
      <c r="XEW2216" s="221">
        <v>12464.230469</v>
      </c>
      <c r="XEX2216" s="198">
        <f t="shared" si="218"/>
        <v>7.0331677485782063E-3</v>
      </c>
    </row>
    <row r="2217" spans="16374:16378" x14ac:dyDescent="0.2">
      <c r="XET2217" s="220">
        <v>44172</v>
      </c>
      <c r="XEU2217" s="221">
        <v>213.91999799999999</v>
      </c>
      <c r="XEV2217" s="198">
        <f t="shared" si="217"/>
        <v>7.13141301041611E-2</v>
      </c>
      <c r="XEW2217" s="221">
        <v>12519.950194999999</v>
      </c>
      <c r="XEX2217" s="198">
        <f t="shared" si="218"/>
        <v>4.4703703239907799E-3</v>
      </c>
    </row>
    <row r="2218" spans="16374:16378" x14ac:dyDescent="0.2">
      <c r="XET2218" s="220">
        <v>44173</v>
      </c>
      <c r="XEU2218" s="221">
        <v>216.62666300000001</v>
      </c>
      <c r="XEV2218" s="198">
        <f t="shared" si="217"/>
        <v>1.2652697388301215E-2</v>
      </c>
      <c r="XEW2218" s="221">
        <v>12582.769531</v>
      </c>
      <c r="XEX2218" s="198">
        <f t="shared" si="218"/>
        <v>5.0175388097859486E-3</v>
      </c>
    </row>
    <row r="2219" spans="16374:16378" x14ac:dyDescent="0.2">
      <c r="XET2219" s="220">
        <v>44174</v>
      </c>
      <c r="XEU2219" s="221">
        <v>201.49333200000001</v>
      </c>
      <c r="XEV2219" s="198">
        <f t="shared" si="217"/>
        <v>-6.9859041312933856E-2</v>
      </c>
      <c r="XEW2219" s="221">
        <v>12338.950194999999</v>
      </c>
      <c r="XEX2219" s="198">
        <f t="shared" si="218"/>
        <v>-1.9377239279421477E-2</v>
      </c>
    </row>
    <row r="2220" spans="16374:16378" x14ac:dyDescent="0.2">
      <c r="XET2220" s="220">
        <v>44175</v>
      </c>
      <c r="XEU2220" s="221">
        <v>209.02333100000001</v>
      </c>
      <c r="XEV2220" s="198">
        <f t="shared" si="217"/>
        <v>3.7370958757086736E-2</v>
      </c>
      <c r="XEW2220" s="221">
        <v>12405.809569999999</v>
      </c>
      <c r="XEX2220" s="198">
        <f t="shared" si="218"/>
        <v>5.4185626770009154E-3</v>
      </c>
    </row>
    <row r="2221" spans="16374:16378" x14ac:dyDescent="0.2">
      <c r="XET2221" s="220">
        <v>44176</v>
      </c>
      <c r="XEU2221" s="221">
        <v>203.33000200000001</v>
      </c>
      <c r="XEV2221" s="198">
        <f t="shared" si="217"/>
        <v>-2.7237768017389419E-2</v>
      </c>
      <c r="XEW2221" s="221">
        <v>12377.870117</v>
      </c>
      <c r="XEX2221" s="198">
        <f t="shared" si="218"/>
        <v>-2.2521265413877334E-3</v>
      </c>
    </row>
    <row r="2222" spans="16374:16378" x14ac:dyDescent="0.2">
      <c r="XET2222" s="220">
        <v>44179</v>
      </c>
      <c r="XEU2222" s="221">
        <v>213.27667199999999</v>
      </c>
      <c r="XEV2222" s="198">
        <f t="shared" si="217"/>
        <v>4.8918850647529988E-2</v>
      </c>
      <c r="XEW2222" s="221">
        <v>12440.040039</v>
      </c>
      <c r="XEX2222" s="198">
        <f t="shared" si="218"/>
        <v>5.0226671804072254E-3</v>
      </c>
    </row>
    <row r="2223" spans="16374:16378" x14ac:dyDescent="0.2">
      <c r="XET2223" s="220">
        <v>44180</v>
      </c>
      <c r="XEU2223" s="221">
        <v>211.08332799999999</v>
      </c>
      <c r="XEV2223" s="198">
        <f t="shared" si="217"/>
        <v>-1.0284031438750119E-2</v>
      </c>
      <c r="XEW2223" s="221">
        <v>12595.059569999999</v>
      </c>
      <c r="XEX2223" s="198">
        <f t="shared" si="218"/>
        <v>1.2461336982357629E-2</v>
      </c>
    </row>
    <row r="2224" spans="16374:16378" x14ac:dyDescent="0.2">
      <c r="XET2224" s="220">
        <v>44181</v>
      </c>
      <c r="XEU2224" s="221">
        <v>207.58999600000001</v>
      </c>
      <c r="XEV2224" s="198">
        <f t="shared" si="217"/>
        <v>-1.6549540094421777E-2</v>
      </c>
      <c r="XEW2224" s="221">
        <v>12658.190430000001</v>
      </c>
      <c r="XEX2224" s="198">
        <f t="shared" si="218"/>
        <v>5.0123510451964837E-3</v>
      </c>
    </row>
    <row r="2225" spans="16374:16378" x14ac:dyDescent="0.2">
      <c r="XET2225" s="220">
        <v>44182</v>
      </c>
      <c r="XEU2225" s="221">
        <v>218.633331</v>
      </c>
      <c r="XEV2225" s="198">
        <f t="shared" si="217"/>
        <v>5.3197818839015643E-2</v>
      </c>
      <c r="XEW2225" s="221">
        <v>12764.75</v>
      </c>
      <c r="XEX2225" s="198">
        <f t="shared" si="218"/>
        <v>8.4182309145430789E-3</v>
      </c>
    </row>
    <row r="2226" spans="16374:16378" x14ac:dyDescent="0.2">
      <c r="XET2226" s="220">
        <v>44183</v>
      </c>
      <c r="XEU2226" s="221">
        <v>231.66667200000001</v>
      </c>
      <c r="XEV2226" s="198">
        <f t="shared" si="217"/>
        <v>5.9612781547933258E-2</v>
      </c>
      <c r="XEW2226" s="221">
        <v>12755.639648</v>
      </c>
      <c r="XEX2226" s="198">
        <f t="shared" si="218"/>
        <v>-7.1371174523593428E-4</v>
      </c>
    </row>
    <row r="2227" spans="16374:16378" x14ac:dyDescent="0.2">
      <c r="XET2227" s="220">
        <v>44186</v>
      </c>
      <c r="XEU2227" s="221">
        <v>216.61999499999999</v>
      </c>
      <c r="XEV2227" s="198">
        <f t="shared" si="217"/>
        <v>-6.4949683396841928E-2</v>
      </c>
      <c r="XEW2227" s="221">
        <v>12742.519531</v>
      </c>
      <c r="XEX2227" s="198">
        <f t="shared" si="218"/>
        <v>-1.0285738200559447E-3</v>
      </c>
    </row>
    <row r="2228" spans="16374:16378" x14ac:dyDescent="0.2">
      <c r="XET2228" s="220">
        <v>44187</v>
      </c>
      <c r="XEU2228" s="221">
        <v>213.44667100000001</v>
      </c>
      <c r="XEV2228" s="198">
        <f t="shared" si="217"/>
        <v>-1.4649266333885635E-2</v>
      </c>
      <c r="XEW2228" s="221">
        <v>12807.919921999999</v>
      </c>
      <c r="XEX2228" s="198">
        <f t="shared" si="218"/>
        <v>5.1324536596466519E-3</v>
      </c>
    </row>
    <row r="2229" spans="16374:16378" x14ac:dyDescent="0.2">
      <c r="XET2229" s="220">
        <v>44188</v>
      </c>
      <c r="XEU2229" s="221">
        <v>215.32666</v>
      </c>
      <c r="XEV2229" s="198">
        <f t="shared" si="217"/>
        <v>8.8077691312411499E-3</v>
      </c>
      <c r="XEW2229" s="221">
        <v>12771.110352</v>
      </c>
      <c r="XEX2229" s="198">
        <f t="shared" si="218"/>
        <v>-2.8739694051937992E-3</v>
      </c>
    </row>
    <row r="2230" spans="16374:16378" x14ac:dyDescent="0.2">
      <c r="XET2230" s="220">
        <v>44189</v>
      </c>
      <c r="XEU2230" s="221">
        <v>220.58999600000001</v>
      </c>
      <c r="XEV2230" s="198">
        <f t="shared" si="217"/>
        <v>2.4443494363401319E-2</v>
      </c>
      <c r="XEW2230" s="221">
        <v>12804.730469</v>
      </c>
      <c r="XEX2230" s="198">
        <f t="shared" si="218"/>
        <v>2.6325132328635092E-3</v>
      </c>
    </row>
    <row r="2231" spans="16374:16378" x14ac:dyDescent="0.2">
      <c r="XET2231" s="220">
        <v>44193</v>
      </c>
      <c r="XEU2231" s="221">
        <v>221.229996</v>
      </c>
      <c r="XEV2231" s="198">
        <f t="shared" si="217"/>
        <v>2.9013101754622461E-3</v>
      </c>
      <c r="XEW2231" s="221">
        <v>12899.419921999999</v>
      </c>
      <c r="XEX2231" s="198">
        <f t="shared" si="218"/>
        <v>7.3948806051982174E-3</v>
      </c>
    </row>
    <row r="2232" spans="16374:16378" x14ac:dyDescent="0.2">
      <c r="XET2232" s="220">
        <v>44194</v>
      </c>
      <c r="XEU2232" s="221">
        <v>221.99667400000001</v>
      </c>
      <c r="XEV2232" s="198">
        <f t="shared" si="217"/>
        <v>3.465524629851835E-3</v>
      </c>
      <c r="XEW2232" s="221">
        <v>12850.219727</v>
      </c>
      <c r="XEX2232" s="198">
        <f t="shared" si="218"/>
        <v>-3.8141401161837507E-3</v>
      </c>
    </row>
    <row r="2233" spans="16374:16378" x14ac:dyDescent="0.2">
      <c r="XET2233" s="220">
        <v>44195</v>
      </c>
      <c r="XEU2233" s="221">
        <v>231.59333799999999</v>
      </c>
      <c r="XEV2233" s="198">
        <f t="shared" si="217"/>
        <v>4.3228863870275802E-2</v>
      </c>
      <c r="XEW2233" s="221">
        <v>12870</v>
      </c>
      <c r="XEX2233" s="198">
        <f t="shared" si="218"/>
        <v>1.5392945350529708E-3</v>
      </c>
    </row>
    <row r="2234" spans="16374:16378" x14ac:dyDescent="0.2">
      <c r="XET2234" s="220">
        <v>44196</v>
      </c>
      <c r="XEU2234" s="221">
        <v>235.22332800000001</v>
      </c>
      <c r="XEV2234" s="198">
        <f t="shared" si="217"/>
        <v>1.567398281551613E-2</v>
      </c>
      <c r="XEW2234" s="221">
        <v>12888.280273</v>
      </c>
      <c r="XEX2234" s="198">
        <f t="shared" si="218"/>
        <v>1.4203786324786805E-3</v>
      </c>
    </row>
    <row r="2235" spans="16374:16378" x14ac:dyDescent="0.2">
      <c r="XET2235" s="220">
        <v>44200</v>
      </c>
      <c r="XEU2235" s="221">
        <v>243.25666799999999</v>
      </c>
      <c r="XEV2235" s="198">
        <f t="shared" si="217"/>
        <v>3.4151969825033657E-2</v>
      </c>
      <c r="XEW2235" s="221">
        <v>12698.450194999999</v>
      </c>
      <c r="XEX2235" s="198">
        <f t="shared" si="218"/>
        <v>-1.4728891208059869E-2</v>
      </c>
    </row>
    <row r="2236" spans="16374:16378" x14ac:dyDescent="0.2">
      <c r="XET2236" s="220">
        <v>44201</v>
      </c>
      <c r="XEU2236" s="221">
        <v>245.03666699999999</v>
      </c>
      <c r="XEV2236" s="198">
        <f t="shared" si="217"/>
        <v>7.3173698161483891E-3</v>
      </c>
      <c r="XEW2236" s="221">
        <v>12818.959961</v>
      </c>
      <c r="XEX2236" s="198">
        <f t="shared" si="218"/>
        <v>9.4901160495515224E-3</v>
      </c>
    </row>
    <row r="2237" spans="16374:16378" x14ac:dyDescent="0.2">
      <c r="XET2237" s="220">
        <v>44202</v>
      </c>
      <c r="XEU2237" s="221">
        <v>251.99333200000001</v>
      </c>
      <c r="XEV2237" s="198">
        <f t="shared" si="217"/>
        <v>2.8390302093033393E-2</v>
      </c>
      <c r="XEW2237" s="221">
        <v>12740.790039</v>
      </c>
      <c r="XEX2237" s="198">
        <f t="shared" si="218"/>
        <v>-6.097992523404594E-3</v>
      </c>
    </row>
    <row r="2238" spans="16374:16378" x14ac:dyDescent="0.2">
      <c r="XET2238" s="220">
        <v>44203</v>
      </c>
      <c r="XEU2238" s="221">
        <v>272.01333599999998</v>
      </c>
      <c r="XEV2238" s="198">
        <f t="shared" si="217"/>
        <v>7.944656249872506E-2</v>
      </c>
      <c r="XEW2238" s="221">
        <v>13067.480469</v>
      </c>
      <c r="XEX2238" s="198">
        <f t="shared" si="218"/>
        <v>2.5641300814155832E-2</v>
      </c>
    </row>
    <row r="2239" spans="16374:16378" x14ac:dyDescent="0.2">
      <c r="XET2239" s="220">
        <v>44204</v>
      </c>
      <c r="XEU2239" s="221">
        <v>293.33999599999999</v>
      </c>
      <c r="XEV2239" s="198">
        <f t="shared" si="217"/>
        <v>7.8402994182608765E-2</v>
      </c>
      <c r="XEW2239" s="221">
        <v>13201.980469</v>
      </c>
      <c r="XEX2239" s="198">
        <f t="shared" si="218"/>
        <v>1.0292726307804756E-2</v>
      </c>
    </row>
    <row r="2240" spans="16374:16378" x14ac:dyDescent="0.2">
      <c r="XET2240" s="220">
        <v>44207</v>
      </c>
      <c r="XEU2240" s="221">
        <v>270.39666699999998</v>
      </c>
      <c r="XEV2240" s="198">
        <f t="shared" si="217"/>
        <v>-7.8214117791151838E-2</v>
      </c>
      <c r="XEW2240" s="221">
        <v>13036.429688</v>
      </c>
      <c r="XEX2240" s="198">
        <f t="shared" si="218"/>
        <v>-1.253984441112721E-2</v>
      </c>
    </row>
    <row r="2241" spans="16374:16378" x14ac:dyDescent="0.2">
      <c r="XET2241" s="220">
        <v>44208</v>
      </c>
      <c r="XEU2241" s="221">
        <v>283.14666699999998</v>
      </c>
      <c r="XEV2241" s="198">
        <f t="shared" si="217"/>
        <v>4.7152948079792756E-2</v>
      </c>
      <c r="XEW2241" s="221">
        <v>13072.429688</v>
      </c>
      <c r="XEX2241" s="198">
        <f t="shared" si="218"/>
        <v>2.7614922844356737E-3</v>
      </c>
    </row>
    <row r="2242" spans="16374:16378" x14ac:dyDescent="0.2">
      <c r="XET2242" s="220">
        <v>44209</v>
      </c>
      <c r="XEU2242" s="221">
        <v>284.80334499999998</v>
      </c>
      <c r="XEV2242" s="198">
        <f t="shared" si="217"/>
        <v>5.8509535625224096E-3</v>
      </c>
      <c r="XEW2242" s="221">
        <v>13128.950194999999</v>
      </c>
      <c r="XEX2242" s="198">
        <f t="shared" si="218"/>
        <v>4.323642073354117E-3</v>
      </c>
    </row>
    <row r="2243" spans="16374:16378" x14ac:dyDescent="0.2">
      <c r="XET2243" s="220">
        <v>44210</v>
      </c>
      <c r="XEU2243" s="221">
        <v>281.66665599999999</v>
      </c>
      <c r="XEV2243" s="198">
        <f t="shared" si="217"/>
        <v>-1.1013525841840011E-2</v>
      </c>
      <c r="XEW2243" s="221">
        <v>13112.639648</v>
      </c>
      <c r="XEX2243" s="198">
        <f t="shared" si="218"/>
        <v>-1.2423344408916126E-3</v>
      </c>
    </row>
    <row r="2244" spans="16374:16378" x14ac:dyDescent="0.2">
      <c r="XET2244" s="220">
        <v>44211</v>
      </c>
      <c r="XEU2244" s="221">
        <v>275.38665800000001</v>
      </c>
      <c r="XEV2244" s="198">
        <f t="shared" si="217"/>
        <v>-2.2295851731913841E-2</v>
      </c>
      <c r="XEW2244" s="221">
        <v>12998.5</v>
      </c>
      <c r="XEX2244" s="198">
        <f t="shared" si="218"/>
        <v>-8.7045515673428442E-3</v>
      </c>
    </row>
    <row r="2245" spans="16374:16378" x14ac:dyDescent="0.2">
      <c r="XET2245" s="220">
        <v>44215</v>
      </c>
      <c r="XEU2245" s="221">
        <v>281.51666299999999</v>
      </c>
      <c r="XEV2245" s="198">
        <f t="shared" si="217"/>
        <v>2.2259629585976493E-2</v>
      </c>
      <c r="XEW2245" s="221">
        <v>13197.179688</v>
      </c>
      <c r="XEX2245" s="198">
        <f t="shared" si="218"/>
        <v>1.528481655575642E-2</v>
      </c>
    </row>
    <row r="2246" spans="16374:16378" x14ac:dyDescent="0.2">
      <c r="XET2246" s="220">
        <v>44216</v>
      </c>
      <c r="XEU2246" s="221">
        <v>283.48333700000001</v>
      </c>
      <c r="XEV2246" s="198">
        <f t="shared" si="217"/>
        <v>6.985994999521683E-3</v>
      </c>
      <c r="XEW2246" s="221">
        <v>13457.25</v>
      </c>
      <c r="XEX2246" s="198">
        <f t="shared" si="218"/>
        <v>1.9706506855891259E-2</v>
      </c>
    </row>
    <row r="2247" spans="16374:16378" x14ac:dyDescent="0.2">
      <c r="XET2247" s="220">
        <v>44217</v>
      </c>
      <c r="XEU2247" s="221">
        <v>281.66332999999997</v>
      </c>
      <c r="XEV2247" s="198">
        <f t="shared" si="217"/>
        <v>-6.4201551289063685E-3</v>
      </c>
      <c r="XEW2247" s="221">
        <v>13530.910156</v>
      </c>
      <c r="XEX2247" s="198">
        <f t="shared" si="218"/>
        <v>5.473641048505451E-3</v>
      </c>
    </row>
    <row r="2248" spans="16374:16378" x14ac:dyDescent="0.2">
      <c r="XET2248" s="220">
        <v>44218</v>
      </c>
      <c r="XEU2248" s="221">
        <v>282.21331800000002</v>
      </c>
      <c r="XEV2248" s="198">
        <f t="shared" si="217"/>
        <v>1.9526432496557167E-3</v>
      </c>
      <c r="XEW2248" s="221">
        <v>13543.059569999999</v>
      </c>
      <c r="XEX2248" s="198">
        <f t="shared" si="218"/>
        <v>8.9790072211903826E-4</v>
      </c>
    </row>
    <row r="2249" spans="16374:16378" x14ac:dyDescent="0.2">
      <c r="XET2249" s="220">
        <v>44221</v>
      </c>
      <c r="XEU2249" s="221">
        <v>293.60000600000001</v>
      </c>
      <c r="XEV2249" s="198">
        <f t="shared" si="217"/>
        <v>4.0347805272605841E-2</v>
      </c>
      <c r="XEW2249" s="221">
        <v>13635.990234000001</v>
      </c>
      <c r="XEX2249" s="198">
        <f t="shared" si="218"/>
        <v>6.8618662954018639E-3</v>
      </c>
    </row>
    <row r="2250" spans="16374:16378" x14ac:dyDescent="0.2">
      <c r="XET2250" s="220">
        <v>44222</v>
      </c>
      <c r="XEU2250" s="221">
        <v>294.36334199999999</v>
      </c>
      <c r="XEV2250" s="198">
        <f t="shared" si="217"/>
        <v>2.5999182029989854E-3</v>
      </c>
      <c r="XEW2250" s="221">
        <v>13626.059569999999</v>
      </c>
      <c r="XEX2250" s="198">
        <f t="shared" si="218"/>
        <v>-7.2826863539698916E-4</v>
      </c>
    </row>
    <row r="2251" spans="16374:16378" x14ac:dyDescent="0.2">
      <c r="XET2251" s="220">
        <v>44223</v>
      </c>
      <c r="XEU2251" s="221">
        <v>288.05334499999998</v>
      </c>
      <c r="XEV2251" s="198">
        <f t="shared" si="217"/>
        <v>-2.1436082893772856E-2</v>
      </c>
      <c r="XEW2251" s="221">
        <v>13270.599609000001</v>
      </c>
      <c r="XEX2251" s="198">
        <f t="shared" si="218"/>
        <v>-2.6086775797061867E-2</v>
      </c>
    </row>
    <row r="2252" spans="16374:16378" x14ac:dyDescent="0.2">
      <c r="XET2252" s="220">
        <v>44224</v>
      </c>
      <c r="XEU2252" s="221">
        <v>278.476654</v>
      </c>
      <c r="XEV2252" s="198">
        <f t="shared" ref="XEV2252:XEV2315" si="219">XEU2252/XEU2251-1</f>
        <v>-3.3246241247432806E-2</v>
      </c>
      <c r="XEW2252" s="221">
        <v>13337.160156</v>
      </c>
      <c r="XEX2252" s="198">
        <f t="shared" ref="XEX2252:XEX2315" si="220">XEW2252/XEW2251-1</f>
        <v>5.0156397571408107E-3</v>
      </c>
    </row>
    <row r="2253" spans="16374:16378" x14ac:dyDescent="0.2">
      <c r="XET2253" s="220">
        <v>44225</v>
      </c>
      <c r="XEU2253" s="221">
        <v>264.51001000000002</v>
      </c>
      <c r="XEV2253" s="198">
        <f t="shared" si="219"/>
        <v>-5.0153733892536523E-2</v>
      </c>
      <c r="XEW2253" s="221">
        <v>13070.690430000001</v>
      </c>
      <c r="XEX2253" s="198">
        <f t="shared" si="220"/>
        <v>-1.9979495101145828E-2</v>
      </c>
    </row>
    <row r="2254" spans="16374:16378" x14ac:dyDescent="0.2">
      <c r="XET2254" s="220">
        <v>44228</v>
      </c>
      <c r="XEU2254" s="221">
        <v>279.93667599999998</v>
      </c>
      <c r="XEV2254" s="198">
        <f t="shared" si="219"/>
        <v>5.8321671833893696E-2</v>
      </c>
      <c r="XEW2254" s="221">
        <v>13403.389648</v>
      </c>
      <c r="XEX2254" s="198">
        <f t="shared" si="220"/>
        <v>2.5453836565234811E-2</v>
      </c>
    </row>
    <row r="2255" spans="16374:16378" x14ac:dyDescent="0.2">
      <c r="XET2255" s="220">
        <v>44229</v>
      </c>
      <c r="XEU2255" s="221">
        <v>290.92999300000002</v>
      </c>
      <c r="XEV2255" s="198">
        <f t="shared" si="219"/>
        <v>3.9270727784165294E-2</v>
      </c>
      <c r="XEW2255" s="221">
        <v>13612.780273</v>
      </c>
      <c r="XEX2255" s="198">
        <f t="shared" si="220"/>
        <v>1.562221426810817E-2</v>
      </c>
    </row>
    <row r="2256" spans="16374:16378" x14ac:dyDescent="0.2">
      <c r="XET2256" s="220">
        <v>44230</v>
      </c>
      <c r="XEU2256" s="221">
        <v>284.89666699999998</v>
      </c>
      <c r="XEV2256" s="198">
        <f t="shared" si="219"/>
        <v>-2.0738068075367044E-2</v>
      </c>
      <c r="XEW2256" s="221">
        <v>13610.540039</v>
      </c>
      <c r="XEX2256" s="198">
        <f t="shared" si="220"/>
        <v>-1.6456843900169993E-4</v>
      </c>
    </row>
    <row r="2257" spans="16374:16378" x14ac:dyDescent="0.2">
      <c r="XET2257" s="220">
        <v>44231</v>
      </c>
      <c r="XEU2257" s="221">
        <v>283.32998700000002</v>
      </c>
      <c r="XEV2257" s="198">
        <f t="shared" si="219"/>
        <v>-5.4991166323471452E-3</v>
      </c>
      <c r="XEW2257" s="221">
        <v>13777.740234000001</v>
      </c>
      <c r="XEX2257" s="198">
        <f t="shared" si="220"/>
        <v>1.2284611376249588E-2</v>
      </c>
    </row>
    <row r="2258" spans="16374:16378" x14ac:dyDescent="0.2">
      <c r="XET2258" s="220">
        <v>44232</v>
      </c>
      <c r="XEU2258" s="221">
        <v>284.07666</v>
      </c>
      <c r="XEV2258" s="198">
        <f t="shared" si="219"/>
        <v>2.6353475955935846E-3</v>
      </c>
      <c r="XEW2258" s="221">
        <v>13856.299805000001</v>
      </c>
      <c r="XEX2258" s="198">
        <f t="shared" si="220"/>
        <v>5.7019198842298557E-3</v>
      </c>
    </row>
    <row r="2259" spans="16374:16378" x14ac:dyDescent="0.2">
      <c r="XET2259" s="220">
        <v>44235</v>
      </c>
      <c r="XEU2259" s="221">
        <v>287.80667099999999</v>
      </c>
      <c r="XEV2259" s="198">
        <f t="shared" si="219"/>
        <v>1.3130297293695303E-2</v>
      </c>
      <c r="XEW2259" s="221">
        <v>13987.639648</v>
      </c>
      <c r="XEX2259" s="198">
        <f t="shared" si="220"/>
        <v>9.4787096734587628E-3</v>
      </c>
    </row>
    <row r="2260" spans="16374:16378" x14ac:dyDescent="0.2">
      <c r="XET2260" s="220">
        <v>44236</v>
      </c>
      <c r="XEU2260" s="221">
        <v>283.15332000000001</v>
      </c>
      <c r="XEV2260" s="198">
        <f t="shared" si="219"/>
        <v>-1.6168322241564725E-2</v>
      </c>
      <c r="XEW2260" s="221">
        <v>14007.700194999999</v>
      </c>
      <c r="XEX2260" s="198">
        <f t="shared" si="220"/>
        <v>1.4341624108731299E-3</v>
      </c>
    </row>
    <row r="2261" spans="16374:16378" x14ac:dyDescent="0.2">
      <c r="XET2261" s="220">
        <v>44237</v>
      </c>
      <c r="XEU2261" s="221">
        <v>268.273346</v>
      </c>
      <c r="XEV2261" s="198">
        <f t="shared" si="219"/>
        <v>-5.2550943072113721E-2</v>
      </c>
      <c r="XEW2261" s="221">
        <v>13972.530273</v>
      </c>
      <c r="XEX2261" s="198">
        <f t="shared" si="220"/>
        <v>-2.5107563347588346E-3</v>
      </c>
    </row>
    <row r="2262" spans="16374:16378" x14ac:dyDescent="0.2">
      <c r="XET2262" s="220">
        <v>44238</v>
      </c>
      <c r="XEU2262" s="221">
        <v>270.55334499999998</v>
      </c>
      <c r="XEV2262" s="198">
        <f t="shared" si="219"/>
        <v>8.4987906327451679E-3</v>
      </c>
      <c r="XEW2262" s="221">
        <v>14025.769531</v>
      </c>
      <c r="XEX2262" s="198">
        <f t="shared" si="220"/>
        <v>3.8102803829938026E-3</v>
      </c>
    </row>
    <row r="2263" spans="16374:16378" x14ac:dyDescent="0.2">
      <c r="XET2263" s="220">
        <v>44239</v>
      </c>
      <c r="XEU2263" s="221">
        <v>272.040009</v>
      </c>
      <c r="XEV2263" s="198">
        <f t="shared" si="219"/>
        <v>5.4949015692267178E-3</v>
      </c>
      <c r="XEW2263" s="221">
        <v>14095.469727</v>
      </c>
      <c r="XEX2263" s="198">
        <f t="shared" si="220"/>
        <v>4.9694382790155256E-3</v>
      </c>
    </row>
    <row r="2264" spans="16374:16378" x14ac:dyDescent="0.2">
      <c r="XET2264" s="220">
        <v>44243</v>
      </c>
      <c r="XEU2264" s="221">
        <v>265.406677</v>
      </c>
      <c r="XEV2264" s="198">
        <f t="shared" si="219"/>
        <v>-2.438366336034048E-2</v>
      </c>
      <c r="XEW2264" s="221">
        <v>14047.5</v>
      </c>
      <c r="XEX2264" s="198">
        <f t="shared" si="220"/>
        <v>-3.4032017328314845E-3</v>
      </c>
    </row>
    <row r="2265" spans="16374:16378" x14ac:dyDescent="0.2">
      <c r="XET2265" s="220">
        <v>44244</v>
      </c>
      <c r="XEU2265" s="221">
        <v>266.04998799999998</v>
      </c>
      <c r="XEV2265" s="198">
        <f t="shared" si="219"/>
        <v>2.4238689368014654E-3</v>
      </c>
      <c r="XEW2265" s="221">
        <v>13965.490234000001</v>
      </c>
      <c r="XEX2265" s="198">
        <f t="shared" si="220"/>
        <v>-5.8380328172271678E-3</v>
      </c>
    </row>
    <row r="2266" spans="16374:16378" x14ac:dyDescent="0.2">
      <c r="XET2266" s="220">
        <v>44245</v>
      </c>
      <c r="XEU2266" s="221">
        <v>262.459991</v>
      </c>
      <c r="XEV2266" s="198">
        <f t="shared" si="219"/>
        <v>-1.349369352348917E-2</v>
      </c>
      <c r="XEW2266" s="221">
        <v>13865.360352</v>
      </c>
      <c r="XEX2266" s="198">
        <f t="shared" si="220"/>
        <v>-7.1698078851701874E-3</v>
      </c>
    </row>
    <row r="2267" spans="16374:16378" x14ac:dyDescent="0.2">
      <c r="XET2267" s="220">
        <v>44246</v>
      </c>
      <c r="XEU2267" s="221">
        <v>260.43331899999998</v>
      </c>
      <c r="XEV2267" s="198">
        <f t="shared" si="219"/>
        <v>-7.7218321629829445E-3</v>
      </c>
      <c r="XEW2267" s="221">
        <v>13874.459961</v>
      </c>
      <c r="XEX2267" s="198">
        <f t="shared" si="220"/>
        <v>6.5628362833636267E-4</v>
      </c>
    </row>
    <row r="2268" spans="16374:16378" x14ac:dyDescent="0.2">
      <c r="XET2268" s="220">
        <v>44249</v>
      </c>
      <c r="XEU2268" s="221">
        <v>238.16667200000001</v>
      </c>
      <c r="XEV2268" s="198">
        <f t="shared" si="219"/>
        <v>-8.5498457284568841E-2</v>
      </c>
      <c r="XEW2268" s="221">
        <v>13533.049805000001</v>
      </c>
      <c r="XEX2268" s="198">
        <f t="shared" si="220"/>
        <v>-2.4607095120075084E-2</v>
      </c>
    </row>
    <row r="2269" spans="16374:16378" x14ac:dyDescent="0.2">
      <c r="XET2269" s="220">
        <v>44250</v>
      </c>
      <c r="XEU2269" s="221">
        <v>232.94667100000001</v>
      </c>
      <c r="XEV2269" s="198">
        <f t="shared" si="219"/>
        <v>-2.1917428480505485E-2</v>
      </c>
      <c r="XEW2269" s="221">
        <v>13465.200194999999</v>
      </c>
      <c r="XEX2269" s="198">
        <f t="shared" si="220"/>
        <v>-5.0136230175501506E-3</v>
      </c>
    </row>
    <row r="2270" spans="16374:16378" x14ac:dyDescent="0.2">
      <c r="XET2270" s="220">
        <v>44251</v>
      </c>
      <c r="XEU2270" s="221">
        <v>247.33999600000001</v>
      </c>
      <c r="XEV2270" s="198">
        <f t="shared" si="219"/>
        <v>6.1788069081270658E-2</v>
      </c>
      <c r="XEW2270" s="221">
        <v>13597.969727</v>
      </c>
      <c r="XEX2270" s="198">
        <f t="shared" si="220"/>
        <v>9.8601974034742135E-3</v>
      </c>
    </row>
    <row r="2271" spans="16374:16378" x14ac:dyDescent="0.2">
      <c r="XET2271" s="220">
        <v>44252</v>
      </c>
      <c r="XEU2271" s="221">
        <v>227.40666200000001</v>
      </c>
      <c r="XEV2271" s="198">
        <f t="shared" si="219"/>
        <v>-8.0590823653122423E-2</v>
      </c>
      <c r="XEW2271" s="221">
        <v>13119.429688</v>
      </c>
      <c r="XEX2271" s="198">
        <f t="shared" si="220"/>
        <v>-3.5192021206652213E-2</v>
      </c>
    </row>
    <row r="2272" spans="16374:16378" x14ac:dyDescent="0.2">
      <c r="XET2272" s="220">
        <v>44253</v>
      </c>
      <c r="XEU2272" s="221">
        <v>225.16667200000001</v>
      </c>
      <c r="XEV2272" s="198">
        <f t="shared" si="219"/>
        <v>-9.850151179827793E-3</v>
      </c>
      <c r="XEW2272" s="221">
        <v>13192.349609000001</v>
      </c>
      <c r="XEX2272" s="198">
        <f t="shared" si="220"/>
        <v>5.5581624151466169E-3</v>
      </c>
    </row>
    <row r="2273" spans="16374:16378" x14ac:dyDescent="0.2">
      <c r="XET2273" s="220">
        <v>44256</v>
      </c>
      <c r="XEU2273" s="221">
        <v>239.47666899999999</v>
      </c>
      <c r="XEV2273" s="198">
        <f t="shared" si="219"/>
        <v>6.3552908931389096E-2</v>
      </c>
      <c r="XEW2273" s="221">
        <v>13588.830078000001</v>
      </c>
      <c r="XEX2273" s="198">
        <f t="shared" si="220"/>
        <v>3.0053817610284916E-2</v>
      </c>
    </row>
    <row r="2274" spans="16374:16378" x14ac:dyDescent="0.2">
      <c r="XET2274" s="220">
        <v>44257</v>
      </c>
      <c r="XEU2274" s="221">
        <v>228.81333900000001</v>
      </c>
      <c r="XEV2274" s="198">
        <f t="shared" si="219"/>
        <v>-4.4527636218290589E-2</v>
      </c>
      <c r="XEW2274" s="221">
        <v>13358.790039</v>
      </c>
      <c r="XEX2274" s="198">
        <f t="shared" si="220"/>
        <v>-1.6928612520693109E-2</v>
      </c>
    </row>
    <row r="2275" spans="16374:16378" x14ac:dyDescent="0.2">
      <c r="XET2275" s="220">
        <v>44258</v>
      </c>
      <c r="XEU2275" s="221">
        <v>217.73333700000001</v>
      </c>
      <c r="XEV2275" s="198">
        <f t="shared" si="219"/>
        <v>-4.8423759071144046E-2</v>
      </c>
      <c r="XEW2275" s="221">
        <v>12997.75</v>
      </c>
      <c r="XEX2275" s="198">
        <f t="shared" si="220"/>
        <v>-2.7026402686618267E-2</v>
      </c>
    </row>
    <row r="2276" spans="16374:16378" x14ac:dyDescent="0.2">
      <c r="XET2276" s="220">
        <v>44259</v>
      </c>
      <c r="XEU2276" s="221">
        <v>207.14666700000001</v>
      </c>
      <c r="XEV2276" s="198">
        <f t="shared" si="219"/>
        <v>-4.8622182279785653E-2</v>
      </c>
      <c r="XEW2276" s="221">
        <v>12723.469727</v>
      </c>
      <c r="XEX2276" s="198">
        <f t="shared" si="220"/>
        <v>-2.1102134831028518E-2</v>
      </c>
    </row>
    <row r="2277" spans="16374:16378" x14ac:dyDescent="0.2">
      <c r="XET2277" s="220">
        <v>44260</v>
      </c>
      <c r="XEU2277" s="221">
        <v>199.316666</v>
      </c>
      <c r="XEV2277" s="198">
        <f t="shared" si="219"/>
        <v>-3.7799309607042919E-2</v>
      </c>
      <c r="XEW2277" s="221">
        <v>12920.150390999999</v>
      </c>
      <c r="XEX2277" s="198">
        <f t="shared" si="220"/>
        <v>1.5458099733803854E-2</v>
      </c>
    </row>
    <row r="2278" spans="16374:16378" x14ac:dyDescent="0.2">
      <c r="XET2278" s="220">
        <v>44263</v>
      </c>
      <c r="XEU2278" s="221">
        <v>187.66667200000001</v>
      </c>
      <c r="XEV2278" s="198">
        <f t="shared" si="219"/>
        <v>-5.8449673245086209E-2</v>
      </c>
      <c r="XEW2278" s="221">
        <v>12609.160156</v>
      </c>
      <c r="XEX2278" s="198">
        <f t="shared" si="220"/>
        <v>-2.4070171444492749E-2</v>
      </c>
    </row>
    <row r="2279" spans="16374:16378" x14ac:dyDescent="0.2">
      <c r="XET2279" s="220">
        <v>44264</v>
      </c>
      <c r="XEU2279" s="221">
        <v>224.52667199999999</v>
      </c>
      <c r="XEV2279" s="198">
        <f t="shared" si="219"/>
        <v>0.19641207257088245</v>
      </c>
      <c r="XEW2279" s="221">
        <v>13073.820313</v>
      </c>
      <c r="XEX2279" s="198">
        <f t="shared" si="220"/>
        <v>3.6850999690006603E-2</v>
      </c>
    </row>
    <row r="2280" spans="16374:16378" x14ac:dyDescent="0.2">
      <c r="XET2280" s="220">
        <v>44265</v>
      </c>
      <c r="XEU2280" s="221">
        <v>222.68666099999999</v>
      </c>
      <c r="XEV2280" s="198">
        <f t="shared" si="219"/>
        <v>-8.1950664640858539E-3</v>
      </c>
      <c r="XEW2280" s="221">
        <v>13068.830078000001</v>
      </c>
      <c r="XEX2280" s="198">
        <f t="shared" si="220"/>
        <v>-3.8169677114474609E-4</v>
      </c>
    </row>
    <row r="2281" spans="16374:16378" x14ac:dyDescent="0.2">
      <c r="XET2281" s="220">
        <v>44266</v>
      </c>
      <c r="XEU2281" s="221">
        <v>233.199997</v>
      </c>
      <c r="XEV2281" s="198">
        <f t="shared" si="219"/>
        <v>4.7211341500153825E-2</v>
      </c>
      <c r="XEW2281" s="221">
        <v>13398.669921999999</v>
      </c>
      <c r="XEX2281" s="198">
        <f t="shared" si="220"/>
        <v>2.5238666508890395E-2</v>
      </c>
    </row>
    <row r="2282" spans="16374:16378" x14ac:dyDescent="0.2">
      <c r="XET2282" s="220">
        <v>44267</v>
      </c>
      <c r="XEU2282" s="221">
        <v>231.24333200000001</v>
      </c>
      <c r="XEV2282" s="198">
        <f t="shared" si="219"/>
        <v>-8.3905018232053319E-3</v>
      </c>
      <c r="XEW2282" s="221">
        <v>13319.860352</v>
      </c>
      <c r="XEX2282" s="198">
        <f t="shared" si="220"/>
        <v>-5.8818950282966131E-3</v>
      </c>
    </row>
    <row r="2283" spans="16374:16378" x14ac:dyDescent="0.2">
      <c r="XET2283" s="220">
        <v>44270</v>
      </c>
      <c r="XEU2283" s="221">
        <v>235.979996</v>
      </c>
      <c r="XEV2283" s="198">
        <f t="shared" si="219"/>
        <v>2.0483461983673568E-2</v>
      </c>
      <c r="XEW2283" s="221">
        <v>13459.709961</v>
      </c>
      <c r="XEX2283" s="198">
        <f t="shared" si="220"/>
        <v>1.0499329970753202E-2</v>
      </c>
    </row>
    <row r="2284" spans="16374:16378" x14ac:dyDescent="0.2">
      <c r="XET2284" s="220">
        <v>44271</v>
      </c>
      <c r="XEU2284" s="221">
        <v>225.62666300000001</v>
      </c>
      <c r="XEV2284" s="198">
        <f t="shared" si="219"/>
        <v>-4.3873773944805072E-2</v>
      </c>
      <c r="XEW2284" s="221">
        <v>13471.570313</v>
      </c>
      <c r="XEX2284" s="198">
        <f t="shared" si="220"/>
        <v>8.8117441121426943E-4</v>
      </c>
    </row>
    <row r="2285" spans="16374:16378" x14ac:dyDescent="0.2">
      <c r="XET2285" s="220">
        <v>44272</v>
      </c>
      <c r="XEU2285" s="221">
        <v>233.93666099999999</v>
      </c>
      <c r="XEV2285" s="198">
        <f t="shared" si="219"/>
        <v>3.6830744600428567E-2</v>
      </c>
      <c r="XEW2285" s="221">
        <v>13525.200194999999</v>
      </c>
      <c r="XEX2285" s="198">
        <f t="shared" si="220"/>
        <v>3.9809673819724001E-3</v>
      </c>
    </row>
    <row r="2286" spans="16374:16378" x14ac:dyDescent="0.2">
      <c r="XET2286" s="220">
        <v>44273</v>
      </c>
      <c r="XEU2286" s="221">
        <v>217.720001</v>
      </c>
      <c r="XEV2286" s="198">
        <f t="shared" si="219"/>
        <v>-6.9320729511480828E-2</v>
      </c>
      <c r="XEW2286" s="221">
        <v>13116.169921999999</v>
      </c>
      <c r="XEX2286" s="198">
        <f t="shared" si="220"/>
        <v>-3.0242086409279945E-2</v>
      </c>
    </row>
    <row r="2287" spans="16374:16378" x14ac:dyDescent="0.2">
      <c r="XET2287" s="220">
        <v>44274</v>
      </c>
      <c r="XEU2287" s="221">
        <v>218.28999300000001</v>
      </c>
      <c r="XEV2287" s="198">
        <f t="shared" si="219"/>
        <v>2.6180047647528237E-3</v>
      </c>
      <c r="XEW2287" s="221">
        <v>13215.240234000001</v>
      </c>
      <c r="XEX2287" s="198">
        <f t="shared" si="220"/>
        <v>7.5532958622188673E-3</v>
      </c>
    </row>
    <row r="2288" spans="16374:16378" x14ac:dyDescent="0.2">
      <c r="XET2288" s="220">
        <v>44277</v>
      </c>
      <c r="XEU2288" s="221">
        <v>223.33332799999999</v>
      </c>
      <c r="XEV2288" s="198">
        <f t="shared" si="219"/>
        <v>2.3103830508620637E-2</v>
      </c>
      <c r="XEW2288" s="221">
        <v>13377.540039</v>
      </c>
      <c r="XEX2288" s="198">
        <f t="shared" si="220"/>
        <v>1.2281260281779449E-2</v>
      </c>
    </row>
    <row r="2289" spans="16374:16378" x14ac:dyDescent="0.2">
      <c r="XET2289" s="220">
        <v>44278</v>
      </c>
      <c r="XEU2289" s="221">
        <v>220.720001</v>
      </c>
      <c r="XEV2289" s="198">
        <f t="shared" si="219"/>
        <v>-1.1701464458542477E-2</v>
      </c>
      <c r="XEW2289" s="221">
        <v>13227.700194999999</v>
      </c>
      <c r="XEX2289" s="198">
        <f t="shared" si="220"/>
        <v>-1.1200851842952164E-2</v>
      </c>
    </row>
    <row r="2290" spans="16374:16378" x14ac:dyDescent="0.2">
      <c r="XET2290" s="220">
        <v>44279</v>
      </c>
      <c r="XEU2290" s="221">
        <v>210.08999600000001</v>
      </c>
      <c r="XEV2290" s="198">
        <f t="shared" si="219"/>
        <v>-4.8160587857191905E-2</v>
      </c>
      <c r="XEW2290" s="221">
        <v>12961.889648</v>
      </c>
      <c r="XEX2290" s="198">
        <f t="shared" si="220"/>
        <v>-2.0094993315653897E-2</v>
      </c>
    </row>
    <row r="2291" spans="16374:16378" x14ac:dyDescent="0.2">
      <c r="XET2291" s="220">
        <v>44280</v>
      </c>
      <c r="XEU2291" s="221">
        <v>213.46333300000001</v>
      </c>
      <c r="XEV2291" s="198">
        <f t="shared" si="219"/>
        <v>1.6056628417471019E-2</v>
      </c>
      <c r="XEW2291" s="221">
        <v>12977.679688</v>
      </c>
      <c r="XEX2291" s="198">
        <f t="shared" si="220"/>
        <v>1.2181896643779222E-3</v>
      </c>
    </row>
    <row r="2292" spans="16374:16378" x14ac:dyDescent="0.2">
      <c r="XET2292" s="220">
        <v>44281</v>
      </c>
      <c r="XEU2292" s="221">
        <v>206.23666399999999</v>
      </c>
      <c r="XEV2292" s="198">
        <f t="shared" si="219"/>
        <v>-3.3854380976989673E-2</v>
      </c>
      <c r="XEW2292" s="221">
        <v>13138.730469</v>
      </c>
      <c r="XEX2292" s="198">
        <f t="shared" si="220"/>
        <v>1.2409828634383446E-2</v>
      </c>
    </row>
    <row r="2293" spans="16374:16378" x14ac:dyDescent="0.2">
      <c r="XET2293" s="220">
        <v>44284</v>
      </c>
      <c r="XEU2293" s="221">
        <v>203.76333600000001</v>
      </c>
      <c r="XEV2293" s="198">
        <f t="shared" si="219"/>
        <v>-1.1992668772027759E-2</v>
      </c>
      <c r="XEW2293" s="221">
        <v>13059.650390999999</v>
      </c>
      <c r="XEX2293" s="198">
        <f t="shared" si="220"/>
        <v>-6.0188522922047794E-3</v>
      </c>
    </row>
    <row r="2294" spans="16374:16378" x14ac:dyDescent="0.2">
      <c r="XET2294" s="220">
        <v>44285</v>
      </c>
      <c r="XEU2294" s="221">
        <v>211.87333699999999</v>
      </c>
      <c r="XEV2294" s="198">
        <f t="shared" si="219"/>
        <v>3.9801080798951949E-2</v>
      </c>
      <c r="XEW2294" s="221">
        <v>13045.389648</v>
      </c>
      <c r="XEX2294" s="198">
        <f t="shared" si="220"/>
        <v>-1.0919697367876013E-3</v>
      </c>
    </row>
    <row r="2295" spans="16374:16378" x14ac:dyDescent="0.2">
      <c r="XET2295" s="220">
        <v>44286</v>
      </c>
      <c r="XEU2295" s="221">
        <v>222.643326</v>
      </c>
      <c r="XEV2295" s="198">
        <f t="shared" si="219"/>
        <v>5.0832205470006775E-2</v>
      </c>
      <c r="XEW2295" s="221">
        <v>13246.870117</v>
      </c>
      <c r="XEX2295" s="198">
        <f t="shared" si="220"/>
        <v>1.544457271392341E-2</v>
      </c>
    </row>
    <row r="2296" spans="16374:16378" x14ac:dyDescent="0.2">
      <c r="XET2296" s="220">
        <v>44287</v>
      </c>
      <c r="XEU2296" s="221">
        <v>220.58332799999999</v>
      </c>
      <c r="XEV2296" s="198">
        <f t="shared" si="219"/>
        <v>-9.2524578976151961E-3</v>
      </c>
      <c r="XEW2296" s="221">
        <v>13480.110352</v>
      </c>
      <c r="XEX2296" s="198">
        <f t="shared" si="220"/>
        <v>1.7607195733026604E-2</v>
      </c>
    </row>
    <row r="2297" spans="16374:16378" x14ac:dyDescent="0.2">
      <c r="XET2297" s="220">
        <v>44291</v>
      </c>
      <c r="XEU2297" s="221">
        <v>230.35000600000001</v>
      </c>
      <c r="XEV2297" s="198">
        <f t="shared" si="219"/>
        <v>4.4276591928108067E-2</v>
      </c>
      <c r="XEW2297" s="221">
        <v>13705.589844</v>
      </c>
      <c r="XEX2297" s="198">
        <f t="shared" si="220"/>
        <v>1.672682835022532E-2</v>
      </c>
    </row>
    <row r="2298" spans="16374:16378" x14ac:dyDescent="0.2">
      <c r="XET2298" s="220">
        <v>44292</v>
      </c>
      <c r="XEU2298" s="221">
        <v>230.53999300000001</v>
      </c>
      <c r="XEV2298" s="198">
        <f t="shared" si="219"/>
        <v>8.2477532038782719E-4</v>
      </c>
      <c r="XEW2298" s="221">
        <v>13698.379883</v>
      </c>
      <c r="XEX2298" s="198">
        <f t="shared" si="220"/>
        <v>-5.2605988374565538E-4</v>
      </c>
    </row>
    <row r="2299" spans="16374:16378" x14ac:dyDescent="0.2">
      <c r="XET2299" s="220">
        <v>44293</v>
      </c>
      <c r="XEU2299" s="221">
        <v>223.65666200000001</v>
      </c>
      <c r="XEV2299" s="198">
        <f t="shared" si="219"/>
        <v>-2.9857426949778776E-2</v>
      </c>
      <c r="XEW2299" s="221">
        <v>13688.839844</v>
      </c>
      <c r="XEX2299" s="198">
        <f t="shared" si="220"/>
        <v>-6.9643556986176414E-4</v>
      </c>
    </row>
    <row r="2300" spans="16374:16378" x14ac:dyDescent="0.2">
      <c r="XET2300" s="220">
        <v>44294</v>
      </c>
      <c r="XEU2300" s="221">
        <v>227.933334</v>
      </c>
      <c r="XEV2300" s="198">
        <f t="shared" si="219"/>
        <v>1.9121594508997752E-2</v>
      </c>
      <c r="XEW2300" s="221">
        <v>13829.309569999999</v>
      </c>
      <c r="XEX2300" s="198">
        <f t="shared" si="220"/>
        <v>1.0261623892222627E-2</v>
      </c>
    </row>
    <row r="2301" spans="16374:16378" x14ac:dyDescent="0.2">
      <c r="XET2301" s="220">
        <v>44295</v>
      </c>
      <c r="XEU2301" s="221">
        <v>225.67334</v>
      </c>
      <c r="XEV2301" s="198">
        <f t="shared" si="219"/>
        <v>-9.9151535246705391E-3</v>
      </c>
      <c r="XEW2301" s="221">
        <v>13900.190430000001</v>
      </c>
      <c r="XEX2301" s="198">
        <f t="shared" si="220"/>
        <v>5.1254084407628131E-3</v>
      </c>
    </row>
    <row r="2302" spans="16374:16378" x14ac:dyDescent="0.2">
      <c r="XET2302" s="220">
        <v>44298</v>
      </c>
      <c r="XEU2302" s="221">
        <v>233.99333200000001</v>
      </c>
      <c r="XEV2302" s="198">
        <f t="shared" si="219"/>
        <v>3.686741198583765E-2</v>
      </c>
      <c r="XEW2302" s="221">
        <v>13850</v>
      </c>
      <c r="XEX2302" s="198">
        <f t="shared" si="220"/>
        <v>-3.6107728345704526E-3</v>
      </c>
    </row>
    <row r="2303" spans="16374:16378" x14ac:dyDescent="0.2">
      <c r="XET2303" s="220">
        <v>44299</v>
      </c>
      <c r="XEU2303" s="221">
        <v>254.106674</v>
      </c>
      <c r="XEV2303" s="198">
        <f t="shared" si="219"/>
        <v>8.5956902395833978E-2</v>
      </c>
      <c r="XEW2303" s="221">
        <v>13996.099609000001</v>
      </c>
      <c r="XEX2303" s="198">
        <f t="shared" si="220"/>
        <v>1.0548708231046922E-2</v>
      </c>
    </row>
    <row r="2304" spans="16374:16378" x14ac:dyDescent="0.2">
      <c r="XET2304" s="220">
        <v>44300</v>
      </c>
      <c r="XEU2304" s="221">
        <v>244.07666</v>
      </c>
      <c r="XEV2304" s="198">
        <f t="shared" si="219"/>
        <v>-3.9471666926780502E-2</v>
      </c>
      <c r="XEW2304" s="221">
        <v>13857.839844</v>
      </c>
      <c r="XEX2304" s="198">
        <f t="shared" si="220"/>
        <v>-9.8784496297164015E-3</v>
      </c>
    </row>
    <row r="2305" spans="16374:16378" x14ac:dyDescent="0.2">
      <c r="XET2305" s="220">
        <v>44301</v>
      </c>
      <c r="XEU2305" s="221">
        <v>246.28334000000001</v>
      </c>
      <c r="XEV2305" s="198">
        <f t="shared" si="219"/>
        <v>9.0409300094487222E-3</v>
      </c>
      <c r="XEW2305" s="221">
        <v>14038.759765999999</v>
      </c>
      <c r="XEX2305" s="198">
        <f t="shared" si="220"/>
        <v>1.305542018356709E-2</v>
      </c>
    </row>
    <row r="2306" spans="16374:16378" x14ac:dyDescent="0.2">
      <c r="XET2306" s="220">
        <v>44302</v>
      </c>
      <c r="XEU2306" s="221">
        <v>246.59333799999999</v>
      </c>
      <c r="XEV2306" s="198">
        <f t="shared" si="219"/>
        <v>1.2587047097865067E-3</v>
      </c>
      <c r="XEW2306" s="221">
        <v>14052.339844</v>
      </c>
      <c r="XEX2306" s="198">
        <f t="shared" si="220"/>
        <v>9.6732747239469674E-4</v>
      </c>
    </row>
    <row r="2307" spans="16374:16378" x14ac:dyDescent="0.2">
      <c r="XET2307" s="220">
        <v>44305</v>
      </c>
      <c r="XEU2307" s="221">
        <v>238.21000699999999</v>
      </c>
      <c r="XEV2307" s="198">
        <f t="shared" si="219"/>
        <v>-3.3996583476233244E-2</v>
      </c>
      <c r="XEW2307" s="221">
        <v>13914.769531</v>
      </c>
      <c r="XEX2307" s="198">
        <f t="shared" si="220"/>
        <v>-9.7898509804926759E-3</v>
      </c>
    </row>
    <row r="2308" spans="16374:16378" x14ac:dyDescent="0.2">
      <c r="XET2308" s="220">
        <v>44306</v>
      </c>
      <c r="XEU2308" s="221">
        <v>239.66333</v>
      </c>
      <c r="XEV2308" s="198">
        <f t="shared" si="219"/>
        <v>6.1010157310479318E-3</v>
      </c>
      <c r="XEW2308" s="221">
        <v>13786.269531</v>
      </c>
      <c r="XEX2308" s="198">
        <f t="shared" si="220"/>
        <v>-9.2347918313502309E-3</v>
      </c>
    </row>
    <row r="2309" spans="16374:16378" x14ac:dyDescent="0.2">
      <c r="XET2309" s="220">
        <v>44307</v>
      </c>
      <c r="XEU2309" s="221">
        <v>248.03999300000001</v>
      </c>
      <c r="XEV2309" s="198">
        <f t="shared" si="219"/>
        <v>3.4951792583371111E-2</v>
      </c>
      <c r="XEW2309" s="221">
        <v>13950.219727</v>
      </c>
      <c r="XEX2309" s="198">
        <f t="shared" si="220"/>
        <v>1.1892281347854139E-2</v>
      </c>
    </row>
    <row r="2310" spans="16374:16378" x14ac:dyDescent="0.2">
      <c r="XET2310" s="220">
        <v>44308</v>
      </c>
      <c r="XEU2310" s="221">
        <v>239.89666700000001</v>
      </c>
      <c r="XEV2310" s="198">
        <f t="shared" si="219"/>
        <v>-3.283069758835222E-2</v>
      </c>
      <c r="XEW2310" s="221">
        <v>13818.410156</v>
      </c>
      <c r="XEX2310" s="198">
        <f t="shared" si="220"/>
        <v>-9.4485659422903767E-3</v>
      </c>
    </row>
    <row r="2311" spans="16374:16378" x14ac:dyDescent="0.2">
      <c r="XET2311" s="220">
        <v>44309</v>
      </c>
      <c r="XEU2311" s="221">
        <v>243.133331</v>
      </c>
      <c r="XEV2311" s="198">
        <f t="shared" si="219"/>
        <v>1.3491908997635083E-2</v>
      </c>
      <c r="XEW2311" s="221">
        <v>14016.809569999999</v>
      </c>
      <c r="XEX2311" s="198">
        <f t="shared" si="220"/>
        <v>1.4357615077292607E-2</v>
      </c>
    </row>
    <row r="2312" spans="16374:16378" x14ac:dyDescent="0.2">
      <c r="XET2312" s="220">
        <v>44312</v>
      </c>
      <c r="XEU2312" s="221">
        <v>246.066666</v>
      </c>
      <c r="XEV2312" s="198">
        <f t="shared" si="219"/>
        <v>1.2064717691874227E-2</v>
      </c>
      <c r="XEW2312" s="221">
        <v>14138.780273</v>
      </c>
      <c r="XEX2312" s="198">
        <f t="shared" si="220"/>
        <v>8.7017450291293486E-3</v>
      </c>
    </row>
    <row r="2313" spans="16374:16378" x14ac:dyDescent="0.2">
      <c r="XET2313" s="220">
        <v>44313</v>
      </c>
      <c r="XEU2313" s="221">
        <v>234.91333</v>
      </c>
      <c r="XEV2313" s="198">
        <f t="shared" si="219"/>
        <v>-4.5326480751358589E-2</v>
      </c>
      <c r="XEW2313" s="221">
        <v>14090.219727</v>
      </c>
      <c r="XEX2313" s="198">
        <f t="shared" si="220"/>
        <v>-3.4345640191278948E-3</v>
      </c>
    </row>
    <row r="2314" spans="16374:16378" x14ac:dyDescent="0.2">
      <c r="XET2314" s="220">
        <v>44314</v>
      </c>
      <c r="XEU2314" s="221">
        <v>231.46665999999999</v>
      </c>
      <c r="XEV2314" s="198">
        <f t="shared" si="219"/>
        <v>-1.4672092043478413E-2</v>
      </c>
      <c r="XEW2314" s="221">
        <v>14051.030273</v>
      </c>
      <c r="XEX2314" s="198">
        <f t="shared" si="220"/>
        <v>-2.7813231276233585E-3</v>
      </c>
    </row>
    <row r="2315" spans="16374:16378" x14ac:dyDescent="0.2">
      <c r="XET2315" s="220">
        <v>44315</v>
      </c>
      <c r="XEU2315" s="221">
        <v>225.66667200000001</v>
      </c>
      <c r="XEV2315" s="198">
        <f t="shared" si="219"/>
        <v>-2.5057552565021624E-2</v>
      </c>
      <c r="XEW2315" s="221">
        <v>14082.549805000001</v>
      </c>
      <c r="XEX2315" s="198">
        <f t="shared" si="220"/>
        <v>2.2432185674361449E-3</v>
      </c>
    </row>
    <row r="2316" spans="16374:16378" x14ac:dyDescent="0.2">
      <c r="XET2316" s="220">
        <v>44316</v>
      </c>
      <c r="XEU2316" s="221">
        <v>236.479996</v>
      </c>
      <c r="XEV2316" s="198">
        <f t="shared" ref="XEV2316:XEV2379" si="221">XEU2316/XEU2315-1</f>
        <v>4.791723963563399E-2</v>
      </c>
      <c r="XEW2316" s="221">
        <v>13962.679688</v>
      </c>
      <c r="XEX2316" s="198">
        <f t="shared" ref="XEX2316:XEX2379" si="222">XEW2316/XEW2315-1</f>
        <v>-8.5119611618516E-3</v>
      </c>
    </row>
    <row r="2317" spans="16374:16378" x14ac:dyDescent="0.2">
      <c r="XET2317" s="220">
        <v>44319</v>
      </c>
      <c r="XEU2317" s="221">
        <v>228.300003</v>
      </c>
      <c r="XEV2317" s="198">
        <f t="shared" si="221"/>
        <v>-3.4590634042466761E-2</v>
      </c>
      <c r="XEW2317" s="221">
        <v>13895.120117</v>
      </c>
      <c r="XEX2317" s="198">
        <f t="shared" si="222"/>
        <v>-4.8385820279228664E-3</v>
      </c>
    </row>
    <row r="2318" spans="16374:16378" x14ac:dyDescent="0.2">
      <c r="XET2318" s="220">
        <v>44320</v>
      </c>
      <c r="XEU2318" s="221">
        <v>224.53334000000001</v>
      </c>
      <c r="XEV2318" s="198">
        <f t="shared" si="221"/>
        <v>-1.6498742665369104E-2</v>
      </c>
      <c r="XEW2318" s="221">
        <v>13633.5</v>
      </c>
      <c r="XEX2318" s="198">
        <f t="shared" si="222"/>
        <v>-1.8828201181213311E-2</v>
      </c>
    </row>
    <row r="2319" spans="16374:16378" x14ac:dyDescent="0.2">
      <c r="XET2319" s="220">
        <v>44321</v>
      </c>
      <c r="XEU2319" s="221">
        <v>223.64666700000001</v>
      </c>
      <c r="XEV2319" s="198">
        <f t="shared" si="221"/>
        <v>-3.9489592057909695E-3</v>
      </c>
      <c r="XEW2319" s="221">
        <v>13582.419921999999</v>
      </c>
      <c r="XEX2319" s="198">
        <f t="shared" si="222"/>
        <v>-3.7466591850956465E-3</v>
      </c>
    </row>
    <row r="2320" spans="16374:16378" x14ac:dyDescent="0.2">
      <c r="XET2320" s="220">
        <v>44322</v>
      </c>
      <c r="XEU2320" s="221">
        <v>221.179993</v>
      </c>
      <c r="XEV2320" s="198">
        <f t="shared" si="221"/>
        <v>-1.102933494644931E-2</v>
      </c>
      <c r="XEW2320" s="221">
        <v>13632.839844</v>
      </c>
      <c r="XEX2320" s="198">
        <f t="shared" si="222"/>
        <v>3.7121457214213116E-3</v>
      </c>
    </row>
    <row r="2321" spans="16374:16378" x14ac:dyDescent="0.2">
      <c r="XET2321" s="220">
        <v>44323</v>
      </c>
      <c r="XEU2321" s="221">
        <v>224.12333699999999</v>
      </c>
      <c r="XEV2321" s="198">
        <f t="shared" si="221"/>
        <v>1.3307460408500837E-2</v>
      </c>
      <c r="XEW2321" s="221">
        <v>13752.240234000001</v>
      </c>
      <c r="XEX2321" s="198">
        <f t="shared" si="222"/>
        <v>8.7582918428070755E-3</v>
      </c>
    </row>
    <row r="2322" spans="16374:16378" x14ac:dyDescent="0.2">
      <c r="XET2322" s="220">
        <v>44326</v>
      </c>
      <c r="XEU2322" s="221">
        <v>209.679993</v>
      </c>
      <c r="XEV2322" s="198">
        <f t="shared" si="221"/>
        <v>-6.4443730819517486E-2</v>
      </c>
      <c r="XEW2322" s="221">
        <v>13401.860352</v>
      </c>
      <c r="XEX2322" s="198">
        <f t="shared" si="222"/>
        <v>-2.5478022201339101E-2</v>
      </c>
    </row>
    <row r="2323" spans="16374:16378" x14ac:dyDescent="0.2">
      <c r="XET2323" s="220">
        <v>44327</v>
      </c>
      <c r="XEU2323" s="221">
        <v>205.73333700000001</v>
      </c>
      <c r="XEV2323" s="198">
        <f t="shared" si="221"/>
        <v>-1.8822282200286033E-2</v>
      </c>
      <c r="XEW2323" s="221">
        <v>13389.429688</v>
      </c>
      <c r="XEX2323" s="198">
        <f t="shared" si="222"/>
        <v>-9.2753272109302731E-4</v>
      </c>
    </row>
    <row r="2324" spans="16374:16378" x14ac:dyDescent="0.2">
      <c r="XET2324" s="220">
        <v>44328</v>
      </c>
      <c r="XEU2324" s="221">
        <v>196.63000500000001</v>
      </c>
      <c r="XEV2324" s="198">
        <f t="shared" si="221"/>
        <v>-4.4248210488123219E-2</v>
      </c>
      <c r="XEW2324" s="221">
        <v>13031.679688</v>
      </c>
      <c r="XEX2324" s="198">
        <f t="shared" si="222"/>
        <v>-2.6718837794908135E-2</v>
      </c>
    </row>
    <row r="2325" spans="16374:16378" x14ac:dyDescent="0.2">
      <c r="XET2325" s="220">
        <v>44329</v>
      </c>
      <c r="XEU2325" s="221">
        <v>190.56333900000001</v>
      </c>
      <c r="XEV2325" s="198">
        <f t="shared" si="221"/>
        <v>-3.0853205745481227E-2</v>
      </c>
      <c r="XEW2325" s="221">
        <v>13124.990234000001</v>
      </c>
      <c r="XEX2325" s="198">
        <f t="shared" si="222"/>
        <v>7.1602854147745365E-3</v>
      </c>
    </row>
    <row r="2326" spans="16374:16378" x14ac:dyDescent="0.2">
      <c r="XET2326" s="220">
        <v>44330</v>
      </c>
      <c r="XEU2326" s="221">
        <v>196.58000200000001</v>
      </c>
      <c r="XEV2326" s="198">
        <f t="shared" si="221"/>
        <v>3.1573035147122397E-2</v>
      </c>
      <c r="XEW2326" s="221">
        <v>13429.980469</v>
      </c>
      <c r="XEX2326" s="198">
        <f t="shared" si="222"/>
        <v>2.3237368528467917E-2</v>
      </c>
    </row>
    <row r="2327" spans="16374:16378" x14ac:dyDescent="0.2">
      <c r="XET2327" s="220">
        <v>44333</v>
      </c>
      <c r="XEU2327" s="221">
        <v>192.27667199999999</v>
      </c>
      <c r="XEV2327" s="198">
        <f t="shared" si="221"/>
        <v>-2.189098563545655E-2</v>
      </c>
      <c r="XEW2327" s="221">
        <v>13379.049805000001</v>
      </c>
      <c r="XEX2327" s="198">
        <f t="shared" si="222"/>
        <v>-3.7923110995999876E-3</v>
      </c>
    </row>
    <row r="2328" spans="16374:16378" x14ac:dyDescent="0.2">
      <c r="XET2328" s="220">
        <v>44334</v>
      </c>
      <c r="XEU2328" s="221">
        <v>192.62333699999999</v>
      </c>
      <c r="XEV2328" s="198">
        <f t="shared" si="221"/>
        <v>1.8029488257420567E-3</v>
      </c>
      <c r="XEW2328" s="221">
        <v>13303.639648</v>
      </c>
      <c r="XEX2328" s="198">
        <f t="shared" si="222"/>
        <v>-5.6364359277456533E-3</v>
      </c>
    </row>
    <row r="2329" spans="16374:16378" x14ac:dyDescent="0.2">
      <c r="XET2329" s="220">
        <v>44335</v>
      </c>
      <c r="XEU2329" s="221">
        <v>187.820007</v>
      </c>
      <c r="XEV2329" s="198">
        <f t="shared" si="221"/>
        <v>-2.4936386602003369E-2</v>
      </c>
      <c r="XEW2329" s="221">
        <v>13299.740234000001</v>
      </c>
      <c r="XEX2329" s="198">
        <f t="shared" si="222"/>
        <v>-2.9310881106026088E-4</v>
      </c>
    </row>
    <row r="2330" spans="16374:16378" x14ac:dyDescent="0.2">
      <c r="XET2330" s="220">
        <v>44336</v>
      </c>
      <c r="XEU2330" s="221">
        <v>195.59333799999999</v>
      </c>
      <c r="XEV2330" s="198">
        <f t="shared" si="221"/>
        <v>4.1387129753434504E-2</v>
      </c>
      <c r="XEW2330" s="221">
        <v>13535.740234000001</v>
      </c>
      <c r="XEX2330" s="198">
        <f t="shared" si="222"/>
        <v>1.7744707479073973E-2</v>
      </c>
    </row>
    <row r="2331" spans="16374:16378" x14ac:dyDescent="0.2">
      <c r="XET2331" s="220">
        <v>44337</v>
      </c>
      <c r="XEU2331" s="221">
        <v>193.62666300000001</v>
      </c>
      <c r="XEV2331" s="198">
        <f t="shared" si="221"/>
        <v>-1.0054918128141854E-2</v>
      </c>
      <c r="XEW2331" s="221">
        <v>13470.990234000001</v>
      </c>
      <c r="XEX2331" s="198">
        <f t="shared" si="222"/>
        <v>-4.7836319906137126E-3</v>
      </c>
    </row>
    <row r="2332" spans="16374:16378" x14ac:dyDescent="0.2">
      <c r="XET2332" s="220">
        <v>44340</v>
      </c>
      <c r="XEU2332" s="221">
        <v>202.14666700000001</v>
      </c>
      <c r="XEV2332" s="198">
        <f t="shared" si="221"/>
        <v>4.4002225044801779E-2</v>
      </c>
      <c r="XEW2332" s="221">
        <v>13661.169921999999</v>
      </c>
      <c r="XEX2332" s="198">
        <f t="shared" si="222"/>
        <v>1.411772146638457E-2</v>
      </c>
    </row>
    <row r="2333" spans="16374:16378" x14ac:dyDescent="0.2">
      <c r="XET2333" s="220">
        <v>44341</v>
      </c>
      <c r="XEU2333" s="221">
        <v>201.56333900000001</v>
      </c>
      <c r="XEV2333" s="198">
        <f t="shared" si="221"/>
        <v>-2.8856671675917545E-3</v>
      </c>
      <c r="XEW2333" s="221">
        <v>13657.169921999999</v>
      </c>
      <c r="XEX2333" s="198">
        <f t="shared" si="222"/>
        <v>-2.9280069151016441E-4</v>
      </c>
    </row>
    <row r="2334" spans="16374:16378" x14ac:dyDescent="0.2">
      <c r="XET2334" s="220">
        <v>44342</v>
      </c>
      <c r="XEU2334" s="221">
        <v>206.37666300000001</v>
      </c>
      <c r="XEV2334" s="198">
        <f t="shared" si="221"/>
        <v>2.387995765440265E-2</v>
      </c>
      <c r="XEW2334" s="221">
        <v>13738</v>
      </c>
      <c r="XEX2334" s="198">
        <f t="shared" si="222"/>
        <v>5.9185086267246056E-3</v>
      </c>
    </row>
    <row r="2335" spans="16374:16378" x14ac:dyDescent="0.2">
      <c r="XET2335" s="220">
        <v>44343</v>
      </c>
      <c r="XEU2335" s="221">
        <v>210.28334000000001</v>
      </c>
      <c r="XEV2335" s="198">
        <f t="shared" si="221"/>
        <v>1.8929838980873637E-2</v>
      </c>
      <c r="XEW2335" s="221">
        <v>13736.280273</v>
      </c>
      <c r="XEX2335" s="198">
        <f t="shared" si="222"/>
        <v>-1.2518030280972425E-4</v>
      </c>
    </row>
    <row r="2336" spans="16374:16378" x14ac:dyDescent="0.2">
      <c r="XET2336" s="220">
        <v>44344</v>
      </c>
      <c r="XEU2336" s="221">
        <v>208.40666200000001</v>
      </c>
      <c r="XEV2336" s="198">
        <f t="shared" si="221"/>
        <v>-8.9245206015845513E-3</v>
      </c>
      <c r="XEW2336" s="221">
        <v>13748.740234000001</v>
      </c>
      <c r="XEX2336" s="198">
        <f t="shared" si="222"/>
        <v>9.0708406878481362E-4</v>
      </c>
    </row>
    <row r="2337" spans="16374:16378" x14ac:dyDescent="0.2">
      <c r="XET2337" s="220">
        <v>44348</v>
      </c>
      <c r="XEU2337" s="221">
        <v>207.96665999999999</v>
      </c>
      <c r="XEV2337" s="198">
        <f t="shared" si="221"/>
        <v>-2.1112664814909587E-3</v>
      </c>
      <c r="XEW2337" s="221">
        <v>13736.480469</v>
      </c>
      <c r="XEX2337" s="198">
        <f t="shared" si="222"/>
        <v>-8.9170096978652413E-4</v>
      </c>
    </row>
    <row r="2338" spans="16374:16378" x14ac:dyDescent="0.2">
      <c r="XET2338" s="220">
        <v>44349</v>
      </c>
      <c r="XEU2338" s="221">
        <v>201.70666499999999</v>
      </c>
      <c r="XEV2338" s="198">
        <f t="shared" si="221"/>
        <v>-3.0100954643403011E-2</v>
      </c>
      <c r="XEW2338" s="221">
        <v>13756.330078000001</v>
      </c>
      <c r="XEX2338" s="198">
        <f t="shared" si="222"/>
        <v>1.4450287353298119E-3</v>
      </c>
    </row>
    <row r="2339" spans="16374:16378" x14ac:dyDescent="0.2">
      <c r="XET2339" s="220">
        <v>44350</v>
      </c>
      <c r="XEU2339" s="221">
        <v>190.94667100000001</v>
      </c>
      <c r="XEV2339" s="198">
        <f t="shared" si="221"/>
        <v>-5.3344761810423913E-2</v>
      </c>
      <c r="XEW2339" s="221">
        <v>13614.509765999999</v>
      </c>
      <c r="XEX2339" s="198">
        <f t="shared" si="222"/>
        <v>-1.0309458350872935E-2</v>
      </c>
    </row>
    <row r="2340" spans="16374:16378" x14ac:dyDescent="0.2">
      <c r="XET2340" s="220">
        <v>44351</v>
      </c>
      <c r="XEU2340" s="221">
        <v>199.683334</v>
      </c>
      <c r="XEV2340" s="198">
        <f t="shared" si="221"/>
        <v>4.5754466177627018E-2</v>
      </c>
      <c r="XEW2340" s="221">
        <v>13814.490234000001</v>
      </c>
      <c r="XEX2340" s="198">
        <f t="shared" si="222"/>
        <v>1.4688774802558147E-2</v>
      </c>
    </row>
    <row r="2341" spans="16374:16378" x14ac:dyDescent="0.2">
      <c r="XET2341" s="220">
        <v>44354</v>
      </c>
      <c r="XEU2341" s="221">
        <v>201.71000699999999</v>
      </c>
      <c r="XEV2341" s="198">
        <f t="shared" si="221"/>
        <v>1.0149434904767718E-2</v>
      </c>
      <c r="XEW2341" s="221">
        <v>13881.719727</v>
      </c>
      <c r="XEX2341" s="198">
        <f t="shared" si="222"/>
        <v>4.8665923867776684E-3</v>
      </c>
    </row>
    <row r="2342" spans="16374:16378" x14ac:dyDescent="0.2">
      <c r="XET2342" s="220">
        <v>44355</v>
      </c>
      <c r="XEU2342" s="221">
        <v>201.19667100000001</v>
      </c>
      <c r="XEV2342" s="198">
        <f t="shared" si="221"/>
        <v>-2.544920837764808E-3</v>
      </c>
      <c r="XEW2342" s="221">
        <v>13924.910156</v>
      </c>
      <c r="XEX2342" s="198">
        <f t="shared" si="222"/>
        <v>3.1113168864802532E-3</v>
      </c>
    </row>
    <row r="2343" spans="16374:16378" x14ac:dyDescent="0.2">
      <c r="XET2343" s="220">
        <v>44356</v>
      </c>
      <c r="XEU2343" s="221">
        <v>199.59333799999999</v>
      </c>
      <c r="XEV2343" s="198">
        <f t="shared" si="221"/>
        <v>-7.9689837412867393E-3</v>
      </c>
      <c r="XEW2343" s="221">
        <v>13911.75</v>
      </c>
      <c r="XEX2343" s="198">
        <f t="shared" si="222"/>
        <v>-9.4508013714755812E-4</v>
      </c>
    </row>
    <row r="2344" spans="16374:16378" x14ac:dyDescent="0.2">
      <c r="XET2344" s="220">
        <v>44357</v>
      </c>
      <c r="XEU2344" s="221">
        <v>203.37333699999999</v>
      </c>
      <c r="XEV2344" s="198">
        <f t="shared" si="221"/>
        <v>1.8938502847224203E-2</v>
      </c>
      <c r="XEW2344" s="221">
        <v>14020.330078000001</v>
      </c>
      <c r="XEX2344" s="198">
        <f t="shared" si="222"/>
        <v>7.8049187197872794E-3</v>
      </c>
    </row>
    <row r="2345" spans="16374:16378" x14ac:dyDescent="0.2">
      <c r="XET2345" s="220">
        <v>44358</v>
      </c>
      <c r="XEU2345" s="221">
        <v>203.296661</v>
      </c>
      <c r="XEV2345" s="198">
        <f t="shared" si="221"/>
        <v>-3.7702090712110614E-4</v>
      </c>
      <c r="XEW2345" s="221">
        <v>14069.419921999999</v>
      </c>
      <c r="XEX2345" s="198">
        <f t="shared" si="222"/>
        <v>3.5013329733961651E-3</v>
      </c>
    </row>
    <row r="2346" spans="16374:16378" x14ac:dyDescent="0.2">
      <c r="XET2346" s="220">
        <v>44361</v>
      </c>
      <c r="XEU2346" s="221">
        <v>205.89666700000001</v>
      </c>
      <c r="XEV2346" s="198">
        <f t="shared" si="221"/>
        <v>1.2789221363552095E-2</v>
      </c>
      <c r="XEW2346" s="221">
        <v>14174.139648</v>
      </c>
      <c r="XEX2346" s="198">
        <f t="shared" si="222"/>
        <v>7.4430734586472536E-3</v>
      </c>
    </row>
    <row r="2347" spans="16374:16378" x14ac:dyDescent="0.2">
      <c r="XET2347" s="220">
        <v>44362</v>
      </c>
      <c r="XEU2347" s="221">
        <v>199.78666699999999</v>
      </c>
      <c r="XEV2347" s="198">
        <f t="shared" si="221"/>
        <v>-2.9675079684509997E-2</v>
      </c>
      <c r="XEW2347" s="221">
        <v>14072.860352</v>
      </c>
      <c r="XEX2347" s="198">
        <f t="shared" si="222"/>
        <v>-7.1453575677371539E-3</v>
      </c>
    </row>
    <row r="2348" spans="16374:16378" x14ac:dyDescent="0.2">
      <c r="XET2348" s="220">
        <v>44363</v>
      </c>
      <c r="XEU2348" s="221">
        <v>201.62333699999999</v>
      </c>
      <c r="XEV2348" s="198">
        <f t="shared" si="221"/>
        <v>9.193156017763604E-3</v>
      </c>
      <c r="XEW2348" s="221">
        <v>14039.679688</v>
      </c>
      <c r="XEX2348" s="198">
        <f t="shared" si="222"/>
        <v>-2.3577768250421238E-3</v>
      </c>
    </row>
    <row r="2349" spans="16374:16378" x14ac:dyDescent="0.2">
      <c r="XET2349" s="220">
        <v>44364</v>
      </c>
      <c r="XEU2349" s="221">
        <v>205.53334000000001</v>
      </c>
      <c r="XEV2349" s="198">
        <f t="shared" si="221"/>
        <v>1.9392611282889494E-2</v>
      </c>
      <c r="XEW2349" s="221">
        <v>14161.349609000001</v>
      </c>
      <c r="XEX2349" s="198">
        <f t="shared" si="222"/>
        <v>8.6661465007633609E-3</v>
      </c>
    </row>
    <row r="2350" spans="16374:16378" x14ac:dyDescent="0.2">
      <c r="XET2350" s="220">
        <v>44365</v>
      </c>
      <c r="XEU2350" s="221">
        <v>207.770004</v>
      </c>
      <c r="XEV2350" s="198">
        <f t="shared" si="221"/>
        <v>1.0882244214004411E-2</v>
      </c>
      <c r="XEW2350" s="221">
        <v>14030.379883</v>
      </c>
      <c r="XEX2350" s="198">
        <f t="shared" si="222"/>
        <v>-9.2483929580247093E-3</v>
      </c>
    </row>
    <row r="2351" spans="16374:16378" x14ac:dyDescent="0.2">
      <c r="XET2351" s="220">
        <v>44368</v>
      </c>
      <c r="XEU2351" s="221">
        <v>206.94332900000001</v>
      </c>
      <c r="XEV2351" s="198">
        <f t="shared" si="221"/>
        <v>-3.9787985950079374E-3</v>
      </c>
      <c r="XEW2351" s="221">
        <v>14141.480469</v>
      </c>
      <c r="XEX2351" s="198">
        <f t="shared" si="222"/>
        <v>7.9185729058282028E-3</v>
      </c>
    </row>
    <row r="2352" spans="16374:16378" x14ac:dyDescent="0.2">
      <c r="XET2352" s="220">
        <v>44369</v>
      </c>
      <c r="XEU2352" s="221">
        <v>207.903336</v>
      </c>
      <c r="XEV2352" s="198">
        <f t="shared" si="221"/>
        <v>4.6389850044403769E-3</v>
      </c>
      <c r="XEW2352" s="221">
        <v>14253.269531</v>
      </c>
      <c r="XEX2352" s="198">
        <f t="shared" si="222"/>
        <v>7.9050465928978131E-3</v>
      </c>
    </row>
    <row r="2353" spans="16374:16378" x14ac:dyDescent="0.2">
      <c r="XET2353" s="220">
        <v>44370</v>
      </c>
      <c r="XEU2353" s="221">
        <v>218.856674</v>
      </c>
      <c r="XEV2353" s="198">
        <f t="shared" si="221"/>
        <v>5.2684763076625174E-2</v>
      </c>
      <c r="XEW2353" s="221">
        <v>14271.730469</v>
      </c>
      <c r="XEX2353" s="198">
        <f t="shared" si="222"/>
        <v>1.295207247701935E-3</v>
      </c>
    </row>
    <row r="2354" spans="16374:16378" x14ac:dyDescent="0.2">
      <c r="XET2354" s="220">
        <v>44371</v>
      </c>
      <c r="XEU2354" s="221">
        <v>226.606674</v>
      </c>
      <c r="XEV2354" s="198">
        <f t="shared" si="221"/>
        <v>3.541130301559825E-2</v>
      </c>
      <c r="XEW2354" s="221">
        <v>14369.709961</v>
      </c>
      <c r="XEX2354" s="198">
        <f t="shared" si="222"/>
        <v>6.8652846417485147E-3</v>
      </c>
    </row>
    <row r="2355" spans="16374:16378" x14ac:dyDescent="0.2">
      <c r="XET2355" s="220">
        <v>44372</v>
      </c>
      <c r="XEU2355" s="221">
        <v>223.95666499999999</v>
      </c>
      <c r="XEV2355" s="198">
        <f t="shared" si="221"/>
        <v>-1.1694311351129971E-2</v>
      </c>
      <c r="XEW2355" s="221">
        <v>14360.389648</v>
      </c>
      <c r="XEX2355" s="198">
        <f t="shared" si="222"/>
        <v>-6.4860828961033068E-4</v>
      </c>
    </row>
    <row r="2356" spans="16374:16378" x14ac:dyDescent="0.2">
      <c r="XET2356" s="220">
        <v>44375</v>
      </c>
      <c r="XEU2356" s="221">
        <v>229.57333399999999</v>
      </c>
      <c r="XEV2356" s="198">
        <f t="shared" si="221"/>
        <v>2.5079267009088468E-2</v>
      </c>
      <c r="XEW2356" s="221">
        <v>14500.509765999999</v>
      </c>
      <c r="XEX2356" s="198">
        <f t="shared" si="222"/>
        <v>9.7574036244563178E-3</v>
      </c>
    </row>
    <row r="2357" spans="16374:16378" x14ac:dyDescent="0.2">
      <c r="XET2357" s="220">
        <v>44376</v>
      </c>
      <c r="XEU2357" s="221">
        <v>226.91999799999999</v>
      </c>
      <c r="XEV2357" s="198">
        <f t="shared" si="221"/>
        <v>-1.1557683785696105E-2</v>
      </c>
      <c r="XEW2357" s="221">
        <v>14528.330078000001</v>
      </c>
      <c r="XEX2357" s="198">
        <f t="shared" si="222"/>
        <v>1.9185747569532285E-3</v>
      </c>
    </row>
    <row r="2358" spans="16374:16378" x14ac:dyDescent="0.2">
      <c r="XET2358" s="220">
        <v>44377</v>
      </c>
      <c r="XEU2358" s="221">
        <v>226.566666</v>
      </c>
      <c r="XEV2358" s="198">
        <f t="shared" si="221"/>
        <v>-1.5570773978236252E-3</v>
      </c>
      <c r="XEW2358" s="221">
        <v>14503.950194999999</v>
      </c>
      <c r="XEX2358" s="198">
        <f t="shared" si="222"/>
        <v>-1.6780925866297647E-3</v>
      </c>
    </row>
    <row r="2359" spans="16374:16378" x14ac:dyDescent="0.2">
      <c r="XET2359" s="220">
        <v>44378</v>
      </c>
      <c r="XEU2359" s="221">
        <v>225.97332800000001</v>
      </c>
      <c r="XEV2359" s="198">
        <f t="shared" si="221"/>
        <v>-2.6188230178573191E-3</v>
      </c>
      <c r="XEW2359" s="221">
        <v>14522.379883</v>
      </c>
      <c r="XEX2359" s="198">
        <f t="shared" si="222"/>
        <v>1.2706668012658628E-3</v>
      </c>
    </row>
    <row r="2360" spans="16374:16378" x14ac:dyDescent="0.2">
      <c r="XET2360" s="220">
        <v>44379</v>
      </c>
      <c r="XEU2360" s="221">
        <v>226.300003</v>
      </c>
      <c r="XEV2360" s="198">
        <f t="shared" si="221"/>
        <v>1.4456352123113358E-3</v>
      </c>
      <c r="XEW2360" s="221">
        <v>14639.330078000001</v>
      </c>
      <c r="XEX2360" s="198">
        <f t="shared" si="222"/>
        <v>8.0531012094584575E-3</v>
      </c>
    </row>
    <row r="2361" spans="16374:16378" x14ac:dyDescent="0.2">
      <c r="XET2361" s="220">
        <v>44383</v>
      </c>
      <c r="XEU2361" s="221">
        <v>219.86000100000001</v>
      </c>
      <c r="XEV2361" s="198">
        <f t="shared" si="221"/>
        <v>-2.8457807841920313E-2</v>
      </c>
      <c r="XEW2361" s="221">
        <v>14663.639648</v>
      </c>
      <c r="XEX2361" s="198">
        <f t="shared" si="222"/>
        <v>1.6605657410875274E-3</v>
      </c>
    </row>
    <row r="2362" spans="16374:16378" x14ac:dyDescent="0.2">
      <c r="XET2362" s="220">
        <v>44384</v>
      </c>
      <c r="XEU2362" s="221">
        <v>214.883331</v>
      </c>
      <c r="XEV2362" s="198">
        <f t="shared" si="221"/>
        <v>-2.2635631662714317E-2</v>
      </c>
      <c r="XEW2362" s="221">
        <v>14665.059569999999</v>
      </c>
      <c r="XEX2362" s="198">
        <f t="shared" si="222"/>
        <v>9.6832848739181188E-5</v>
      </c>
    </row>
    <row r="2363" spans="16374:16378" x14ac:dyDescent="0.2">
      <c r="XET2363" s="220">
        <v>44385</v>
      </c>
      <c r="XEU2363" s="221">
        <v>217.60333299999999</v>
      </c>
      <c r="XEV2363" s="198">
        <f t="shared" si="221"/>
        <v>1.2658040934780512E-2</v>
      </c>
      <c r="XEW2363" s="221">
        <v>14559.780273</v>
      </c>
      <c r="XEX2363" s="198">
        <f t="shared" si="222"/>
        <v>-7.1789205149473956E-3</v>
      </c>
    </row>
    <row r="2364" spans="16374:16378" x14ac:dyDescent="0.2">
      <c r="XET2364" s="220">
        <v>44386</v>
      </c>
      <c r="XEU2364" s="221">
        <v>218.98333700000001</v>
      </c>
      <c r="XEV2364" s="198">
        <f t="shared" si="221"/>
        <v>6.3418330085964758E-3</v>
      </c>
      <c r="XEW2364" s="221">
        <v>14701.919921999999</v>
      </c>
      <c r="XEX2364" s="198">
        <f t="shared" si="222"/>
        <v>9.7624858572615825E-3</v>
      </c>
    </row>
    <row r="2365" spans="16374:16378" x14ac:dyDescent="0.2">
      <c r="XET2365" s="220">
        <v>44389</v>
      </c>
      <c r="XEU2365" s="221">
        <v>228.566666</v>
      </c>
      <c r="XEV2365" s="198">
        <f t="shared" si="221"/>
        <v>4.376282292200151E-2</v>
      </c>
      <c r="XEW2365" s="221">
        <v>14733.240234000001</v>
      </c>
      <c r="XEX2365" s="198">
        <f t="shared" si="222"/>
        <v>2.130355230212766E-3</v>
      </c>
    </row>
    <row r="2366" spans="16374:16378" x14ac:dyDescent="0.2">
      <c r="XET2366" s="220">
        <v>44390</v>
      </c>
      <c r="XEU2366" s="221">
        <v>222.846664</v>
      </c>
      <c r="XEV2366" s="198">
        <f t="shared" si="221"/>
        <v>-2.5025530188203304E-2</v>
      </c>
      <c r="XEW2366" s="221">
        <v>14677.650390999999</v>
      </c>
      <c r="XEX2366" s="198">
        <f t="shared" si="222"/>
        <v>-3.7730901089711999E-3</v>
      </c>
    </row>
    <row r="2367" spans="16374:16378" x14ac:dyDescent="0.2">
      <c r="XET2367" s="220">
        <v>44391</v>
      </c>
      <c r="XEU2367" s="221">
        <v>217.79333500000001</v>
      </c>
      <c r="XEV2367" s="198">
        <f t="shared" si="221"/>
        <v>-2.26762604801658E-2</v>
      </c>
      <c r="XEW2367" s="221">
        <v>14644.950194999999</v>
      </c>
      <c r="XEX2367" s="198">
        <f t="shared" si="222"/>
        <v>-2.2278903727023236E-3</v>
      </c>
    </row>
    <row r="2368" spans="16374:16378" x14ac:dyDescent="0.2">
      <c r="XET2368" s="220">
        <v>44392</v>
      </c>
      <c r="XEU2368" s="221">
        <v>216.866669</v>
      </c>
      <c r="XEV2368" s="198">
        <f t="shared" si="221"/>
        <v>-4.2547950330987794E-3</v>
      </c>
      <c r="XEW2368" s="221">
        <v>14543.129883</v>
      </c>
      <c r="XEX2368" s="198">
        <f t="shared" si="222"/>
        <v>-6.952588478912225E-3</v>
      </c>
    </row>
    <row r="2369" spans="16374:16378" x14ac:dyDescent="0.2">
      <c r="XET2369" s="220">
        <v>44393</v>
      </c>
      <c r="XEU2369" s="221">
        <v>214.740005</v>
      </c>
      <c r="XEV2369" s="198">
        <f t="shared" si="221"/>
        <v>-9.8063202141958072E-3</v>
      </c>
      <c r="XEW2369" s="221">
        <v>14427.240234000001</v>
      </c>
      <c r="XEX2369" s="198">
        <f t="shared" si="222"/>
        <v>-7.9686869286278439E-3</v>
      </c>
    </row>
    <row r="2370" spans="16374:16378" x14ac:dyDescent="0.2">
      <c r="XET2370" s="220">
        <v>44396</v>
      </c>
      <c r="XEU2370" s="221">
        <v>215.40666200000001</v>
      </c>
      <c r="XEV2370" s="198">
        <f t="shared" si="221"/>
        <v>3.1044844205905253E-3</v>
      </c>
      <c r="XEW2370" s="221">
        <v>14274.980469</v>
      </c>
      <c r="XEX2370" s="198">
        <f t="shared" si="222"/>
        <v>-1.0553630668821645E-2</v>
      </c>
    </row>
    <row r="2371" spans="16374:16378" x14ac:dyDescent="0.2">
      <c r="XET2371" s="220">
        <v>44397</v>
      </c>
      <c r="XEU2371" s="221">
        <v>220.16667200000001</v>
      </c>
      <c r="XEV2371" s="198">
        <f t="shared" si="221"/>
        <v>2.2097784515132668E-2</v>
      </c>
      <c r="XEW2371" s="221">
        <v>14498.879883</v>
      </c>
      <c r="XEX2371" s="198">
        <f t="shared" si="222"/>
        <v>1.5684743981697613E-2</v>
      </c>
    </row>
    <row r="2372" spans="16374:16378" x14ac:dyDescent="0.2">
      <c r="XET2372" s="220">
        <v>44398</v>
      </c>
      <c r="XEU2372" s="221">
        <v>218.429993</v>
      </c>
      <c r="XEV2372" s="198">
        <f t="shared" si="221"/>
        <v>-7.8880194909791701E-3</v>
      </c>
      <c r="XEW2372" s="221">
        <v>14631.950194999999</v>
      </c>
      <c r="XEX2372" s="198">
        <f t="shared" si="222"/>
        <v>9.1779718898163942E-3</v>
      </c>
    </row>
    <row r="2373" spans="16374:16378" x14ac:dyDescent="0.2">
      <c r="XET2373" s="220">
        <v>44399</v>
      </c>
      <c r="XEU2373" s="221">
        <v>216.41999799999999</v>
      </c>
      <c r="XEV2373" s="198">
        <f t="shared" si="221"/>
        <v>-9.2020100920847669E-3</v>
      </c>
      <c r="XEW2373" s="221">
        <v>14684.599609000001</v>
      </c>
      <c r="XEX2373" s="198">
        <f t="shared" si="222"/>
        <v>3.5982499460660566E-3</v>
      </c>
    </row>
    <row r="2374" spans="16374:16378" x14ac:dyDescent="0.2">
      <c r="XET2374" s="220">
        <v>44400</v>
      </c>
      <c r="XEU2374" s="221">
        <v>214.46000699999999</v>
      </c>
      <c r="XEV2374" s="198">
        <f t="shared" si="221"/>
        <v>-9.0564227803014985E-3</v>
      </c>
      <c r="XEW2374" s="221">
        <v>14836.990234000001</v>
      </c>
      <c r="XEX2374" s="198">
        <f t="shared" si="222"/>
        <v>1.0377581211448383E-2</v>
      </c>
    </row>
    <row r="2375" spans="16374:16378" x14ac:dyDescent="0.2">
      <c r="XET2375" s="220">
        <v>44403</v>
      </c>
      <c r="XEU2375" s="221">
        <v>219.20666499999999</v>
      </c>
      <c r="XEV2375" s="198">
        <f t="shared" si="221"/>
        <v>2.2133068381369636E-2</v>
      </c>
      <c r="XEW2375" s="221">
        <v>14840.709961</v>
      </c>
      <c r="XEX2375" s="198">
        <f t="shared" si="222"/>
        <v>2.5070630507495473E-4</v>
      </c>
    </row>
    <row r="2376" spans="16374:16378" x14ac:dyDescent="0.2">
      <c r="XET2376" s="220">
        <v>44404</v>
      </c>
      <c r="XEU2376" s="221">
        <v>214.92666600000001</v>
      </c>
      <c r="XEV2376" s="198">
        <f t="shared" si="221"/>
        <v>-1.9524949207178399E-2</v>
      </c>
      <c r="XEW2376" s="221">
        <v>14660.580078000001</v>
      </c>
      <c r="XEX2376" s="198">
        <f t="shared" si="222"/>
        <v>-1.2137551604563646E-2</v>
      </c>
    </row>
    <row r="2377" spans="16374:16378" x14ac:dyDescent="0.2">
      <c r="XET2377" s="220">
        <v>44405</v>
      </c>
      <c r="XEU2377" s="221">
        <v>215.66000399999999</v>
      </c>
      <c r="XEV2377" s="198">
        <f t="shared" si="221"/>
        <v>3.4120382251683345E-3</v>
      </c>
      <c r="XEW2377" s="221">
        <v>14762.580078000001</v>
      </c>
      <c r="XEX2377" s="198">
        <f t="shared" si="222"/>
        <v>6.9574327521366719E-3</v>
      </c>
    </row>
    <row r="2378" spans="16374:16378" x14ac:dyDescent="0.2">
      <c r="XET2378" s="220">
        <v>44406</v>
      </c>
      <c r="XEU2378" s="221">
        <v>225.78334000000001</v>
      </c>
      <c r="XEV2378" s="198">
        <f t="shared" si="221"/>
        <v>4.6941184328272767E-2</v>
      </c>
      <c r="XEW2378" s="221">
        <v>14778.259765999999</v>
      </c>
      <c r="XEX2378" s="198">
        <f t="shared" si="222"/>
        <v>1.0621238236916408E-3</v>
      </c>
    </row>
    <row r="2379" spans="16374:16378" x14ac:dyDescent="0.2">
      <c r="XET2379" s="220">
        <v>44407</v>
      </c>
      <c r="XEU2379" s="221">
        <v>229.066666</v>
      </c>
      <c r="XEV2379" s="198">
        <f t="shared" si="221"/>
        <v>1.454193210181054E-2</v>
      </c>
      <c r="XEW2379" s="221">
        <v>14672.679688</v>
      </c>
      <c r="XEX2379" s="198">
        <f t="shared" si="222"/>
        <v>-7.144283540265306E-3</v>
      </c>
    </row>
    <row r="2380" spans="16374:16378" x14ac:dyDescent="0.2">
      <c r="XET2380" s="220">
        <v>44410</v>
      </c>
      <c r="XEU2380" s="221">
        <v>236.55667099999999</v>
      </c>
      <c r="XEV2380" s="198">
        <f t="shared" ref="XEV2380:XEV2443" si="223">XEU2380/XEU2379-1</f>
        <v>3.2697926463032267E-2</v>
      </c>
      <c r="XEW2380" s="221">
        <v>14681.070313</v>
      </c>
      <c r="XEX2380" s="198">
        <f t="shared" ref="XEX2380:XEX2443" si="224">XEW2380/XEW2379-1</f>
        <v>5.7185362036227261E-4</v>
      </c>
    </row>
    <row r="2381" spans="16374:16378" x14ac:dyDescent="0.2">
      <c r="XET2381" s="220">
        <v>44411</v>
      </c>
      <c r="XEU2381" s="221">
        <v>236.58000200000001</v>
      </c>
      <c r="XEV2381" s="198">
        <f t="shared" si="223"/>
        <v>9.8627529299344374E-5</v>
      </c>
      <c r="XEW2381" s="221">
        <v>14761.290039</v>
      </c>
      <c r="XEX2381" s="198">
        <f t="shared" si="224"/>
        <v>5.4641606020349176E-3</v>
      </c>
    </row>
    <row r="2382" spans="16374:16378" x14ac:dyDescent="0.2">
      <c r="XET2382" s="220">
        <v>44412</v>
      </c>
      <c r="XEU2382" s="221">
        <v>236.97332800000001</v>
      </c>
      <c r="XEV2382" s="198">
        <f t="shared" si="223"/>
        <v>1.6625496520199512E-3</v>
      </c>
      <c r="XEW2382" s="221">
        <v>14780.530273</v>
      </c>
      <c r="XEX2382" s="198">
        <f t="shared" si="224"/>
        <v>1.303424968222E-3</v>
      </c>
    </row>
    <row r="2383" spans="16374:16378" x14ac:dyDescent="0.2">
      <c r="XET2383" s="220">
        <v>44413</v>
      </c>
      <c r="XEU2383" s="221">
        <v>238.21000699999999</v>
      </c>
      <c r="XEV2383" s="198">
        <f t="shared" si="223"/>
        <v>5.2186421587494536E-3</v>
      </c>
      <c r="XEW2383" s="221">
        <v>14895.120117</v>
      </c>
      <c r="XEX2383" s="198">
        <f t="shared" si="224"/>
        <v>7.7527559487715614E-3</v>
      </c>
    </row>
    <row r="2384" spans="16374:16378" x14ac:dyDescent="0.2">
      <c r="XET2384" s="220">
        <v>44414</v>
      </c>
      <c r="XEU2384" s="221">
        <v>233.03334000000001</v>
      </c>
      <c r="XEV2384" s="198">
        <f t="shared" si="223"/>
        <v>-2.1731526165481241E-2</v>
      </c>
      <c r="XEW2384" s="221">
        <v>14835.759765999999</v>
      </c>
      <c r="XEX2384" s="198">
        <f t="shared" si="224"/>
        <v>-3.9852213700681816E-3</v>
      </c>
    </row>
    <row r="2385" spans="16374:16378" x14ac:dyDescent="0.2">
      <c r="XET2385" s="220">
        <v>44417</v>
      </c>
      <c r="XEU2385" s="221">
        <v>237.91999799999999</v>
      </c>
      <c r="XEV2385" s="198">
        <f t="shared" si="223"/>
        <v>2.0969780547281269E-2</v>
      </c>
      <c r="XEW2385" s="221">
        <v>14860.179688</v>
      </c>
      <c r="XEX2385" s="198">
        <f t="shared" si="224"/>
        <v>1.6460176212860222E-3</v>
      </c>
    </row>
    <row r="2386" spans="16374:16378" x14ac:dyDescent="0.2">
      <c r="XET2386" s="220">
        <v>44418</v>
      </c>
      <c r="XEU2386" s="221">
        <v>236.66333</v>
      </c>
      <c r="XEV2386" s="198">
        <f t="shared" si="223"/>
        <v>-5.2818931177024409E-3</v>
      </c>
      <c r="XEW2386" s="221">
        <v>14788.089844</v>
      </c>
      <c r="XEX2386" s="198">
        <f t="shared" si="224"/>
        <v>-4.8512094411762297E-3</v>
      </c>
    </row>
    <row r="2387" spans="16374:16378" x14ac:dyDescent="0.2">
      <c r="XET2387" s="220">
        <v>44419</v>
      </c>
      <c r="XEU2387" s="221">
        <v>235.94000199999999</v>
      </c>
      <c r="XEV2387" s="198">
        <f t="shared" si="223"/>
        <v>-3.0563585833091045E-3</v>
      </c>
      <c r="XEW2387" s="221">
        <v>14765.139648</v>
      </c>
      <c r="XEX2387" s="198">
        <f t="shared" si="224"/>
        <v>-1.551937825784222E-3</v>
      </c>
    </row>
    <row r="2388" spans="16374:16378" x14ac:dyDescent="0.2">
      <c r="XET2388" s="220">
        <v>44420</v>
      </c>
      <c r="XEU2388" s="221">
        <v>240.75</v>
      </c>
      <c r="XEV2388" s="198">
        <f t="shared" si="223"/>
        <v>2.0386530301038208E-2</v>
      </c>
      <c r="XEW2388" s="221">
        <v>14816.259765999999</v>
      </c>
      <c r="XEX2388" s="198">
        <f t="shared" si="224"/>
        <v>3.4622170340883329E-3</v>
      </c>
    </row>
    <row r="2389" spans="16374:16378" x14ac:dyDescent="0.2">
      <c r="XET2389" s="220">
        <v>44421</v>
      </c>
      <c r="XEU2389" s="221">
        <v>239.05667099999999</v>
      </c>
      <c r="XEV2389" s="198">
        <f t="shared" si="223"/>
        <v>-7.0335576323987681E-3</v>
      </c>
      <c r="XEW2389" s="221">
        <v>14822.900390999999</v>
      </c>
      <c r="XEX2389" s="198">
        <f t="shared" si="224"/>
        <v>4.4819847281818426E-4</v>
      </c>
    </row>
    <row r="2390" spans="16374:16378" x14ac:dyDescent="0.2">
      <c r="XET2390" s="220">
        <v>44424</v>
      </c>
      <c r="XEU2390" s="221">
        <v>228.72332800000001</v>
      </c>
      <c r="XEV2390" s="198">
        <f t="shared" si="223"/>
        <v>-4.3225495263422231E-2</v>
      </c>
      <c r="XEW2390" s="221">
        <v>14793.759765999999</v>
      </c>
      <c r="XEX2390" s="198">
        <f t="shared" si="224"/>
        <v>-1.9659192351918486E-3</v>
      </c>
    </row>
    <row r="2391" spans="16374:16378" x14ac:dyDescent="0.2">
      <c r="XET2391" s="220">
        <v>44425</v>
      </c>
      <c r="XEU2391" s="221">
        <v>221.903336</v>
      </c>
      <c r="XEV2391" s="198">
        <f t="shared" si="223"/>
        <v>-2.9817649382926192E-2</v>
      </c>
      <c r="XEW2391" s="221">
        <v>14656.179688</v>
      </c>
      <c r="XEX2391" s="198">
        <f t="shared" si="224"/>
        <v>-9.2998723905328706E-3</v>
      </c>
    </row>
    <row r="2392" spans="16374:16378" x14ac:dyDescent="0.2">
      <c r="XET2392" s="220">
        <v>44426</v>
      </c>
      <c r="XEU2392" s="221">
        <v>229.66333</v>
      </c>
      <c r="XEV2392" s="198">
        <f t="shared" si="223"/>
        <v>3.4970154752427929E-2</v>
      </c>
      <c r="XEW2392" s="221">
        <v>14525.910156</v>
      </c>
      <c r="XEX2392" s="198">
        <f t="shared" si="224"/>
        <v>-8.8883689183110182E-3</v>
      </c>
    </row>
    <row r="2393" spans="16374:16378" x14ac:dyDescent="0.2">
      <c r="XET2393" s="220">
        <v>44427</v>
      </c>
      <c r="XEU2393" s="221">
        <v>224.490005</v>
      </c>
      <c r="XEV2393" s="198">
        <f t="shared" si="223"/>
        <v>-2.2525690104728491E-2</v>
      </c>
      <c r="XEW2393" s="221">
        <v>14541.790039</v>
      </c>
      <c r="XEX2393" s="198">
        <f t="shared" si="224"/>
        <v>1.0932108783172634E-3</v>
      </c>
    </row>
    <row r="2394" spans="16374:16378" x14ac:dyDescent="0.2">
      <c r="XET2394" s="220">
        <v>44428</v>
      </c>
      <c r="XEU2394" s="221">
        <v>226.75332599999999</v>
      </c>
      <c r="XEV2394" s="198">
        <f t="shared" si="223"/>
        <v>1.0082056882666057E-2</v>
      </c>
      <c r="XEW2394" s="221">
        <v>14714.660156</v>
      </c>
      <c r="XEX2394" s="198">
        <f t="shared" si="224"/>
        <v>1.1887815498393017E-2</v>
      </c>
    </row>
    <row r="2395" spans="16374:16378" x14ac:dyDescent="0.2">
      <c r="XET2395" s="220">
        <v>44431</v>
      </c>
      <c r="XEU2395" s="221">
        <v>235.433334</v>
      </c>
      <c r="XEV2395" s="198">
        <f t="shared" si="223"/>
        <v>3.8279517893378134E-2</v>
      </c>
      <c r="XEW2395" s="221">
        <v>14942.650390999999</v>
      </c>
      <c r="XEX2395" s="198">
        <f t="shared" si="224"/>
        <v>1.5494087704569504E-2</v>
      </c>
    </row>
    <row r="2396" spans="16374:16378" x14ac:dyDescent="0.2">
      <c r="XET2396" s="220">
        <v>44432</v>
      </c>
      <c r="XEU2396" s="221">
        <v>236.16333</v>
      </c>
      <c r="XEV2396" s="198">
        <f t="shared" si="223"/>
        <v>3.1006484408873103E-3</v>
      </c>
      <c r="XEW2396" s="221">
        <v>15019.799805000001</v>
      </c>
      <c r="XEX2396" s="198">
        <f t="shared" si="224"/>
        <v>5.1630341325838991E-3</v>
      </c>
    </row>
    <row r="2397" spans="16374:16378" x14ac:dyDescent="0.2">
      <c r="XET2397" s="220">
        <v>44433</v>
      </c>
      <c r="XEU2397" s="221">
        <v>237.066666</v>
      </c>
      <c r="XEV2397" s="198">
        <f t="shared" si="223"/>
        <v>3.8250476905115072E-3</v>
      </c>
      <c r="XEW2397" s="221">
        <v>15041.860352</v>
      </c>
      <c r="XEX2397" s="198">
        <f t="shared" si="224"/>
        <v>1.4687643834410125E-3</v>
      </c>
    </row>
    <row r="2398" spans="16374:16378" x14ac:dyDescent="0.2">
      <c r="XET2398" s="220">
        <v>44434</v>
      </c>
      <c r="XEU2398" s="221">
        <v>233.720001</v>
      </c>
      <c r="XEV2398" s="198">
        <f t="shared" si="223"/>
        <v>-1.4116978386155776E-2</v>
      </c>
      <c r="XEW2398" s="221">
        <v>14945.809569999999</v>
      </c>
      <c r="XEX2398" s="198">
        <f t="shared" si="224"/>
        <v>-6.385565332497567E-3</v>
      </c>
    </row>
    <row r="2399" spans="16374:16378" x14ac:dyDescent="0.2">
      <c r="XET2399" s="220">
        <v>44435</v>
      </c>
      <c r="XEU2399" s="221">
        <v>237.30667099999999</v>
      </c>
      <c r="XEV2399" s="198">
        <f t="shared" si="223"/>
        <v>1.5346012256777231E-2</v>
      </c>
      <c r="XEW2399" s="221">
        <v>15129.5</v>
      </c>
      <c r="XEX2399" s="198">
        <f t="shared" si="224"/>
        <v>1.2290430246663542E-2</v>
      </c>
    </row>
    <row r="2400" spans="16374:16378" x14ac:dyDescent="0.2">
      <c r="XET2400" s="220">
        <v>44438</v>
      </c>
      <c r="XEU2400" s="221">
        <v>243.636673</v>
      </c>
      <c r="XEV2400" s="198">
        <f t="shared" si="223"/>
        <v>2.6674353372897919E-2</v>
      </c>
      <c r="XEW2400" s="221">
        <v>15265.889648</v>
      </c>
      <c r="XEX2400" s="198">
        <f t="shared" si="224"/>
        <v>9.014815294623002E-3</v>
      </c>
    </row>
    <row r="2401" spans="16374:16378" x14ac:dyDescent="0.2">
      <c r="XET2401" s="220">
        <v>44439</v>
      </c>
      <c r="XEU2401" s="221">
        <v>245.240005</v>
      </c>
      <c r="XEV2401" s="198">
        <f t="shared" si="223"/>
        <v>6.5808319423241723E-3</v>
      </c>
      <c r="XEW2401" s="221">
        <v>15259.240234000001</v>
      </c>
      <c r="XEX2401" s="198">
        <f t="shared" si="224"/>
        <v>-4.3557330449262022E-4</v>
      </c>
    </row>
    <row r="2402" spans="16374:16378" x14ac:dyDescent="0.2">
      <c r="XET2402" s="220">
        <v>44440</v>
      </c>
      <c r="XEU2402" s="221">
        <v>244.69667100000001</v>
      </c>
      <c r="XEV2402" s="198">
        <f t="shared" si="223"/>
        <v>-2.2155194459402283E-3</v>
      </c>
      <c r="XEW2402" s="221">
        <v>15309.379883</v>
      </c>
      <c r="XEX2402" s="198">
        <f t="shared" si="224"/>
        <v>3.2858548807874755E-3</v>
      </c>
    </row>
    <row r="2403" spans="16374:16378" x14ac:dyDescent="0.2">
      <c r="XET2403" s="220">
        <v>44441</v>
      </c>
      <c r="XEU2403" s="221">
        <v>244.13000500000001</v>
      </c>
      <c r="XEV2403" s="198">
        <f t="shared" si="223"/>
        <v>-2.3157895760665959E-3</v>
      </c>
      <c r="XEW2403" s="221">
        <v>15331.179688</v>
      </c>
      <c r="XEX2403" s="198">
        <f t="shared" si="224"/>
        <v>1.4239508828315373E-3</v>
      </c>
    </row>
    <row r="2404" spans="16374:16378" x14ac:dyDescent="0.2">
      <c r="XET2404" s="220">
        <v>44442</v>
      </c>
      <c r="XEU2404" s="221">
        <v>244.52333100000001</v>
      </c>
      <c r="XEV2404" s="198">
        <f t="shared" si="223"/>
        <v>1.6111333795285621E-3</v>
      </c>
      <c r="XEW2404" s="221">
        <v>15363.519531</v>
      </c>
      <c r="XEX2404" s="198">
        <f t="shared" si="224"/>
        <v>2.1094164740180776E-3</v>
      </c>
    </row>
    <row r="2405" spans="16374:16378" x14ac:dyDescent="0.2">
      <c r="XET2405" s="220">
        <v>44446</v>
      </c>
      <c r="XEU2405" s="221">
        <v>250.97332800000001</v>
      </c>
      <c r="XEV2405" s="198">
        <f t="shared" si="223"/>
        <v>2.6377838767458917E-2</v>
      </c>
      <c r="XEW2405" s="221">
        <v>15374.330078000001</v>
      </c>
      <c r="XEX2405" s="198">
        <f t="shared" si="224"/>
        <v>7.0365042190934091E-4</v>
      </c>
    </row>
    <row r="2406" spans="16374:16378" x14ac:dyDescent="0.2">
      <c r="XET2406" s="220">
        <v>44447</v>
      </c>
      <c r="XEU2406" s="221">
        <v>251.28999300000001</v>
      </c>
      <c r="XEV2406" s="198">
        <f t="shared" si="223"/>
        <v>1.2617476228389268E-3</v>
      </c>
      <c r="XEW2406" s="221">
        <v>15286.639648</v>
      </c>
      <c r="XEX2406" s="198">
        <f t="shared" si="224"/>
        <v>-5.7036911237831056E-3</v>
      </c>
    </row>
    <row r="2407" spans="16374:16378" x14ac:dyDescent="0.2">
      <c r="XET2407" s="220">
        <v>44448</v>
      </c>
      <c r="XEU2407" s="221">
        <v>251.61999499999999</v>
      </c>
      <c r="XEV2407" s="198">
        <f t="shared" si="223"/>
        <v>1.3132317608841593E-3</v>
      </c>
      <c r="XEW2407" s="221">
        <v>15248.25</v>
      </c>
      <c r="XEX2407" s="198">
        <f t="shared" si="224"/>
        <v>-2.5113202694631021E-3</v>
      </c>
    </row>
    <row r="2408" spans="16374:16378" x14ac:dyDescent="0.2">
      <c r="XET2408" s="220">
        <v>44449</v>
      </c>
      <c r="XEU2408" s="221">
        <v>245.42334</v>
      </c>
      <c r="XEV2408" s="198">
        <f t="shared" si="223"/>
        <v>-2.4627037290895659E-2</v>
      </c>
      <c r="XEW2408" s="221">
        <v>15115.490234000001</v>
      </c>
      <c r="XEX2408" s="198">
        <f t="shared" si="224"/>
        <v>-8.7065575393897587E-3</v>
      </c>
    </row>
    <row r="2409" spans="16374:16378" x14ac:dyDescent="0.2">
      <c r="XET2409" s="220">
        <v>44452</v>
      </c>
      <c r="XEU2409" s="221">
        <v>247.66667200000001</v>
      </c>
      <c r="XEV2409" s="198">
        <f t="shared" si="223"/>
        <v>9.1406628236745391E-3</v>
      </c>
      <c r="XEW2409" s="221">
        <v>15105.580078000001</v>
      </c>
      <c r="XEX2409" s="198">
        <f t="shared" si="224"/>
        <v>-6.5562914907701941E-4</v>
      </c>
    </row>
    <row r="2410" spans="16374:16378" x14ac:dyDescent="0.2">
      <c r="XET2410" s="220">
        <v>44453</v>
      </c>
      <c r="XEU2410" s="221">
        <v>248.16333</v>
      </c>
      <c r="XEV2410" s="198">
        <f t="shared" si="223"/>
        <v>2.0053485436264396E-3</v>
      </c>
      <c r="XEW2410" s="221">
        <v>15037.759765999999</v>
      </c>
      <c r="XEX2410" s="198">
        <f t="shared" si="224"/>
        <v>-4.4897522405495938E-3</v>
      </c>
    </row>
    <row r="2411" spans="16374:16378" x14ac:dyDescent="0.2">
      <c r="XET2411" s="220">
        <v>44454</v>
      </c>
      <c r="XEU2411" s="221">
        <v>251.94332900000001</v>
      </c>
      <c r="XEV2411" s="198">
        <f t="shared" si="223"/>
        <v>1.5231899894315504E-2</v>
      </c>
      <c r="XEW2411" s="221">
        <v>15161.530273</v>
      </c>
      <c r="XEX2411" s="198">
        <f t="shared" si="224"/>
        <v>8.2306479772236152E-3</v>
      </c>
    </row>
    <row r="2412" spans="16374:16378" x14ac:dyDescent="0.2">
      <c r="XET2412" s="220">
        <v>44455</v>
      </c>
      <c r="XEU2412" s="221">
        <v>252.33000200000001</v>
      </c>
      <c r="XEV2412" s="198">
        <f t="shared" si="223"/>
        <v>1.5347618114547323E-3</v>
      </c>
      <c r="XEW2412" s="221">
        <v>15181.919921999999</v>
      </c>
      <c r="XEX2412" s="198">
        <f t="shared" si="224"/>
        <v>1.3448279054197876E-3</v>
      </c>
    </row>
    <row r="2413" spans="16374:16378" x14ac:dyDescent="0.2">
      <c r="XET2413" s="220">
        <v>44456</v>
      </c>
      <c r="XEU2413" s="221">
        <v>253.16333</v>
      </c>
      <c r="XEV2413" s="198">
        <f t="shared" si="223"/>
        <v>3.3025323718738342E-3</v>
      </c>
      <c r="XEW2413" s="221">
        <v>15043.969727</v>
      </c>
      <c r="XEX2413" s="198">
        <f t="shared" si="224"/>
        <v>-9.0864788978433086E-3</v>
      </c>
    </row>
    <row r="2414" spans="16374:16378" x14ac:dyDescent="0.2">
      <c r="XET2414" s="220">
        <v>44459</v>
      </c>
      <c r="XEU2414" s="221">
        <v>243.38999899999999</v>
      </c>
      <c r="XEV2414" s="198">
        <f t="shared" si="223"/>
        <v>-3.8604844548379202E-2</v>
      </c>
      <c r="XEW2414" s="221">
        <v>14713.900390999999</v>
      </c>
      <c r="XEX2414" s="198">
        <f t="shared" si="224"/>
        <v>-2.1940308441834477E-2</v>
      </c>
    </row>
    <row r="2415" spans="16374:16378" x14ac:dyDescent="0.2">
      <c r="XET2415" s="220">
        <v>44460</v>
      </c>
      <c r="XEU2415" s="221">
        <v>246.46000699999999</v>
      </c>
      <c r="XEV2415" s="198">
        <f t="shared" si="223"/>
        <v>1.2613533886410844E-2</v>
      </c>
      <c r="XEW2415" s="221">
        <v>14746.400390999999</v>
      </c>
      <c r="XEX2415" s="198">
        <f t="shared" si="224"/>
        <v>2.2087957058536389E-3</v>
      </c>
    </row>
    <row r="2416" spans="16374:16378" x14ac:dyDescent="0.2">
      <c r="XET2416" s="220">
        <v>44461</v>
      </c>
      <c r="XEU2416" s="221">
        <v>250.64666700000001</v>
      </c>
      <c r="XEV2416" s="198">
        <f t="shared" si="223"/>
        <v>1.6987177964334021E-2</v>
      </c>
      <c r="XEW2416" s="221">
        <v>14896.849609000001</v>
      </c>
      <c r="XEX2416" s="198">
        <f t="shared" si="224"/>
        <v>1.0202436798869563E-2</v>
      </c>
    </row>
    <row r="2417" spans="16374:16378" x14ac:dyDescent="0.2">
      <c r="XET2417" s="220">
        <v>44462</v>
      </c>
      <c r="XEU2417" s="221">
        <v>251.21333300000001</v>
      </c>
      <c r="XEV2417" s="198">
        <f t="shared" si="223"/>
        <v>2.2608160195483062E-3</v>
      </c>
      <c r="XEW2417" s="221">
        <v>15052.240234000001</v>
      </c>
      <c r="XEX2417" s="198">
        <f t="shared" si="224"/>
        <v>1.0431106514368071E-2</v>
      </c>
    </row>
    <row r="2418" spans="16374:16378" x14ac:dyDescent="0.2">
      <c r="XET2418" s="220">
        <v>44463</v>
      </c>
      <c r="XEU2418" s="221">
        <v>258.13000499999998</v>
      </c>
      <c r="XEV2418" s="198">
        <f t="shared" si="223"/>
        <v>2.7533060914405993E-2</v>
      </c>
      <c r="XEW2418" s="221">
        <v>15047.700194999999</v>
      </c>
      <c r="XEX2418" s="198">
        <f t="shared" si="224"/>
        <v>-3.016188241365958E-4</v>
      </c>
    </row>
    <row r="2419" spans="16374:16378" x14ac:dyDescent="0.2">
      <c r="XET2419" s="220">
        <v>44466</v>
      </c>
      <c r="XEU2419" s="221">
        <v>263.78668199999998</v>
      </c>
      <c r="XEV2419" s="198">
        <f t="shared" si="223"/>
        <v>2.1914062257117228E-2</v>
      </c>
      <c r="XEW2419" s="221">
        <v>14969.969727</v>
      </c>
      <c r="XEX2419" s="198">
        <f t="shared" si="224"/>
        <v>-5.1656045105037407E-3</v>
      </c>
    </row>
    <row r="2420" spans="16374:16378" x14ac:dyDescent="0.2">
      <c r="XET2420" s="220">
        <v>44467</v>
      </c>
      <c r="XEU2420" s="221">
        <v>259.18667599999998</v>
      </c>
      <c r="XEV2420" s="198">
        <f t="shared" si="223"/>
        <v>-1.7438355739278766E-2</v>
      </c>
      <c r="XEW2420" s="221">
        <v>14546.679688</v>
      </c>
      <c r="XEX2420" s="198">
        <f t="shared" si="224"/>
        <v>-2.8275944889624482E-2</v>
      </c>
    </row>
    <row r="2421" spans="16374:16378" x14ac:dyDescent="0.2">
      <c r="XET2421" s="220">
        <v>44468</v>
      </c>
      <c r="XEU2421" s="221">
        <v>260.43667599999998</v>
      </c>
      <c r="XEV2421" s="198">
        <f t="shared" si="223"/>
        <v>4.822778775865677E-3</v>
      </c>
      <c r="XEW2421" s="221">
        <v>14512.440430000001</v>
      </c>
      <c r="XEX2421" s="198">
        <f t="shared" si="224"/>
        <v>-2.3537507344885134E-3</v>
      </c>
    </row>
    <row r="2422" spans="16374:16378" x14ac:dyDescent="0.2">
      <c r="XET2422" s="220">
        <v>44469</v>
      </c>
      <c r="XEU2422" s="221">
        <v>258.49334700000003</v>
      </c>
      <c r="XEV2422" s="198">
        <f t="shared" si="223"/>
        <v>-7.4618100255585684E-3</v>
      </c>
      <c r="XEW2422" s="221">
        <v>14448.580078000001</v>
      </c>
      <c r="XEX2422" s="198">
        <f t="shared" si="224"/>
        <v>-4.4003868479617347E-3</v>
      </c>
    </row>
    <row r="2423" spans="16374:16378" x14ac:dyDescent="0.2">
      <c r="XET2423" s="220">
        <v>44470</v>
      </c>
      <c r="XEU2423" s="221">
        <v>258.406677</v>
      </c>
      <c r="XEV2423" s="198">
        <f t="shared" si="223"/>
        <v>-3.352890935333086E-4</v>
      </c>
      <c r="XEW2423" s="221">
        <v>14566.700194999999</v>
      </c>
      <c r="XEX2423" s="198">
        <f t="shared" si="224"/>
        <v>8.1752058930588678E-3</v>
      </c>
    </row>
    <row r="2424" spans="16374:16378" x14ac:dyDescent="0.2">
      <c r="XET2424" s="220">
        <v>44473</v>
      </c>
      <c r="XEU2424" s="221">
        <v>260.51001000000002</v>
      </c>
      <c r="XEV2424" s="198">
        <f t="shared" si="223"/>
        <v>8.1396232652302114E-3</v>
      </c>
      <c r="XEW2424" s="221">
        <v>14255.480469</v>
      </c>
      <c r="XEX2424" s="198">
        <f t="shared" si="224"/>
        <v>-2.1365149404724115E-2</v>
      </c>
    </row>
    <row r="2425" spans="16374:16378" x14ac:dyDescent="0.2">
      <c r="XET2425" s="220">
        <v>44474</v>
      </c>
      <c r="XEU2425" s="221">
        <v>260.19665500000002</v>
      </c>
      <c r="XEV2425" s="198">
        <f t="shared" si="223"/>
        <v>-1.2028520516351726E-3</v>
      </c>
      <c r="XEW2425" s="221">
        <v>14433.830078000001</v>
      </c>
      <c r="XEX2425" s="198">
        <f t="shared" si="224"/>
        <v>1.2510950394680753E-2</v>
      </c>
    </row>
    <row r="2426" spans="16374:16378" x14ac:dyDescent="0.2">
      <c r="XET2426" s="220">
        <v>44475</v>
      </c>
      <c r="XEU2426" s="221">
        <v>260.91665599999999</v>
      </c>
      <c r="XEV2426" s="198">
        <f t="shared" si="223"/>
        <v>2.7671416452297315E-3</v>
      </c>
      <c r="XEW2426" s="221">
        <v>14501.910156</v>
      </c>
      <c r="XEX2426" s="198">
        <f t="shared" si="224"/>
        <v>4.7167021942267073E-3</v>
      </c>
    </row>
    <row r="2427" spans="16374:16378" x14ac:dyDescent="0.2">
      <c r="XET2427" s="220">
        <v>44476</v>
      </c>
      <c r="XEU2427" s="221">
        <v>264.53668199999998</v>
      </c>
      <c r="XEV2427" s="198">
        <f t="shared" si="223"/>
        <v>1.3874261825584711E-2</v>
      </c>
      <c r="XEW2427" s="221">
        <v>14654.019531</v>
      </c>
      <c r="XEX2427" s="198">
        <f t="shared" si="224"/>
        <v>1.0488919967351018E-2</v>
      </c>
    </row>
    <row r="2428" spans="16374:16378" x14ac:dyDescent="0.2">
      <c r="XET2428" s="220">
        <v>44477</v>
      </c>
      <c r="XEU2428" s="221">
        <v>261.82998700000002</v>
      </c>
      <c r="XEV2428" s="198">
        <f t="shared" si="223"/>
        <v>-1.0231832423149401E-2</v>
      </c>
      <c r="XEW2428" s="221">
        <v>14579.540039</v>
      </c>
      <c r="XEX2428" s="198">
        <f t="shared" si="224"/>
        <v>-5.0825298712371403E-3</v>
      </c>
    </row>
    <row r="2429" spans="16374:16378" x14ac:dyDescent="0.2">
      <c r="XET2429" s="220">
        <v>44480</v>
      </c>
      <c r="XEU2429" s="221">
        <v>263.98001099999999</v>
      </c>
      <c r="XEV2429" s="198">
        <f t="shared" si="223"/>
        <v>8.2115269707436767E-3</v>
      </c>
      <c r="XEW2429" s="221">
        <v>14486.200194999999</v>
      </c>
      <c r="XEX2429" s="198">
        <f t="shared" si="224"/>
        <v>-6.4021117093076008E-3</v>
      </c>
    </row>
    <row r="2430" spans="16374:16378" x14ac:dyDescent="0.2">
      <c r="XET2430" s="220">
        <v>44481</v>
      </c>
      <c r="XEU2430" s="221">
        <v>268.57333399999999</v>
      </c>
      <c r="XEV2430" s="198">
        <f t="shared" si="223"/>
        <v>1.7400268234703642E-2</v>
      </c>
      <c r="XEW2430" s="221">
        <v>14465.919921999999</v>
      </c>
      <c r="XEX2430" s="198">
        <f t="shared" si="224"/>
        <v>-1.3999718854500465E-3</v>
      </c>
    </row>
    <row r="2431" spans="16374:16378" x14ac:dyDescent="0.2">
      <c r="XET2431" s="220">
        <v>44482</v>
      </c>
      <c r="XEU2431" s="221">
        <v>270.35998499999999</v>
      </c>
      <c r="XEV2431" s="198">
        <f t="shared" si="223"/>
        <v>6.6523767396804434E-3</v>
      </c>
      <c r="XEW2431" s="221">
        <v>14571.639648</v>
      </c>
      <c r="XEX2431" s="198">
        <f t="shared" si="224"/>
        <v>7.3081923977209584E-3</v>
      </c>
    </row>
    <row r="2432" spans="16374:16378" x14ac:dyDescent="0.2">
      <c r="XET2432" s="220">
        <v>44483</v>
      </c>
      <c r="XEU2432" s="221">
        <v>272.773346</v>
      </c>
      <c r="XEV2432" s="198">
        <f t="shared" si="223"/>
        <v>8.9264726065139133E-3</v>
      </c>
      <c r="XEW2432" s="221">
        <v>14823.429688</v>
      </c>
      <c r="XEX2432" s="198">
        <f t="shared" si="224"/>
        <v>1.7279458323316232E-2</v>
      </c>
    </row>
    <row r="2433" spans="16374:16378" x14ac:dyDescent="0.2">
      <c r="XET2433" s="220">
        <v>44484</v>
      </c>
      <c r="XEU2433" s="221">
        <v>281.01001000000002</v>
      </c>
      <c r="XEV2433" s="198">
        <f t="shared" si="223"/>
        <v>3.0196000161980763E-2</v>
      </c>
      <c r="XEW2433" s="221">
        <v>14897.339844</v>
      </c>
      <c r="XEX2433" s="198">
        <f t="shared" si="224"/>
        <v>4.9860361303453171E-3</v>
      </c>
    </row>
    <row r="2434" spans="16374:16378" x14ac:dyDescent="0.2">
      <c r="XET2434" s="220">
        <v>44487</v>
      </c>
      <c r="XEU2434" s="221">
        <v>290.03668199999998</v>
      </c>
      <c r="XEV2434" s="198">
        <f t="shared" si="223"/>
        <v>3.2122243616873103E-2</v>
      </c>
      <c r="XEW2434" s="221">
        <v>15021.809569999999</v>
      </c>
      <c r="XEX2434" s="198">
        <f t="shared" si="224"/>
        <v>8.3551645665203012E-3</v>
      </c>
    </row>
    <row r="2435" spans="16374:16378" x14ac:dyDescent="0.2">
      <c r="XET2435" s="220">
        <v>44488</v>
      </c>
      <c r="XEU2435" s="221">
        <v>288.08999599999999</v>
      </c>
      <c r="XEV2435" s="198">
        <f t="shared" si="223"/>
        <v>-6.7118613637980884E-3</v>
      </c>
      <c r="XEW2435" s="221">
        <v>15129.089844</v>
      </c>
      <c r="XEX2435" s="198">
        <f t="shared" si="224"/>
        <v>7.1416345347798948E-3</v>
      </c>
    </row>
    <row r="2436" spans="16374:16378" x14ac:dyDescent="0.2">
      <c r="XET2436" s="220">
        <v>44489</v>
      </c>
      <c r="XEU2436" s="221">
        <v>288.60000600000001</v>
      </c>
      <c r="XEV2436" s="198">
        <f t="shared" si="223"/>
        <v>1.7703148567504989E-3</v>
      </c>
      <c r="XEW2436" s="221">
        <v>15121.679688</v>
      </c>
      <c r="XEX2436" s="198">
        <f t="shared" si="224"/>
        <v>-4.8979522736714021E-4</v>
      </c>
    </row>
    <row r="2437" spans="16374:16378" x14ac:dyDescent="0.2">
      <c r="XET2437" s="220">
        <v>44490</v>
      </c>
      <c r="XEU2437" s="221">
        <v>298</v>
      </c>
      <c r="XEV2437" s="198">
        <f t="shared" si="223"/>
        <v>3.2571011103859737E-2</v>
      </c>
      <c r="XEW2437" s="221">
        <v>15215.700194999999</v>
      </c>
      <c r="XEX2437" s="198">
        <f t="shared" si="224"/>
        <v>6.2175967842124091E-3</v>
      </c>
    </row>
    <row r="2438" spans="16374:16378" x14ac:dyDescent="0.2">
      <c r="XET2438" s="220">
        <v>44491</v>
      </c>
      <c r="XEU2438" s="221">
        <v>303.226654</v>
      </c>
      <c r="XEV2438" s="198">
        <f t="shared" si="223"/>
        <v>1.7539107382550378E-2</v>
      </c>
      <c r="XEW2438" s="221">
        <v>15090.200194999999</v>
      </c>
      <c r="XEX2438" s="198">
        <f t="shared" si="224"/>
        <v>-8.2480594643445926E-3</v>
      </c>
    </row>
    <row r="2439" spans="16374:16378" x14ac:dyDescent="0.2">
      <c r="XET2439" s="220">
        <v>44494</v>
      </c>
      <c r="XEU2439" s="221">
        <v>341.61999500000002</v>
      </c>
      <c r="XEV2439" s="198">
        <f t="shared" si="223"/>
        <v>0.12661598343528202</v>
      </c>
      <c r="XEW2439" s="221">
        <v>15226.709961</v>
      </c>
      <c r="XEX2439" s="198">
        <f t="shared" si="224"/>
        <v>9.0462528154684474E-3</v>
      </c>
    </row>
    <row r="2440" spans="16374:16378" x14ac:dyDescent="0.2">
      <c r="XET2440" s="220">
        <v>44495</v>
      </c>
      <c r="XEU2440" s="221">
        <v>339.476654</v>
      </c>
      <c r="XEV2440" s="198">
        <f t="shared" si="223"/>
        <v>-6.2740502059899228E-3</v>
      </c>
      <c r="XEW2440" s="221">
        <v>15235.709961</v>
      </c>
      <c r="XEX2440" s="198">
        <f t="shared" si="224"/>
        <v>5.9106662063257431E-4</v>
      </c>
    </row>
    <row r="2441" spans="16374:16378" x14ac:dyDescent="0.2">
      <c r="XET2441" s="220">
        <v>44496</v>
      </c>
      <c r="XEU2441" s="221">
        <v>345.95333900000003</v>
      </c>
      <c r="XEV2441" s="198">
        <f t="shared" si="223"/>
        <v>1.9078440074409508E-2</v>
      </c>
      <c r="XEW2441" s="221">
        <v>15235.839844</v>
      </c>
      <c r="XEX2441" s="198">
        <f t="shared" si="224"/>
        <v>8.5249063110914847E-6</v>
      </c>
    </row>
    <row r="2442" spans="16374:16378" x14ac:dyDescent="0.2">
      <c r="XET2442" s="220">
        <v>44497</v>
      </c>
      <c r="XEU2442" s="221">
        <v>359.01333599999998</v>
      </c>
      <c r="XEV2442" s="198">
        <f t="shared" si="223"/>
        <v>3.7750747074015045E-2</v>
      </c>
      <c r="XEW2442" s="221">
        <v>15448.120117</v>
      </c>
      <c r="XEX2442" s="198">
        <f t="shared" si="224"/>
        <v>1.3932955135623759E-2</v>
      </c>
    </row>
    <row r="2443" spans="16374:16378" x14ac:dyDescent="0.2">
      <c r="XET2443" s="220">
        <v>44498</v>
      </c>
      <c r="XEU2443" s="221">
        <v>371.33334400000001</v>
      </c>
      <c r="XEV2443" s="198">
        <f t="shared" si="223"/>
        <v>3.4316296261484913E-2</v>
      </c>
      <c r="XEW2443" s="221">
        <v>15498.389648</v>
      </c>
      <c r="XEX2443" s="198">
        <f t="shared" si="224"/>
        <v>3.2540872688244793E-3</v>
      </c>
    </row>
    <row r="2444" spans="16374:16378" x14ac:dyDescent="0.2">
      <c r="XET2444" s="220">
        <v>44501</v>
      </c>
      <c r="XEU2444" s="221">
        <v>402.86334199999999</v>
      </c>
      <c r="XEV2444" s="198">
        <f t="shared" ref="XEV2444:XEV2507" si="225">XEU2444/XEU2443-1</f>
        <v>8.4910225568108455E-2</v>
      </c>
      <c r="XEW2444" s="221">
        <v>15595.919921999999</v>
      </c>
      <c r="XEX2444" s="198">
        <f t="shared" ref="XEX2444:XEX2507" si="226">XEW2444/XEW2443-1</f>
        <v>6.2929295375266925E-3</v>
      </c>
    </row>
    <row r="2445" spans="16374:16378" x14ac:dyDescent="0.2">
      <c r="XET2445" s="220">
        <v>44502</v>
      </c>
      <c r="XEU2445" s="221">
        <v>390.66665599999999</v>
      </c>
      <c r="XEV2445" s="198">
        <f t="shared" si="225"/>
        <v>-3.0274995832209495E-2</v>
      </c>
      <c r="XEW2445" s="221">
        <v>15649.599609000001</v>
      </c>
      <c r="XEX2445" s="198">
        <f t="shared" si="226"/>
        <v>3.4419057848764645E-3</v>
      </c>
    </row>
    <row r="2446" spans="16374:16378" x14ac:dyDescent="0.2">
      <c r="XET2446" s="220">
        <v>44503</v>
      </c>
      <c r="XEU2446" s="221">
        <v>404.61999500000002</v>
      </c>
      <c r="XEV2446" s="198">
        <f t="shared" si="225"/>
        <v>3.5716739029808542E-2</v>
      </c>
      <c r="XEW2446" s="221">
        <v>15811.580078000001</v>
      </c>
      <c r="XEX2446" s="198">
        <f t="shared" si="226"/>
        <v>1.0350454519414409E-2</v>
      </c>
    </row>
    <row r="2447" spans="16374:16378" x14ac:dyDescent="0.2">
      <c r="XET2447" s="220">
        <v>44504</v>
      </c>
      <c r="XEU2447" s="221">
        <v>409.97000100000002</v>
      </c>
      <c r="XEV2447" s="198">
        <f t="shared" si="225"/>
        <v>1.3222297627679014E-2</v>
      </c>
      <c r="XEW2447" s="221">
        <v>15940.309569999999</v>
      </c>
      <c r="XEX2447" s="198">
        <f t="shared" si="226"/>
        <v>8.1414691868215705E-3</v>
      </c>
    </row>
    <row r="2448" spans="16374:16378" x14ac:dyDescent="0.2">
      <c r="XET2448" s="220">
        <v>44505</v>
      </c>
      <c r="XEU2448" s="221">
        <v>407.36334199999999</v>
      </c>
      <c r="XEV2448" s="198">
        <f t="shared" si="225"/>
        <v>-6.3581700944992381E-3</v>
      </c>
      <c r="XEW2448" s="221">
        <v>15971.589844</v>
      </c>
      <c r="XEX2448" s="198">
        <f t="shared" si="226"/>
        <v>1.962337924658053E-3</v>
      </c>
    </row>
    <row r="2449" spans="16374:16378" x14ac:dyDescent="0.2">
      <c r="XET2449" s="220">
        <v>44508</v>
      </c>
      <c r="XEU2449" s="221">
        <v>387.64666699999998</v>
      </c>
      <c r="XEV2449" s="198">
        <f t="shared" si="225"/>
        <v>-4.8400710047199147E-2</v>
      </c>
      <c r="XEW2449" s="221">
        <v>15982.360352</v>
      </c>
      <c r="XEX2449" s="198">
        <f t="shared" si="226"/>
        <v>6.7435415667427279E-4</v>
      </c>
    </row>
    <row r="2450" spans="16374:16378" x14ac:dyDescent="0.2">
      <c r="XET2450" s="220">
        <v>44509</v>
      </c>
      <c r="XEU2450" s="221">
        <v>341.16665599999999</v>
      </c>
      <c r="XEV2450" s="198">
        <f t="shared" si="225"/>
        <v>-0.11990303272748115</v>
      </c>
      <c r="XEW2450" s="221">
        <v>15886.540039</v>
      </c>
      <c r="XEX2450" s="198">
        <f t="shared" si="226"/>
        <v>-5.9953793363199948E-3</v>
      </c>
    </row>
    <row r="2451" spans="16374:16378" x14ac:dyDescent="0.2">
      <c r="XET2451" s="220">
        <v>44510</v>
      </c>
      <c r="XEU2451" s="221">
        <v>355.98333700000001</v>
      </c>
      <c r="XEV2451" s="198">
        <f t="shared" si="225"/>
        <v>4.3429452261595003E-2</v>
      </c>
      <c r="XEW2451" s="221">
        <v>15622.709961</v>
      </c>
      <c r="XEX2451" s="198">
        <f t="shared" si="226"/>
        <v>-1.6607145253297428E-2</v>
      </c>
    </row>
    <row r="2452" spans="16374:16378" x14ac:dyDescent="0.2">
      <c r="XET2452" s="220">
        <v>44511</v>
      </c>
      <c r="XEU2452" s="221">
        <v>354.50332600000002</v>
      </c>
      <c r="XEV2452" s="198">
        <f t="shared" si="225"/>
        <v>-4.1575288677064837E-3</v>
      </c>
      <c r="XEW2452" s="221">
        <v>15704.280273</v>
      </c>
      <c r="XEX2452" s="198">
        <f t="shared" si="226"/>
        <v>5.2212652096614853E-3</v>
      </c>
    </row>
    <row r="2453" spans="16374:16378" x14ac:dyDescent="0.2">
      <c r="XET2453" s="220">
        <v>44512</v>
      </c>
      <c r="XEU2453" s="221">
        <v>344.47332799999998</v>
      </c>
      <c r="XEV2453" s="198">
        <f t="shared" si="225"/>
        <v>-2.8293099850916548E-2</v>
      </c>
      <c r="XEW2453" s="221">
        <v>15860.959961</v>
      </c>
      <c r="XEX2453" s="198">
        <f t="shared" si="226"/>
        <v>9.9768779769791038E-3</v>
      </c>
    </row>
    <row r="2454" spans="16374:16378" x14ac:dyDescent="0.2">
      <c r="XET2454" s="220">
        <v>44515</v>
      </c>
      <c r="XEU2454" s="221">
        <v>337.79666099999997</v>
      </c>
      <c r="XEV2454" s="198">
        <f t="shared" si="225"/>
        <v>-1.9382246627814403E-2</v>
      </c>
      <c r="XEW2454" s="221">
        <v>15853.849609000001</v>
      </c>
      <c r="XEX2454" s="198">
        <f t="shared" si="226"/>
        <v>-4.4829266434587289E-4</v>
      </c>
    </row>
    <row r="2455" spans="16374:16378" x14ac:dyDescent="0.2">
      <c r="XET2455" s="220">
        <v>44516</v>
      </c>
      <c r="XEU2455" s="221">
        <v>351.57666</v>
      </c>
      <c r="XEV2455" s="198">
        <f t="shared" si="225"/>
        <v>4.0793769124911616E-2</v>
      </c>
      <c r="XEW2455" s="221">
        <v>15973.860352</v>
      </c>
      <c r="XEX2455" s="198">
        <f t="shared" si="226"/>
        <v>7.5698171712106355E-3</v>
      </c>
    </row>
    <row r="2456" spans="16374:16378" x14ac:dyDescent="0.2">
      <c r="XET2456" s="220">
        <v>44517</v>
      </c>
      <c r="XEU2456" s="221">
        <v>363.00332600000002</v>
      </c>
      <c r="XEV2456" s="198">
        <f t="shared" si="225"/>
        <v>3.2501207560251544E-2</v>
      </c>
      <c r="XEW2456" s="221">
        <v>15921.570313</v>
      </c>
      <c r="XEX2456" s="198">
        <f t="shared" si="226"/>
        <v>-3.2734754059279281E-3</v>
      </c>
    </row>
    <row r="2457" spans="16374:16378" x14ac:dyDescent="0.2">
      <c r="XET2457" s="220">
        <v>44518</v>
      </c>
      <c r="XEU2457" s="221">
        <v>365.459991</v>
      </c>
      <c r="XEV2457" s="198">
        <f t="shared" si="225"/>
        <v>6.7676101678473266E-3</v>
      </c>
      <c r="XEW2457" s="221">
        <v>15993.709961</v>
      </c>
      <c r="XEX2457" s="198">
        <f t="shared" si="226"/>
        <v>4.5309380030873481E-3</v>
      </c>
    </row>
    <row r="2458" spans="16374:16378" x14ac:dyDescent="0.2">
      <c r="XET2458" s="220">
        <v>44519</v>
      </c>
      <c r="XEU2458" s="221">
        <v>379.01998900000001</v>
      </c>
      <c r="XEV2458" s="198">
        <f t="shared" si="225"/>
        <v>3.7103919263216989E-2</v>
      </c>
      <c r="XEW2458" s="221">
        <v>16057.440430000001</v>
      </c>
      <c r="XEX2458" s="198">
        <f t="shared" si="226"/>
        <v>3.9847208155834313E-3</v>
      </c>
    </row>
    <row r="2459" spans="16374:16378" x14ac:dyDescent="0.2">
      <c r="XET2459" s="220">
        <v>44522</v>
      </c>
      <c r="XEU2459" s="221">
        <v>385.62332199999997</v>
      </c>
      <c r="XEV2459" s="198">
        <f t="shared" si="225"/>
        <v>1.7422123348750151E-2</v>
      </c>
      <c r="XEW2459" s="221">
        <v>15854.759765999999</v>
      </c>
      <c r="XEX2459" s="198">
        <f t="shared" si="226"/>
        <v>-1.2622227364538996E-2</v>
      </c>
    </row>
    <row r="2460" spans="16374:16378" x14ac:dyDescent="0.2">
      <c r="XET2460" s="220">
        <v>44523</v>
      </c>
      <c r="XEU2460" s="221">
        <v>369.67666600000001</v>
      </c>
      <c r="XEV2460" s="198">
        <f t="shared" si="225"/>
        <v>-4.1352934561359245E-2</v>
      </c>
      <c r="XEW2460" s="221">
        <v>15775.139648</v>
      </c>
      <c r="XEX2460" s="198">
        <f t="shared" si="226"/>
        <v>-5.0218432303680283E-3</v>
      </c>
    </row>
    <row r="2461" spans="16374:16378" x14ac:dyDescent="0.2">
      <c r="XET2461" s="220">
        <v>44524</v>
      </c>
      <c r="XEU2461" s="221">
        <v>372</v>
      </c>
      <c r="XEV2461" s="198">
        <f t="shared" si="225"/>
        <v>6.2847731915003369E-3</v>
      </c>
      <c r="XEW2461" s="221">
        <v>15845.230469</v>
      </c>
      <c r="XEX2461" s="198">
        <f t="shared" si="226"/>
        <v>4.4431188923823584E-3</v>
      </c>
    </row>
    <row r="2462" spans="16374:16378" x14ac:dyDescent="0.2">
      <c r="XET2462" s="220">
        <v>44526</v>
      </c>
      <c r="XEU2462" s="221">
        <v>360.64001500000001</v>
      </c>
      <c r="XEV2462" s="198">
        <f t="shared" si="225"/>
        <v>-3.0537594086021524E-2</v>
      </c>
      <c r="XEW2462" s="221">
        <v>15491.660156</v>
      </c>
      <c r="XEX2462" s="198">
        <f t="shared" si="226"/>
        <v>-2.231398992218725E-2</v>
      </c>
    </row>
    <row r="2463" spans="16374:16378" x14ac:dyDescent="0.2">
      <c r="XET2463" s="220">
        <v>44529</v>
      </c>
      <c r="XEU2463" s="221">
        <v>378.99667399999998</v>
      </c>
      <c r="XEV2463" s="198">
        <f t="shared" si="225"/>
        <v>5.0900228029327144E-2</v>
      </c>
      <c r="XEW2463" s="221">
        <v>15782.830078000001</v>
      </c>
      <c r="XEX2463" s="198">
        <f t="shared" si="226"/>
        <v>1.8795269136292703E-2</v>
      </c>
    </row>
    <row r="2464" spans="16374:16378" x14ac:dyDescent="0.2">
      <c r="XET2464" s="220">
        <v>44530</v>
      </c>
      <c r="XEU2464" s="221">
        <v>381.58667000000003</v>
      </c>
      <c r="XEV2464" s="198">
        <f t="shared" si="225"/>
        <v>6.833822504732634E-3</v>
      </c>
      <c r="XEW2464" s="221">
        <v>15537.690430000001</v>
      </c>
      <c r="XEX2464" s="198">
        <f t="shared" si="226"/>
        <v>-1.5532046330632765E-2</v>
      </c>
    </row>
    <row r="2465" spans="16374:16378" x14ac:dyDescent="0.2">
      <c r="XET2465" s="220">
        <v>44531</v>
      </c>
      <c r="XEU2465" s="221">
        <v>365</v>
      </c>
      <c r="XEV2465" s="198">
        <f t="shared" si="225"/>
        <v>-4.3467634757786588E-2</v>
      </c>
      <c r="XEW2465" s="221">
        <v>15254.049805000001</v>
      </c>
      <c r="XEX2465" s="198">
        <f t="shared" si="226"/>
        <v>-1.8255005547822556E-2</v>
      </c>
    </row>
    <row r="2466" spans="16374:16378" x14ac:dyDescent="0.2">
      <c r="XET2466" s="220">
        <v>44532</v>
      </c>
      <c r="XEU2466" s="221">
        <v>361.53332499999999</v>
      </c>
      <c r="XEV2466" s="198">
        <f t="shared" si="225"/>
        <v>-9.4977397260274099E-3</v>
      </c>
      <c r="XEW2466" s="221">
        <v>15381.320313</v>
      </c>
      <c r="XEX2466" s="198">
        <f t="shared" si="226"/>
        <v>8.3433914027397638E-3</v>
      </c>
    </row>
    <row r="2467" spans="16374:16378" x14ac:dyDescent="0.2">
      <c r="XET2467" s="220">
        <v>44533</v>
      </c>
      <c r="XEU2467" s="221">
        <v>338.32333399999999</v>
      </c>
      <c r="XEV2467" s="198">
        <f t="shared" si="225"/>
        <v>-6.4198759547269946E-2</v>
      </c>
      <c r="XEW2467" s="221">
        <v>15085.469727</v>
      </c>
      <c r="XEX2467" s="198">
        <f t="shared" si="226"/>
        <v>-1.9234407708807244E-2</v>
      </c>
    </row>
    <row r="2468" spans="16374:16378" x14ac:dyDescent="0.2">
      <c r="XET2468" s="220">
        <v>44536</v>
      </c>
      <c r="XEU2468" s="221">
        <v>336.33667000000003</v>
      </c>
      <c r="XEV2468" s="198">
        <f t="shared" si="225"/>
        <v>-5.8720868481391131E-3</v>
      </c>
      <c r="XEW2468" s="221">
        <v>15225.150390999999</v>
      </c>
      <c r="XEX2468" s="198">
        <f t="shared" si="226"/>
        <v>9.2592850290897921E-3</v>
      </c>
    </row>
    <row r="2469" spans="16374:16378" x14ac:dyDescent="0.2">
      <c r="XET2469" s="220">
        <v>44537</v>
      </c>
      <c r="XEU2469" s="221">
        <v>350.58334400000001</v>
      </c>
      <c r="XEV2469" s="198">
        <f t="shared" si="225"/>
        <v>4.2358372638939379E-2</v>
      </c>
      <c r="XEW2469" s="221">
        <v>15686.919921999999</v>
      </c>
      <c r="XEX2469" s="198">
        <f t="shared" si="226"/>
        <v>3.0329390458629923E-2</v>
      </c>
    </row>
    <row r="2470" spans="16374:16378" x14ac:dyDescent="0.2">
      <c r="XET2470" s="220">
        <v>44538</v>
      </c>
      <c r="XEU2470" s="221">
        <v>356.32000699999998</v>
      </c>
      <c r="XEV2470" s="198">
        <f t="shared" si="225"/>
        <v>1.6363193226886397E-2</v>
      </c>
      <c r="XEW2470" s="221">
        <v>15786.990234000001</v>
      </c>
      <c r="XEX2470" s="198">
        <f t="shared" si="226"/>
        <v>6.3792199168211106E-3</v>
      </c>
    </row>
    <row r="2471" spans="16374:16378" x14ac:dyDescent="0.2">
      <c r="XET2471" s="220">
        <v>44539</v>
      </c>
      <c r="XEU2471" s="221">
        <v>334.60000600000001</v>
      </c>
      <c r="XEV2471" s="198">
        <f t="shared" si="225"/>
        <v>-6.0956445255121339E-2</v>
      </c>
      <c r="XEW2471" s="221">
        <v>15517.370117</v>
      </c>
      <c r="XEX2471" s="198">
        <f t="shared" si="226"/>
        <v>-1.7078626958248688E-2</v>
      </c>
    </row>
    <row r="2472" spans="16374:16378" x14ac:dyDescent="0.2">
      <c r="XET2472" s="220">
        <v>44540</v>
      </c>
      <c r="XEU2472" s="221">
        <v>339.01001000000002</v>
      </c>
      <c r="XEV2472" s="198">
        <f t="shared" si="225"/>
        <v>1.3179928036223698E-2</v>
      </c>
      <c r="XEW2472" s="221">
        <v>15630.599609000001</v>
      </c>
      <c r="XEX2472" s="198">
        <f t="shared" si="226"/>
        <v>7.2969511680303079E-3</v>
      </c>
    </row>
    <row r="2473" spans="16374:16378" x14ac:dyDescent="0.2">
      <c r="XET2473" s="220">
        <v>44543</v>
      </c>
      <c r="XEU2473" s="221">
        <v>322.13665800000001</v>
      </c>
      <c r="XEV2473" s="198">
        <f t="shared" si="225"/>
        <v>-4.9772430023526493E-2</v>
      </c>
      <c r="XEW2473" s="221">
        <v>15413.280273</v>
      </c>
      <c r="XEX2473" s="198">
        <f t="shared" si="226"/>
        <v>-1.3903454853700481E-2</v>
      </c>
    </row>
    <row r="2474" spans="16374:16378" x14ac:dyDescent="0.2">
      <c r="XET2474" s="220">
        <v>44544</v>
      </c>
      <c r="XEU2474" s="221">
        <v>319.50332600000002</v>
      </c>
      <c r="XEV2474" s="198">
        <f t="shared" si="225"/>
        <v>-8.1745803670689732E-3</v>
      </c>
      <c r="XEW2474" s="221">
        <v>15237.639648</v>
      </c>
      <c r="XEX2474" s="198">
        <f t="shared" si="226"/>
        <v>-1.1395408497675619E-2</v>
      </c>
    </row>
    <row r="2475" spans="16374:16378" x14ac:dyDescent="0.2">
      <c r="XET2475" s="220">
        <v>44545</v>
      </c>
      <c r="XEU2475" s="221">
        <v>325.32998700000002</v>
      </c>
      <c r="XEV2475" s="198">
        <f t="shared" si="225"/>
        <v>1.8236620798119718E-2</v>
      </c>
      <c r="XEW2475" s="221">
        <v>15565.580078000001</v>
      </c>
      <c r="XEX2475" s="198">
        <f t="shared" si="226"/>
        <v>2.152173417771075E-2</v>
      </c>
    </row>
    <row r="2476" spans="16374:16378" x14ac:dyDescent="0.2">
      <c r="XET2476" s="220">
        <v>44546</v>
      </c>
      <c r="XEU2476" s="221">
        <v>308.97332799999998</v>
      </c>
      <c r="XEV2476" s="198">
        <f t="shared" si="225"/>
        <v>-5.0277132922272094E-2</v>
      </c>
      <c r="XEW2476" s="221">
        <v>15180.429688</v>
      </c>
      <c r="XEX2476" s="198">
        <f t="shared" si="226"/>
        <v>-2.4743722242922539E-2</v>
      </c>
    </row>
    <row r="2477" spans="16374:16378" x14ac:dyDescent="0.2">
      <c r="XET2477" s="220">
        <v>44547</v>
      </c>
      <c r="XEU2477" s="221">
        <v>310.85665899999998</v>
      </c>
      <c r="XEV2477" s="198">
        <f t="shared" si="225"/>
        <v>6.0954484718500623E-3</v>
      </c>
      <c r="XEW2477" s="221">
        <v>15169.679688</v>
      </c>
      <c r="XEX2477" s="198">
        <f t="shared" si="226"/>
        <v>-7.0814859796086704E-4</v>
      </c>
    </row>
    <row r="2478" spans="16374:16378" x14ac:dyDescent="0.2">
      <c r="XET2478" s="220">
        <v>44550</v>
      </c>
      <c r="XEU2478" s="221">
        <v>299.98001099999999</v>
      </c>
      <c r="XEV2478" s="198">
        <f t="shared" si="225"/>
        <v>-3.4989271373465969E-2</v>
      </c>
      <c r="XEW2478" s="221">
        <v>14980.940430000001</v>
      </c>
      <c r="XEX2478" s="198">
        <f t="shared" si="226"/>
        <v>-1.2441874969140065E-2</v>
      </c>
    </row>
    <row r="2479" spans="16374:16378" x14ac:dyDescent="0.2">
      <c r="XET2479" s="220">
        <v>44551</v>
      </c>
      <c r="XEU2479" s="221">
        <v>312.843323</v>
      </c>
      <c r="XEV2479" s="198">
        <f t="shared" si="225"/>
        <v>4.2880563798632698E-2</v>
      </c>
      <c r="XEW2479" s="221">
        <v>15341.089844</v>
      </c>
      <c r="XEX2479" s="198">
        <f t="shared" si="226"/>
        <v>2.4040507715976434E-2</v>
      </c>
    </row>
    <row r="2480" spans="16374:16378" x14ac:dyDescent="0.2">
      <c r="XET2480" s="220">
        <v>44552</v>
      </c>
      <c r="XEU2480" s="221">
        <v>336.290009</v>
      </c>
      <c r="XEV2480" s="198">
        <f t="shared" si="225"/>
        <v>7.4947055846226185E-2</v>
      </c>
      <c r="XEW2480" s="221">
        <v>15521.889648</v>
      </c>
      <c r="XEX2480" s="198">
        <f t="shared" si="226"/>
        <v>1.1785329845435566E-2</v>
      </c>
    </row>
    <row r="2481" spans="16374:16378" x14ac:dyDescent="0.2">
      <c r="XET2481" s="220">
        <v>44553</v>
      </c>
      <c r="XEU2481" s="221">
        <v>355.66665599999999</v>
      </c>
      <c r="XEV2481" s="198">
        <f t="shared" si="225"/>
        <v>5.7618860154718288E-2</v>
      </c>
      <c r="XEW2481" s="221">
        <v>15653.370117</v>
      </c>
      <c r="XEX2481" s="198">
        <f t="shared" si="226"/>
        <v>8.4706483541416855E-3</v>
      </c>
    </row>
    <row r="2482" spans="16374:16378" x14ac:dyDescent="0.2">
      <c r="XET2482" s="220">
        <v>44557</v>
      </c>
      <c r="XEU2482" s="221">
        <v>364.64666699999998</v>
      </c>
      <c r="XEV2482" s="198">
        <f t="shared" si="225"/>
        <v>2.5248391572585183E-2</v>
      </c>
      <c r="XEW2482" s="221">
        <v>15871.259765999999</v>
      </c>
      <c r="XEX2482" s="198">
        <f t="shared" si="226"/>
        <v>1.3919663776643443E-2</v>
      </c>
    </row>
    <row r="2483" spans="16374:16378" x14ac:dyDescent="0.2">
      <c r="XET2483" s="220">
        <v>44558</v>
      </c>
      <c r="XEU2483" s="221">
        <v>362.82333399999999</v>
      </c>
      <c r="XEV2483" s="198">
        <f t="shared" si="225"/>
        <v>-5.0002733193773574E-3</v>
      </c>
      <c r="XEW2483" s="221">
        <v>15781.719727</v>
      </c>
      <c r="XEX2483" s="198">
        <f t="shared" si="226"/>
        <v>-5.6416466191181458E-3</v>
      </c>
    </row>
    <row r="2484" spans="16374:16378" x14ac:dyDescent="0.2">
      <c r="XET2484" s="220">
        <v>44559</v>
      </c>
      <c r="XEU2484" s="221">
        <v>362.06332400000002</v>
      </c>
      <c r="XEV2484" s="198">
        <f t="shared" si="225"/>
        <v>-2.0947109206597148E-3</v>
      </c>
      <c r="XEW2484" s="221">
        <v>15766.219727</v>
      </c>
      <c r="XEX2484" s="198">
        <f t="shared" si="226"/>
        <v>-9.8214898427595454E-4</v>
      </c>
    </row>
    <row r="2485" spans="16374:16378" x14ac:dyDescent="0.2">
      <c r="XET2485" s="220">
        <v>44560</v>
      </c>
      <c r="XEU2485" s="221">
        <v>356.77999899999998</v>
      </c>
      <c r="XEV2485" s="198">
        <f t="shared" si="225"/>
        <v>-1.4592267843179907E-2</v>
      </c>
      <c r="XEW2485" s="221">
        <v>15741.559569999999</v>
      </c>
      <c r="XEX2485" s="198">
        <f t="shared" si="226"/>
        <v>-1.5641134924543332E-3</v>
      </c>
    </row>
    <row r="2486" spans="16374:16378" x14ac:dyDescent="0.2">
      <c r="XET2486" s="220">
        <v>44561</v>
      </c>
      <c r="XEU2486" s="221">
        <v>352.26001000000002</v>
      </c>
      <c r="XEV2486" s="198">
        <f t="shared" si="225"/>
        <v>-1.2668840777702806E-2</v>
      </c>
      <c r="XEW2486" s="221">
        <v>15644.969727</v>
      </c>
      <c r="XEX2486" s="198">
        <f t="shared" si="226"/>
        <v>-6.1359767163146062E-3</v>
      </c>
    </row>
    <row r="2487" spans="16374:16378" x14ac:dyDescent="0.2">
      <c r="XET2487" s="220">
        <v>44564</v>
      </c>
      <c r="XEU2487" s="221">
        <v>399.92666600000001</v>
      </c>
      <c r="XEV2487" s="198">
        <f t="shared" si="225"/>
        <v>0.13531668269696584</v>
      </c>
      <c r="XEW2487" s="221">
        <v>15832.799805000001</v>
      </c>
      <c r="XEX2487" s="198">
        <f t="shared" si="226"/>
        <v>1.2005780853372006E-2</v>
      </c>
    </row>
    <row r="2488" spans="16374:16378" x14ac:dyDescent="0.2">
      <c r="XET2488" s="220">
        <v>44565</v>
      </c>
      <c r="XEU2488" s="221">
        <v>383.19665500000002</v>
      </c>
      <c r="XEV2488" s="198">
        <f t="shared" si="225"/>
        <v>-4.1832696897485699E-2</v>
      </c>
      <c r="XEW2488" s="221">
        <v>15622.719727</v>
      </c>
      <c r="XEX2488" s="198">
        <f t="shared" si="226"/>
        <v>-1.3268662560468769E-2</v>
      </c>
    </row>
    <row r="2489" spans="16374:16378" x14ac:dyDescent="0.2">
      <c r="XET2489" s="220">
        <v>44566</v>
      </c>
      <c r="XEU2489" s="221">
        <v>362.70666499999999</v>
      </c>
      <c r="XEV2489" s="198">
        <f t="shared" si="225"/>
        <v>-5.3471213103360782E-2</v>
      </c>
      <c r="XEW2489" s="221">
        <v>15100.169921999999</v>
      </c>
      <c r="XEX2489" s="198">
        <f t="shared" si="226"/>
        <v>-3.3448068846610779E-2</v>
      </c>
    </row>
    <row r="2490" spans="16374:16378" x14ac:dyDescent="0.2">
      <c r="XET2490" s="220">
        <v>44567</v>
      </c>
      <c r="XEU2490" s="221">
        <v>354.89999399999999</v>
      </c>
      <c r="XEV2490" s="198">
        <f t="shared" si="225"/>
        <v>-2.1523373440077265E-2</v>
      </c>
      <c r="XEW2490" s="221">
        <v>15080.860352</v>
      </c>
      <c r="XEX2490" s="198">
        <f t="shared" si="226"/>
        <v>-1.278765080111266E-3</v>
      </c>
    </row>
    <row r="2491" spans="16374:16378" x14ac:dyDescent="0.2">
      <c r="XET2491" s="220">
        <v>44568</v>
      </c>
      <c r="XEU2491" s="221">
        <v>342.32000699999998</v>
      </c>
      <c r="XEV2491" s="198">
        <f t="shared" si="225"/>
        <v>-3.5446568646603116E-2</v>
      </c>
      <c r="XEW2491" s="221">
        <v>14935.900390999999</v>
      </c>
      <c r="XEX2491" s="198">
        <f t="shared" si="226"/>
        <v>-9.6121811101298471E-3</v>
      </c>
    </row>
    <row r="2492" spans="16374:16378" x14ac:dyDescent="0.2">
      <c r="XET2492" s="220">
        <v>44571</v>
      </c>
      <c r="XEU2492" s="221">
        <v>352.70666499999999</v>
      </c>
      <c r="XEV2492" s="198">
        <f t="shared" si="225"/>
        <v>3.0341954275550087E-2</v>
      </c>
      <c r="XEW2492" s="221">
        <v>14942.830078000001</v>
      </c>
      <c r="XEX2492" s="198">
        <f t="shared" si="226"/>
        <v>4.639617845989541E-4</v>
      </c>
    </row>
    <row r="2493" spans="16374:16378" x14ac:dyDescent="0.2">
      <c r="XET2493" s="220">
        <v>44572</v>
      </c>
      <c r="XEU2493" s="221">
        <v>354.79998799999998</v>
      </c>
      <c r="XEV2493" s="198">
        <f t="shared" si="225"/>
        <v>5.935025355985335E-3</v>
      </c>
      <c r="XEW2493" s="221">
        <v>15153.450194999999</v>
      </c>
      <c r="XEX2493" s="198">
        <f t="shared" si="226"/>
        <v>1.40950620398268E-2</v>
      </c>
    </row>
    <row r="2494" spans="16374:16378" x14ac:dyDescent="0.2">
      <c r="XET2494" s="220">
        <v>44573</v>
      </c>
      <c r="XEU2494" s="221">
        <v>368.73998999999998</v>
      </c>
      <c r="XEV2494" s="198">
        <f t="shared" si="225"/>
        <v>3.9289747664816632E-2</v>
      </c>
      <c r="XEW2494" s="221">
        <v>15188.389648</v>
      </c>
      <c r="XEX2494" s="198">
        <f t="shared" si="226"/>
        <v>2.3057094292313618E-3</v>
      </c>
    </row>
    <row r="2495" spans="16374:16378" x14ac:dyDescent="0.2">
      <c r="XET2495" s="220">
        <v>44574</v>
      </c>
      <c r="XEU2495" s="221">
        <v>343.85333300000002</v>
      </c>
      <c r="XEV2495" s="198">
        <f t="shared" si="225"/>
        <v>-6.7491071418643633E-2</v>
      </c>
      <c r="XEW2495" s="221">
        <v>14806.809569999999</v>
      </c>
      <c r="XEX2495" s="198">
        <f t="shared" si="226"/>
        <v>-2.5123142534748344E-2</v>
      </c>
    </row>
    <row r="2496" spans="16374:16378" x14ac:dyDescent="0.2">
      <c r="XET2496" s="220">
        <v>44575</v>
      </c>
      <c r="XEU2496" s="221">
        <v>349.86999500000002</v>
      </c>
      <c r="XEV2496" s="198">
        <f t="shared" si="225"/>
        <v>1.7497756812495435E-2</v>
      </c>
      <c r="XEW2496" s="221">
        <v>14893.75</v>
      </c>
      <c r="XEX2496" s="198">
        <f t="shared" si="226"/>
        <v>5.8716517956811654E-3</v>
      </c>
    </row>
    <row r="2497" spans="16374:16378" x14ac:dyDescent="0.2">
      <c r="XET2497" s="220">
        <v>44579</v>
      </c>
      <c r="XEU2497" s="221">
        <v>343.50332600000002</v>
      </c>
      <c r="XEV2497" s="198">
        <f t="shared" si="225"/>
        <v>-1.8197242092737875E-2</v>
      </c>
      <c r="XEW2497" s="221">
        <v>14506.900390999999</v>
      </c>
      <c r="XEX2497" s="198">
        <f t="shared" si="226"/>
        <v>-2.5973956122534725E-2</v>
      </c>
    </row>
    <row r="2498" spans="16374:16378" x14ac:dyDescent="0.2">
      <c r="XET2498" s="220">
        <v>44580</v>
      </c>
      <c r="XEU2498" s="221">
        <v>331.883331</v>
      </c>
      <c r="XEV2498" s="198">
        <f t="shared" si="225"/>
        <v>-3.382789661838681E-2</v>
      </c>
      <c r="XEW2498" s="221">
        <v>14340.259765999999</v>
      </c>
      <c r="XEX2498" s="198">
        <f t="shared" si="226"/>
        <v>-1.1486990363798411E-2</v>
      </c>
    </row>
    <row r="2499" spans="16374:16378" x14ac:dyDescent="0.2">
      <c r="XET2499" s="220">
        <v>44581</v>
      </c>
      <c r="XEU2499" s="221">
        <v>332.08999599999999</v>
      </c>
      <c r="XEV2499" s="198">
        <f t="shared" si="225"/>
        <v>6.2270376573980712E-4</v>
      </c>
      <c r="XEW2499" s="221">
        <v>14154.019531</v>
      </c>
      <c r="XEX2499" s="198">
        <f t="shared" si="226"/>
        <v>-1.2987228825628749E-2</v>
      </c>
    </row>
    <row r="2500" spans="16374:16378" x14ac:dyDescent="0.2">
      <c r="XET2500" s="220">
        <v>44582</v>
      </c>
      <c r="XEU2500" s="221">
        <v>314.633331</v>
      </c>
      <c r="XEV2500" s="198">
        <f t="shared" si="225"/>
        <v>-5.2566067060930033E-2</v>
      </c>
      <c r="XEW2500" s="221">
        <v>13768.919921999999</v>
      </c>
      <c r="XEX2500" s="198">
        <f t="shared" si="226"/>
        <v>-2.7207791267813253E-2</v>
      </c>
    </row>
    <row r="2501" spans="16374:16378" x14ac:dyDescent="0.2">
      <c r="XET2501" s="220">
        <v>44585</v>
      </c>
      <c r="XEU2501" s="221">
        <v>310</v>
      </c>
      <c r="XEV2501" s="198">
        <f t="shared" si="225"/>
        <v>-1.4726128936415783E-2</v>
      </c>
      <c r="XEW2501" s="221">
        <v>13855.129883</v>
      </c>
      <c r="XEX2501" s="198">
        <f t="shared" si="226"/>
        <v>6.261199969814113E-3</v>
      </c>
    </row>
    <row r="2502" spans="16374:16378" x14ac:dyDescent="0.2">
      <c r="XET2502" s="220">
        <v>44586</v>
      </c>
      <c r="XEU2502" s="221">
        <v>306.133331</v>
      </c>
      <c r="XEV2502" s="198">
        <f t="shared" si="225"/>
        <v>-1.2473125806451657E-2</v>
      </c>
      <c r="XEW2502" s="221">
        <v>13539.290039</v>
      </c>
      <c r="XEX2502" s="198">
        <f t="shared" si="226"/>
        <v>-2.2795877531796349E-2</v>
      </c>
    </row>
    <row r="2503" spans="16374:16378" x14ac:dyDescent="0.2">
      <c r="XET2503" s="220">
        <v>44587</v>
      </c>
      <c r="XEU2503" s="221">
        <v>312.47000100000002</v>
      </c>
      <c r="XEV2503" s="198">
        <f t="shared" si="225"/>
        <v>2.0699052858115685E-2</v>
      </c>
      <c r="XEW2503" s="221">
        <v>13542.120117</v>
      </c>
      <c r="XEX2503" s="198">
        <f t="shared" si="226"/>
        <v>2.0902706063963272E-4</v>
      </c>
    </row>
    <row r="2504" spans="16374:16378" x14ac:dyDescent="0.2">
      <c r="XET2504" s="220">
        <v>44588</v>
      </c>
      <c r="XEU2504" s="221">
        <v>276.366669</v>
      </c>
      <c r="XEV2504" s="198">
        <f t="shared" si="225"/>
        <v>-0.11554175403865419</v>
      </c>
      <c r="XEW2504" s="221">
        <v>13352.780273</v>
      </c>
      <c r="XEX2504" s="198">
        <f t="shared" si="226"/>
        <v>-1.3981551069120579E-2</v>
      </c>
    </row>
    <row r="2505" spans="16374:16378" x14ac:dyDescent="0.2">
      <c r="XET2505" s="220">
        <v>44589</v>
      </c>
      <c r="XEU2505" s="221">
        <v>282.116669</v>
      </c>
      <c r="XEV2505" s="198">
        <f t="shared" si="225"/>
        <v>2.0805692744373605E-2</v>
      </c>
      <c r="XEW2505" s="221">
        <v>13770.570313</v>
      </c>
      <c r="XEX2505" s="198">
        <f t="shared" si="226"/>
        <v>3.1288617910143701E-2</v>
      </c>
    </row>
    <row r="2506" spans="16374:16378" x14ac:dyDescent="0.2">
      <c r="XET2506" s="220">
        <v>44592</v>
      </c>
      <c r="XEU2506" s="221">
        <v>312.23998999999998</v>
      </c>
      <c r="XEV2506" s="198">
        <f t="shared" si="225"/>
        <v>0.10677611183619917</v>
      </c>
      <c r="XEW2506" s="221">
        <v>14239.879883</v>
      </c>
      <c r="XEX2506" s="198">
        <f t="shared" si="226"/>
        <v>3.4080619708027005E-2</v>
      </c>
    </row>
    <row r="2507" spans="16374:16378" x14ac:dyDescent="0.2">
      <c r="XET2507" s="220">
        <v>44593</v>
      </c>
      <c r="XEU2507" s="221">
        <v>310.41665599999999</v>
      </c>
      <c r="XEV2507" s="198">
        <f t="shared" si="225"/>
        <v>-5.8395274737229608E-3</v>
      </c>
      <c r="XEW2507" s="221">
        <v>14346</v>
      </c>
      <c r="XEX2507" s="198">
        <f t="shared" si="226"/>
        <v>7.4523182689687495E-3</v>
      </c>
    </row>
    <row r="2508" spans="16374:16378" x14ac:dyDescent="0.2">
      <c r="XET2508" s="220">
        <v>44594</v>
      </c>
      <c r="XEU2508" s="221">
        <v>301.88665800000001</v>
      </c>
      <c r="XEV2508" s="198">
        <f t="shared" ref="XEV2508:XEV2571" si="227">XEU2508/XEU2507-1</f>
        <v>-2.7479189132170734E-2</v>
      </c>
      <c r="XEW2508" s="221">
        <v>14417.549805000001</v>
      </c>
      <c r="XEX2508" s="198">
        <f t="shared" ref="XEX2508:XEX2571" si="228">XEW2508/XEW2507-1</f>
        <v>4.9874393559181662E-3</v>
      </c>
    </row>
    <row r="2509" spans="16374:16378" x14ac:dyDescent="0.2">
      <c r="XET2509" s="220">
        <v>44595</v>
      </c>
      <c r="XEU2509" s="221">
        <v>297.04666099999997</v>
      </c>
      <c r="XEV2509" s="198">
        <f t="shared" si="227"/>
        <v>-1.6032497202973617E-2</v>
      </c>
      <c r="XEW2509" s="221">
        <v>13878.820313</v>
      </c>
      <c r="XEX2509" s="198">
        <f t="shared" si="228"/>
        <v>-3.7366230690125235E-2</v>
      </c>
    </row>
    <row r="2510" spans="16374:16378" x14ac:dyDescent="0.2">
      <c r="XET2510" s="220">
        <v>44596</v>
      </c>
      <c r="XEU2510" s="221">
        <v>307.773346</v>
      </c>
      <c r="XEV2510" s="198">
        <f t="shared" si="227"/>
        <v>3.6111111176570398E-2</v>
      </c>
      <c r="XEW2510" s="221">
        <v>14098.009765999999</v>
      </c>
      <c r="XEX2510" s="198">
        <f t="shared" si="228"/>
        <v>1.5793089618336476E-2</v>
      </c>
    </row>
    <row r="2511" spans="16374:16378" x14ac:dyDescent="0.2">
      <c r="XET2511" s="220">
        <v>44599</v>
      </c>
      <c r="XEU2511" s="221">
        <v>302.44665500000002</v>
      </c>
      <c r="XEV2511" s="198">
        <f t="shared" si="227"/>
        <v>-1.730718747815152E-2</v>
      </c>
      <c r="XEW2511" s="221">
        <v>14015.669921999999</v>
      </c>
      <c r="XEX2511" s="198">
        <f t="shared" si="228"/>
        <v>-5.8405296468567736E-3</v>
      </c>
    </row>
    <row r="2512" spans="16374:16378" x14ac:dyDescent="0.2">
      <c r="XET2512" s="220">
        <v>44600</v>
      </c>
      <c r="XEU2512" s="221">
        <v>307.33334400000001</v>
      </c>
      <c r="XEV2512" s="198">
        <f t="shared" si="227"/>
        <v>1.6157193075916121E-2</v>
      </c>
      <c r="XEW2512" s="221">
        <v>14194.450194999999</v>
      </c>
      <c r="XEX2512" s="198">
        <f t="shared" si="228"/>
        <v>1.2755742250991187E-2</v>
      </c>
    </row>
    <row r="2513" spans="16374:16378" x14ac:dyDescent="0.2">
      <c r="XET2513" s="220">
        <v>44601</v>
      </c>
      <c r="XEU2513" s="221">
        <v>310.66665599999999</v>
      </c>
      <c r="XEV2513" s="198">
        <f t="shared" si="227"/>
        <v>1.08459171940678E-2</v>
      </c>
      <c r="XEW2513" s="221">
        <v>14490.370117</v>
      </c>
      <c r="XEX2513" s="198">
        <f t="shared" si="228"/>
        <v>2.0847579013961282E-2</v>
      </c>
    </row>
    <row r="2514" spans="16374:16378" x14ac:dyDescent="0.2">
      <c r="XET2514" s="220">
        <v>44602</v>
      </c>
      <c r="XEU2514" s="221">
        <v>301.51666299999999</v>
      </c>
      <c r="XEV2514" s="198">
        <f t="shared" si="227"/>
        <v>-2.9452768178635846E-2</v>
      </c>
      <c r="XEW2514" s="221">
        <v>14185.639648</v>
      </c>
      <c r="XEX2514" s="198">
        <f t="shared" si="228"/>
        <v>-2.1029860972460068E-2</v>
      </c>
    </row>
    <row r="2515" spans="16374:16378" x14ac:dyDescent="0.2">
      <c r="XET2515" s="220">
        <v>44603</v>
      </c>
      <c r="XEU2515" s="221">
        <v>286.66665599999999</v>
      </c>
      <c r="XEV2515" s="198">
        <f t="shared" si="227"/>
        <v>-4.9251032603793488E-2</v>
      </c>
      <c r="XEW2515" s="221">
        <v>13791.150390999999</v>
      </c>
      <c r="XEX2515" s="198">
        <f t="shared" si="228"/>
        <v>-2.7809056679063415E-2</v>
      </c>
    </row>
    <row r="2516" spans="16374:16378" x14ac:dyDescent="0.2">
      <c r="XET2516" s="220">
        <v>44606</v>
      </c>
      <c r="XEU2516" s="221">
        <v>291.92001299999998</v>
      </c>
      <c r="XEV2516" s="198">
        <f t="shared" si="227"/>
        <v>1.8325664635373551E-2</v>
      </c>
      <c r="XEW2516" s="221">
        <v>13790.919921999999</v>
      </c>
      <c r="XEX2516" s="198">
        <f t="shared" si="228"/>
        <v>-1.671136877390289E-5</v>
      </c>
    </row>
    <row r="2517" spans="16374:16378" x14ac:dyDescent="0.2">
      <c r="XET2517" s="220">
        <v>44607</v>
      </c>
      <c r="XEU2517" s="221">
        <v>307.476654</v>
      </c>
      <c r="XEV2517" s="198">
        <f t="shared" si="227"/>
        <v>5.3290765645451099E-2</v>
      </c>
      <c r="XEW2517" s="221">
        <v>14139.759765999999</v>
      </c>
      <c r="XEX2517" s="198">
        <f t="shared" si="228"/>
        <v>2.5294893014606856E-2</v>
      </c>
    </row>
    <row r="2518" spans="16374:16378" x14ac:dyDescent="0.2">
      <c r="XET2518" s="220">
        <v>44608</v>
      </c>
      <c r="XEU2518" s="221">
        <v>307.79666099999997</v>
      </c>
      <c r="XEV2518" s="198">
        <f t="shared" si="227"/>
        <v>1.0407521866684366E-3</v>
      </c>
      <c r="XEW2518" s="221">
        <v>14124.089844</v>
      </c>
      <c r="XEX2518" s="198">
        <f t="shared" si="228"/>
        <v>-1.1082169894908178E-3</v>
      </c>
    </row>
    <row r="2519" spans="16374:16378" x14ac:dyDescent="0.2">
      <c r="XET2519" s="220">
        <v>44609</v>
      </c>
      <c r="XEU2519" s="221">
        <v>292.116669</v>
      </c>
      <c r="XEV2519" s="198">
        <f t="shared" si="227"/>
        <v>-5.0942696873504945E-2</v>
      </c>
      <c r="XEW2519" s="221">
        <v>13716.719727</v>
      </c>
      <c r="XEX2519" s="198">
        <f t="shared" si="228"/>
        <v>-2.8842220737717361E-2</v>
      </c>
    </row>
    <row r="2520" spans="16374:16378" x14ac:dyDescent="0.2">
      <c r="XET2520" s="220">
        <v>44610</v>
      </c>
      <c r="XEU2520" s="221">
        <v>285.66000400000001</v>
      </c>
      <c r="XEV2520" s="198">
        <f t="shared" si="227"/>
        <v>-2.2103035140387695E-2</v>
      </c>
      <c r="XEW2520" s="221">
        <v>13548.070313</v>
      </c>
      <c r="XEX2520" s="198">
        <f t="shared" si="228"/>
        <v>-1.2295170956072687E-2</v>
      </c>
    </row>
    <row r="2521" spans="16374:16378" x14ac:dyDescent="0.2">
      <c r="XET2521" s="220">
        <v>44614</v>
      </c>
      <c r="XEU2521" s="221">
        <v>273.843323</v>
      </c>
      <c r="XEV2521" s="198">
        <f t="shared" si="227"/>
        <v>-4.136624250694898E-2</v>
      </c>
      <c r="XEW2521" s="221">
        <v>13381.519531</v>
      </c>
      <c r="XEX2521" s="198">
        <f t="shared" si="228"/>
        <v>-1.2293321347778052E-2</v>
      </c>
    </row>
    <row r="2522" spans="16374:16378" x14ac:dyDescent="0.2">
      <c r="XET2522" s="220">
        <v>44615</v>
      </c>
      <c r="XEU2522" s="221">
        <v>254.679993</v>
      </c>
      <c r="XEV2522" s="198">
        <f t="shared" si="227"/>
        <v>-6.9979175647090774E-2</v>
      </c>
      <c r="XEW2522" s="221">
        <v>13037.490234000001</v>
      </c>
      <c r="XEX2522" s="198">
        <f t="shared" si="228"/>
        <v>-2.5709284823970169E-2</v>
      </c>
    </row>
    <row r="2523" spans="16374:16378" x14ac:dyDescent="0.2">
      <c r="XET2523" s="220">
        <v>44616</v>
      </c>
      <c r="XEU2523" s="221">
        <v>266.92334</v>
      </c>
      <c r="XEV2523" s="198">
        <f t="shared" si="227"/>
        <v>4.8073454281899464E-2</v>
      </c>
      <c r="XEW2523" s="221">
        <v>13473.589844</v>
      </c>
      <c r="XEX2523" s="198">
        <f t="shared" si="228"/>
        <v>3.3449659571955781E-2</v>
      </c>
    </row>
    <row r="2524" spans="16374:16378" x14ac:dyDescent="0.2">
      <c r="XET2524" s="220">
        <v>44617</v>
      </c>
      <c r="XEU2524" s="221">
        <v>269.95666499999999</v>
      </c>
      <c r="XEV2524" s="198">
        <f t="shared" si="227"/>
        <v>1.1364030586459739E-2</v>
      </c>
      <c r="XEW2524" s="221">
        <v>13694.620117</v>
      </c>
      <c r="XEX2524" s="198">
        <f t="shared" si="228"/>
        <v>1.6404705468930914E-2</v>
      </c>
    </row>
    <row r="2525" spans="16374:16378" x14ac:dyDescent="0.2">
      <c r="XET2525" s="220">
        <v>44620</v>
      </c>
      <c r="XEU2525" s="221">
        <v>290.14334100000002</v>
      </c>
      <c r="XEV2525" s="198">
        <f t="shared" si="227"/>
        <v>7.4777468450353046E-2</v>
      </c>
      <c r="XEW2525" s="221">
        <v>13751.400390999999</v>
      </c>
      <c r="XEX2525" s="198">
        <f t="shared" si="228"/>
        <v>4.1461737174814939E-3</v>
      </c>
    </row>
    <row r="2526" spans="16374:16378" x14ac:dyDescent="0.2">
      <c r="XET2526" s="220">
        <v>44621</v>
      </c>
      <c r="XEU2526" s="221">
        <v>288.12332199999997</v>
      </c>
      <c r="XEV2526" s="198">
        <f t="shared" si="227"/>
        <v>-6.9621415161137401E-3</v>
      </c>
      <c r="XEW2526" s="221">
        <v>13532.459961</v>
      </c>
      <c r="XEX2526" s="198">
        <f t="shared" si="228"/>
        <v>-1.5921318831156328E-2</v>
      </c>
    </row>
    <row r="2527" spans="16374:16378" x14ac:dyDescent="0.2">
      <c r="XET2527" s="220">
        <v>44622</v>
      </c>
      <c r="XEU2527" s="221">
        <v>293.29666099999997</v>
      </c>
      <c r="XEV2527" s="198">
        <f t="shared" si="227"/>
        <v>1.7955294156992929E-2</v>
      </c>
      <c r="XEW2527" s="221">
        <v>13752.019531</v>
      </c>
      <c r="XEX2527" s="198">
        <f t="shared" si="228"/>
        <v>1.6224660603671559E-2</v>
      </c>
    </row>
    <row r="2528" spans="16374:16378" x14ac:dyDescent="0.2">
      <c r="XET2528" s="220">
        <v>44623</v>
      </c>
      <c r="XEU2528" s="221">
        <v>279.76333599999998</v>
      </c>
      <c r="XEV2528" s="198">
        <f t="shared" si="227"/>
        <v>-4.6142103881639418E-2</v>
      </c>
      <c r="XEW2528" s="221">
        <v>13537.940430000001</v>
      </c>
      <c r="XEX2528" s="198">
        <f t="shared" si="228"/>
        <v>-1.5567102745703609E-2</v>
      </c>
    </row>
    <row r="2529" spans="16374:16378" x14ac:dyDescent="0.2">
      <c r="XET2529" s="220">
        <v>44624</v>
      </c>
      <c r="XEU2529" s="221">
        <v>279.42999300000002</v>
      </c>
      <c r="XEV2529" s="198">
        <f t="shared" si="227"/>
        <v>-1.1915178191896914E-3</v>
      </c>
      <c r="XEW2529" s="221">
        <v>13313.440430000001</v>
      </c>
      <c r="XEX2529" s="198">
        <f t="shared" si="228"/>
        <v>-1.6583024660273282E-2</v>
      </c>
    </row>
    <row r="2530" spans="16374:16378" x14ac:dyDescent="0.2">
      <c r="XET2530" s="220">
        <v>44627</v>
      </c>
      <c r="XEU2530" s="221">
        <v>268.19332900000001</v>
      </c>
      <c r="XEV2530" s="198">
        <f t="shared" si="227"/>
        <v>-4.0212805645383987E-2</v>
      </c>
      <c r="XEW2530" s="221">
        <v>12830.959961</v>
      </c>
      <c r="XEX2530" s="198">
        <f t="shared" si="228"/>
        <v>-3.6240104241785365E-2</v>
      </c>
    </row>
    <row r="2531" spans="16374:16378" x14ac:dyDescent="0.2">
      <c r="XET2531" s="220">
        <v>44628</v>
      </c>
      <c r="XEU2531" s="221">
        <v>274.79998799999998</v>
      </c>
      <c r="XEV2531" s="198">
        <f t="shared" si="227"/>
        <v>2.4633942330459568E-2</v>
      </c>
      <c r="XEW2531" s="221">
        <v>12795.549805000001</v>
      </c>
      <c r="XEX2531" s="198">
        <f t="shared" si="228"/>
        <v>-2.7597433167612095E-3</v>
      </c>
    </row>
    <row r="2532" spans="16374:16378" x14ac:dyDescent="0.2">
      <c r="XET2532" s="220">
        <v>44629</v>
      </c>
      <c r="XEU2532" s="221">
        <v>286.32333399999999</v>
      </c>
      <c r="XEV2532" s="198">
        <f t="shared" si="227"/>
        <v>4.1933575339166307E-2</v>
      </c>
      <c r="XEW2532" s="221">
        <v>13255.549805000001</v>
      </c>
      <c r="XEX2532" s="198">
        <f t="shared" si="228"/>
        <v>3.5949998789442494E-2</v>
      </c>
    </row>
    <row r="2533" spans="16374:16378" x14ac:dyDescent="0.2">
      <c r="XET2533" s="220">
        <v>44630</v>
      </c>
      <c r="XEU2533" s="221">
        <v>279.43331899999998</v>
      </c>
      <c r="XEV2533" s="198">
        <f t="shared" si="227"/>
        <v>-2.4063756536168324E-2</v>
      </c>
      <c r="XEW2533" s="221">
        <v>13129.959961</v>
      </c>
      <c r="XEX2533" s="198">
        <f t="shared" si="228"/>
        <v>-9.4745103633971928E-3</v>
      </c>
    </row>
    <row r="2534" spans="16374:16378" x14ac:dyDescent="0.2">
      <c r="XET2534" s="220">
        <v>44631</v>
      </c>
      <c r="XEU2534" s="221">
        <v>265.116669</v>
      </c>
      <c r="XEV2534" s="198">
        <f t="shared" si="227"/>
        <v>-5.1234584519965543E-2</v>
      </c>
      <c r="XEW2534" s="221">
        <v>12843.809569999999</v>
      </c>
      <c r="XEX2534" s="198">
        <f t="shared" si="228"/>
        <v>-2.1793698674630768E-2</v>
      </c>
    </row>
    <row r="2535" spans="16374:16378" x14ac:dyDescent="0.2">
      <c r="XET2535" s="220">
        <v>44634</v>
      </c>
      <c r="XEU2535" s="221">
        <v>255.45666499999999</v>
      </c>
      <c r="XEV2535" s="198">
        <f t="shared" si="227"/>
        <v>-3.643680360211532E-2</v>
      </c>
      <c r="XEW2535" s="221">
        <v>12581.219727</v>
      </c>
      <c r="XEX2535" s="198">
        <f t="shared" si="228"/>
        <v>-2.0444856455466676E-2</v>
      </c>
    </row>
    <row r="2536" spans="16374:16378" x14ac:dyDescent="0.2">
      <c r="XET2536" s="220">
        <v>44635</v>
      </c>
      <c r="XEU2536" s="221">
        <v>267.29666099999997</v>
      </c>
      <c r="XEV2536" s="198">
        <f t="shared" si="227"/>
        <v>4.6348354230647981E-2</v>
      </c>
      <c r="XEW2536" s="221">
        <v>12948.620117</v>
      </c>
      <c r="XEX2536" s="198">
        <f t="shared" si="228"/>
        <v>2.9202287057393805E-2</v>
      </c>
    </row>
    <row r="2537" spans="16374:16378" x14ac:dyDescent="0.2">
      <c r="XET2537" s="220">
        <v>44636</v>
      </c>
      <c r="XEU2537" s="221">
        <v>280.07666</v>
      </c>
      <c r="XEV2537" s="198">
        <f t="shared" si="227"/>
        <v>4.7812041318391341E-2</v>
      </c>
      <c r="XEW2537" s="221">
        <v>13436.549805000001</v>
      </c>
      <c r="XEX2537" s="198">
        <f t="shared" si="228"/>
        <v>3.7681983376700146E-2</v>
      </c>
    </row>
    <row r="2538" spans="16374:16378" x14ac:dyDescent="0.2">
      <c r="XET2538" s="220">
        <v>44637</v>
      </c>
      <c r="XEU2538" s="221">
        <v>290.53332499999999</v>
      </c>
      <c r="XEV2538" s="198">
        <f t="shared" si="227"/>
        <v>3.7335010350380449E-2</v>
      </c>
      <c r="XEW2538" s="221">
        <v>13614.780273</v>
      </c>
      <c r="XEX2538" s="198">
        <f t="shared" si="228"/>
        <v>1.3264600703796425E-2</v>
      </c>
    </row>
    <row r="2539" spans="16374:16378" x14ac:dyDescent="0.2">
      <c r="XET2539" s="220">
        <v>44638</v>
      </c>
      <c r="XEU2539" s="221">
        <v>301.79666099999997</v>
      </c>
      <c r="XEV2539" s="198">
        <f t="shared" si="227"/>
        <v>3.8767793677368934E-2</v>
      </c>
      <c r="XEW2539" s="221">
        <v>13893.839844</v>
      </c>
      <c r="XEX2539" s="198">
        <f t="shared" si="228"/>
        <v>2.0496810481283712E-2</v>
      </c>
    </row>
    <row r="2540" spans="16374:16378" x14ac:dyDescent="0.2">
      <c r="XET2540" s="220">
        <v>44641</v>
      </c>
      <c r="XEU2540" s="221">
        <v>307.05334499999998</v>
      </c>
      <c r="XEV2540" s="198">
        <f t="shared" si="227"/>
        <v>1.7417966065568891E-2</v>
      </c>
      <c r="XEW2540" s="221">
        <v>13838.459961</v>
      </c>
      <c r="XEX2540" s="198">
        <f t="shared" si="228"/>
        <v>-3.9859307161882462E-3</v>
      </c>
    </row>
    <row r="2541" spans="16374:16378" x14ac:dyDescent="0.2">
      <c r="XET2541" s="220">
        <v>44642</v>
      </c>
      <c r="XEU2541" s="221">
        <v>331.32666</v>
      </c>
      <c r="XEV2541" s="198">
        <f t="shared" si="227"/>
        <v>7.9052436312003094E-2</v>
      </c>
      <c r="XEW2541" s="221">
        <v>14108.820313</v>
      </c>
      <c r="XEX2541" s="198">
        <f t="shared" si="228"/>
        <v>1.9536881471055256E-2</v>
      </c>
    </row>
    <row r="2542" spans="16374:16378" x14ac:dyDescent="0.2">
      <c r="XET2542" s="220">
        <v>44643</v>
      </c>
      <c r="XEU2542" s="221">
        <v>333.03668199999998</v>
      </c>
      <c r="XEV2542" s="198">
        <f t="shared" si="227"/>
        <v>5.1611361428023361E-3</v>
      </c>
      <c r="XEW2542" s="221">
        <v>13922.599609000001</v>
      </c>
      <c r="XEX2542" s="198">
        <f t="shared" si="228"/>
        <v>-1.3198885510535163E-2</v>
      </c>
    </row>
    <row r="2543" spans="16374:16378" x14ac:dyDescent="0.2">
      <c r="XET2543" s="220">
        <v>44644</v>
      </c>
      <c r="XEU2543" s="221">
        <v>337.97332799999998</v>
      </c>
      <c r="XEV2543" s="198">
        <f t="shared" si="227"/>
        <v>1.4823129903750454E-2</v>
      </c>
      <c r="XEW2543" s="221">
        <v>14191.839844</v>
      </c>
      <c r="XEX2543" s="198">
        <f t="shared" si="228"/>
        <v>1.9338359398481497E-2</v>
      </c>
    </row>
    <row r="2544" spans="16374:16378" x14ac:dyDescent="0.2">
      <c r="XET2544" s="220">
        <v>44645</v>
      </c>
      <c r="XEU2544" s="221">
        <v>336.88000499999998</v>
      </c>
      <c r="XEV2544" s="198">
        <f t="shared" si="227"/>
        <v>-3.2349387049855904E-3</v>
      </c>
      <c r="XEW2544" s="221">
        <v>14169.299805000001</v>
      </c>
      <c r="XEX2544" s="198">
        <f t="shared" si="228"/>
        <v>-1.5882393859968369E-3</v>
      </c>
    </row>
    <row r="2545" spans="16374:16378" x14ac:dyDescent="0.2">
      <c r="XET2545" s="220">
        <v>44648</v>
      </c>
      <c r="XEU2545" s="221">
        <v>363.94665500000002</v>
      </c>
      <c r="XEV2545" s="198">
        <f t="shared" si="227"/>
        <v>8.0345077173695767E-2</v>
      </c>
      <c r="XEW2545" s="221">
        <v>14354.900390999999</v>
      </c>
      <c r="XEX2545" s="198">
        <f t="shared" si="228"/>
        <v>1.3098783182956097E-2</v>
      </c>
    </row>
    <row r="2546" spans="16374:16378" x14ac:dyDescent="0.2">
      <c r="XET2546" s="220">
        <v>44649</v>
      </c>
      <c r="XEU2546" s="221">
        <v>366.523346</v>
      </c>
      <c r="XEV2546" s="198">
        <f t="shared" si="227"/>
        <v>7.0798589974676585E-3</v>
      </c>
      <c r="XEW2546" s="221">
        <v>14619.639648</v>
      </c>
      <c r="XEX2546" s="198">
        <f t="shared" si="228"/>
        <v>1.8442430792900755E-2</v>
      </c>
    </row>
    <row r="2547" spans="16374:16378" x14ac:dyDescent="0.2">
      <c r="XET2547" s="220">
        <v>44650</v>
      </c>
      <c r="XEU2547" s="221">
        <v>364.66332999999997</v>
      </c>
      <c r="XEV2547" s="198">
        <f t="shared" si="227"/>
        <v>-5.0747545014500073E-3</v>
      </c>
      <c r="XEW2547" s="221">
        <v>14442.269531</v>
      </c>
      <c r="XEX2547" s="198">
        <f t="shared" si="228"/>
        <v>-1.2132317982561536E-2</v>
      </c>
    </row>
    <row r="2548" spans="16374:16378" x14ac:dyDescent="0.2">
      <c r="XET2548" s="220">
        <v>44651</v>
      </c>
      <c r="XEU2548" s="221">
        <v>359.20001200000002</v>
      </c>
      <c r="XEV2548" s="198">
        <f t="shared" si="227"/>
        <v>-1.4981813499042929E-2</v>
      </c>
      <c r="XEW2548" s="221">
        <v>14220.519531</v>
      </c>
      <c r="XEX2548" s="198">
        <f t="shared" si="228"/>
        <v>-1.535423497837507E-2</v>
      </c>
    </row>
    <row r="2549" spans="16374:16378" x14ac:dyDescent="0.2">
      <c r="XET2549" s="220">
        <v>44652</v>
      </c>
      <c r="XEU2549" s="221">
        <v>361.52999899999998</v>
      </c>
      <c r="XEV2549" s="198">
        <f t="shared" si="227"/>
        <v>6.4866005628083645E-3</v>
      </c>
      <c r="XEW2549" s="221">
        <v>14261.5</v>
      </c>
      <c r="XEX2549" s="198">
        <f t="shared" si="228"/>
        <v>2.8817842351445133E-3</v>
      </c>
    </row>
    <row r="2550" spans="16374:16378" x14ac:dyDescent="0.2">
      <c r="XET2550" s="220">
        <v>44655</v>
      </c>
      <c r="XEU2550" s="221">
        <v>381.81668100000002</v>
      </c>
      <c r="XEV2550" s="198">
        <f t="shared" si="227"/>
        <v>5.6113412596778822E-2</v>
      </c>
      <c r="XEW2550" s="221">
        <v>14532.549805000001</v>
      </c>
      <c r="XEX2550" s="198">
        <f t="shared" si="228"/>
        <v>1.9005701013217413E-2</v>
      </c>
    </row>
    <row r="2551" spans="16374:16378" x14ac:dyDescent="0.2">
      <c r="XET2551" s="220">
        <v>44656</v>
      </c>
      <c r="XEU2551" s="221">
        <v>363.75332600000002</v>
      </c>
      <c r="XEV2551" s="198">
        <f t="shared" si="227"/>
        <v>-4.7308972862817433E-2</v>
      </c>
      <c r="XEW2551" s="221">
        <v>14204.169921999999</v>
      </c>
      <c r="XEX2551" s="198">
        <f t="shared" si="228"/>
        <v>-2.2596164293689269E-2</v>
      </c>
    </row>
    <row r="2552" spans="16374:16378" x14ac:dyDescent="0.2">
      <c r="XET2552" s="220">
        <v>44657</v>
      </c>
      <c r="XEU2552" s="221">
        <v>348.58667000000003</v>
      </c>
      <c r="XEV2552" s="198">
        <f t="shared" si="227"/>
        <v>-4.1694892983603959E-2</v>
      </c>
      <c r="XEW2552" s="221">
        <v>13888.820313</v>
      </c>
      <c r="XEX2552" s="198">
        <f t="shared" si="228"/>
        <v>-2.2201199417614115E-2</v>
      </c>
    </row>
    <row r="2553" spans="16374:16378" x14ac:dyDescent="0.2">
      <c r="XET2553" s="220">
        <v>44658</v>
      </c>
      <c r="XEU2553" s="221">
        <v>352.42001299999998</v>
      </c>
      <c r="XEV2553" s="198">
        <f t="shared" si="227"/>
        <v>1.0996814651575537E-2</v>
      </c>
      <c r="XEW2553" s="221">
        <v>13897.299805000001</v>
      </c>
      <c r="XEX2553" s="198">
        <f t="shared" si="228"/>
        <v>6.1052643845238563E-4</v>
      </c>
    </row>
    <row r="2554" spans="16374:16378" x14ac:dyDescent="0.2">
      <c r="XET2554" s="220">
        <v>44659</v>
      </c>
      <c r="XEU2554" s="221">
        <v>341.82998700000002</v>
      </c>
      <c r="XEV2554" s="198">
        <f t="shared" si="227"/>
        <v>-3.0049445574476974E-2</v>
      </c>
      <c r="XEW2554" s="221">
        <v>13711</v>
      </c>
      <c r="XEX2554" s="198">
        <f t="shared" si="228"/>
        <v>-1.3405467796914983E-2</v>
      </c>
    </row>
    <row r="2555" spans="16374:16378" x14ac:dyDescent="0.2">
      <c r="XET2555" s="220">
        <v>44662</v>
      </c>
      <c r="XEU2555" s="221">
        <v>325.30999800000001</v>
      </c>
      <c r="XEV2555" s="198">
        <f t="shared" si="227"/>
        <v>-4.8328085973335044E-2</v>
      </c>
      <c r="XEW2555" s="221">
        <v>13411.959961</v>
      </c>
      <c r="XEX2555" s="198">
        <f t="shared" si="228"/>
        <v>-2.1810228210925486E-2</v>
      </c>
    </row>
    <row r="2556" spans="16374:16378" x14ac:dyDescent="0.2">
      <c r="XET2556" s="220">
        <v>44663</v>
      </c>
      <c r="XEU2556" s="221">
        <v>328.98333700000001</v>
      </c>
      <c r="XEV2556" s="198">
        <f t="shared" si="227"/>
        <v>1.1291810957497761E-2</v>
      </c>
      <c r="XEW2556" s="221">
        <v>13371.570313</v>
      </c>
      <c r="XEX2556" s="198">
        <f t="shared" si="228"/>
        <v>-3.0114649997052823E-3</v>
      </c>
    </row>
    <row r="2557" spans="16374:16378" x14ac:dyDescent="0.2">
      <c r="XET2557" s="220">
        <v>44664</v>
      </c>
      <c r="XEU2557" s="221">
        <v>340.790009</v>
      </c>
      <c r="XEV2557" s="198">
        <f t="shared" si="227"/>
        <v>3.5888358686081423E-2</v>
      </c>
      <c r="XEW2557" s="221">
        <v>13643.589844</v>
      </c>
      <c r="XEX2557" s="198">
        <f t="shared" si="228"/>
        <v>2.034312534972349E-2</v>
      </c>
    </row>
    <row r="2558" spans="16374:16378" x14ac:dyDescent="0.2">
      <c r="XET2558" s="220">
        <v>44665</v>
      </c>
      <c r="XEU2558" s="221">
        <v>328.33334400000001</v>
      </c>
      <c r="XEV2558" s="198">
        <f t="shared" si="227"/>
        <v>-3.6552318644998749E-2</v>
      </c>
      <c r="XEW2558" s="221">
        <v>13351.080078000001</v>
      </c>
      <c r="XEX2558" s="198">
        <f t="shared" si="228"/>
        <v>-2.1439354989745252E-2</v>
      </c>
    </row>
    <row r="2559" spans="16374:16378" x14ac:dyDescent="0.2">
      <c r="XET2559" s="220">
        <v>44669</v>
      </c>
      <c r="XEU2559" s="221">
        <v>334.76333599999998</v>
      </c>
      <c r="XEV2559" s="198">
        <f t="shared" si="227"/>
        <v>1.9583731343472577E-2</v>
      </c>
      <c r="XEW2559" s="221">
        <v>13332.360352</v>
      </c>
      <c r="XEX2559" s="198">
        <f t="shared" si="228"/>
        <v>-1.4021132290897853E-3</v>
      </c>
    </row>
    <row r="2560" spans="16374:16378" x14ac:dyDescent="0.2">
      <c r="XET2560" s="220">
        <v>44670</v>
      </c>
      <c r="XEU2560" s="221">
        <v>342.71667500000001</v>
      </c>
      <c r="XEV2560" s="198">
        <f t="shared" si="227"/>
        <v>2.3758094584169331E-2</v>
      </c>
      <c r="XEW2560" s="221">
        <v>13619.660156</v>
      </c>
      <c r="XEX2560" s="198">
        <f t="shared" si="228"/>
        <v>2.154905781232519E-2</v>
      </c>
    </row>
    <row r="2561" spans="16374:16378" x14ac:dyDescent="0.2">
      <c r="XET2561" s="220">
        <v>44671</v>
      </c>
      <c r="XEU2561" s="221">
        <v>325.73333700000001</v>
      </c>
      <c r="XEV2561" s="198">
        <f t="shared" si="227"/>
        <v>-4.9555038429338172E-2</v>
      </c>
      <c r="XEW2561" s="221">
        <v>13453.070313</v>
      </c>
      <c r="XEX2561" s="198">
        <f t="shared" si="228"/>
        <v>-1.2231571206026803E-2</v>
      </c>
    </row>
    <row r="2562" spans="16374:16378" x14ac:dyDescent="0.2">
      <c r="XET2562" s="220">
        <v>44672</v>
      </c>
      <c r="XEU2562" s="221">
        <v>336.26001000000002</v>
      </c>
      <c r="XEV2562" s="198">
        <f t="shared" si="227"/>
        <v>3.2316842657096556E-2</v>
      </c>
      <c r="XEW2562" s="221">
        <v>13174.650390999999</v>
      </c>
      <c r="XEX2562" s="198">
        <f t="shared" si="228"/>
        <v>-2.0695641628436068E-2</v>
      </c>
    </row>
    <row r="2563" spans="16374:16378" x14ac:dyDescent="0.2">
      <c r="XET2563" s="220">
        <v>44673</v>
      </c>
      <c r="XEU2563" s="221">
        <v>335.01666299999999</v>
      </c>
      <c r="XEV2563" s="198">
        <f t="shared" si="227"/>
        <v>-3.697576170297534E-3</v>
      </c>
      <c r="XEW2563" s="221">
        <v>12839.290039</v>
      </c>
      <c r="XEX2563" s="198">
        <f t="shared" si="228"/>
        <v>-2.5454971634700452E-2</v>
      </c>
    </row>
    <row r="2564" spans="16374:16378" x14ac:dyDescent="0.2">
      <c r="XET2564" s="220">
        <v>44676</v>
      </c>
      <c r="XEU2564" s="221">
        <v>332.67334</v>
      </c>
      <c r="XEV2564" s="198">
        <f t="shared" si="227"/>
        <v>-6.994646114065084E-3</v>
      </c>
      <c r="XEW2564" s="221">
        <v>13004.849609000001</v>
      </c>
      <c r="XEX2564" s="198">
        <f t="shared" si="228"/>
        <v>1.2894760496655611E-2</v>
      </c>
    </row>
    <row r="2565" spans="16374:16378" x14ac:dyDescent="0.2">
      <c r="XET2565" s="220">
        <v>44677</v>
      </c>
      <c r="XEU2565" s="221">
        <v>292.14001500000001</v>
      </c>
      <c r="XEV2565" s="198">
        <f t="shared" si="227"/>
        <v>-0.12184121817516247</v>
      </c>
      <c r="XEW2565" s="221">
        <v>12490.740234000001</v>
      </c>
      <c r="XEX2565" s="198">
        <f t="shared" si="228"/>
        <v>-3.9532127664453021E-2</v>
      </c>
    </row>
    <row r="2566" spans="16374:16378" x14ac:dyDescent="0.2">
      <c r="XET2566" s="220">
        <v>44678</v>
      </c>
      <c r="XEU2566" s="221">
        <v>293.83667000000003</v>
      </c>
      <c r="XEV2566" s="198">
        <f t="shared" si="227"/>
        <v>5.8076775275035519E-3</v>
      </c>
      <c r="XEW2566" s="221">
        <v>12488.929688</v>
      </c>
      <c r="XEX2566" s="198">
        <f t="shared" si="228"/>
        <v>-1.4495105702960753E-4</v>
      </c>
    </row>
    <row r="2567" spans="16374:16378" x14ac:dyDescent="0.2">
      <c r="XET2567" s="220">
        <v>44679</v>
      </c>
      <c r="XEU2567" s="221">
        <v>292.50332600000002</v>
      </c>
      <c r="XEV2567" s="198">
        <f t="shared" si="227"/>
        <v>-4.5377045690042639E-3</v>
      </c>
      <c r="XEW2567" s="221">
        <v>12871.530273</v>
      </c>
      <c r="XEX2567" s="198">
        <f t="shared" si="228"/>
        <v>3.0635178078360248E-2</v>
      </c>
    </row>
    <row r="2568" spans="16374:16378" x14ac:dyDescent="0.2">
      <c r="XET2568" s="220">
        <v>44680</v>
      </c>
      <c r="XEU2568" s="221">
        <v>290.25332600000002</v>
      </c>
      <c r="XEV2568" s="198">
        <f t="shared" si="227"/>
        <v>-7.6922202245317539E-3</v>
      </c>
      <c r="XEW2568" s="221">
        <v>12334.639648</v>
      </c>
      <c r="XEX2568" s="198">
        <f t="shared" si="228"/>
        <v>-4.1711483686303397E-2</v>
      </c>
    </row>
    <row r="2569" spans="16374:16378" x14ac:dyDescent="0.2">
      <c r="XET2569" s="220">
        <v>44683</v>
      </c>
      <c r="XEU2569" s="221">
        <v>300.98001099999999</v>
      </c>
      <c r="XEV2569" s="198">
        <f t="shared" si="227"/>
        <v>3.695628624768954E-2</v>
      </c>
      <c r="XEW2569" s="221">
        <v>12536.019531</v>
      </c>
      <c r="XEX2569" s="198">
        <f t="shared" si="228"/>
        <v>1.632636937493781E-2</v>
      </c>
    </row>
    <row r="2570" spans="16374:16378" x14ac:dyDescent="0.2">
      <c r="XET2570" s="220">
        <v>44684</v>
      </c>
      <c r="XEU2570" s="221">
        <v>303.08334400000001</v>
      </c>
      <c r="XEV2570" s="198">
        <f t="shared" si="227"/>
        <v>6.9882813579935643E-3</v>
      </c>
      <c r="XEW2570" s="221">
        <v>12563.759765999999</v>
      </c>
      <c r="XEX2570" s="198">
        <f t="shared" si="228"/>
        <v>2.2128423564913291E-3</v>
      </c>
    </row>
    <row r="2571" spans="16374:16378" x14ac:dyDescent="0.2">
      <c r="XET2571" s="220">
        <v>44685</v>
      </c>
      <c r="XEU2571" s="221">
        <v>317.540009</v>
      </c>
      <c r="XEV2571" s="198">
        <f t="shared" si="227"/>
        <v>4.7698645558035047E-2</v>
      </c>
      <c r="XEW2571" s="221">
        <v>12964.860352</v>
      </c>
      <c r="XEX2571" s="198">
        <f t="shared" si="228"/>
        <v>3.1925203400136493E-2</v>
      </c>
    </row>
    <row r="2572" spans="16374:16378" x14ac:dyDescent="0.2">
      <c r="XET2572" s="220">
        <v>44686</v>
      </c>
      <c r="XEU2572" s="221">
        <v>291.093323</v>
      </c>
      <c r="XEV2572" s="198">
        <f t="shared" ref="XEV2572:XEV2635" si="229">XEU2572/XEU2571-1</f>
        <v>-8.3286153714255295E-2</v>
      </c>
      <c r="XEW2572" s="221">
        <v>12317.690430000001</v>
      </c>
      <c r="XEX2572" s="198">
        <f t="shared" ref="XEX2572:XEX2635" si="230">XEW2572/XEW2571-1</f>
        <v>-4.9917230454407879E-2</v>
      </c>
    </row>
    <row r="2573" spans="16374:16378" x14ac:dyDescent="0.2">
      <c r="XET2573" s="220">
        <v>44687</v>
      </c>
      <c r="XEU2573" s="221">
        <v>288.54998799999998</v>
      </c>
      <c r="XEV2573" s="198">
        <f t="shared" si="229"/>
        <v>-8.7371808249961935E-3</v>
      </c>
      <c r="XEW2573" s="221">
        <v>12144.660156</v>
      </c>
      <c r="XEX2573" s="198">
        <f t="shared" si="230"/>
        <v>-1.4047298475579617E-2</v>
      </c>
    </row>
    <row r="2574" spans="16374:16378" x14ac:dyDescent="0.2">
      <c r="XET2574" s="220">
        <v>44690</v>
      </c>
      <c r="XEU2574" s="221">
        <v>262.36999500000002</v>
      </c>
      <c r="XEV2574" s="198">
        <f t="shared" si="229"/>
        <v>-9.0729489131013086E-2</v>
      </c>
      <c r="XEW2574" s="221">
        <v>11623.25</v>
      </c>
      <c r="XEX2574" s="198">
        <f t="shared" si="230"/>
        <v>-4.2933285024233436E-2</v>
      </c>
    </row>
    <row r="2575" spans="16374:16378" x14ac:dyDescent="0.2">
      <c r="XET2575" s="220">
        <v>44691</v>
      </c>
      <c r="XEU2575" s="221">
        <v>266.67999300000002</v>
      </c>
      <c r="XEV2575" s="198">
        <f t="shared" si="229"/>
        <v>1.6427175676090533E-2</v>
      </c>
      <c r="XEW2575" s="221">
        <v>11737.669921999999</v>
      </c>
      <c r="XEX2575" s="198">
        <f t="shared" si="230"/>
        <v>9.8440558363623865E-3</v>
      </c>
    </row>
    <row r="2576" spans="16374:16378" x14ac:dyDescent="0.2">
      <c r="XET2576" s="220">
        <v>44692</v>
      </c>
      <c r="XEU2576" s="221">
        <v>244.66667200000001</v>
      </c>
      <c r="XEV2576" s="198">
        <f t="shared" si="229"/>
        <v>-8.2545828625396833E-2</v>
      </c>
      <c r="XEW2576" s="221">
        <v>11364.240234000001</v>
      </c>
      <c r="XEX2576" s="198">
        <f t="shared" si="230"/>
        <v>-3.1814635313613393E-2</v>
      </c>
    </row>
    <row r="2577" spans="16374:16378" x14ac:dyDescent="0.2">
      <c r="XET2577" s="220">
        <v>44693</v>
      </c>
      <c r="XEU2577" s="221">
        <v>242.66667200000001</v>
      </c>
      <c r="XEV2577" s="198">
        <f t="shared" si="229"/>
        <v>-8.1743867427926942E-3</v>
      </c>
      <c r="XEW2577" s="221">
        <v>11370.959961</v>
      </c>
      <c r="XEX2577" s="198">
        <f t="shared" si="230"/>
        <v>5.913045537260242E-4</v>
      </c>
    </row>
    <row r="2578" spans="16374:16378" x14ac:dyDescent="0.2">
      <c r="XET2578" s="220">
        <v>44694</v>
      </c>
      <c r="XEU2578" s="221">
        <v>256.52999899999998</v>
      </c>
      <c r="XEV2578" s="198">
        <f t="shared" si="229"/>
        <v>5.7129093524635133E-2</v>
      </c>
      <c r="XEW2578" s="221">
        <v>11805</v>
      </c>
      <c r="XEX2578" s="198">
        <f t="shared" si="230"/>
        <v>3.8170923166440218E-2</v>
      </c>
    </row>
    <row r="2579" spans="16374:16378" x14ac:dyDescent="0.2">
      <c r="XET2579" s="220">
        <v>44697</v>
      </c>
      <c r="XEU2579" s="221">
        <v>241.45666499999999</v>
      </c>
      <c r="XEV2579" s="198">
        <f t="shared" si="229"/>
        <v>-5.8758562580433327E-2</v>
      </c>
      <c r="XEW2579" s="221">
        <v>11662.790039</v>
      </c>
      <c r="XEX2579" s="198">
        <f t="shared" si="230"/>
        <v>-1.2046587124100006E-2</v>
      </c>
    </row>
    <row r="2580" spans="16374:16378" x14ac:dyDescent="0.2">
      <c r="XET2580" s="220">
        <v>44698</v>
      </c>
      <c r="XEU2580" s="221">
        <v>253.86999499999999</v>
      </c>
      <c r="XEV2580" s="198">
        <f t="shared" si="229"/>
        <v>5.141017747428922E-2</v>
      </c>
      <c r="XEW2580" s="221">
        <v>11984.519531</v>
      </c>
      <c r="XEX2580" s="198">
        <f t="shared" si="230"/>
        <v>2.7585979934831029E-2</v>
      </c>
    </row>
    <row r="2581" spans="16374:16378" x14ac:dyDescent="0.2">
      <c r="XET2581" s="220">
        <v>44699</v>
      </c>
      <c r="XEU2581" s="221">
        <v>236.60333299999999</v>
      </c>
      <c r="XEV2581" s="198">
        <f t="shared" si="229"/>
        <v>-6.8013795801272203E-2</v>
      </c>
      <c r="XEW2581" s="221">
        <v>11418.150390999999</v>
      </c>
      <c r="XEX2581" s="198">
        <f t="shared" si="230"/>
        <v>-4.7258393507974228E-2</v>
      </c>
    </row>
    <row r="2582" spans="16374:16378" x14ac:dyDescent="0.2">
      <c r="XET2582" s="220">
        <v>44700</v>
      </c>
      <c r="XEU2582" s="221">
        <v>236.47332800000001</v>
      </c>
      <c r="XEV2582" s="198">
        <f t="shared" si="229"/>
        <v>-5.4946394182864289E-4</v>
      </c>
      <c r="XEW2582" s="221">
        <v>11388.5</v>
      </c>
      <c r="XEX2582" s="198">
        <f t="shared" si="230"/>
        <v>-2.5967770597390416E-3</v>
      </c>
    </row>
    <row r="2583" spans="16374:16378" x14ac:dyDescent="0.2">
      <c r="XET2583" s="220">
        <v>44701</v>
      </c>
      <c r="XEU2583" s="221">
        <v>221.300003</v>
      </c>
      <c r="XEV2583" s="198">
        <f t="shared" si="229"/>
        <v>-6.4165058817965304E-2</v>
      </c>
      <c r="XEW2583" s="221">
        <v>11354.620117</v>
      </c>
      <c r="XEX2583" s="198">
        <f t="shared" si="230"/>
        <v>-2.9749205777758192E-3</v>
      </c>
    </row>
    <row r="2584" spans="16374:16378" x14ac:dyDescent="0.2">
      <c r="XET2584" s="220">
        <v>44704</v>
      </c>
      <c r="XEU2584" s="221">
        <v>224.96665999999999</v>
      </c>
      <c r="XEV2584" s="198">
        <f t="shared" si="229"/>
        <v>1.6568716449588017E-2</v>
      </c>
      <c r="XEW2584" s="221">
        <v>11535.269531</v>
      </c>
      <c r="XEX2584" s="198">
        <f t="shared" si="230"/>
        <v>1.5909771717464549E-2</v>
      </c>
    </row>
    <row r="2585" spans="16374:16378" x14ac:dyDescent="0.2">
      <c r="XET2585" s="220">
        <v>44705</v>
      </c>
      <c r="XEU2585" s="221">
        <v>209.386673</v>
      </c>
      <c r="XEV2585" s="198">
        <f t="shared" si="229"/>
        <v>-6.92546486666068E-2</v>
      </c>
      <c r="XEW2585" s="221">
        <v>11264.450194999999</v>
      </c>
      <c r="XEX2585" s="198">
        <f t="shared" si="230"/>
        <v>-2.3477503951875422E-2</v>
      </c>
    </row>
    <row r="2586" spans="16374:16378" x14ac:dyDescent="0.2">
      <c r="XET2586" s="220">
        <v>44706</v>
      </c>
      <c r="XEU2586" s="221">
        <v>219.60000600000001</v>
      </c>
      <c r="XEV2586" s="198">
        <f t="shared" si="229"/>
        <v>4.8777378491514645E-2</v>
      </c>
      <c r="XEW2586" s="221">
        <v>11434.740234000001</v>
      </c>
      <c r="XEX2586" s="198">
        <f t="shared" si="230"/>
        <v>1.5117474537335918E-2</v>
      </c>
    </row>
    <row r="2587" spans="16374:16378" x14ac:dyDescent="0.2">
      <c r="XET2587" s="220">
        <v>44707</v>
      </c>
      <c r="XEU2587" s="221">
        <v>235.91000399999999</v>
      </c>
      <c r="XEV2587" s="198">
        <f t="shared" si="229"/>
        <v>7.427139141334993E-2</v>
      </c>
      <c r="XEW2587" s="221">
        <v>11740.650390999999</v>
      </c>
      <c r="XEX2587" s="198">
        <f t="shared" si="230"/>
        <v>2.6752698420765775E-2</v>
      </c>
    </row>
    <row r="2588" spans="16374:16378" x14ac:dyDescent="0.2">
      <c r="XET2588" s="220">
        <v>44708</v>
      </c>
      <c r="XEU2588" s="221">
        <v>253.21000699999999</v>
      </c>
      <c r="XEV2588" s="198">
        <f t="shared" si="229"/>
        <v>7.3333062212995515E-2</v>
      </c>
      <c r="XEW2588" s="221">
        <v>12131.129883</v>
      </c>
      <c r="XEX2588" s="198">
        <f t="shared" si="230"/>
        <v>3.3258761567359851E-2</v>
      </c>
    </row>
    <row r="2589" spans="16374:16378" x14ac:dyDescent="0.2">
      <c r="XET2589" s="220">
        <v>44712</v>
      </c>
      <c r="XEU2589" s="221">
        <v>252.75332599999999</v>
      </c>
      <c r="XEV2589" s="198">
        <f t="shared" si="229"/>
        <v>-1.8035661600056541E-3</v>
      </c>
      <c r="XEW2589" s="221">
        <v>12081.389648</v>
      </c>
      <c r="XEX2589" s="198">
        <f t="shared" si="230"/>
        <v>-4.1002145290441883E-3</v>
      </c>
    </row>
    <row r="2590" spans="16374:16378" x14ac:dyDescent="0.2">
      <c r="XET2590" s="220">
        <v>44713</v>
      </c>
      <c r="XEU2590" s="221">
        <v>246.78999300000001</v>
      </c>
      <c r="XEV2590" s="198">
        <f t="shared" si="229"/>
        <v>-2.3593489725235006E-2</v>
      </c>
      <c r="XEW2590" s="221">
        <v>11994.459961</v>
      </c>
      <c r="XEX2590" s="198">
        <f t="shared" si="230"/>
        <v>-7.1953384116197894E-3</v>
      </c>
    </row>
    <row r="2591" spans="16374:16378" x14ac:dyDescent="0.2">
      <c r="XET2591" s="220">
        <v>44714</v>
      </c>
      <c r="XEU2591" s="221">
        <v>258.33334400000001</v>
      </c>
      <c r="XEV2591" s="198">
        <f t="shared" si="229"/>
        <v>4.6773983254661422E-2</v>
      </c>
      <c r="XEW2591" s="221">
        <v>12316.900390999999</v>
      </c>
      <c r="XEX2591" s="198">
        <f t="shared" si="230"/>
        <v>2.6882446650237979E-2</v>
      </c>
    </row>
    <row r="2592" spans="16374:16378" x14ac:dyDescent="0.2">
      <c r="XET2592" s="220">
        <v>44715</v>
      </c>
      <c r="XEU2592" s="221">
        <v>234.51666299999999</v>
      </c>
      <c r="XEV2592" s="198">
        <f t="shared" si="229"/>
        <v>-9.2193600064264358E-2</v>
      </c>
      <c r="XEW2592" s="221">
        <v>12012.730469</v>
      </c>
      <c r="XEX2592" s="198">
        <f t="shared" si="230"/>
        <v>-2.4695330184066222E-2</v>
      </c>
    </row>
    <row r="2593" spans="16374:16378" x14ac:dyDescent="0.2">
      <c r="XET2593" s="220">
        <v>44718</v>
      </c>
      <c r="XEU2593" s="221">
        <v>238.279999</v>
      </c>
      <c r="XEV2593" s="198">
        <f t="shared" si="229"/>
        <v>1.604720087629774E-2</v>
      </c>
      <c r="XEW2593" s="221">
        <v>12061.370117</v>
      </c>
      <c r="XEX2593" s="198">
        <f t="shared" si="230"/>
        <v>4.0490085185478364E-3</v>
      </c>
    </row>
    <row r="2594" spans="16374:16378" x14ac:dyDescent="0.2">
      <c r="XET2594" s="220">
        <v>44719</v>
      </c>
      <c r="XEU2594" s="221">
        <v>238.886673</v>
      </c>
      <c r="XEV2594" s="198">
        <f t="shared" si="229"/>
        <v>2.5460550719575981E-3</v>
      </c>
      <c r="XEW2594" s="221">
        <v>12175.230469</v>
      </c>
      <c r="XEX2594" s="198">
        <f t="shared" si="230"/>
        <v>9.4400844096076408E-3</v>
      </c>
    </row>
    <row r="2595" spans="16374:16378" x14ac:dyDescent="0.2">
      <c r="XET2595" s="220">
        <v>44720</v>
      </c>
      <c r="XEU2595" s="221">
        <v>241.866669</v>
      </c>
      <c r="XEV2595" s="198">
        <f t="shared" si="229"/>
        <v>1.2474517571769317E-2</v>
      </c>
      <c r="XEW2595" s="221">
        <v>12086.269531</v>
      </c>
      <c r="XEX2595" s="198">
        <f t="shared" si="230"/>
        <v>-7.306714909956602E-3</v>
      </c>
    </row>
    <row r="2596" spans="16374:16378" x14ac:dyDescent="0.2">
      <c r="XET2596" s="220">
        <v>44721</v>
      </c>
      <c r="XEU2596" s="221">
        <v>239.70666499999999</v>
      </c>
      <c r="XEV2596" s="198">
        <f t="shared" si="229"/>
        <v>-8.93055669444065E-3</v>
      </c>
      <c r="XEW2596" s="221">
        <v>11754.230469</v>
      </c>
      <c r="XEX2596" s="198">
        <f t="shared" si="230"/>
        <v>-2.7472419107347767E-2</v>
      </c>
    </row>
    <row r="2597" spans="16374:16378" x14ac:dyDescent="0.2">
      <c r="XET2597" s="220">
        <v>44722</v>
      </c>
      <c r="XEU2597" s="221">
        <v>232.229996</v>
      </c>
      <c r="XEV2597" s="198">
        <f t="shared" si="229"/>
        <v>-3.1190909939863287E-2</v>
      </c>
      <c r="XEW2597" s="221">
        <v>11340.019531</v>
      </c>
      <c r="XEX2597" s="198">
        <f t="shared" si="230"/>
        <v>-3.5239307166251232E-2</v>
      </c>
    </row>
    <row r="2598" spans="16374:16378" x14ac:dyDescent="0.2">
      <c r="XET2598" s="220">
        <v>44725</v>
      </c>
      <c r="XEU2598" s="221">
        <v>215.73666399999999</v>
      </c>
      <c r="XEV2598" s="198">
        <f t="shared" si="229"/>
        <v>-7.1021540214813661E-2</v>
      </c>
      <c r="XEW2598" s="221">
        <v>10809.230469</v>
      </c>
      <c r="XEX2598" s="198">
        <f t="shared" si="230"/>
        <v>-4.6806714975136665E-2</v>
      </c>
    </row>
    <row r="2599" spans="16374:16378" x14ac:dyDescent="0.2">
      <c r="XET2599" s="220">
        <v>44726</v>
      </c>
      <c r="XEU2599" s="221">
        <v>220.88999899999999</v>
      </c>
      <c r="XEV2599" s="198">
        <f t="shared" si="229"/>
        <v>2.3887154387443488E-2</v>
      </c>
      <c r="XEW2599" s="221">
        <v>10828.349609000001</v>
      </c>
      <c r="XEX2599" s="198">
        <f t="shared" si="230"/>
        <v>1.7687790129772285E-3</v>
      </c>
    </row>
    <row r="2600" spans="16374:16378" x14ac:dyDescent="0.2">
      <c r="XET2600" s="220">
        <v>44727</v>
      </c>
      <c r="XEU2600" s="221">
        <v>233</v>
      </c>
      <c r="XEV2600" s="198">
        <f t="shared" si="229"/>
        <v>5.4823672664329193E-2</v>
      </c>
      <c r="XEW2600" s="221">
        <v>11099.150390999999</v>
      </c>
      <c r="XEX2600" s="198">
        <f t="shared" si="230"/>
        <v>2.5008500074186868E-2</v>
      </c>
    </row>
    <row r="2601" spans="16374:16378" x14ac:dyDescent="0.2">
      <c r="XET2601" s="220">
        <v>44728</v>
      </c>
      <c r="XEU2601" s="221">
        <v>213.10000600000001</v>
      </c>
      <c r="XEV2601" s="198">
        <f t="shared" si="229"/>
        <v>-8.5407699570815399E-2</v>
      </c>
      <c r="XEW2601" s="221">
        <v>10646.099609000001</v>
      </c>
      <c r="XEX2601" s="198">
        <f t="shared" si="230"/>
        <v>-4.0818510069686509E-2</v>
      </c>
    </row>
    <row r="2602" spans="16374:16378" x14ac:dyDescent="0.2">
      <c r="XET2602" s="220">
        <v>44729</v>
      </c>
      <c r="XEU2602" s="221">
        <v>216.759995</v>
      </c>
      <c r="XEV2602" s="198">
        <f t="shared" si="229"/>
        <v>1.7174983092210772E-2</v>
      </c>
      <c r="XEW2602" s="221">
        <v>10798.349609000001</v>
      </c>
      <c r="XEX2602" s="198">
        <f t="shared" si="230"/>
        <v>1.4301012163298932E-2</v>
      </c>
    </row>
    <row r="2603" spans="16374:16378" x14ac:dyDescent="0.2">
      <c r="XET2603" s="220">
        <v>44733</v>
      </c>
      <c r="XEU2603" s="221">
        <v>237.03666699999999</v>
      </c>
      <c r="XEV2603" s="198">
        <f t="shared" si="229"/>
        <v>9.3544346132689249E-2</v>
      </c>
      <c r="XEW2603" s="221">
        <v>11069.299805000001</v>
      </c>
      <c r="XEX2603" s="198">
        <f t="shared" si="230"/>
        <v>2.5091815491338876E-2</v>
      </c>
    </row>
    <row r="2604" spans="16374:16378" x14ac:dyDescent="0.2">
      <c r="XET2604" s="220">
        <v>44734</v>
      </c>
      <c r="XEU2604" s="221">
        <v>236.08667</v>
      </c>
      <c r="XEV2604" s="198">
        <f t="shared" si="229"/>
        <v>-4.0078061003110399E-3</v>
      </c>
      <c r="XEW2604" s="221">
        <v>11053.080078000001</v>
      </c>
      <c r="XEX2604" s="198">
        <f t="shared" si="230"/>
        <v>-1.4652893395002975E-3</v>
      </c>
    </row>
    <row r="2605" spans="16374:16378" x14ac:dyDescent="0.2">
      <c r="XET2605" s="220">
        <v>44735</v>
      </c>
      <c r="XEU2605" s="221">
        <v>235.070007</v>
      </c>
      <c r="XEV2605" s="198">
        <f t="shared" si="229"/>
        <v>-4.3063125927439438E-3</v>
      </c>
      <c r="XEW2605" s="221">
        <v>11232.190430000001</v>
      </c>
      <c r="XEX2605" s="198">
        <f t="shared" si="230"/>
        <v>1.620456476710963E-2</v>
      </c>
    </row>
    <row r="2606" spans="16374:16378" x14ac:dyDescent="0.2">
      <c r="XET2606" s="220">
        <v>44736</v>
      </c>
      <c r="XEU2606" s="221">
        <v>245.70666499999999</v>
      </c>
      <c r="XEV2606" s="198">
        <f t="shared" si="229"/>
        <v>4.5248894726071853E-2</v>
      </c>
      <c r="XEW2606" s="221">
        <v>11607.620117</v>
      </c>
      <c r="XEX2606" s="198">
        <f t="shared" si="230"/>
        <v>3.3424441059801246E-2</v>
      </c>
    </row>
    <row r="2607" spans="16374:16378" x14ac:dyDescent="0.2">
      <c r="XET2607" s="220">
        <v>44739</v>
      </c>
      <c r="XEU2607" s="221">
        <v>244.91999799999999</v>
      </c>
      <c r="XEV2607" s="198">
        <f t="shared" si="229"/>
        <v>-3.2016510419039523E-3</v>
      </c>
      <c r="XEW2607" s="221">
        <v>11524.549805000001</v>
      </c>
      <c r="XEX2607" s="198">
        <f t="shared" si="230"/>
        <v>-7.1565326193212542E-3</v>
      </c>
    </row>
    <row r="2608" spans="16374:16378" x14ac:dyDescent="0.2">
      <c r="XET2608" s="220">
        <v>44740</v>
      </c>
      <c r="XEU2608" s="221">
        <v>232.66333</v>
      </c>
      <c r="XEV2608" s="198">
        <f t="shared" si="229"/>
        <v>-5.0043557488515078E-2</v>
      </c>
      <c r="XEW2608" s="221">
        <v>11181.540039</v>
      </c>
      <c r="XEX2608" s="198">
        <f t="shared" si="230"/>
        <v>-2.976339829354413E-2</v>
      </c>
    </row>
    <row r="2609" spans="16374:16378" x14ac:dyDescent="0.2">
      <c r="XET2609" s="220">
        <v>44741</v>
      </c>
      <c r="XEU2609" s="221">
        <v>228.490005</v>
      </c>
      <c r="XEV2609" s="198">
        <f t="shared" si="229"/>
        <v>-1.7937184170793041E-2</v>
      </c>
      <c r="XEW2609" s="221">
        <v>11177.889648</v>
      </c>
      <c r="XEX2609" s="198">
        <f t="shared" si="230"/>
        <v>-3.2646585240203585E-4</v>
      </c>
    </row>
    <row r="2610" spans="16374:16378" x14ac:dyDescent="0.2">
      <c r="XET2610" s="220">
        <v>44742</v>
      </c>
      <c r="XEU2610" s="221">
        <v>224.47332800000001</v>
      </c>
      <c r="XEV2610" s="198">
        <f t="shared" si="229"/>
        <v>-1.7579224089036116E-2</v>
      </c>
      <c r="XEW2610" s="221">
        <v>11028.740234000001</v>
      </c>
      <c r="XEX2610" s="198">
        <f t="shared" si="230"/>
        <v>-1.3343253395482035E-2</v>
      </c>
    </row>
    <row r="2611" spans="16374:16378" x14ac:dyDescent="0.2">
      <c r="XET2611" s="220">
        <v>44743</v>
      </c>
      <c r="XEU2611" s="221">
        <v>227.26333600000001</v>
      </c>
      <c r="XEV2611" s="198">
        <f t="shared" si="229"/>
        <v>1.24291292193075E-2</v>
      </c>
      <c r="XEW2611" s="221">
        <v>11127.849609000001</v>
      </c>
      <c r="XEX2611" s="198">
        <f t="shared" si="230"/>
        <v>8.9864638115657591E-3</v>
      </c>
    </row>
    <row r="2612" spans="16374:16378" x14ac:dyDescent="0.2">
      <c r="XET2612" s="220">
        <v>44747</v>
      </c>
      <c r="XEU2612" s="221">
        <v>233.066666</v>
      </c>
      <c r="XEV2612" s="198">
        <f t="shared" si="229"/>
        <v>2.5535707176277622E-2</v>
      </c>
      <c r="XEW2612" s="221">
        <v>11322.240234000001</v>
      </c>
      <c r="XEX2612" s="198">
        <f t="shared" si="230"/>
        <v>1.74688400571823E-2</v>
      </c>
    </row>
    <row r="2613" spans="16374:16378" x14ac:dyDescent="0.2">
      <c r="XET2613" s="220">
        <v>44748</v>
      </c>
      <c r="XEU2613" s="221">
        <v>231.73333700000001</v>
      </c>
      <c r="XEV2613" s="198">
        <f t="shared" si="229"/>
        <v>-5.7208052223134409E-3</v>
      </c>
      <c r="XEW2613" s="221">
        <v>11361.849609000001</v>
      </c>
      <c r="XEX2613" s="198">
        <f t="shared" si="230"/>
        <v>3.4983690666672285E-3</v>
      </c>
    </row>
    <row r="2614" spans="16374:16378" x14ac:dyDescent="0.2">
      <c r="XET2614" s="220">
        <v>44749</v>
      </c>
      <c r="XEU2614" s="221">
        <v>244.54333500000001</v>
      </c>
      <c r="XEV2614" s="198">
        <f t="shared" si="229"/>
        <v>5.5279046881373084E-2</v>
      </c>
      <c r="XEW2614" s="221">
        <v>11621.349609000001</v>
      </c>
      <c r="XEX2614" s="198">
        <f t="shared" si="230"/>
        <v>2.283959116959644E-2</v>
      </c>
    </row>
    <row r="2615" spans="16374:16378" x14ac:dyDescent="0.2">
      <c r="XET2615" s="220">
        <v>44750</v>
      </c>
      <c r="XEU2615" s="221">
        <v>250.76333600000001</v>
      </c>
      <c r="XEV2615" s="198">
        <f t="shared" si="229"/>
        <v>2.5435168781026141E-2</v>
      </c>
      <c r="XEW2615" s="221">
        <v>11635.309569999999</v>
      </c>
      <c r="XEX2615" s="198">
        <f t="shared" si="230"/>
        <v>1.201234062280232E-3</v>
      </c>
    </row>
    <row r="2616" spans="16374:16378" x14ac:dyDescent="0.2">
      <c r="XET2616" s="220">
        <v>44753</v>
      </c>
      <c r="XEU2616" s="221">
        <v>234.34333799999999</v>
      </c>
      <c r="XEV2616" s="198">
        <f t="shared" si="229"/>
        <v>-6.5480058855174939E-2</v>
      </c>
      <c r="XEW2616" s="221">
        <v>11372.599609000001</v>
      </c>
      <c r="XEX2616" s="198">
        <f t="shared" si="230"/>
        <v>-2.2578682536935624E-2</v>
      </c>
    </row>
    <row r="2617" spans="16374:16378" x14ac:dyDescent="0.2">
      <c r="XET2617" s="220">
        <v>44754</v>
      </c>
      <c r="XEU2617" s="221">
        <v>233.070007</v>
      </c>
      <c r="XEV2617" s="198">
        <f t="shared" si="229"/>
        <v>-5.4336129666292532E-3</v>
      </c>
      <c r="XEW2617" s="221">
        <v>11264.730469</v>
      </c>
      <c r="XEX2617" s="198">
        <f t="shared" si="230"/>
        <v>-9.4850028760913307E-3</v>
      </c>
    </row>
    <row r="2618" spans="16374:16378" x14ac:dyDescent="0.2">
      <c r="XET2618" s="220">
        <v>44755</v>
      </c>
      <c r="XEU2618" s="221">
        <v>237.03999300000001</v>
      </c>
      <c r="XEV2618" s="198">
        <f t="shared" si="229"/>
        <v>1.7033448666777584E-2</v>
      </c>
      <c r="XEW2618" s="221">
        <v>11247.580078000001</v>
      </c>
      <c r="XEX2618" s="198">
        <f t="shared" si="230"/>
        <v>-1.5224856952588128E-3</v>
      </c>
    </row>
    <row r="2619" spans="16374:16378" x14ac:dyDescent="0.2">
      <c r="XET2619" s="220">
        <v>44756</v>
      </c>
      <c r="XEU2619" s="221">
        <v>238.31333900000001</v>
      </c>
      <c r="XEV2619" s="198">
        <f t="shared" si="229"/>
        <v>5.3718614478697191E-3</v>
      </c>
      <c r="XEW2619" s="221">
        <v>11251.190430000001</v>
      </c>
      <c r="XEX2619" s="198">
        <f t="shared" si="230"/>
        <v>3.2098922390089157E-4</v>
      </c>
    </row>
    <row r="2620" spans="16374:16378" x14ac:dyDescent="0.2">
      <c r="XET2620" s="220">
        <v>44757</v>
      </c>
      <c r="XEU2620" s="221">
        <v>240.066666</v>
      </c>
      <c r="XEV2620" s="198">
        <f t="shared" si="229"/>
        <v>7.357233998555035E-3</v>
      </c>
      <c r="XEW2620" s="221">
        <v>11452.419921999999</v>
      </c>
      <c r="XEX2620" s="198">
        <f t="shared" si="230"/>
        <v>1.7885173418044964E-2</v>
      </c>
    </row>
    <row r="2621" spans="16374:16378" x14ac:dyDescent="0.2">
      <c r="XET2621" s="220">
        <v>44760</v>
      </c>
      <c r="XEU2621" s="221">
        <v>240.546661</v>
      </c>
      <c r="XEV2621" s="198">
        <f t="shared" si="229"/>
        <v>1.9994237767271272E-3</v>
      </c>
      <c r="XEW2621" s="221">
        <v>11360.049805000001</v>
      </c>
      <c r="XEX2621" s="198">
        <f t="shared" si="230"/>
        <v>-8.0655544967013215E-3</v>
      </c>
    </row>
    <row r="2622" spans="16374:16378" x14ac:dyDescent="0.2">
      <c r="XET2622" s="220">
        <v>44761</v>
      </c>
      <c r="XEU2622" s="221">
        <v>245.529999</v>
      </c>
      <c r="XEV2622" s="198">
        <f t="shared" si="229"/>
        <v>2.0716720736356331E-2</v>
      </c>
      <c r="XEW2622" s="221">
        <v>11713.150390999999</v>
      </c>
      <c r="XEX2622" s="198">
        <f t="shared" si="230"/>
        <v>3.1082661789439081E-2</v>
      </c>
    </row>
    <row r="2623" spans="16374:16378" x14ac:dyDescent="0.2">
      <c r="XET2623" s="220">
        <v>44762</v>
      </c>
      <c r="XEU2623" s="221">
        <v>247.5</v>
      </c>
      <c r="XEV2623" s="198">
        <f t="shared" si="229"/>
        <v>8.0234635605564986E-3</v>
      </c>
      <c r="XEW2623" s="221">
        <v>11897.650390999999</v>
      </c>
      <c r="XEX2623" s="198">
        <f t="shared" si="230"/>
        <v>1.5751526603958288E-2</v>
      </c>
    </row>
    <row r="2624" spans="16374:16378" x14ac:dyDescent="0.2">
      <c r="XET2624" s="220">
        <v>44763</v>
      </c>
      <c r="XEU2624" s="221">
        <v>271.70666499999999</v>
      </c>
      <c r="XEV2624" s="198">
        <f t="shared" si="229"/>
        <v>9.7804707070707098E-2</v>
      </c>
      <c r="XEW2624" s="221">
        <v>12059.610352</v>
      </c>
      <c r="XEX2624" s="198">
        <f t="shared" si="230"/>
        <v>1.3612768544830844E-2</v>
      </c>
    </row>
    <row r="2625" spans="16374:16378" x14ac:dyDescent="0.2">
      <c r="XET2625" s="220">
        <v>44764</v>
      </c>
      <c r="XEU2625" s="221">
        <v>272.24334700000003</v>
      </c>
      <c r="XEV2625" s="198">
        <f t="shared" si="229"/>
        <v>1.9752257457505973E-3</v>
      </c>
      <c r="XEW2625" s="221">
        <v>11834.110352</v>
      </c>
      <c r="XEX2625" s="198">
        <f t="shared" si="230"/>
        <v>-1.8698779928872478E-2</v>
      </c>
    </row>
    <row r="2626" spans="16374:16378" x14ac:dyDescent="0.2">
      <c r="XET2626" s="220">
        <v>44767</v>
      </c>
      <c r="XEU2626" s="221">
        <v>268.43331899999998</v>
      </c>
      <c r="XEV2626" s="198">
        <f t="shared" si="229"/>
        <v>-1.3994935200381753E-2</v>
      </c>
      <c r="XEW2626" s="221">
        <v>11782.669921999999</v>
      </c>
      <c r="XEX2626" s="198">
        <f t="shared" si="230"/>
        <v>-4.3467931656819836E-3</v>
      </c>
    </row>
    <row r="2627" spans="16374:16378" x14ac:dyDescent="0.2">
      <c r="XET2627" s="220">
        <v>44768</v>
      </c>
      <c r="XEU2627" s="221">
        <v>258.85998499999999</v>
      </c>
      <c r="XEV2627" s="198">
        <f t="shared" si="229"/>
        <v>-3.5663732191159148E-2</v>
      </c>
      <c r="XEW2627" s="221">
        <v>11562.570313</v>
      </c>
      <c r="XEX2627" s="198">
        <f t="shared" si="230"/>
        <v>-1.8679943549045674E-2</v>
      </c>
    </row>
    <row r="2628" spans="16374:16378" x14ac:dyDescent="0.2">
      <c r="XET2628" s="220">
        <v>44769</v>
      </c>
      <c r="XEU2628" s="221">
        <v>274.82000699999998</v>
      </c>
      <c r="XEV2628" s="198">
        <f t="shared" si="229"/>
        <v>6.1655037181586714E-2</v>
      </c>
      <c r="XEW2628" s="221">
        <v>12032.419921999999</v>
      </c>
      <c r="XEX2628" s="198">
        <f t="shared" si="230"/>
        <v>4.0635394750571985E-2</v>
      </c>
    </row>
    <row r="2629" spans="16374:16378" x14ac:dyDescent="0.2">
      <c r="XET2629" s="220">
        <v>44770</v>
      </c>
      <c r="XEU2629" s="221">
        <v>280.89999399999999</v>
      </c>
      <c r="XEV2629" s="198">
        <f t="shared" si="229"/>
        <v>2.2123523925243305E-2</v>
      </c>
      <c r="XEW2629" s="221">
        <v>12162.589844</v>
      </c>
      <c r="XEX2629" s="198">
        <f t="shared" si="230"/>
        <v>1.0818266221078288E-2</v>
      </c>
    </row>
    <row r="2630" spans="16374:16378" x14ac:dyDescent="0.2">
      <c r="XET2630" s="220">
        <v>44771</v>
      </c>
      <c r="XEU2630" s="221">
        <v>297.14999399999999</v>
      </c>
      <c r="XEV2630" s="198">
        <f t="shared" si="229"/>
        <v>5.7849769836591847E-2</v>
      </c>
      <c r="XEW2630" s="221">
        <v>12390.690430000001</v>
      </c>
      <c r="XEX2630" s="198">
        <f t="shared" si="230"/>
        <v>1.8754277577857081E-2</v>
      </c>
    </row>
    <row r="2631" spans="16374:16378" x14ac:dyDescent="0.2">
      <c r="XET2631" s="220">
        <v>44774</v>
      </c>
      <c r="XEU2631" s="221">
        <v>297.27667200000002</v>
      </c>
      <c r="XEV2631" s="198">
        <f t="shared" si="229"/>
        <v>4.2630995308057251E-4</v>
      </c>
      <c r="XEW2631" s="221">
        <v>12368.980469</v>
      </c>
      <c r="XEX2631" s="198">
        <f t="shared" si="230"/>
        <v>-1.7521187477524958E-3</v>
      </c>
    </row>
    <row r="2632" spans="16374:16378" x14ac:dyDescent="0.2">
      <c r="XET2632" s="220">
        <v>44775</v>
      </c>
      <c r="XEU2632" s="221">
        <v>300.58667000000003</v>
      </c>
      <c r="XEV2632" s="198">
        <f t="shared" si="229"/>
        <v>1.1134402096643514E-2</v>
      </c>
      <c r="XEW2632" s="221">
        <v>12348.759765999999</v>
      </c>
      <c r="XEX2632" s="198">
        <f t="shared" si="230"/>
        <v>-1.6347914082878168E-3</v>
      </c>
    </row>
    <row r="2633" spans="16374:16378" x14ac:dyDescent="0.2">
      <c r="XET2633" s="220">
        <v>44776</v>
      </c>
      <c r="XEU2633" s="221">
        <v>307.39666699999998</v>
      </c>
      <c r="XEV2633" s="198">
        <f t="shared" si="229"/>
        <v>2.2655685297022554E-2</v>
      </c>
      <c r="XEW2633" s="221">
        <v>12668.160156</v>
      </c>
      <c r="XEX2633" s="198">
        <f t="shared" si="230"/>
        <v>2.5864977216530693E-2</v>
      </c>
    </row>
    <row r="2634" spans="16374:16378" x14ac:dyDescent="0.2">
      <c r="XET2634" s="220">
        <v>44777</v>
      </c>
      <c r="XEU2634" s="221">
        <v>308.633331</v>
      </c>
      <c r="XEV2634" s="198">
        <f t="shared" si="229"/>
        <v>4.0230234506739571E-3</v>
      </c>
      <c r="XEW2634" s="221">
        <v>12720.580078000001</v>
      </c>
      <c r="XEX2634" s="198">
        <f t="shared" si="230"/>
        <v>4.1379270039598737E-3</v>
      </c>
    </row>
    <row r="2635" spans="16374:16378" x14ac:dyDescent="0.2">
      <c r="XET2635" s="220">
        <v>44778</v>
      </c>
      <c r="XEU2635" s="221">
        <v>288.17001299999998</v>
      </c>
      <c r="XEV2635" s="198">
        <f t="shared" si="229"/>
        <v>-6.6303007305455353E-2</v>
      </c>
      <c r="XEW2635" s="221">
        <v>12657.549805000001</v>
      </c>
      <c r="XEX2635" s="198">
        <f t="shared" si="230"/>
        <v>-4.9549841763120162E-3</v>
      </c>
    </row>
    <row r="2636" spans="16374:16378" x14ac:dyDescent="0.2">
      <c r="XET2636" s="220">
        <v>44781</v>
      </c>
      <c r="XEU2636" s="221">
        <v>290.42334</v>
      </c>
      <c r="XEV2636" s="198">
        <f t="shared" ref="XEV2636:XEV2655" si="231">XEU2636/XEU2635-1</f>
        <v>7.819436091013543E-3</v>
      </c>
      <c r="XEW2636" s="221">
        <v>12644.459961</v>
      </c>
      <c r="XEX2636" s="198">
        <f t="shared" ref="XEX2636:XEX2655" si="232">XEW2636/XEW2635-1</f>
        <v>-1.0341530708281033E-3</v>
      </c>
    </row>
    <row r="2637" spans="16374:16378" x14ac:dyDescent="0.2">
      <c r="XET2637" s="220">
        <v>44782</v>
      </c>
      <c r="XEU2637" s="221">
        <v>283.33334400000001</v>
      </c>
      <c r="XEV2637" s="198">
        <f t="shared" si="231"/>
        <v>-2.4412624687809137E-2</v>
      </c>
      <c r="XEW2637" s="221">
        <v>12493.929688</v>
      </c>
      <c r="XEX2637" s="198">
        <f t="shared" si="232"/>
        <v>-1.1904840021977114E-2</v>
      </c>
    </row>
    <row r="2638" spans="16374:16378" x14ac:dyDescent="0.2">
      <c r="XET2638" s="220">
        <v>44783</v>
      </c>
      <c r="XEU2638" s="221">
        <v>294.35665899999998</v>
      </c>
      <c r="XEV2638" s="198">
        <f t="shared" si="231"/>
        <v>3.8905816182369213E-2</v>
      </c>
      <c r="XEW2638" s="221">
        <v>12854.799805000001</v>
      </c>
      <c r="XEX2638" s="198">
        <f t="shared" si="232"/>
        <v>2.8883635974564781E-2</v>
      </c>
    </row>
    <row r="2639" spans="16374:16378" x14ac:dyDescent="0.2">
      <c r="XET2639" s="220">
        <v>44784</v>
      </c>
      <c r="XEU2639" s="221">
        <v>286.63000499999998</v>
      </c>
      <c r="XEV2639" s="198">
        <f t="shared" si="231"/>
        <v>-2.6249292359307508E-2</v>
      </c>
      <c r="XEW2639" s="221">
        <v>12779.910156</v>
      </c>
      <c r="XEX2639" s="198">
        <f t="shared" si="232"/>
        <v>-5.8258121585738065E-3</v>
      </c>
    </row>
    <row r="2640" spans="16374:16378" x14ac:dyDescent="0.2">
      <c r="XET2640" s="220">
        <v>44785</v>
      </c>
      <c r="XEU2640" s="221">
        <v>300.02999899999998</v>
      </c>
      <c r="XEV2640" s="198">
        <f t="shared" si="231"/>
        <v>4.6750143970447189E-2</v>
      </c>
      <c r="XEW2640" s="221">
        <v>13047.190430000001</v>
      </c>
      <c r="XEX2640" s="198">
        <f t="shared" si="232"/>
        <v>2.0914096479349276E-2</v>
      </c>
    </row>
    <row r="2641" spans="16374:16378" x14ac:dyDescent="0.2">
      <c r="XET2641" s="220">
        <v>44788</v>
      </c>
      <c r="XEU2641" s="221">
        <v>309.32000699999998</v>
      </c>
      <c r="XEV2641" s="198">
        <f t="shared" si="231"/>
        <v>3.0963597076837601E-2</v>
      </c>
      <c r="XEW2641" s="221">
        <v>13128.049805000001</v>
      </c>
      <c r="XEX2641" s="198">
        <f t="shared" si="232"/>
        <v>6.1974549565917414E-3</v>
      </c>
    </row>
    <row r="2642" spans="16374:16378" x14ac:dyDescent="0.2">
      <c r="XET2642" s="220">
        <v>44789</v>
      </c>
      <c r="XEU2642" s="221">
        <v>306.56332400000002</v>
      </c>
      <c r="XEV2642" s="198">
        <f t="shared" si="231"/>
        <v>-8.9120746722339828E-3</v>
      </c>
      <c r="XEW2642" s="221">
        <v>13102.549805000001</v>
      </c>
      <c r="XEX2642" s="198">
        <f t="shared" si="232"/>
        <v>-1.9424057936074934E-3</v>
      </c>
    </row>
    <row r="2643" spans="16374:16378" x14ac:dyDescent="0.2">
      <c r="XET2643" s="220">
        <v>44790</v>
      </c>
      <c r="XEU2643" s="221">
        <v>303.99667399999998</v>
      </c>
      <c r="XEV2643" s="198">
        <f t="shared" si="231"/>
        <v>-8.3723322363246089E-3</v>
      </c>
      <c r="XEW2643" s="221">
        <v>12938.120117</v>
      </c>
      <c r="XEX2643" s="198">
        <f t="shared" si="232"/>
        <v>-1.2549441936656747E-2</v>
      </c>
    </row>
    <row r="2644" spans="16374:16378" x14ac:dyDescent="0.2">
      <c r="XET2644" s="220">
        <v>44791</v>
      </c>
      <c r="XEU2644" s="221">
        <v>302.86999500000002</v>
      </c>
      <c r="XEV2644" s="198">
        <f t="shared" si="231"/>
        <v>-3.7062214700414042E-3</v>
      </c>
      <c r="XEW2644" s="221">
        <v>12965.339844</v>
      </c>
      <c r="XEX2644" s="198">
        <f t="shared" si="232"/>
        <v>2.1038394105055147E-3</v>
      </c>
    </row>
    <row r="2645" spans="16374:16378" x14ac:dyDescent="0.2">
      <c r="XET2645" s="220">
        <v>44792</v>
      </c>
      <c r="XEU2645" s="221">
        <v>296.66665599999999</v>
      </c>
      <c r="XEV2645" s="198">
        <f t="shared" si="231"/>
        <v>-2.0481853938684291E-2</v>
      </c>
      <c r="XEW2645" s="221">
        <v>12705.219727</v>
      </c>
      <c r="XEX2645" s="198">
        <f t="shared" si="232"/>
        <v>-2.0062730335632217E-2</v>
      </c>
    </row>
    <row r="2646" spans="16374:16378" x14ac:dyDescent="0.2">
      <c r="XET2646" s="220">
        <v>44795</v>
      </c>
      <c r="XEU2646" s="221">
        <v>289.91332999999997</v>
      </c>
      <c r="XEV2646" s="198">
        <f t="shared" si="231"/>
        <v>-2.2764021043200855E-2</v>
      </c>
      <c r="XEW2646" s="221">
        <v>12381.570313</v>
      </c>
      <c r="XEX2646" s="198">
        <f t="shared" si="232"/>
        <v>-2.5473736067091246E-2</v>
      </c>
    </row>
    <row r="2647" spans="16374:16378" x14ac:dyDescent="0.2">
      <c r="XET2647" s="220">
        <v>44796</v>
      </c>
      <c r="XEU2647" s="221">
        <v>296.45333900000003</v>
      </c>
      <c r="XEV2647" s="198">
        <f t="shared" si="231"/>
        <v>2.255849705151558E-2</v>
      </c>
      <c r="XEW2647" s="221">
        <v>12381.299805000001</v>
      </c>
      <c r="XEX2647" s="198">
        <f t="shared" si="232"/>
        <v>-2.1847632663773986E-5</v>
      </c>
    </row>
    <row r="2648" spans="16374:16378" x14ac:dyDescent="0.2">
      <c r="XET2648" s="220">
        <v>44797</v>
      </c>
      <c r="XEU2648" s="221">
        <v>297.09667999999999</v>
      </c>
      <c r="XEV2648" s="198">
        <f t="shared" si="231"/>
        <v>2.1701256668926749E-3</v>
      </c>
      <c r="XEW2648" s="221">
        <v>12431.530273</v>
      </c>
      <c r="XEX2648" s="198">
        <f t="shared" si="232"/>
        <v>4.0569624184139119E-3</v>
      </c>
    </row>
    <row r="2649" spans="16374:16378" x14ac:dyDescent="0.2">
      <c r="XET2649" s="220">
        <v>44798</v>
      </c>
      <c r="XEU2649" s="221">
        <v>296.07000699999998</v>
      </c>
      <c r="XEV2649" s="198">
        <f t="shared" si="231"/>
        <v>-3.4556865462112007E-3</v>
      </c>
      <c r="XEW2649" s="221">
        <v>12639.269531</v>
      </c>
      <c r="XEX2649" s="198">
        <f t="shared" si="232"/>
        <v>1.6710674666592595E-2</v>
      </c>
    </row>
    <row r="2650" spans="16374:16378" x14ac:dyDescent="0.2">
      <c r="XET2650" s="220">
        <v>44799</v>
      </c>
      <c r="XEU2650" s="221">
        <v>288.08999599999999</v>
      </c>
      <c r="XEV2650" s="198">
        <f t="shared" si="231"/>
        <v>-2.6953121935110458E-2</v>
      </c>
      <c r="XEW2650" s="221">
        <v>12141.709961</v>
      </c>
      <c r="XEX2650" s="198">
        <f t="shared" si="232"/>
        <v>-3.936616501291057E-2</v>
      </c>
    </row>
    <row r="2651" spans="16374:16378" x14ac:dyDescent="0.2">
      <c r="XET2651" s="220">
        <v>44802</v>
      </c>
      <c r="XEU2651" s="221">
        <v>284.82000699999998</v>
      </c>
      <c r="XEV2651" s="198">
        <f t="shared" si="231"/>
        <v>-1.1350581573127627E-2</v>
      </c>
      <c r="XEW2651" s="221">
        <v>12017.669921999999</v>
      </c>
      <c r="XEX2651" s="198">
        <f t="shared" si="232"/>
        <v>-1.0216027182203047E-2</v>
      </c>
    </row>
    <row r="2652" spans="16374:16378" x14ac:dyDescent="0.2">
      <c r="XET2652" s="220">
        <v>44803</v>
      </c>
      <c r="XEU2652" s="221">
        <v>277.70001200000002</v>
      </c>
      <c r="XEV2652" s="198">
        <f t="shared" si="231"/>
        <v>-2.4998226335974927E-2</v>
      </c>
      <c r="XEW2652" s="221">
        <v>11883.139648</v>
      </c>
      <c r="XEX2652" s="198">
        <f t="shared" si="232"/>
        <v>-1.1194372525885621E-2</v>
      </c>
    </row>
    <row r="2653" spans="16374:16378" x14ac:dyDescent="0.2">
      <c r="XET2653" s="220">
        <v>44804</v>
      </c>
      <c r="XEU2653" s="221">
        <v>275.60998499999999</v>
      </c>
      <c r="XEV2653" s="198">
        <f t="shared" si="231"/>
        <v>-7.526204212047416E-3</v>
      </c>
      <c r="XEW2653" s="221">
        <v>11816.200194999999</v>
      </c>
      <c r="XEX2653" s="198">
        <f t="shared" si="232"/>
        <v>-5.6331453624940409E-3</v>
      </c>
    </row>
    <row r="2654" spans="16374:16378" x14ac:dyDescent="0.2">
      <c r="XET2654" s="220">
        <v>44805</v>
      </c>
      <c r="XEU2654" s="221">
        <v>277.16000400000001</v>
      </c>
      <c r="XEV2654" s="198">
        <f t="shared" si="231"/>
        <v>5.6239580724914973E-3</v>
      </c>
      <c r="XEW2654" s="221">
        <v>11785.129883</v>
      </c>
      <c r="XEX2654" s="198">
        <f t="shared" si="232"/>
        <v>-2.6294672980530231E-3</v>
      </c>
    </row>
    <row r="2655" spans="16374:16378" x14ac:dyDescent="0.2">
      <c r="XET2655" s="220">
        <v>44806</v>
      </c>
      <c r="XEU2655" s="221">
        <v>270.209991</v>
      </c>
      <c r="XEV2655" s="198">
        <f t="shared" si="231"/>
        <v>-2.5075815051583072E-2</v>
      </c>
      <c r="XEW2655" s="221">
        <v>11630.860352</v>
      </c>
      <c r="XEX2655" s="198">
        <f t="shared" si="232"/>
        <v>-1.3090185049426828E-2</v>
      </c>
    </row>
  </sheetData>
  <mergeCells count="3">
    <mergeCell ref="AC42:AD43"/>
    <mergeCell ref="XEU137:XEV137"/>
    <mergeCell ref="XEW137:XEX137"/>
  </mergeCells>
  <phoneticPr fontId="15" type="noConversion"/>
  <printOptions horizontalCentered="1"/>
  <pageMargins left="0.11811023622047245" right="0.11811023622047245" top="0.11811023622047245" bottom="0.19685039370078741" header="0.11811023622047245" footer="0.11811023622047245"/>
  <pageSetup scale="80" orientation="landscape" r:id="rId1"/>
  <headerFooter>
    <oddFooter>&amp;Lir.tesla.com&amp;CPage &amp;P of &amp;N&amp;R&amp;D  &amp;T</oddFooter>
  </headerFooter>
  <rowBreaks count="2" manualBreakCount="2">
    <brk id="36" max="14" man="1"/>
    <brk id="86" max="14" man="1"/>
  </rowBreaks>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173CB-AE2C-423B-9C3C-C4900A98123B}">
  <dimension ref="B1:S149"/>
  <sheetViews>
    <sheetView showGridLines="0" zoomScaleNormal="100" workbookViewId="0">
      <selection activeCell="XER2644" sqref="XER2644"/>
    </sheetView>
  </sheetViews>
  <sheetFormatPr baseColWidth="10" defaultColWidth="9.1640625" defaultRowHeight="14" x14ac:dyDescent="0.2"/>
  <cols>
    <col min="1" max="2" width="1.1640625" style="1" customWidth="1"/>
    <col min="3" max="3" width="4.6640625" style="1" customWidth="1"/>
    <col min="4" max="9" width="13.6640625" style="1" customWidth="1"/>
    <col min="10" max="12" width="13.33203125" style="1" customWidth="1"/>
    <col min="13" max="13" width="13.6640625" style="1" customWidth="1"/>
    <col min="14" max="15" width="13.33203125" style="1" customWidth="1"/>
    <col min="16" max="16" width="1.1640625" style="1" customWidth="1"/>
    <col min="17" max="17" width="9.1640625" style="1"/>
    <col min="18" max="19" width="12.6640625" style="1" customWidth="1"/>
    <col min="20" max="16384" width="9.1640625" style="1"/>
  </cols>
  <sheetData>
    <row r="1" spans="2:19" ht="6" customHeight="1" x14ac:dyDescent="0.2"/>
    <row r="2" spans="2:19" ht="20" customHeight="1" x14ac:dyDescent="0.25">
      <c r="B2" s="2" t="str">
        <f>'Cover Page'!$C$18</f>
        <v>Tesla, Inc.</v>
      </c>
      <c r="C2" s="3"/>
      <c r="D2" s="3"/>
      <c r="E2" s="3"/>
      <c r="F2" s="3"/>
      <c r="G2" s="3"/>
      <c r="H2" s="3"/>
      <c r="I2" s="3"/>
      <c r="J2" s="3"/>
      <c r="K2" s="3"/>
      <c r="L2" s="3"/>
      <c r="M2" s="3"/>
      <c r="N2" s="3"/>
      <c r="O2" s="3"/>
    </row>
    <row r="3" spans="2:19" ht="15" customHeight="1" x14ac:dyDescent="0.2">
      <c r="B3" s="4" t="str">
        <f ca="1">RIGHT(CELL("filename",A1),LEN(CELL("filename",A1))-FIND("]",CELL("filename",A1)))</f>
        <v>Glossary</v>
      </c>
      <c r="C3" s="4"/>
      <c r="D3" s="4"/>
      <c r="E3" s="4"/>
      <c r="F3" s="4"/>
      <c r="G3" s="4"/>
      <c r="H3" s="4"/>
      <c r="I3" s="4"/>
      <c r="J3" s="4"/>
      <c r="K3" s="4"/>
      <c r="L3" s="4"/>
      <c r="M3" s="4"/>
      <c r="N3" s="4"/>
      <c r="O3" s="4"/>
    </row>
    <row r="4" spans="2:19" ht="15" customHeight="1" thickBot="1" x14ac:dyDescent="0.25">
      <c r="B4" s="5"/>
      <c r="C4" s="5"/>
      <c r="D4" s="5"/>
      <c r="E4" s="5"/>
      <c r="F4" s="5"/>
      <c r="G4" s="5"/>
      <c r="H4" s="5"/>
      <c r="I4" s="5"/>
      <c r="J4" s="5"/>
      <c r="K4" s="5"/>
      <c r="L4" s="5"/>
      <c r="M4" s="5"/>
      <c r="N4" s="5"/>
      <c r="O4" s="5"/>
    </row>
    <row r="5" spans="2:19" ht="15" customHeight="1" x14ac:dyDescent="0.2"/>
    <row r="6" spans="2:19" ht="15" customHeight="1" x14ac:dyDescent="0.2"/>
    <row r="7" spans="2:19" ht="15" customHeight="1" x14ac:dyDescent="0.2">
      <c r="C7" s="30" t="s">
        <v>246</v>
      </c>
      <c r="E7" s="12"/>
      <c r="F7" s="12"/>
      <c r="G7" s="12"/>
      <c r="H7" s="12"/>
      <c r="I7" s="12"/>
      <c r="J7" s="12"/>
      <c r="K7" s="12"/>
      <c r="L7" s="12"/>
      <c r="M7" s="12"/>
      <c r="N7" s="12"/>
      <c r="O7" s="12"/>
      <c r="P7" s="12"/>
      <c r="Q7" s="12"/>
      <c r="R7" s="12"/>
      <c r="S7" s="12"/>
    </row>
    <row r="8" spans="2:19" ht="15" customHeight="1" x14ac:dyDescent="0.2">
      <c r="E8" s="12"/>
      <c r="F8" s="12"/>
      <c r="G8" s="12"/>
      <c r="H8" s="12"/>
      <c r="I8" s="12"/>
      <c r="J8" s="12"/>
      <c r="K8" s="12"/>
      <c r="L8" s="12"/>
      <c r="M8" s="12"/>
      <c r="N8" s="12"/>
      <c r="O8" s="12"/>
      <c r="P8" s="12"/>
      <c r="Q8" s="12"/>
      <c r="R8" s="12"/>
      <c r="S8" s="12"/>
    </row>
    <row r="9" spans="2:19" ht="15" customHeight="1" x14ac:dyDescent="0.2">
      <c r="C9" s="79" t="s">
        <v>262</v>
      </c>
      <c r="E9" s="311" t="s">
        <v>263</v>
      </c>
      <c r="F9" s="311"/>
      <c r="G9" s="311"/>
      <c r="H9" s="311"/>
      <c r="I9" s="311"/>
      <c r="J9" s="311"/>
      <c r="K9" s="311"/>
      <c r="L9" s="311"/>
      <c r="M9" s="311"/>
      <c r="N9" s="311"/>
      <c r="O9" s="311"/>
      <c r="P9" s="12"/>
      <c r="Q9" s="12"/>
      <c r="R9" s="12"/>
      <c r="S9" s="12"/>
    </row>
    <row r="10" spans="2:19" ht="15" customHeight="1" x14ac:dyDescent="0.2">
      <c r="C10" s="79"/>
      <c r="E10" s="311"/>
      <c r="F10" s="311"/>
      <c r="G10" s="311"/>
      <c r="H10" s="311"/>
      <c r="I10" s="311"/>
      <c r="J10" s="311"/>
      <c r="K10" s="311"/>
      <c r="L10" s="311"/>
      <c r="M10" s="311"/>
      <c r="N10" s="311"/>
      <c r="O10" s="311"/>
      <c r="P10" s="12"/>
      <c r="Q10" s="12"/>
      <c r="R10" s="12"/>
      <c r="S10" s="12"/>
    </row>
    <row r="11" spans="2:19" ht="15" customHeight="1" x14ac:dyDescent="0.2">
      <c r="E11" s="12"/>
      <c r="F11" s="12"/>
      <c r="G11" s="12"/>
      <c r="H11" s="12"/>
      <c r="I11" s="12"/>
      <c r="J11" s="12"/>
      <c r="K11" s="12"/>
      <c r="L11" s="12"/>
      <c r="M11" s="12"/>
      <c r="N11" s="12"/>
      <c r="O11" s="12"/>
      <c r="P11" s="12"/>
      <c r="Q11" s="12"/>
      <c r="R11" s="12"/>
      <c r="S11" s="12"/>
    </row>
    <row r="12" spans="2:19" ht="15" customHeight="1" x14ac:dyDescent="0.2">
      <c r="C12" s="19" t="s">
        <v>264</v>
      </c>
      <c r="E12" s="12" t="s">
        <v>265</v>
      </c>
      <c r="F12" s="12"/>
      <c r="G12" s="12"/>
      <c r="H12" s="12"/>
      <c r="I12" s="12"/>
      <c r="J12" s="12"/>
      <c r="K12" s="12"/>
      <c r="L12" s="12"/>
      <c r="M12" s="12"/>
      <c r="N12" s="12"/>
      <c r="O12" s="12"/>
      <c r="P12" s="12"/>
      <c r="Q12" s="12"/>
      <c r="R12" s="12"/>
      <c r="S12" s="12"/>
    </row>
    <row r="13" spans="2:19" ht="15" customHeight="1" x14ac:dyDescent="0.2">
      <c r="E13" s="12"/>
      <c r="F13" s="12"/>
      <c r="G13" s="12"/>
      <c r="H13" s="12"/>
      <c r="I13" s="12"/>
      <c r="J13" s="12"/>
      <c r="K13" s="12"/>
      <c r="L13" s="12"/>
      <c r="M13" s="12"/>
      <c r="N13" s="12"/>
      <c r="O13" s="12"/>
      <c r="P13" s="12"/>
      <c r="Q13" s="12"/>
      <c r="R13" s="12"/>
      <c r="S13" s="12"/>
    </row>
    <row r="14" spans="2:19" ht="15" customHeight="1" x14ac:dyDescent="0.2">
      <c r="C14" s="19" t="s">
        <v>266</v>
      </c>
      <c r="E14" s="311" t="s">
        <v>267</v>
      </c>
      <c r="F14" s="311"/>
      <c r="G14" s="311"/>
      <c r="H14" s="311"/>
      <c r="I14" s="311"/>
      <c r="J14" s="311"/>
      <c r="K14" s="311"/>
      <c r="L14" s="311"/>
      <c r="M14" s="311"/>
      <c r="N14" s="311"/>
      <c r="O14" s="311"/>
      <c r="P14" s="12"/>
      <c r="Q14" s="12"/>
      <c r="R14" s="12"/>
      <c r="S14" s="12"/>
    </row>
    <row r="15" spans="2:19" ht="15" customHeight="1" x14ac:dyDescent="0.2">
      <c r="E15" s="311"/>
      <c r="F15" s="311"/>
      <c r="G15" s="311"/>
      <c r="H15" s="311"/>
      <c r="I15" s="311"/>
      <c r="J15" s="311"/>
      <c r="K15" s="311"/>
      <c r="L15" s="311"/>
      <c r="M15" s="311"/>
      <c r="N15" s="311"/>
      <c r="O15" s="311"/>
      <c r="P15" s="12"/>
      <c r="Q15" s="12"/>
      <c r="R15" s="12"/>
      <c r="S15" s="12"/>
    </row>
    <row r="16" spans="2:19" ht="15" customHeight="1" x14ac:dyDescent="0.2">
      <c r="E16" s="12"/>
      <c r="F16" s="12"/>
      <c r="G16" s="12"/>
      <c r="H16" s="12"/>
      <c r="I16" s="12"/>
      <c r="J16" s="12"/>
      <c r="K16" s="12"/>
      <c r="L16" s="12"/>
      <c r="M16" s="12"/>
      <c r="N16" s="12"/>
      <c r="O16" s="12"/>
      <c r="P16" s="12"/>
      <c r="Q16" s="12"/>
      <c r="R16" s="12"/>
      <c r="S16" s="12"/>
    </row>
    <row r="17" spans="3:19" ht="15" customHeight="1" x14ac:dyDescent="0.2">
      <c r="C17" s="19" t="s">
        <v>268</v>
      </c>
      <c r="E17" s="312" t="s">
        <v>269</v>
      </c>
      <c r="F17" s="313"/>
      <c r="G17" s="313"/>
      <c r="H17" s="313"/>
      <c r="I17" s="313"/>
      <c r="J17" s="313"/>
      <c r="K17" s="313"/>
      <c r="L17" s="313"/>
      <c r="M17" s="313"/>
      <c r="N17" s="313"/>
      <c r="O17" s="313"/>
      <c r="P17" s="12"/>
      <c r="Q17" s="12"/>
      <c r="R17" s="12"/>
      <c r="S17" s="12"/>
    </row>
    <row r="18" spans="3:19" ht="15" customHeight="1" x14ac:dyDescent="0.2">
      <c r="E18" s="313"/>
      <c r="F18" s="313"/>
      <c r="G18" s="313"/>
      <c r="H18" s="313"/>
      <c r="I18" s="313"/>
      <c r="J18" s="313"/>
      <c r="K18" s="313"/>
      <c r="L18" s="313"/>
      <c r="M18" s="313"/>
      <c r="N18" s="313"/>
      <c r="O18" s="313"/>
      <c r="P18" s="12"/>
      <c r="Q18" s="12"/>
      <c r="R18" s="12"/>
      <c r="S18" s="12"/>
    </row>
    <row r="19" spans="3:19" ht="15" customHeight="1" x14ac:dyDescent="0.2">
      <c r="E19" s="12"/>
      <c r="F19" s="12"/>
      <c r="G19" s="12"/>
      <c r="H19" s="12"/>
      <c r="I19" s="12"/>
      <c r="J19" s="12"/>
      <c r="K19" s="12"/>
      <c r="L19" s="12"/>
      <c r="M19" s="12"/>
      <c r="N19" s="12"/>
      <c r="O19" s="12"/>
      <c r="P19" s="12"/>
      <c r="Q19" s="12"/>
      <c r="R19" s="12"/>
      <c r="S19" s="12"/>
    </row>
    <row r="20" spans="3:19" ht="15" customHeight="1" x14ac:dyDescent="0.2">
      <c r="C20" s="19" t="s">
        <v>247</v>
      </c>
      <c r="E20" s="12"/>
      <c r="F20" s="12"/>
      <c r="G20" s="12"/>
      <c r="H20" s="12"/>
      <c r="I20" s="12"/>
      <c r="J20" s="12"/>
      <c r="K20" s="12"/>
      <c r="L20" s="12"/>
      <c r="M20" s="12"/>
      <c r="N20" s="12"/>
      <c r="O20" s="12"/>
      <c r="P20" s="12"/>
      <c r="Q20" s="12"/>
      <c r="R20" s="12"/>
      <c r="S20" s="12"/>
    </row>
    <row r="21" spans="3:19" ht="15" customHeight="1" x14ac:dyDescent="0.2">
      <c r="E21" s="312" t="s">
        <v>272</v>
      </c>
      <c r="F21" s="312"/>
      <c r="G21" s="312"/>
      <c r="H21" s="312"/>
      <c r="I21" s="312"/>
      <c r="J21" s="312"/>
      <c r="K21" s="312"/>
      <c r="L21" s="312"/>
      <c r="M21" s="312"/>
      <c r="N21" s="312"/>
      <c r="O21" s="312"/>
      <c r="P21" s="12"/>
      <c r="Q21" s="12"/>
      <c r="R21" s="12"/>
      <c r="S21" s="12"/>
    </row>
    <row r="22" spans="3:19" ht="15" customHeight="1" x14ac:dyDescent="0.2">
      <c r="E22" s="312"/>
      <c r="F22" s="312"/>
      <c r="G22" s="312"/>
      <c r="H22" s="312"/>
      <c r="I22" s="312"/>
      <c r="J22" s="312"/>
      <c r="K22" s="312"/>
      <c r="L22" s="312"/>
      <c r="M22" s="312"/>
      <c r="N22" s="312"/>
      <c r="O22" s="312"/>
      <c r="P22" s="12"/>
      <c r="Q22" s="12"/>
      <c r="R22" s="12"/>
      <c r="S22" s="12"/>
    </row>
    <row r="23" spans="3:19" ht="15" customHeight="1" x14ac:dyDescent="0.2">
      <c r="E23" s="312"/>
      <c r="F23" s="312"/>
      <c r="G23" s="312"/>
      <c r="H23" s="312"/>
      <c r="I23" s="312"/>
      <c r="J23" s="312"/>
      <c r="K23" s="312"/>
      <c r="L23" s="312"/>
      <c r="M23" s="312"/>
      <c r="N23" s="312"/>
      <c r="O23" s="312"/>
      <c r="P23" s="12"/>
      <c r="Q23" s="12"/>
      <c r="R23" s="12"/>
      <c r="S23" s="12"/>
    </row>
    <row r="24" spans="3:19" ht="15" customHeight="1" x14ac:dyDescent="0.2">
      <c r="E24" s="12"/>
      <c r="F24" s="12"/>
      <c r="G24" s="12"/>
      <c r="H24" s="12"/>
      <c r="I24" s="12"/>
      <c r="J24" s="12"/>
      <c r="K24" s="12"/>
      <c r="L24" s="12"/>
      <c r="M24" s="12"/>
      <c r="N24" s="12"/>
      <c r="O24" s="12"/>
      <c r="P24" s="12"/>
      <c r="Q24" s="12"/>
      <c r="R24" s="12"/>
      <c r="S24" s="12"/>
    </row>
    <row r="25" spans="3:19" ht="15" customHeight="1" x14ac:dyDescent="0.2">
      <c r="C25" s="19" t="s">
        <v>270</v>
      </c>
      <c r="E25" s="12" t="s">
        <v>271</v>
      </c>
      <c r="F25" s="12"/>
      <c r="G25" s="12"/>
      <c r="H25" s="12"/>
      <c r="I25" s="12"/>
      <c r="J25" s="12"/>
      <c r="K25" s="12"/>
      <c r="L25" s="12"/>
      <c r="M25" s="12"/>
      <c r="N25" s="12"/>
      <c r="O25" s="12"/>
      <c r="P25" s="12"/>
      <c r="Q25" s="12"/>
      <c r="R25" s="12"/>
      <c r="S25" s="12"/>
    </row>
    <row r="26" spans="3:19" ht="15" customHeight="1" x14ac:dyDescent="0.2">
      <c r="E26" s="12"/>
      <c r="F26" s="12"/>
      <c r="G26" s="12"/>
      <c r="H26" s="12"/>
      <c r="I26" s="12"/>
      <c r="J26" s="12"/>
      <c r="K26" s="12"/>
      <c r="L26" s="12"/>
      <c r="M26" s="12"/>
      <c r="N26" s="12"/>
      <c r="O26" s="12"/>
      <c r="P26" s="12"/>
      <c r="Q26" s="12"/>
      <c r="R26" s="12"/>
      <c r="S26" s="12"/>
    </row>
    <row r="27" spans="3:19" ht="15" customHeight="1" x14ac:dyDescent="0.2">
      <c r="C27" s="19" t="s">
        <v>274</v>
      </c>
      <c r="E27" s="12"/>
      <c r="G27" s="12"/>
      <c r="H27" s="12" t="s">
        <v>273</v>
      </c>
      <c r="I27" s="12"/>
      <c r="J27" s="12"/>
      <c r="K27" s="12"/>
      <c r="L27" s="12"/>
      <c r="M27" s="12"/>
      <c r="N27" s="12"/>
      <c r="O27" s="12"/>
      <c r="P27" s="12"/>
      <c r="Q27" s="12"/>
      <c r="R27" s="12"/>
      <c r="S27" s="12"/>
    </row>
    <row r="28" spans="3:19" ht="15" customHeight="1" x14ac:dyDescent="0.2">
      <c r="E28" s="12"/>
      <c r="F28" s="12"/>
      <c r="G28" s="12"/>
      <c r="H28" s="12"/>
      <c r="I28" s="12"/>
      <c r="J28" s="12"/>
      <c r="K28" s="12"/>
      <c r="L28" s="12"/>
      <c r="M28" s="12"/>
      <c r="N28" s="12"/>
      <c r="O28" s="12"/>
      <c r="P28" s="12"/>
      <c r="Q28" s="12"/>
      <c r="R28" s="12"/>
      <c r="S28" s="12"/>
    </row>
    <row r="29" spans="3:19" ht="15" customHeight="1" x14ac:dyDescent="0.2">
      <c r="C29" s="19" t="s">
        <v>275</v>
      </c>
      <c r="E29" s="12" t="s">
        <v>276</v>
      </c>
      <c r="F29" s="12"/>
      <c r="G29" s="12"/>
      <c r="H29" s="12"/>
      <c r="I29" s="12"/>
      <c r="J29" s="12"/>
      <c r="K29" s="12"/>
      <c r="L29" s="12"/>
      <c r="M29" s="12"/>
      <c r="N29" s="12"/>
      <c r="O29" s="12"/>
      <c r="P29" s="12"/>
      <c r="Q29" s="12"/>
      <c r="R29" s="12"/>
      <c r="S29" s="12"/>
    </row>
    <row r="30" spans="3:19" ht="15" customHeight="1" x14ac:dyDescent="0.25">
      <c r="E30" s="12"/>
      <c r="F30" s="12"/>
      <c r="G30" s="12"/>
      <c r="H30" s="12"/>
      <c r="I30" s="12"/>
      <c r="J30" s="12"/>
      <c r="K30" s="12"/>
      <c r="L30" s="12"/>
      <c r="M30" s="12"/>
      <c r="N30" s="12"/>
      <c r="O30" s="12"/>
      <c r="P30" s="12"/>
      <c r="Q30" s="12"/>
      <c r="R30" s="12"/>
      <c r="S30" s="12"/>
    </row>
    <row r="31" spans="3:19" ht="15" customHeight="1" x14ac:dyDescent="0.25">
      <c r="C31" s="30" t="s">
        <v>277</v>
      </c>
      <c r="E31" s="12"/>
      <c r="F31" s="12"/>
      <c r="G31" s="12"/>
      <c r="H31" s="12"/>
      <c r="I31" s="12"/>
      <c r="J31" s="12"/>
      <c r="K31" s="12"/>
      <c r="L31" s="12"/>
      <c r="M31" s="12"/>
      <c r="N31" s="12"/>
      <c r="O31" s="12"/>
      <c r="P31" s="12"/>
      <c r="Q31" s="12"/>
      <c r="R31" s="12"/>
      <c r="S31" s="12"/>
    </row>
    <row r="32" spans="3:19" ht="15" customHeight="1" x14ac:dyDescent="0.25">
      <c r="E32" s="80" t="s">
        <v>279</v>
      </c>
      <c r="G32" s="57" t="s">
        <v>278</v>
      </c>
      <c r="H32" s="12"/>
      <c r="I32" s="12"/>
      <c r="J32" s="12"/>
      <c r="K32" s="12"/>
      <c r="L32" s="12"/>
      <c r="M32" s="12"/>
      <c r="N32" s="12"/>
      <c r="O32" s="12"/>
      <c r="P32" s="12"/>
      <c r="Q32" s="12"/>
      <c r="R32" s="12"/>
      <c r="S32" s="12"/>
    </row>
    <row r="33" spans="3:19" ht="15" customHeight="1" x14ac:dyDescent="0.25">
      <c r="C33" s="19" t="str">
        <f>'Ratio Analysis'!C10</f>
        <v>Revenue</v>
      </c>
      <c r="E33" s="81" t="s">
        <v>280</v>
      </c>
      <c r="F33" s="12"/>
      <c r="G33" s="57" t="s">
        <v>281</v>
      </c>
      <c r="H33" s="12"/>
      <c r="I33" s="12"/>
      <c r="J33" s="12"/>
      <c r="K33" s="12"/>
      <c r="L33" s="12"/>
      <c r="M33" s="12"/>
      <c r="N33" s="12"/>
      <c r="O33" s="12"/>
      <c r="P33" s="12"/>
      <c r="Q33" s="12"/>
      <c r="R33" s="12"/>
      <c r="S33" s="12"/>
    </row>
    <row r="34" spans="3:19" ht="15" customHeight="1" x14ac:dyDescent="0.25">
      <c r="E34" s="80" t="s">
        <v>282</v>
      </c>
      <c r="F34" s="12"/>
      <c r="G34" s="57" t="s">
        <v>283</v>
      </c>
      <c r="H34" s="12"/>
      <c r="I34" s="12"/>
      <c r="J34" s="12"/>
      <c r="K34" s="12"/>
      <c r="L34" s="12"/>
      <c r="M34" s="12"/>
      <c r="N34" s="12"/>
      <c r="O34" s="12"/>
      <c r="P34" s="12"/>
      <c r="Q34" s="12"/>
      <c r="R34" s="12"/>
      <c r="S34" s="12"/>
    </row>
    <row r="35" spans="3:19" ht="15" customHeight="1" x14ac:dyDescent="0.25">
      <c r="E35" s="80" t="s">
        <v>284</v>
      </c>
      <c r="F35" s="12"/>
      <c r="G35" s="57" t="s">
        <v>285</v>
      </c>
      <c r="H35" s="12"/>
      <c r="I35" s="12"/>
      <c r="J35" s="12"/>
      <c r="K35" s="12"/>
      <c r="L35" s="12"/>
      <c r="M35" s="12"/>
      <c r="N35" s="12"/>
      <c r="O35" s="12"/>
      <c r="P35" s="12"/>
      <c r="Q35" s="12"/>
      <c r="R35" s="12"/>
      <c r="S35" s="12"/>
    </row>
    <row r="36" spans="3:19" ht="15" customHeight="1" x14ac:dyDescent="0.25">
      <c r="E36" s="80" t="s">
        <v>286</v>
      </c>
      <c r="F36" s="12"/>
      <c r="G36" s="57" t="s">
        <v>287</v>
      </c>
      <c r="H36" s="12"/>
      <c r="I36" s="12"/>
      <c r="J36" s="12"/>
      <c r="K36" s="12"/>
      <c r="L36" s="12"/>
      <c r="M36" s="12"/>
      <c r="N36" s="12"/>
      <c r="O36" s="12"/>
      <c r="P36" s="12"/>
      <c r="Q36" s="12"/>
      <c r="R36" s="12"/>
      <c r="S36" s="12"/>
    </row>
    <row r="37" spans="3:19" ht="15" customHeight="1" x14ac:dyDescent="0.25">
      <c r="E37" s="80"/>
      <c r="F37" s="12"/>
      <c r="G37" s="57"/>
      <c r="H37" s="12"/>
      <c r="I37" s="12"/>
      <c r="J37" s="12"/>
      <c r="K37" s="12"/>
      <c r="L37" s="12"/>
      <c r="M37" s="12"/>
      <c r="N37" s="12"/>
      <c r="O37" s="12"/>
      <c r="P37" s="12"/>
      <c r="Q37" s="12"/>
      <c r="R37" s="12"/>
      <c r="S37" s="12"/>
    </row>
    <row r="38" spans="3:19" ht="15" customHeight="1" x14ac:dyDescent="0.25">
      <c r="E38" s="80"/>
      <c r="F38" s="12"/>
      <c r="G38" s="57"/>
      <c r="H38" s="12"/>
      <c r="I38" s="12"/>
      <c r="J38" s="12"/>
      <c r="K38" s="12"/>
      <c r="L38" s="12"/>
      <c r="M38" s="12"/>
      <c r="N38" s="12"/>
      <c r="O38" s="12"/>
      <c r="P38" s="12"/>
      <c r="Q38" s="12"/>
      <c r="R38" s="12"/>
      <c r="S38" s="12"/>
    </row>
    <row r="39" spans="3:19" ht="15" customHeight="1" x14ac:dyDescent="0.25">
      <c r="E39" s="80" t="s">
        <v>288</v>
      </c>
      <c r="F39" s="12"/>
      <c r="G39" s="57" t="s">
        <v>289</v>
      </c>
      <c r="H39" s="12"/>
      <c r="I39" s="12"/>
      <c r="J39" s="12"/>
      <c r="K39" s="12"/>
      <c r="L39" s="12"/>
      <c r="M39" s="12"/>
      <c r="N39" s="12"/>
      <c r="O39" s="12"/>
      <c r="P39" s="12"/>
      <c r="Q39" s="12"/>
      <c r="R39" s="12"/>
      <c r="S39" s="12"/>
    </row>
    <row r="40" spans="3:19" ht="15" customHeight="1" x14ac:dyDescent="0.25">
      <c r="C40" s="19" t="str">
        <f>'Ratio Analysis'!$C$11</f>
        <v>Cost of revenue</v>
      </c>
      <c r="E40" s="80" t="s">
        <v>284</v>
      </c>
      <c r="F40" s="12"/>
      <c r="G40" s="57" t="s">
        <v>290</v>
      </c>
      <c r="H40" s="12"/>
      <c r="I40" s="12"/>
      <c r="J40" s="12"/>
      <c r="K40" s="12"/>
      <c r="L40" s="12"/>
      <c r="M40" s="12"/>
      <c r="N40" s="12"/>
      <c r="O40" s="12"/>
      <c r="P40" s="12"/>
      <c r="Q40" s="12"/>
      <c r="R40" s="12"/>
      <c r="S40" s="12"/>
    </row>
    <row r="41" spans="3:19" ht="15" customHeight="1" x14ac:dyDescent="0.25">
      <c r="E41" s="80"/>
      <c r="F41" s="12"/>
      <c r="G41" s="57"/>
      <c r="H41" s="12"/>
      <c r="I41" s="12"/>
      <c r="J41" s="12"/>
      <c r="K41" s="12"/>
      <c r="L41" s="12"/>
      <c r="M41" s="12"/>
      <c r="N41" s="12"/>
      <c r="O41" s="12"/>
      <c r="P41" s="12"/>
      <c r="Q41" s="12"/>
      <c r="R41" s="12"/>
      <c r="S41" s="12"/>
    </row>
    <row r="42" spans="3:19" ht="15" customHeight="1" x14ac:dyDescent="0.25">
      <c r="E42" s="80"/>
      <c r="F42" s="12"/>
      <c r="G42" s="57"/>
      <c r="H42" s="12"/>
      <c r="I42" s="12"/>
      <c r="J42" s="12"/>
      <c r="K42" s="12"/>
      <c r="L42" s="12"/>
      <c r="M42" s="12"/>
      <c r="N42" s="12"/>
      <c r="O42" s="12"/>
      <c r="P42" s="12"/>
      <c r="Q42" s="12"/>
      <c r="R42" s="12"/>
      <c r="S42" s="12"/>
    </row>
    <row r="43" spans="3:19" ht="15" customHeight="1" x14ac:dyDescent="0.25">
      <c r="E43" s="80"/>
      <c r="F43" s="12"/>
      <c r="G43" s="57"/>
      <c r="H43" s="12"/>
      <c r="I43" s="12"/>
      <c r="J43" s="12"/>
      <c r="K43" s="12"/>
      <c r="L43" s="12"/>
      <c r="M43" s="12"/>
      <c r="N43" s="12"/>
      <c r="O43" s="12"/>
      <c r="P43" s="12"/>
      <c r="Q43" s="12"/>
      <c r="R43" s="12"/>
      <c r="S43" s="12"/>
    </row>
    <row r="44" spans="3:19" ht="15" customHeight="1" x14ac:dyDescent="0.25">
      <c r="E44" s="80"/>
      <c r="F44" s="12"/>
      <c r="G44" s="57"/>
      <c r="H44" s="12"/>
      <c r="I44" s="12"/>
      <c r="J44" s="12"/>
      <c r="K44" s="12"/>
      <c r="L44" s="12"/>
      <c r="M44" s="12"/>
      <c r="N44" s="12"/>
      <c r="O44" s="12"/>
      <c r="P44" s="12"/>
      <c r="Q44" s="12"/>
      <c r="R44" s="12"/>
      <c r="S44" s="12"/>
    </row>
    <row r="45" spans="3:19" ht="15" customHeight="1" x14ac:dyDescent="0.25">
      <c r="E45" s="80"/>
      <c r="F45" s="12"/>
      <c r="G45" s="57"/>
      <c r="H45" s="12"/>
      <c r="I45" s="12"/>
      <c r="J45" s="12"/>
      <c r="K45" s="12"/>
      <c r="L45" s="12"/>
      <c r="M45" s="12"/>
      <c r="N45" s="12"/>
      <c r="O45" s="12"/>
      <c r="P45" s="12"/>
      <c r="Q45" s="12"/>
      <c r="R45" s="12"/>
      <c r="S45" s="12"/>
    </row>
    <row r="46" spans="3:19" ht="15" customHeight="1" x14ac:dyDescent="0.25">
      <c r="E46" s="80"/>
      <c r="F46" s="12"/>
      <c r="G46" s="57"/>
      <c r="H46" s="12"/>
      <c r="I46" s="12"/>
      <c r="J46" s="12"/>
      <c r="K46" s="12"/>
      <c r="L46" s="12"/>
      <c r="M46" s="12"/>
      <c r="N46" s="12"/>
      <c r="O46" s="12"/>
      <c r="P46" s="12"/>
      <c r="Q46" s="12"/>
      <c r="R46" s="12"/>
      <c r="S46" s="12"/>
    </row>
    <row r="47" spans="3:19" ht="15" customHeight="1" x14ac:dyDescent="0.25">
      <c r="E47" s="80"/>
      <c r="F47" s="12"/>
      <c r="G47" s="57"/>
      <c r="H47" s="12"/>
      <c r="I47" s="12"/>
      <c r="J47" s="12"/>
      <c r="K47" s="12"/>
      <c r="L47" s="12"/>
      <c r="M47" s="12"/>
      <c r="N47" s="12"/>
      <c r="O47" s="12"/>
      <c r="P47" s="12"/>
      <c r="Q47" s="12"/>
      <c r="R47" s="12"/>
      <c r="S47" s="12"/>
    </row>
    <row r="48" spans="3:19" ht="15" customHeight="1" x14ac:dyDescent="0.25">
      <c r="E48" s="80"/>
      <c r="F48" s="12"/>
      <c r="G48" s="57"/>
      <c r="H48" s="12"/>
      <c r="I48" s="12"/>
      <c r="J48" s="12"/>
      <c r="K48" s="12"/>
      <c r="L48" s="12"/>
      <c r="M48" s="12"/>
      <c r="N48" s="12"/>
      <c r="O48" s="12"/>
      <c r="P48" s="12"/>
      <c r="Q48" s="12"/>
      <c r="R48" s="12"/>
      <c r="S48" s="12"/>
    </row>
    <row r="49" spans="5:19" ht="15" customHeight="1" x14ac:dyDescent="0.25">
      <c r="E49" s="80"/>
      <c r="F49" s="12"/>
      <c r="G49" s="57"/>
      <c r="H49" s="12"/>
      <c r="I49" s="12"/>
      <c r="J49" s="12"/>
      <c r="K49" s="12"/>
      <c r="L49" s="12"/>
      <c r="M49" s="12"/>
      <c r="N49" s="12"/>
      <c r="O49" s="12"/>
      <c r="P49" s="12"/>
      <c r="Q49" s="12"/>
      <c r="R49" s="12"/>
      <c r="S49" s="12"/>
    </row>
    <row r="50" spans="5:19" ht="15" customHeight="1" x14ac:dyDescent="0.25">
      <c r="E50" s="80"/>
      <c r="F50" s="12"/>
      <c r="G50" s="57"/>
      <c r="H50" s="12"/>
      <c r="I50" s="12"/>
      <c r="J50" s="12"/>
      <c r="K50" s="12"/>
      <c r="L50" s="12"/>
      <c r="M50" s="12"/>
      <c r="N50" s="12"/>
      <c r="O50" s="12"/>
      <c r="P50" s="12"/>
      <c r="Q50" s="12"/>
      <c r="R50" s="12"/>
      <c r="S50" s="12"/>
    </row>
    <row r="51" spans="5:19" ht="15" customHeight="1" x14ac:dyDescent="0.25">
      <c r="E51" s="80"/>
      <c r="F51" s="12"/>
      <c r="G51" s="57"/>
      <c r="H51" s="12"/>
      <c r="I51" s="12"/>
      <c r="J51" s="12"/>
      <c r="K51" s="12"/>
      <c r="L51" s="12"/>
      <c r="M51" s="12"/>
      <c r="N51" s="12"/>
      <c r="O51" s="12"/>
      <c r="P51" s="12"/>
      <c r="Q51" s="12"/>
      <c r="R51" s="12"/>
      <c r="S51" s="12"/>
    </row>
    <row r="52" spans="5:19" ht="15" customHeight="1" x14ac:dyDescent="0.25">
      <c r="E52" s="80"/>
      <c r="F52" s="12"/>
      <c r="G52" s="57"/>
      <c r="H52" s="12"/>
      <c r="I52" s="12"/>
      <c r="J52" s="12"/>
      <c r="K52" s="12"/>
      <c r="L52" s="12"/>
      <c r="M52" s="12"/>
      <c r="N52" s="12"/>
      <c r="O52" s="12"/>
      <c r="P52" s="12"/>
      <c r="Q52" s="12"/>
      <c r="R52" s="12"/>
      <c r="S52" s="12"/>
    </row>
    <row r="53" spans="5:19" ht="15" customHeight="1" x14ac:dyDescent="0.25">
      <c r="E53" s="80"/>
      <c r="F53" s="12"/>
      <c r="G53" s="57"/>
      <c r="H53" s="12"/>
      <c r="I53" s="12"/>
      <c r="J53" s="12"/>
      <c r="K53" s="12"/>
      <c r="L53" s="12"/>
      <c r="M53" s="12"/>
      <c r="N53" s="12"/>
      <c r="O53" s="12"/>
      <c r="P53" s="12"/>
      <c r="Q53" s="12"/>
      <c r="R53" s="12"/>
      <c r="S53" s="12"/>
    </row>
    <row r="54" spans="5:19" ht="15" customHeight="1" x14ac:dyDescent="0.25">
      <c r="E54" s="80"/>
      <c r="F54" s="12"/>
      <c r="G54" s="57"/>
      <c r="H54" s="12"/>
      <c r="I54" s="12"/>
      <c r="J54" s="12"/>
      <c r="K54" s="12"/>
      <c r="L54" s="12"/>
      <c r="M54" s="12"/>
      <c r="N54" s="12"/>
      <c r="O54" s="12"/>
      <c r="P54" s="12"/>
      <c r="Q54" s="12"/>
      <c r="R54" s="12"/>
      <c r="S54" s="12"/>
    </row>
    <row r="55" spans="5:19" ht="15" customHeight="1" x14ac:dyDescent="0.25">
      <c r="E55" s="80"/>
      <c r="F55" s="12"/>
      <c r="G55" s="57"/>
      <c r="H55" s="12"/>
      <c r="I55" s="12"/>
      <c r="J55" s="12"/>
      <c r="K55" s="12"/>
      <c r="L55" s="12"/>
      <c r="M55" s="12"/>
      <c r="N55" s="12"/>
      <c r="O55" s="12"/>
      <c r="P55" s="12"/>
      <c r="Q55" s="12"/>
      <c r="R55" s="12"/>
      <c r="S55" s="12"/>
    </row>
    <row r="56" spans="5:19" ht="15" customHeight="1" x14ac:dyDescent="0.25">
      <c r="E56" s="80"/>
      <c r="F56" s="12"/>
      <c r="G56" s="57"/>
      <c r="H56" s="12"/>
      <c r="I56" s="12"/>
      <c r="J56" s="12"/>
      <c r="K56" s="12"/>
      <c r="L56" s="12"/>
      <c r="M56" s="12"/>
      <c r="N56" s="12"/>
      <c r="O56" s="12"/>
      <c r="P56" s="12"/>
      <c r="Q56" s="12"/>
      <c r="R56" s="12"/>
      <c r="S56" s="12"/>
    </row>
    <row r="57" spans="5:19" ht="15" customHeight="1" x14ac:dyDescent="0.25">
      <c r="E57" s="80"/>
      <c r="F57" s="12"/>
      <c r="G57" s="57"/>
      <c r="H57" s="12"/>
      <c r="I57" s="12"/>
      <c r="J57" s="12"/>
      <c r="K57" s="12"/>
      <c r="L57" s="12"/>
      <c r="M57" s="12"/>
      <c r="N57" s="12"/>
      <c r="O57" s="12"/>
      <c r="P57" s="12"/>
      <c r="Q57" s="12"/>
      <c r="R57" s="12"/>
      <c r="S57" s="12"/>
    </row>
    <row r="58" spans="5:19" ht="15" customHeight="1" x14ac:dyDescent="0.25">
      <c r="E58" s="80"/>
      <c r="F58" s="12"/>
      <c r="G58" s="57"/>
      <c r="H58" s="12"/>
      <c r="I58" s="12"/>
      <c r="J58" s="12"/>
      <c r="K58" s="12"/>
      <c r="L58" s="12"/>
      <c r="M58" s="12"/>
      <c r="N58" s="12"/>
      <c r="O58" s="12"/>
      <c r="P58" s="12"/>
      <c r="Q58" s="12"/>
      <c r="R58" s="12"/>
      <c r="S58" s="12"/>
    </row>
    <row r="59" spans="5:19" ht="15" customHeight="1" x14ac:dyDescent="0.25">
      <c r="E59" s="80"/>
      <c r="F59" s="12"/>
      <c r="G59" s="57"/>
      <c r="H59" s="12"/>
      <c r="I59" s="12"/>
      <c r="J59" s="12"/>
      <c r="K59" s="12"/>
      <c r="L59" s="12"/>
      <c r="M59" s="12"/>
      <c r="N59" s="12"/>
      <c r="O59" s="12"/>
      <c r="P59" s="12"/>
      <c r="Q59" s="12"/>
      <c r="R59" s="12"/>
      <c r="S59" s="12"/>
    </row>
    <row r="60" spans="5:19" ht="15" customHeight="1" x14ac:dyDescent="0.25">
      <c r="E60" s="80"/>
      <c r="F60" s="12"/>
      <c r="G60" s="57"/>
      <c r="H60" s="12"/>
      <c r="I60" s="12"/>
      <c r="J60" s="12"/>
      <c r="K60" s="12"/>
      <c r="L60" s="12"/>
      <c r="M60" s="12"/>
      <c r="N60" s="12"/>
      <c r="O60" s="12"/>
      <c r="P60" s="12"/>
      <c r="Q60" s="12"/>
      <c r="R60" s="12"/>
      <c r="S60" s="12"/>
    </row>
    <row r="61" spans="5:19" ht="15" customHeight="1" x14ac:dyDescent="0.25">
      <c r="E61" s="80"/>
      <c r="F61" s="12"/>
      <c r="G61" s="57"/>
      <c r="H61" s="12"/>
      <c r="I61" s="12"/>
      <c r="J61" s="12"/>
      <c r="K61" s="12"/>
      <c r="L61" s="12"/>
      <c r="M61" s="12"/>
      <c r="N61" s="12"/>
      <c r="O61" s="12"/>
      <c r="P61" s="12"/>
      <c r="Q61" s="12"/>
      <c r="R61" s="12"/>
      <c r="S61" s="12"/>
    </row>
    <row r="62" spans="5:19" ht="15" customHeight="1" x14ac:dyDescent="0.25">
      <c r="E62" s="80"/>
      <c r="F62" s="12"/>
      <c r="G62" s="57"/>
      <c r="H62" s="12"/>
      <c r="I62" s="12"/>
      <c r="J62" s="12"/>
      <c r="K62" s="12"/>
      <c r="L62" s="12"/>
      <c r="M62" s="12"/>
      <c r="N62" s="12"/>
      <c r="O62" s="12"/>
      <c r="P62" s="12"/>
      <c r="Q62" s="12"/>
      <c r="R62" s="12"/>
      <c r="S62" s="12"/>
    </row>
    <row r="63" spans="5:19" ht="15" customHeight="1" x14ac:dyDescent="0.25">
      <c r="E63" s="12"/>
      <c r="F63" s="12"/>
      <c r="G63" s="57"/>
      <c r="H63" s="12"/>
      <c r="I63" s="12"/>
      <c r="J63" s="12"/>
      <c r="K63" s="12"/>
      <c r="L63" s="12"/>
      <c r="M63" s="12"/>
      <c r="N63" s="12"/>
      <c r="O63" s="12"/>
      <c r="P63" s="12"/>
      <c r="Q63" s="12"/>
      <c r="R63" s="12"/>
      <c r="S63" s="12"/>
    </row>
    <row r="64" spans="5:19" ht="15" customHeight="1" x14ac:dyDescent="0.25">
      <c r="E64" s="12"/>
      <c r="F64" s="12"/>
      <c r="G64" s="12"/>
      <c r="H64" s="12"/>
      <c r="I64" s="12"/>
      <c r="J64" s="12"/>
      <c r="K64" s="12"/>
      <c r="L64" s="12"/>
      <c r="M64" s="12"/>
      <c r="N64" s="12"/>
      <c r="O64" s="12"/>
      <c r="P64" s="12"/>
      <c r="Q64" s="12"/>
      <c r="R64" s="12"/>
      <c r="S64" s="12"/>
    </row>
    <row r="65" spans="5:19" ht="15" customHeight="1" x14ac:dyDescent="0.25">
      <c r="E65" s="12"/>
      <c r="F65" s="12"/>
      <c r="G65" s="12"/>
      <c r="H65" s="12"/>
      <c r="I65" s="12"/>
      <c r="J65" s="12"/>
      <c r="K65" s="12"/>
      <c r="L65" s="12"/>
      <c r="M65" s="12"/>
      <c r="N65" s="12"/>
      <c r="O65" s="12"/>
      <c r="P65" s="12"/>
      <c r="Q65" s="12"/>
      <c r="R65" s="12"/>
      <c r="S65" s="12"/>
    </row>
    <row r="66" spans="5:19" ht="15" customHeight="1" x14ac:dyDescent="0.25">
      <c r="E66" s="12"/>
      <c r="F66" s="12"/>
      <c r="G66" s="12"/>
      <c r="H66" s="12"/>
      <c r="I66" s="12"/>
      <c r="J66" s="12"/>
      <c r="K66" s="12"/>
      <c r="L66" s="12"/>
      <c r="M66" s="12"/>
      <c r="N66" s="12"/>
      <c r="O66" s="12"/>
      <c r="P66" s="12"/>
      <c r="Q66" s="12"/>
      <c r="R66" s="12"/>
      <c r="S66" s="12"/>
    </row>
    <row r="67" spans="5:19" ht="15" customHeight="1" x14ac:dyDescent="0.25">
      <c r="E67" s="12"/>
      <c r="F67" s="12"/>
      <c r="G67" s="12"/>
      <c r="H67" s="12"/>
      <c r="I67" s="12"/>
      <c r="J67" s="12"/>
      <c r="K67" s="12"/>
      <c r="L67" s="12"/>
      <c r="M67" s="12"/>
      <c r="N67" s="12"/>
      <c r="O67" s="12"/>
      <c r="P67" s="12"/>
      <c r="Q67" s="12"/>
      <c r="R67" s="12"/>
      <c r="S67" s="12"/>
    </row>
    <row r="68" spans="5:19" ht="15" customHeight="1" x14ac:dyDescent="0.25">
      <c r="E68" s="12"/>
      <c r="F68" s="12"/>
      <c r="G68" s="12"/>
      <c r="H68" s="12"/>
      <c r="I68" s="12"/>
      <c r="J68" s="12"/>
      <c r="K68" s="12"/>
      <c r="L68" s="12"/>
      <c r="M68" s="12"/>
      <c r="N68" s="12"/>
      <c r="O68" s="12"/>
      <c r="P68" s="12"/>
      <c r="Q68" s="12"/>
      <c r="R68" s="12"/>
      <c r="S68" s="12"/>
    </row>
    <row r="69" spans="5:19" ht="15" customHeight="1" x14ac:dyDescent="0.25">
      <c r="E69" s="12"/>
      <c r="F69" s="12"/>
      <c r="G69" s="12"/>
      <c r="H69" s="12"/>
      <c r="I69" s="12"/>
      <c r="J69" s="12"/>
      <c r="K69" s="12"/>
      <c r="L69" s="12"/>
      <c r="M69" s="12"/>
      <c r="N69" s="12"/>
      <c r="O69" s="12"/>
      <c r="P69" s="12"/>
      <c r="Q69" s="12"/>
      <c r="R69" s="12"/>
      <c r="S69" s="12"/>
    </row>
    <row r="70" spans="5:19" ht="15" customHeight="1" x14ac:dyDescent="0.25">
      <c r="E70" s="12"/>
      <c r="F70" s="12"/>
      <c r="G70" s="12"/>
      <c r="H70" s="12"/>
      <c r="I70" s="12"/>
      <c r="J70" s="12"/>
      <c r="K70" s="12"/>
      <c r="L70" s="12"/>
      <c r="M70" s="12"/>
      <c r="N70" s="12"/>
      <c r="O70" s="12"/>
      <c r="P70" s="12"/>
      <c r="Q70" s="12"/>
      <c r="R70" s="12"/>
      <c r="S70" s="12"/>
    </row>
    <row r="71" spans="5:19" ht="15" customHeight="1" x14ac:dyDescent="0.25">
      <c r="E71" s="12"/>
      <c r="F71" s="12"/>
      <c r="G71" s="12"/>
      <c r="H71" s="12"/>
      <c r="I71" s="12"/>
      <c r="J71" s="12"/>
      <c r="K71" s="12"/>
      <c r="L71" s="12"/>
      <c r="M71" s="12"/>
      <c r="N71" s="12"/>
      <c r="O71" s="12"/>
      <c r="P71" s="12"/>
      <c r="Q71" s="12"/>
      <c r="R71" s="12"/>
      <c r="S71" s="12"/>
    </row>
    <row r="72" spans="5:19" ht="15" customHeight="1" x14ac:dyDescent="0.25">
      <c r="E72" s="12"/>
      <c r="F72" s="12"/>
      <c r="G72" s="12"/>
      <c r="H72" s="12"/>
      <c r="I72" s="12"/>
      <c r="J72" s="12"/>
      <c r="K72" s="12"/>
      <c r="L72" s="12"/>
      <c r="M72" s="12"/>
      <c r="N72" s="12"/>
      <c r="O72" s="12"/>
      <c r="P72" s="12"/>
      <c r="Q72" s="12"/>
      <c r="R72" s="12"/>
      <c r="S72" s="12"/>
    </row>
    <row r="73" spans="5:19" ht="15" customHeight="1" x14ac:dyDescent="0.25">
      <c r="E73" s="12"/>
      <c r="F73" s="12"/>
      <c r="G73" s="12"/>
      <c r="H73" s="12"/>
      <c r="I73" s="12"/>
      <c r="J73" s="12"/>
      <c r="K73" s="12"/>
      <c r="L73" s="12"/>
      <c r="M73" s="12"/>
      <c r="N73" s="12"/>
      <c r="O73" s="12"/>
      <c r="P73" s="12"/>
      <c r="Q73" s="12"/>
      <c r="R73" s="12"/>
      <c r="S73" s="12"/>
    </row>
    <row r="74" spans="5:19" ht="15" customHeight="1" x14ac:dyDescent="0.25">
      <c r="E74" s="12"/>
      <c r="F74" s="12"/>
      <c r="G74" s="12"/>
      <c r="H74" s="12"/>
      <c r="I74" s="12"/>
      <c r="J74" s="12"/>
      <c r="K74" s="12"/>
      <c r="L74" s="12"/>
      <c r="M74" s="12"/>
      <c r="N74" s="12"/>
      <c r="O74" s="12"/>
      <c r="P74" s="12"/>
      <c r="Q74" s="12"/>
      <c r="R74" s="12"/>
      <c r="S74" s="12"/>
    </row>
    <row r="75" spans="5:19" ht="15" customHeight="1" x14ac:dyDescent="0.25">
      <c r="E75" s="12"/>
      <c r="F75" s="12"/>
      <c r="G75" s="12"/>
      <c r="H75" s="12"/>
      <c r="I75" s="12"/>
      <c r="J75" s="12"/>
      <c r="K75" s="12"/>
      <c r="L75" s="12"/>
      <c r="M75" s="12"/>
      <c r="N75" s="12"/>
      <c r="O75" s="12"/>
      <c r="P75" s="12"/>
      <c r="Q75" s="12"/>
      <c r="R75" s="12"/>
      <c r="S75" s="12"/>
    </row>
    <row r="76" spans="5:19" ht="15" customHeight="1" x14ac:dyDescent="0.25">
      <c r="E76" s="12"/>
      <c r="F76" s="12"/>
      <c r="G76" s="12"/>
      <c r="H76" s="12"/>
      <c r="I76" s="12"/>
      <c r="J76" s="12"/>
      <c r="K76" s="12"/>
      <c r="L76" s="12"/>
      <c r="M76" s="12"/>
      <c r="N76" s="12"/>
      <c r="O76" s="12"/>
      <c r="P76" s="12"/>
      <c r="Q76" s="12"/>
      <c r="R76" s="12"/>
      <c r="S76" s="12"/>
    </row>
    <row r="77" spans="5:19" ht="15" customHeight="1" x14ac:dyDescent="0.25">
      <c r="E77" s="12"/>
      <c r="F77" s="12"/>
      <c r="G77" s="12"/>
      <c r="H77" s="12"/>
      <c r="I77" s="12"/>
      <c r="J77" s="12"/>
      <c r="K77" s="12"/>
      <c r="L77" s="12"/>
      <c r="M77" s="12"/>
      <c r="N77" s="12"/>
      <c r="O77" s="12"/>
      <c r="P77" s="12"/>
      <c r="Q77" s="12"/>
      <c r="R77" s="12"/>
      <c r="S77" s="12"/>
    </row>
    <row r="78" spans="5:19" ht="15" customHeight="1" x14ac:dyDescent="0.25">
      <c r="E78" s="12"/>
      <c r="F78" s="12"/>
      <c r="G78" s="12"/>
      <c r="H78" s="12"/>
      <c r="I78" s="12"/>
      <c r="J78" s="12"/>
      <c r="K78" s="12"/>
      <c r="L78" s="12"/>
      <c r="M78" s="12"/>
      <c r="N78" s="12"/>
      <c r="O78" s="12"/>
      <c r="P78" s="12"/>
      <c r="Q78" s="12"/>
      <c r="R78" s="12"/>
      <c r="S78" s="12"/>
    </row>
    <row r="79" spans="5:19" ht="15" customHeight="1" x14ac:dyDescent="0.25">
      <c r="E79" s="12"/>
      <c r="F79" s="12"/>
      <c r="G79" s="12"/>
      <c r="H79" s="12"/>
      <c r="I79" s="12"/>
      <c r="J79" s="12"/>
      <c r="K79" s="12"/>
      <c r="L79" s="12"/>
      <c r="M79" s="12"/>
      <c r="N79" s="12"/>
      <c r="O79" s="12"/>
      <c r="P79" s="12"/>
      <c r="Q79" s="12"/>
      <c r="R79" s="12"/>
      <c r="S79" s="12"/>
    </row>
    <row r="80" spans="5:19" ht="15" customHeight="1" x14ac:dyDescent="0.25">
      <c r="E80" s="12"/>
      <c r="F80" s="12"/>
      <c r="G80" s="12"/>
      <c r="H80" s="12"/>
      <c r="I80" s="12"/>
      <c r="J80" s="12"/>
      <c r="K80" s="12"/>
      <c r="L80" s="12"/>
      <c r="M80" s="12"/>
      <c r="N80" s="12"/>
      <c r="O80" s="12"/>
      <c r="P80" s="12"/>
      <c r="Q80" s="12"/>
      <c r="R80" s="12"/>
      <c r="S80" s="12"/>
    </row>
    <row r="81" spans="5:19" ht="15" customHeight="1" x14ac:dyDescent="0.25">
      <c r="E81" s="12"/>
      <c r="F81" s="12"/>
      <c r="G81" s="12"/>
      <c r="H81" s="12"/>
      <c r="I81" s="12"/>
      <c r="J81" s="12"/>
      <c r="K81" s="12"/>
      <c r="L81" s="12"/>
      <c r="M81" s="12"/>
      <c r="N81" s="12"/>
      <c r="O81" s="12"/>
      <c r="P81" s="12"/>
      <c r="Q81" s="12"/>
      <c r="R81" s="12"/>
      <c r="S81" s="12"/>
    </row>
    <row r="82" spans="5:19" ht="15" customHeight="1" x14ac:dyDescent="0.25">
      <c r="E82" s="12"/>
      <c r="F82" s="12"/>
      <c r="G82" s="12"/>
      <c r="H82" s="12"/>
      <c r="I82" s="12"/>
      <c r="J82" s="12"/>
      <c r="K82" s="12"/>
      <c r="L82" s="12"/>
      <c r="M82" s="12"/>
      <c r="N82" s="12"/>
      <c r="O82" s="12"/>
      <c r="P82" s="12"/>
      <c r="Q82" s="12"/>
      <c r="R82" s="12"/>
      <c r="S82" s="12"/>
    </row>
    <row r="83" spans="5:19" ht="15" customHeight="1" x14ac:dyDescent="0.25">
      <c r="E83" s="12"/>
      <c r="F83" s="12"/>
      <c r="G83" s="12"/>
      <c r="H83" s="12"/>
      <c r="I83" s="12"/>
      <c r="J83" s="12"/>
      <c r="K83" s="12"/>
      <c r="L83" s="12"/>
      <c r="M83" s="12"/>
      <c r="N83" s="12"/>
      <c r="O83" s="12"/>
      <c r="P83" s="12"/>
      <c r="Q83" s="12"/>
      <c r="R83" s="12"/>
      <c r="S83" s="12"/>
    </row>
    <row r="84" spans="5:19" ht="15" customHeight="1" x14ac:dyDescent="0.25">
      <c r="E84" s="12"/>
      <c r="F84" s="12"/>
      <c r="G84" s="12"/>
      <c r="H84" s="12"/>
      <c r="I84" s="12"/>
      <c r="J84" s="12"/>
      <c r="K84" s="12"/>
      <c r="L84" s="12"/>
      <c r="M84" s="12"/>
      <c r="N84" s="12"/>
      <c r="O84" s="12"/>
      <c r="P84" s="12"/>
      <c r="Q84" s="12"/>
      <c r="R84" s="12"/>
      <c r="S84" s="12"/>
    </row>
    <row r="85" spans="5:19" ht="15" customHeight="1" x14ac:dyDescent="0.25">
      <c r="E85" s="12"/>
      <c r="F85" s="12"/>
      <c r="G85" s="12"/>
      <c r="H85" s="12"/>
      <c r="I85" s="12"/>
      <c r="J85" s="12"/>
      <c r="K85" s="12"/>
      <c r="L85" s="12"/>
      <c r="M85" s="12"/>
      <c r="N85" s="12"/>
      <c r="O85" s="12"/>
      <c r="P85" s="12"/>
      <c r="Q85" s="12"/>
      <c r="R85" s="12"/>
      <c r="S85" s="12"/>
    </row>
    <row r="86" spans="5:19" ht="15" customHeight="1" x14ac:dyDescent="0.25">
      <c r="E86" s="12"/>
      <c r="F86" s="12"/>
      <c r="G86" s="12"/>
      <c r="H86" s="12"/>
      <c r="I86" s="12"/>
      <c r="J86" s="12"/>
      <c r="K86" s="12"/>
      <c r="L86" s="12"/>
      <c r="M86" s="12"/>
      <c r="N86" s="12"/>
      <c r="O86" s="12"/>
      <c r="P86" s="12"/>
      <c r="Q86" s="12"/>
      <c r="R86" s="12"/>
      <c r="S86" s="12"/>
    </row>
    <row r="87" spans="5:19" ht="15" customHeight="1" x14ac:dyDescent="0.25">
      <c r="E87" s="12"/>
      <c r="F87" s="12"/>
      <c r="G87" s="12"/>
      <c r="H87" s="12"/>
      <c r="I87" s="12"/>
      <c r="J87" s="12"/>
      <c r="K87" s="12"/>
      <c r="L87" s="12"/>
      <c r="M87" s="12"/>
      <c r="N87" s="12"/>
      <c r="O87" s="12"/>
      <c r="P87" s="12"/>
      <c r="Q87" s="12"/>
      <c r="R87" s="12"/>
      <c r="S87" s="12"/>
    </row>
    <row r="88" spans="5:19" ht="15" customHeight="1" x14ac:dyDescent="0.25">
      <c r="E88" s="12"/>
      <c r="F88" s="12"/>
      <c r="G88" s="12"/>
      <c r="H88" s="12"/>
      <c r="I88" s="12"/>
      <c r="J88" s="12"/>
      <c r="K88" s="12"/>
      <c r="L88" s="12"/>
      <c r="M88" s="12"/>
      <c r="N88" s="12"/>
      <c r="O88" s="12"/>
      <c r="P88" s="12"/>
      <c r="Q88" s="12"/>
      <c r="R88" s="12"/>
      <c r="S88" s="12"/>
    </row>
    <row r="89" spans="5:19" ht="15" customHeight="1" x14ac:dyDescent="0.25">
      <c r="E89" s="12"/>
      <c r="F89" s="12"/>
      <c r="G89" s="12"/>
      <c r="H89" s="12"/>
      <c r="I89" s="12"/>
      <c r="J89" s="12"/>
      <c r="K89" s="12"/>
      <c r="L89" s="12"/>
      <c r="M89" s="12"/>
      <c r="N89" s="12"/>
      <c r="O89" s="12"/>
      <c r="P89" s="12"/>
      <c r="Q89" s="12"/>
      <c r="R89" s="12"/>
      <c r="S89" s="12"/>
    </row>
    <row r="90" spans="5:19" ht="15" customHeight="1" x14ac:dyDescent="0.25">
      <c r="E90" s="12"/>
      <c r="F90" s="12"/>
      <c r="G90" s="12"/>
      <c r="H90" s="12"/>
      <c r="I90" s="12"/>
      <c r="J90" s="12"/>
      <c r="K90" s="12"/>
      <c r="L90" s="12"/>
      <c r="M90" s="12"/>
      <c r="N90" s="12"/>
      <c r="O90" s="12"/>
      <c r="P90" s="12"/>
      <c r="Q90" s="12"/>
      <c r="R90" s="12"/>
      <c r="S90" s="12"/>
    </row>
    <row r="91" spans="5:19" ht="15" customHeight="1" x14ac:dyDescent="0.25">
      <c r="E91" s="12"/>
      <c r="F91" s="12"/>
      <c r="G91" s="12"/>
      <c r="H91" s="12"/>
      <c r="I91" s="12"/>
      <c r="J91" s="12"/>
      <c r="K91" s="12"/>
      <c r="L91" s="12"/>
      <c r="M91" s="12"/>
      <c r="N91" s="12"/>
      <c r="O91" s="12"/>
      <c r="P91" s="12"/>
      <c r="Q91" s="12"/>
      <c r="R91" s="12"/>
      <c r="S91" s="12"/>
    </row>
    <row r="92" spans="5:19" ht="15" customHeight="1" x14ac:dyDescent="0.25">
      <c r="E92" s="12"/>
      <c r="F92" s="12"/>
      <c r="G92" s="12"/>
      <c r="H92" s="12"/>
      <c r="I92" s="12"/>
      <c r="J92" s="12"/>
      <c r="K92" s="12"/>
      <c r="L92" s="12"/>
      <c r="M92" s="12"/>
      <c r="N92" s="12"/>
      <c r="O92" s="12"/>
      <c r="P92" s="12"/>
      <c r="Q92" s="12"/>
      <c r="R92" s="12"/>
      <c r="S92" s="12"/>
    </row>
    <row r="93" spans="5:19" ht="15" customHeight="1" x14ac:dyDescent="0.25">
      <c r="E93" s="12"/>
      <c r="F93" s="12"/>
      <c r="G93" s="12"/>
      <c r="H93" s="12"/>
      <c r="I93" s="12"/>
      <c r="J93" s="12"/>
      <c r="K93" s="12"/>
      <c r="L93" s="12"/>
      <c r="M93" s="12"/>
      <c r="N93" s="12"/>
      <c r="O93" s="12"/>
      <c r="P93" s="12"/>
      <c r="Q93" s="12"/>
      <c r="R93" s="12"/>
      <c r="S93" s="12"/>
    </row>
    <row r="94" spans="5:19" ht="15" customHeight="1" x14ac:dyDescent="0.25">
      <c r="E94" s="12"/>
      <c r="F94" s="12"/>
      <c r="G94" s="12"/>
      <c r="H94" s="12"/>
      <c r="I94" s="12"/>
      <c r="J94" s="12"/>
      <c r="K94" s="12"/>
      <c r="L94" s="12"/>
      <c r="M94" s="12"/>
      <c r="N94" s="12"/>
      <c r="O94" s="12"/>
      <c r="P94" s="12"/>
      <c r="Q94" s="12"/>
      <c r="R94" s="12"/>
      <c r="S94" s="12"/>
    </row>
    <row r="95" spans="5:19" ht="15" customHeight="1" x14ac:dyDescent="0.25">
      <c r="E95" s="12"/>
      <c r="F95" s="12"/>
      <c r="G95" s="12"/>
      <c r="H95" s="12"/>
      <c r="I95" s="12"/>
      <c r="J95" s="12"/>
      <c r="K95" s="12"/>
      <c r="L95" s="12"/>
      <c r="M95" s="12"/>
      <c r="N95" s="12"/>
      <c r="O95" s="12"/>
      <c r="P95" s="12"/>
      <c r="Q95" s="12"/>
      <c r="R95" s="12"/>
      <c r="S95" s="12"/>
    </row>
    <row r="96" spans="5:19" ht="15" customHeight="1" x14ac:dyDescent="0.25">
      <c r="E96" s="12"/>
      <c r="F96" s="12"/>
      <c r="G96" s="12"/>
      <c r="H96" s="12"/>
      <c r="I96" s="12"/>
      <c r="J96" s="12"/>
      <c r="K96" s="12"/>
      <c r="L96" s="12"/>
      <c r="M96" s="12"/>
      <c r="N96" s="12"/>
      <c r="O96" s="12"/>
      <c r="P96" s="12"/>
      <c r="Q96" s="12"/>
      <c r="R96" s="12"/>
      <c r="S96" s="12"/>
    </row>
    <row r="97" spans="5:19" ht="15" customHeight="1" x14ac:dyDescent="0.25">
      <c r="E97" s="12"/>
      <c r="F97" s="12"/>
      <c r="G97" s="12"/>
      <c r="H97" s="12"/>
      <c r="I97" s="12"/>
      <c r="J97" s="12"/>
      <c r="K97" s="12"/>
      <c r="L97" s="12"/>
      <c r="M97" s="12"/>
      <c r="N97" s="12"/>
      <c r="O97" s="12"/>
      <c r="P97" s="12"/>
      <c r="Q97" s="12"/>
      <c r="R97" s="12"/>
      <c r="S97" s="12"/>
    </row>
    <row r="98" spans="5:19" ht="15" customHeight="1" x14ac:dyDescent="0.25">
      <c r="E98" s="12"/>
      <c r="F98" s="12"/>
      <c r="G98" s="12"/>
      <c r="H98" s="12"/>
      <c r="I98" s="12"/>
      <c r="J98" s="12"/>
      <c r="K98" s="12"/>
      <c r="L98" s="12"/>
      <c r="M98" s="12"/>
      <c r="N98" s="12"/>
      <c r="O98" s="12"/>
      <c r="P98" s="12"/>
      <c r="Q98" s="12"/>
      <c r="R98" s="12"/>
      <c r="S98" s="12"/>
    </row>
    <row r="99" spans="5:19" ht="15" customHeight="1" x14ac:dyDescent="0.25">
      <c r="E99" s="12"/>
      <c r="F99" s="12"/>
      <c r="G99" s="12"/>
      <c r="H99" s="12"/>
      <c r="I99" s="12"/>
      <c r="J99" s="12"/>
      <c r="K99" s="12"/>
      <c r="L99" s="12"/>
      <c r="M99" s="12"/>
      <c r="N99" s="12"/>
      <c r="O99" s="12"/>
      <c r="P99" s="12"/>
      <c r="Q99" s="12"/>
      <c r="R99" s="12"/>
      <c r="S99" s="12"/>
    </row>
    <row r="100" spans="5:19" ht="15" customHeight="1" x14ac:dyDescent="0.25">
      <c r="E100" s="12"/>
      <c r="F100" s="12"/>
      <c r="G100" s="12"/>
      <c r="H100" s="12"/>
      <c r="I100" s="12"/>
      <c r="J100" s="12"/>
      <c r="K100" s="12"/>
      <c r="L100" s="12"/>
      <c r="M100" s="12"/>
      <c r="N100" s="12"/>
      <c r="O100" s="12"/>
      <c r="P100" s="12"/>
      <c r="Q100" s="12"/>
      <c r="R100" s="12"/>
      <c r="S100" s="12"/>
    </row>
    <row r="101" spans="5:19" ht="15" customHeight="1" x14ac:dyDescent="0.25">
      <c r="E101" s="12"/>
      <c r="F101" s="12"/>
      <c r="G101" s="12"/>
      <c r="H101" s="12"/>
      <c r="I101" s="12"/>
      <c r="J101" s="12"/>
      <c r="K101" s="12"/>
      <c r="L101" s="12"/>
      <c r="M101" s="12"/>
      <c r="N101" s="12"/>
      <c r="O101" s="12"/>
      <c r="P101" s="12"/>
      <c r="Q101" s="12"/>
      <c r="R101" s="12"/>
      <c r="S101" s="12"/>
    </row>
    <row r="102" spans="5:19" ht="15" customHeight="1" x14ac:dyDescent="0.25">
      <c r="E102" s="12"/>
      <c r="F102" s="12"/>
      <c r="G102" s="12"/>
      <c r="H102" s="12"/>
      <c r="I102" s="12"/>
      <c r="J102" s="12"/>
      <c r="K102" s="12"/>
      <c r="L102" s="12"/>
      <c r="M102" s="12"/>
      <c r="N102" s="12"/>
      <c r="O102" s="12"/>
      <c r="P102" s="12"/>
      <c r="Q102" s="12"/>
      <c r="R102" s="12"/>
      <c r="S102" s="12"/>
    </row>
    <row r="103" spans="5:19" ht="15" customHeight="1" x14ac:dyDescent="0.25">
      <c r="E103" s="12"/>
      <c r="F103" s="12"/>
      <c r="G103" s="12"/>
      <c r="H103" s="12"/>
      <c r="I103" s="12"/>
      <c r="J103" s="12"/>
      <c r="K103" s="12"/>
      <c r="L103" s="12"/>
      <c r="M103" s="12"/>
      <c r="N103" s="12"/>
      <c r="O103" s="12"/>
      <c r="P103" s="12"/>
      <c r="Q103" s="12"/>
      <c r="R103" s="12"/>
      <c r="S103" s="12"/>
    </row>
    <row r="104" spans="5:19" ht="15" customHeight="1" x14ac:dyDescent="0.25">
      <c r="E104" s="12"/>
      <c r="F104" s="12"/>
      <c r="G104" s="12"/>
      <c r="H104" s="12"/>
      <c r="I104" s="12"/>
      <c r="J104" s="12"/>
      <c r="K104" s="12"/>
      <c r="L104" s="12"/>
      <c r="M104" s="12"/>
      <c r="N104" s="12"/>
      <c r="O104" s="12"/>
      <c r="P104" s="12"/>
      <c r="Q104" s="12"/>
      <c r="R104" s="12"/>
      <c r="S104" s="12"/>
    </row>
    <row r="105" spans="5:19" ht="15" customHeight="1" x14ac:dyDescent="0.25">
      <c r="E105" s="12"/>
      <c r="F105" s="12"/>
      <c r="G105" s="12"/>
      <c r="H105" s="12"/>
      <c r="I105" s="12"/>
      <c r="J105" s="12"/>
      <c r="K105" s="12"/>
      <c r="L105" s="12"/>
      <c r="M105" s="12"/>
      <c r="N105" s="12"/>
      <c r="O105" s="12"/>
      <c r="P105" s="12"/>
      <c r="Q105" s="12"/>
      <c r="R105" s="12"/>
      <c r="S105" s="12"/>
    </row>
    <row r="106" spans="5:19" ht="15" customHeight="1" x14ac:dyDescent="0.25">
      <c r="E106" s="12"/>
      <c r="F106" s="12"/>
      <c r="G106" s="12"/>
      <c r="H106" s="12"/>
      <c r="I106" s="12"/>
      <c r="J106" s="12"/>
      <c r="K106" s="12"/>
      <c r="L106" s="12"/>
      <c r="M106" s="12"/>
      <c r="N106" s="12"/>
      <c r="O106" s="12"/>
      <c r="P106" s="12"/>
      <c r="Q106" s="12"/>
      <c r="R106" s="12"/>
      <c r="S106" s="12"/>
    </row>
    <row r="107" spans="5:19" ht="15" customHeight="1" x14ac:dyDescent="0.25">
      <c r="E107" s="12"/>
      <c r="F107" s="12"/>
      <c r="G107" s="12"/>
      <c r="H107" s="12"/>
      <c r="I107" s="12"/>
      <c r="J107" s="12"/>
      <c r="K107" s="12"/>
      <c r="L107" s="12"/>
      <c r="M107" s="12"/>
      <c r="N107" s="12"/>
      <c r="O107" s="12"/>
      <c r="P107" s="12"/>
      <c r="Q107" s="12"/>
      <c r="R107" s="12"/>
      <c r="S107" s="12"/>
    </row>
    <row r="108" spans="5:19" ht="15" customHeight="1" x14ac:dyDescent="0.25">
      <c r="E108" s="12"/>
      <c r="F108" s="12"/>
      <c r="G108" s="12"/>
      <c r="H108" s="12"/>
      <c r="I108" s="12"/>
      <c r="J108" s="12"/>
      <c r="K108" s="12"/>
      <c r="L108" s="12"/>
      <c r="M108" s="12"/>
      <c r="N108" s="12"/>
      <c r="O108" s="12"/>
      <c r="P108" s="12"/>
      <c r="Q108" s="12"/>
      <c r="R108" s="12"/>
      <c r="S108" s="12"/>
    </row>
    <row r="109" spans="5:19" ht="15" customHeight="1" x14ac:dyDescent="0.25">
      <c r="E109" s="12"/>
      <c r="F109" s="12"/>
      <c r="G109" s="12"/>
      <c r="H109" s="12"/>
      <c r="I109" s="12"/>
      <c r="J109" s="12"/>
      <c r="K109" s="12"/>
      <c r="L109" s="12"/>
      <c r="M109" s="12"/>
      <c r="N109" s="12"/>
      <c r="O109" s="12"/>
      <c r="P109" s="12"/>
      <c r="Q109" s="12"/>
      <c r="R109" s="12"/>
      <c r="S109" s="12"/>
    </row>
    <row r="110" spans="5:19" ht="15" customHeight="1" x14ac:dyDescent="0.25">
      <c r="E110" s="12"/>
      <c r="F110" s="12"/>
      <c r="G110" s="12"/>
      <c r="H110" s="12"/>
      <c r="I110" s="12"/>
      <c r="J110" s="12"/>
      <c r="K110" s="12"/>
      <c r="L110" s="12"/>
      <c r="M110" s="12"/>
      <c r="N110" s="12"/>
      <c r="O110" s="12"/>
      <c r="P110" s="12"/>
      <c r="Q110" s="12"/>
      <c r="R110" s="12"/>
      <c r="S110" s="12"/>
    </row>
    <row r="111" spans="5:19" ht="15" customHeight="1" x14ac:dyDescent="0.25">
      <c r="E111" s="12"/>
      <c r="F111" s="12"/>
      <c r="G111" s="12"/>
      <c r="H111" s="12"/>
      <c r="I111" s="12"/>
      <c r="J111" s="12"/>
      <c r="K111" s="12"/>
      <c r="L111" s="12"/>
      <c r="M111" s="12"/>
      <c r="N111" s="12"/>
      <c r="O111" s="12"/>
      <c r="P111" s="12"/>
      <c r="Q111" s="12"/>
      <c r="R111" s="12"/>
      <c r="S111" s="12"/>
    </row>
    <row r="112" spans="5:19" ht="15" customHeight="1" x14ac:dyDescent="0.25">
      <c r="E112" s="12"/>
      <c r="F112" s="12"/>
      <c r="G112" s="12"/>
      <c r="H112" s="12"/>
      <c r="I112" s="12"/>
      <c r="J112" s="12"/>
      <c r="K112" s="12"/>
      <c r="L112" s="12"/>
      <c r="M112" s="12"/>
      <c r="N112" s="12"/>
      <c r="O112" s="12"/>
      <c r="P112" s="12"/>
      <c r="Q112" s="12"/>
      <c r="R112" s="12"/>
      <c r="S112" s="12"/>
    </row>
    <row r="113" spans="5:19" ht="15" customHeight="1" x14ac:dyDescent="0.25">
      <c r="E113" s="12"/>
      <c r="F113" s="12"/>
      <c r="G113" s="12"/>
      <c r="H113" s="12"/>
      <c r="I113" s="12"/>
      <c r="J113" s="12"/>
      <c r="K113" s="12"/>
      <c r="L113" s="12"/>
      <c r="M113" s="12"/>
      <c r="N113" s="12"/>
      <c r="O113" s="12"/>
      <c r="P113" s="12"/>
      <c r="Q113" s="12"/>
      <c r="R113" s="12"/>
      <c r="S113" s="12"/>
    </row>
    <row r="114" spans="5:19" ht="15" customHeight="1" x14ac:dyDescent="0.25">
      <c r="E114" s="12"/>
      <c r="F114" s="12"/>
      <c r="G114" s="12"/>
      <c r="H114" s="12"/>
      <c r="I114" s="12"/>
      <c r="J114" s="12"/>
      <c r="K114" s="12"/>
      <c r="L114" s="12"/>
      <c r="M114" s="12"/>
      <c r="N114" s="12"/>
      <c r="O114" s="12"/>
      <c r="P114" s="12"/>
      <c r="Q114" s="12"/>
      <c r="R114" s="12"/>
      <c r="S114" s="12"/>
    </row>
    <row r="115" spans="5:19" ht="15" customHeight="1" x14ac:dyDescent="0.25">
      <c r="E115" s="12"/>
      <c r="F115" s="12"/>
      <c r="G115" s="12"/>
      <c r="H115" s="12"/>
      <c r="I115" s="12"/>
      <c r="J115" s="12"/>
      <c r="K115" s="12"/>
      <c r="L115" s="12"/>
      <c r="M115" s="12"/>
      <c r="N115" s="12"/>
      <c r="O115" s="12"/>
      <c r="P115" s="12"/>
      <c r="Q115" s="12"/>
      <c r="R115" s="12"/>
      <c r="S115" s="12"/>
    </row>
    <row r="116" spans="5:19" ht="15" customHeight="1" x14ac:dyDescent="0.25">
      <c r="E116" s="12"/>
      <c r="F116" s="12"/>
      <c r="G116" s="12"/>
      <c r="H116" s="12"/>
      <c r="I116" s="12"/>
      <c r="J116" s="12"/>
      <c r="K116" s="12"/>
      <c r="L116" s="12"/>
      <c r="M116" s="12"/>
      <c r="N116" s="12"/>
      <c r="O116" s="12"/>
      <c r="P116" s="12"/>
      <c r="Q116" s="12"/>
      <c r="R116" s="12"/>
      <c r="S116" s="12"/>
    </row>
    <row r="117" spans="5:19" ht="15" customHeight="1" x14ac:dyDescent="0.25">
      <c r="E117" s="12"/>
      <c r="F117" s="12"/>
      <c r="G117" s="12"/>
      <c r="H117" s="12"/>
      <c r="I117" s="12"/>
      <c r="J117" s="12"/>
      <c r="K117" s="12"/>
      <c r="L117" s="12"/>
      <c r="M117" s="12"/>
      <c r="N117" s="12"/>
      <c r="O117" s="12"/>
      <c r="P117" s="12"/>
      <c r="Q117" s="12"/>
      <c r="R117" s="12"/>
      <c r="S117" s="12"/>
    </row>
    <row r="118" spans="5:19" ht="15" customHeight="1" x14ac:dyDescent="0.25">
      <c r="E118" s="12"/>
      <c r="F118" s="12"/>
      <c r="G118" s="12"/>
      <c r="H118" s="12"/>
      <c r="I118" s="12"/>
      <c r="J118" s="12"/>
      <c r="K118" s="12"/>
      <c r="L118" s="12"/>
      <c r="M118" s="12"/>
      <c r="N118" s="12"/>
      <c r="O118" s="12"/>
      <c r="P118" s="12"/>
      <c r="Q118" s="12"/>
      <c r="R118" s="12"/>
      <c r="S118" s="12"/>
    </row>
    <row r="119" spans="5:19" ht="15" customHeight="1" x14ac:dyDescent="0.25">
      <c r="E119" s="12"/>
      <c r="F119" s="12"/>
      <c r="G119" s="12"/>
      <c r="H119" s="12"/>
      <c r="I119" s="12"/>
      <c r="J119" s="12"/>
      <c r="K119" s="12"/>
      <c r="L119" s="12"/>
      <c r="M119" s="12"/>
      <c r="N119" s="12"/>
      <c r="O119" s="12"/>
      <c r="P119" s="12"/>
      <c r="Q119" s="12"/>
      <c r="R119" s="12"/>
      <c r="S119" s="12"/>
    </row>
    <row r="120" spans="5:19" ht="15" customHeight="1" x14ac:dyDescent="0.25">
      <c r="E120" s="12"/>
      <c r="F120" s="12"/>
      <c r="G120" s="12"/>
      <c r="H120" s="12"/>
      <c r="I120" s="12"/>
      <c r="J120" s="12"/>
      <c r="K120" s="12"/>
      <c r="L120" s="12"/>
      <c r="M120" s="12"/>
      <c r="N120" s="12"/>
      <c r="O120" s="12"/>
      <c r="P120" s="12"/>
      <c r="Q120" s="12"/>
      <c r="R120" s="12"/>
      <c r="S120" s="12"/>
    </row>
    <row r="121" spans="5:19" ht="15" customHeight="1" x14ac:dyDescent="0.25">
      <c r="E121" s="12"/>
      <c r="F121" s="12"/>
      <c r="G121" s="12"/>
      <c r="H121" s="12"/>
      <c r="I121" s="12"/>
      <c r="J121" s="12"/>
      <c r="K121" s="12"/>
      <c r="L121" s="12"/>
      <c r="M121" s="12"/>
      <c r="N121" s="12"/>
      <c r="O121" s="12"/>
      <c r="P121" s="12"/>
      <c r="Q121" s="12"/>
      <c r="R121" s="12"/>
      <c r="S121" s="12"/>
    </row>
    <row r="122" spans="5:19" ht="15" customHeight="1" x14ac:dyDescent="0.25">
      <c r="E122" s="12"/>
      <c r="F122" s="12"/>
      <c r="G122" s="12"/>
      <c r="H122" s="12"/>
      <c r="I122" s="12"/>
      <c r="J122" s="12"/>
      <c r="K122" s="12"/>
      <c r="L122" s="12"/>
      <c r="M122" s="12"/>
      <c r="N122" s="12"/>
      <c r="O122" s="12"/>
      <c r="P122" s="12"/>
      <c r="Q122" s="12"/>
      <c r="R122" s="12"/>
      <c r="S122" s="12"/>
    </row>
    <row r="123" spans="5:19" ht="15" customHeight="1" x14ac:dyDescent="0.25">
      <c r="E123" s="12"/>
      <c r="F123" s="12"/>
      <c r="G123" s="12"/>
      <c r="H123" s="12"/>
      <c r="I123" s="12"/>
      <c r="J123" s="12"/>
      <c r="K123" s="12"/>
      <c r="L123" s="12"/>
      <c r="M123" s="12"/>
      <c r="N123" s="12"/>
      <c r="O123" s="12"/>
      <c r="P123" s="12"/>
      <c r="Q123" s="12"/>
      <c r="R123" s="12"/>
      <c r="S123" s="12"/>
    </row>
    <row r="124" spans="5:19" ht="15" customHeight="1" x14ac:dyDescent="0.25">
      <c r="E124" s="12"/>
      <c r="F124" s="12"/>
      <c r="G124" s="12"/>
      <c r="H124" s="12"/>
      <c r="I124" s="12"/>
      <c r="J124" s="12"/>
      <c r="K124" s="12"/>
      <c r="L124" s="12"/>
      <c r="M124" s="12"/>
      <c r="N124" s="12"/>
      <c r="O124" s="12"/>
      <c r="P124" s="12"/>
      <c r="Q124" s="12"/>
      <c r="R124" s="12"/>
      <c r="S124" s="12"/>
    </row>
    <row r="125" spans="5:19" ht="15" customHeight="1" x14ac:dyDescent="0.25">
      <c r="E125" s="12"/>
      <c r="F125" s="12"/>
      <c r="G125" s="12"/>
      <c r="H125" s="12"/>
      <c r="I125" s="12"/>
      <c r="J125" s="12"/>
      <c r="K125" s="12"/>
      <c r="L125" s="12"/>
      <c r="M125" s="12"/>
      <c r="N125" s="12"/>
      <c r="O125" s="12"/>
      <c r="P125" s="12"/>
      <c r="Q125" s="12"/>
      <c r="R125" s="12"/>
      <c r="S125" s="12"/>
    </row>
    <row r="126" spans="5:19" ht="15" customHeight="1" x14ac:dyDescent="0.25">
      <c r="E126" s="12"/>
      <c r="F126" s="12"/>
      <c r="G126" s="12"/>
      <c r="H126" s="12"/>
      <c r="I126" s="12"/>
      <c r="J126" s="12"/>
      <c r="K126" s="12"/>
      <c r="L126" s="12"/>
      <c r="M126" s="12"/>
      <c r="N126" s="12"/>
      <c r="O126" s="12"/>
      <c r="P126" s="12"/>
      <c r="Q126" s="12"/>
      <c r="R126" s="12"/>
      <c r="S126" s="12"/>
    </row>
    <row r="127" spans="5:19" ht="15" customHeight="1" x14ac:dyDescent="0.25">
      <c r="E127" s="12"/>
      <c r="F127" s="12"/>
      <c r="G127" s="12"/>
      <c r="H127" s="12"/>
      <c r="I127" s="12"/>
      <c r="J127" s="12"/>
      <c r="K127" s="12"/>
      <c r="L127" s="12"/>
      <c r="M127" s="12"/>
      <c r="N127" s="12"/>
      <c r="O127" s="12"/>
      <c r="P127" s="12"/>
      <c r="Q127" s="12"/>
      <c r="R127" s="12"/>
      <c r="S127" s="12"/>
    </row>
    <row r="128" spans="5:19" ht="15" customHeight="1" x14ac:dyDescent="0.25">
      <c r="E128" s="12"/>
      <c r="F128" s="12"/>
      <c r="G128" s="12"/>
      <c r="H128" s="12"/>
      <c r="I128" s="12"/>
      <c r="J128" s="12"/>
      <c r="K128" s="12"/>
      <c r="L128" s="12"/>
      <c r="M128" s="12"/>
      <c r="N128" s="12"/>
      <c r="O128" s="12"/>
      <c r="P128" s="12"/>
      <c r="Q128" s="12"/>
      <c r="R128" s="12"/>
      <c r="S128" s="12"/>
    </row>
    <row r="129" spans="5:19" ht="15" customHeight="1" x14ac:dyDescent="0.25">
      <c r="E129" s="12"/>
      <c r="F129" s="12"/>
      <c r="G129" s="12"/>
      <c r="H129" s="12"/>
      <c r="I129" s="12"/>
      <c r="J129" s="12"/>
      <c r="K129" s="12"/>
      <c r="L129" s="12"/>
      <c r="M129" s="12"/>
      <c r="N129" s="12"/>
      <c r="O129" s="12"/>
      <c r="P129" s="12"/>
      <c r="Q129" s="12"/>
      <c r="R129" s="12"/>
      <c r="S129" s="12"/>
    </row>
    <row r="130" spans="5:19" ht="15" customHeight="1" x14ac:dyDescent="0.25">
      <c r="E130" s="12"/>
      <c r="F130" s="12"/>
      <c r="G130" s="12"/>
      <c r="H130" s="12"/>
      <c r="I130" s="12"/>
      <c r="J130" s="12"/>
      <c r="K130" s="12"/>
      <c r="L130" s="12"/>
      <c r="M130" s="12"/>
      <c r="N130" s="12"/>
      <c r="O130" s="12"/>
      <c r="P130" s="12"/>
      <c r="Q130" s="12"/>
      <c r="R130" s="12"/>
      <c r="S130" s="12"/>
    </row>
    <row r="131" spans="5:19" ht="15" customHeight="1" x14ac:dyDescent="0.25">
      <c r="E131" s="12"/>
      <c r="F131" s="12"/>
      <c r="G131" s="12"/>
      <c r="H131" s="12"/>
      <c r="I131" s="12"/>
      <c r="J131" s="12"/>
      <c r="K131" s="12"/>
      <c r="L131" s="12"/>
      <c r="M131" s="12"/>
      <c r="N131" s="12"/>
      <c r="O131" s="12"/>
      <c r="P131" s="12"/>
      <c r="Q131" s="12"/>
      <c r="R131" s="12"/>
      <c r="S131" s="12"/>
    </row>
    <row r="132" spans="5:19" ht="15" customHeight="1" x14ac:dyDescent="0.25">
      <c r="E132" s="12"/>
      <c r="F132" s="12"/>
      <c r="G132" s="12"/>
      <c r="H132" s="12"/>
      <c r="I132" s="12"/>
      <c r="J132" s="12"/>
      <c r="K132" s="12"/>
      <c r="L132" s="12"/>
      <c r="M132" s="12"/>
      <c r="N132" s="12"/>
      <c r="O132" s="12"/>
      <c r="P132" s="12"/>
      <c r="Q132" s="12"/>
      <c r="R132" s="12"/>
      <c r="S132" s="12"/>
    </row>
    <row r="133" spans="5:19" ht="15" customHeight="1" x14ac:dyDescent="0.25">
      <c r="E133" s="12"/>
      <c r="F133" s="12"/>
      <c r="G133" s="12"/>
      <c r="H133" s="12"/>
      <c r="I133" s="12"/>
      <c r="J133" s="12"/>
      <c r="K133" s="12"/>
      <c r="L133" s="12"/>
      <c r="M133" s="12"/>
      <c r="N133" s="12"/>
      <c r="O133" s="12"/>
      <c r="P133" s="12"/>
      <c r="Q133" s="12"/>
      <c r="R133" s="12"/>
      <c r="S133" s="12"/>
    </row>
    <row r="134" spans="5:19" ht="15" customHeight="1" x14ac:dyDescent="0.25">
      <c r="E134" s="12"/>
      <c r="F134" s="12"/>
      <c r="G134" s="12"/>
      <c r="H134" s="12"/>
      <c r="I134" s="12"/>
      <c r="J134" s="12"/>
      <c r="K134" s="12"/>
      <c r="L134" s="12"/>
      <c r="M134" s="12"/>
      <c r="N134" s="12"/>
      <c r="O134" s="12"/>
      <c r="P134" s="12"/>
      <c r="Q134" s="12"/>
      <c r="R134" s="12"/>
      <c r="S134" s="12"/>
    </row>
    <row r="135" spans="5:19" ht="15" customHeight="1" x14ac:dyDescent="0.25">
      <c r="E135" s="12"/>
      <c r="F135" s="12"/>
      <c r="G135" s="12"/>
      <c r="H135" s="12"/>
      <c r="I135" s="12"/>
      <c r="J135" s="12"/>
      <c r="K135" s="12"/>
      <c r="L135" s="12"/>
      <c r="M135" s="12"/>
      <c r="N135" s="12"/>
      <c r="O135" s="12"/>
      <c r="P135" s="12"/>
      <c r="Q135" s="12"/>
      <c r="R135" s="12"/>
      <c r="S135" s="12"/>
    </row>
    <row r="136" spans="5:19" ht="15" customHeight="1" x14ac:dyDescent="0.25">
      <c r="E136" s="12"/>
      <c r="F136" s="12"/>
      <c r="G136" s="12"/>
      <c r="H136" s="12"/>
      <c r="I136" s="12"/>
      <c r="J136" s="12"/>
      <c r="K136" s="12"/>
      <c r="L136" s="12"/>
      <c r="M136" s="12"/>
      <c r="N136" s="12"/>
      <c r="O136" s="12"/>
      <c r="P136" s="12"/>
      <c r="Q136" s="12"/>
      <c r="R136" s="12"/>
      <c r="S136" s="12"/>
    </row>
    <row r="137" spans="5:19" ht="15" customHeight="1" x14ac:dyDescent="0.25">
      <c r="E137" s="12"/>
      <c r="F137" s="12"/>
      <c r="G137" s="12"/>
      <c r="H137" s="12"/>
      <c r="I137" s="12"/>
      <c r="J137" s="12"/>
      <c r="K137" s="12"/>
      <c r="L137" s="12"/>
      <c r="M137" s="12"/>
      <c r="N137" s="12"/>
      <c r="O137" s="12"/>
      <c r="P137" s="12"/>
      <c r="Q137" s="12"/>
      <c r="R137" s="12"/>
      <c r="S137" s="12"/>
    </row>
    <row r="138" spans="5:19" ht="15" customHeight="1" x14ac:dyDescent="0.25">
      <c r="E138" s="12"/>
      <c r="F138" s="12"/>
      <c r="G138" s="12"/>
      <c r="H138" s="12"/>
      <c r="I138" s="12"/>
      <c r="J138" s="12"/>
      <c r="K138" s="12"/>
      <c r="L138" s="12"/>
      <c r="M138" s="12"/>
      <c r="N138" s="12"/>
      <c r="O138" s="12"/>
      <c r="P138" s="12"/>
      <c r="Q138" s="12"/>
      <c r="R138" s="12"/>
      <c r="S138" s="12"/>
    </row>
    <row r="139" spans="5:19" ht="15" customHeight="1" x14ac:dyDescent="0.25">
      <c r="E139" s="12"/>
      <c r="F139" s="12"/>
      <c r="G139" s="12"/>
      <c r="H139" s="12"/>
      <c r="I139" s="12"/>
      <c r="J139" s="12"/>
      <c r="K139" s="12"/>
      <c r="L139" s="12"/>
      <c r="M139" s="12"/>
      <c r="N139" s="12"/>
      <c r="O139" s="12"/>
      <c r="P139" s="12"/>
      <c r="Q139" s="12"/>
      <c r="R139" s="12"/>
      <c r="S139" s="12"/>
    </row>
    <row r="140" spans="5:19" ht="15" customHeight="1" x14ac:dyDescent="0.25">
      <c r="E140" s="12"/>
      <c r="F140" s="12"/>
      <c r="G140" s="12"/>
      <c r="H140" s="12"/>
      <c r="I140" s="12"/>
      <c r="J140" s="12"/>
      <c r="K140" s="12"/>
      <c r="L140" s="12"/>
      <c r="M140" s="12"/>
      <c r="N140" s="12"/>
      <c r="O140" s="12"/>
      <c r="P140" s="12"/>
      <c r="Q140" s="12"/>
      <c r="R140" s="12"/>
      <c r="S140" s="12"/>
    </row>
    <row r="141" spans="5:19" ht="15" customHeight="1" x14ac:dyDescent="0.25">
      <c r="E141" s="12"/>
      <c r="F141" s="12"/>
      <c r="G141" s="12"/>
      <c r="H141" s="12"/>
      <c r="I141" s="12"/>
      <c r="J141" s="12"/>
      <c r="K141" s="12"/>
      <c r="L141" s="12"/>
      <c r="M141" s="12"/>
      <c r="N141" s="12"/>
      <c r="O141" s="12"/>
      <c r="P141" s="12"/>
      <c r="Q141" s="12"/>
      <c r="R141" s="12"/>
      <c r="S141" s="12"/>
    </row>
    <row r="142" spans="5:19" ht="15" customHeight="1" x14ac:dyDescent="0.25">
      <c r="E142" s="12"/>
      <c r="F142" s="12"/>
      <c r="G142" s="12"/>
      <c r="H142" s="12"/>
      <c r="I142" s="12"/>
      <c r="J142" s="12"/>
      <c r="K142" s="12"/>
      <c r="L142" s="12"/>
      <c r="M142" s="12"/>
      <c r="N142" s="12"/>
      <c r="O142" s="12"/>
      <c r="P142" s="12"/>
      <c r="Q142" s="12"/>
      <c r="R142" s="12"/>
      <c r="S142" s="12"/>
    </row>
    <row r="143" spans="5:19" ht="15" customHeight="1" x14ac:dyDescent="0.25">
      <c r="E143" s="12"/>
      <c r="F143" s="12"/>
      <c r="G143" s="12"/>
      <c r="H143" s="12"/>
      <c r="I143" s="12"/>
      <c r="J143" s="12"/>
      <c r="K143" s="12"/>
      <c r="L143" s="12"/>
      <c r="M143" s="12"/>
      <c r="N143" s="12"/>
      <c r="O143" s="12"/>
      <c r="P143" s="12"/>
      <c r="Q143" s="12"/>
      <c r="R143" s="12"/>
      <c r="S143" s="12"/>
    </row>
    <row r="144" spans="5:19" ht="15" customHeight="1" x14ac:dyDescent="0.25">
      <c r="E144" s="12"/>
      <c r="F144" s="12"/>
      <c r="G144" s="12"/>
      <c r="H144" s="12"/>
      <c r="I144" s="12"/>
      <c r="J144" s="12"/>
      <c r="K144" s="12"/>
      <c r="L144" s="12"/>
      <c r="M144" s="12"/>
      <c r="N144" s="12"/>
      <c r="O144" s="12"/>
      <c r="P144" s="12"/>
      <c r="Q144" s="12"/>
      <c r="R144" s="12"/>
      <c r="S144" s="12"/>
    </row>
    <row r="145" spans="5:19" ht="15" customHeight="1" x14ac:dyDescent="0.25">
      <c r="E145" s="12"/>
      <c r="F145" s="12"/>
      <c r="G145" s="12"/>
      <c r="H145" s="12"/>
      <c r="I145" s="12"/>
      <c r="J145" s="12"/>
      <c r="K145" s="12"/>
      <c r="L145" s="12"/>
      <c r="M145" s="12"/>
      <c r="N145" s="12"/>
      <c r="O145" s="12"/>
      <c r="P145" s="12"/>
      <c r="Q145" s="12"/>
      <c r="R145" s="12"/>
      <c r="S145" s="12"/>
    </row>
    <row r="146" spans="5:19" ht="15" customHeight="1" x14ac:dyDescent="0.25">
      <c r="E146" s="12"/>
      <c r="F146" s="12"/>
      <c r="G146" s="12"/>
      <c r="H146" s="12"/>
      <c r="I146" s="12"/>
      <c r="J146" s="12"/>
      <c r="K146" s="12"/>
      <c r="L146" s="12"/>
      <c r="M146" s="12"/>
      <c r="N146" s="12"/>
      <c r="O146" s="12"/>
      <c r="P146" s="12"/>
      <c r="Q146" s="12"/>
      <c r="R146" s="12"/>
      <c r="S146" s="12"/>
    </row>
    <row r="147" spans="5:19" ht="15" customHeight="1" x14ac:dyDescent="0.25">
      <c r="E147" s="12"/>
      <c r="F147" s="12"/>
      <c r="G147" s="12"/>
      <c r="H147" s="12"/>
      <c r="I147" s="12"/>
      <c r="J147" s="12"/>
      <c r="K147" s="12"/>
      <c r="L147" s="12"/>
      <c r="M147" s="12"/>
      <c r="N147" s="12"/>
      <c r="O147" s="12"/>
      <c r="P147" s="12"/>
      <c r="Q147" s="12"/>
      <c r="R147" s="12"/>
      <c r="S147" s="12"/>
    </row>
    <row r="148" spans="5:19" ht="15" customHeight="1" x14ac:dyDescent="0.25">
      <c r="E148" s="12"/>
      <c r="F148" s="12"/>
      <c r="G148" s="12"/>
      <c r="H148" s="12"/>
      <c r="I148" s="12"/>
      <c r="J148" s="12"/>
      <c r="K148" s="12"/>
      <c r="L148" s="12"/>
      <c r="M148" s="12"/>
      <c r="N148" s="12"/>
      <c r="O148" s="12"/>
      <c r="P148" s="12"/>
      <c r="Q148" s="12"/>
      <c r="R148" s="12"/>
      <c r="S148" s="12"/>
    </row>
    <row r="149" spans="5:19" ht="15" customHeight="1" x14ac:dyDescent="0.25"/>
  </sheetData>
  <mergeCells count="4">
    <mergeCell ref="E9:O10"/>
    <mergeCell ref="E14:O15"/>
    <mergeCell ref="E17:O18"/>
    <mergeCell ref="E21:O23"/>
  </mergeCells>
  <printOptions horizontalCentered="1"/>
  <pageMargins left="0.11811023622047245" right="0.11811023622047245" top="0.11811023622047245" bottom="0.19685039370078741" header="0.11811023622047245" footer="0.11811023622047245"/>
  <pageSetup scale="80" orientation="landscape" r:id="rId1"/>
  <headerFooter>
    <oddFooter>&amp;Lir.tesla.com&amp;CPage &amp;P of &amp;N&amp;R&amp;D  &amp;T</oddFooter>
  </headerFooter>
  <rowBreaks count="1" manualBreakCount="1">
    <brk id="49" max="14"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Cover Page</vt:lpstr>
      <vt:lpstr>Dashboard</vt:lpstr>
      <vt:lpstr>About Tesla</vt:lpstr>
      <vt:lpstr>Assumptions</vt:lpstr>
      <vt:lpstr>Scenarios</vt:lpstr>
      <vt:lpstr>Financial Statements</vt:lpstr>
      <vt:lpstr>Notes to Accounts</vt:lpstr>
      <vt:lpstr>DCF Valuation</vt:lpstr>
      <vt:lpstr>Comp's Analysis</vt:lpstr>
      <vt:lpstr>Ratio Analysis</vt:lpstr>
      <vt:lpstr>Glossary</vt:lpstr>
      <vt:lpstr>'About Tesla'!Print_Area</vt:lpstr>
      <vt:lpstr>Assumptions!Print_Area</vt:lpstr>
      <vt:lpstr>'Comp''s Analysis'!Print_Area</vt:lpstr>
      <vt:lpstr>'Cover Page'!Print_Area</vt:lpstr>
      <vt:lpstr>Dashboard!Print_Area</vt:lpstr>
      <vt:lpstr>'DCF Valuation'!Print_Area</vt:lpstr>
      <vt:lpstr>'Financial Statements'!Print_Area</vt:lpstr>
      <vt:lpstr>Glossary!Print_Area</vt:lpstr>
      <vt:lpstr>'Notes to Accounts'!Print_Area</vt:lpstr>
      <vt:lpstr>'Ratio Analysis'!Print_Area</vt:lpstr>
      <vt:lpstr>Scenarios!Print_Area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DADHICH Vasudev</cp:lastModifiedBy>
  <cp:lastPrinted>2022-09-04T05:12:26Z</cp:lastPrinted>
  <dcterms:created xsi:type="dcterms:W3CDTF">2015-06-05T18:17:20Z</dcterms:created>
  <dcterms:modified xsi:type="dcterms:W3CDTF">2025-01-26T12:42:19Z</dcterms:modified>
</cp:coreProperties>
</file>