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&amp;L" sheetId="1" r:id="rId4"/>
    <sheet state="visible" name="Derivatives" sheetId="2" r:id="rId5"/>
    <sheet state="visible" name="2. Working Capital &amp; Capex" sheetId="3" r:id="rId6"/>
    <sheet state="visible" name="3. FCFE" sheetId="4" r:id="rId7"/>
    <sheet state="visible" name="4. Valuation" sheetId="5" r:id="rId8"/>
    <sheet state="visible" name="WACC" sheetId="6" r:id="rId9"/>
    <sheet state="visible" name="UFCF" sheetId="7" r:id="rId10"/>
  </sheets>
  <definedNames/>
  <calcPr/>
  <extLst>
    <ext uri="GoogleSheetsCustomDataVersion2">
      <go:sheetsCustomData xmlns:go="http://customooxmlschemas.google.com/" r:id="rId11" roundtripDataChecksum="8h9H3tgchxQCIK+7qU87wJTOLEH6yCsjqc7QId9Z+e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53">
      <text>
        <t xml:space="preserve">======
ID#AAABaC4ZS3M
Aatmay    (2024-12-11 13:51:37)
Your tax advisors informed you that a €200mln shareholder loan with a 9% PIK interest can be issued to create a tax shield.</t>
      </text>
    </comment>
    <comment authorId="0" ref="C57">
      <text>
        <t xml:space="preserve">======
ID#AAABaC4ZS3E
Aatmay    (2024-12-11 13:51:37)
Assume the reference rate is Euribor. Google the current 3-month Euribor rate and enter it here.</t>
      </text>
    </comment>
    <comment authorId="0" ref="C46">
      <text>
        <t xml:space="preserve">======
ID#AAABaC4ZS3I
Aatmay    (2024-12-11 13:51:37)
Assume a 15% corporate tax rate for Germany.</t>
      </text>
    </comment>
    <comment authorId="0" ref="C14">
      <text>
        <t xml:space="preserve">======
ID#AAABaC4ZS28
Aatmay    (2024-12-11 13:51:37)
Use historical data, market insights and your own judgement to make revenue forecasts.</t>
      </text>
    </comment>
    <comment authorId="0" ref="C32">
      <text>
        <t xml:space="preserve">======
ID#AAABaC4ZS20
Aatmay    (2024-12-11 13:51:37)
Some expense items may move in line with revenue, while others may have different patterns. You should use your judgment and historical data to estimate future cost items.</t>
      </text>
    </comment>
    <comment authorId="0" ref="C53">
      <text>
        <t xml:space="preserve">======
ID#AAABaC4ZS2s
Aatmay    (2024-12-11 13:51:37)
Once the DCM deadline has passed, you will see debt financing packages available. Select the debt amount and interest rate of the financing package you're selecting.</t>
      </text>
    </comment>
    <comment authorId="0" ref="D35">
      <text>
        <t xml:space="preserve">======
ID#AAABaC4ZS2o
Aatmay    (2024-12-11 13:51:37)
You may want to use some sort of average of past Capex figures to help you estimate D&amp;A</t>
      </text>
    </comment>
  </commentList>
  <extLst>
    <ext uri="GoogleSheetsCustomDataVersion2">
      <go:sheetsCustomData xmlns:go="http://customooxmlschemas.google.com/" r:id="rId1" roundtripDataSignature="AMtx7mh2CMetKfLMjqA3zQxjRA3I4+UxA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6">
      <text>
        <t xml:space="preserve">======
ID#AAABaC4ZS3Q
Aatmay    (2024-12-11 13:51:37)
Utilize historical data as a reference to evaluate whether the company's future plans are likely to necessitate additional capex.</t>
      </text>
    </comment>
    <comment authorId="0" ref="C13">
      <text>
        <t xml:space="preserve">======
ID#AAABaC4ZS2g
Aatmay    (2024-12-11 13:51:37)
Evaluate the feasibility of the company's proposed working capital optimization strategy by analyzing its alignment with historical data and realistic projections.</t>
      </text>
    </comment>
  </commentList>
  <extLst>
    <ext uri="GoogleSheetsCustomDataVersion2">
      <go:sheetsCustomData xmlns:go="http://customooxmlschemas.google.com/" r:id="rId1" roundtripDataSignature="AMtx7midkvvrp90ZuK9HjcO/aJm+JOHBL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3">
      <text>
        <t xml:space="preserve">======
ID#AAABaC4ZS24
Aatmay    (2024-12-11 13:51:37)
Verify that the signs are correct to ensure that cash expenses and other cash outflows are subtracted from EBITDA.
Please note that Free Cash Flow ignores non-cash items, i.e., you should only take the cash interest of the loans (interest of the term loan is all cash and interest of the shareholder loan is all PIK).</t>
      </text>
    </comment>
  </commentList>
  <extLst>
    <ext uri="GoogleSheetsCustomDataVersion2">
      <go:sheetsCustomData xmlns:go="http://customooxmlschemas.google.com/" r:id="rId1" roundtripDataSignature="AMtx7mhrkQ/DcskuF48dRLbV0X0/oLjrZ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2">
      <text>
        <t xml:space="preserve">======
ID#AAABaC4ZS3U
Aatmay    (2024-12-11 13:51:37)
Post transaction, Frametastic will have an excess cash balance of €30 million.</t>
      </text>
    </comment>
    <comment authorId="0" ref="C21">
      <text>
        <t xml:space="preserve">======
ID#AAABaC4ZS3A
Aatmay    (2024-12-11 13:51:37)
Insert here the TLB (Term Loan B) loan amount that you select.</t>
      </text>
    </comment>
    <comment authorId="0" ref="C16">
      <text>
        <t xml:space="preserve">======
ID#AAABaC4ZS2w
Aatmay    (2024-12-11 13:51:37)
For most PE firms, the minimum required rate of return is around 15%, which is the IRR target. Your submitted EV bid should not imply an IRR of less than 15%. Therefore, your discount rate should be set at no less than 15%.</t>
      </text>
    </comment>
    <comment authorId="0" ref="C18">
      <text>
        <t xml:space="preserve">======
ID#AAABaC4ZS2k
Aatmay    (2024-12-11 13:51:37)
The terminal value growth rate is typically set in line with the expected long-term growth rate of the economy or the industry. Commonly used rates range from 2% to 4%. Use your judgement.</t>
      </text>
    </comment>
  </commentList>
  <extLst>
    <ext uri="GoogleSheetsCustomDataVersion2">
      <go:sheetsCustomData xmlns:go="http://customooxmlschemas.google.com/" r:id="rId1" roundtripDataSignature="AMtx7mg6pgUt/Zhkbz9LhRnt5H1WWtno5w=="/>
    </ext>
  </extLst>
</comments>
</file>

<file path=xl/sharedStrings.xml><?xml version="1.0" encoding="utf-8"?>
<sst xmlns="http://schemas.openxmlformats.org/spreadsheetml/2006/main" count="197" uniqueCount="153">
  <si>
    <t>For 4th Day</t>
  </si>
  <si>
    <t>For the 5th day</t>
  </si>
  <si>
    <t>Divestiture</t>
  </si>
  <si>
    <t>Price sold of the peer</t>
  </si>
  <si>
    <t>Average revenue growth in the past 5 years</t>
  </si>
  <si>
    <t>annualy</t>
  </si>
  <si>
    <t>CAGR</t>
  </si>
  <si>
    <t>Adjusted Ebitda of the peer</t>
  </si>
  <si>
    <t>Team Number:</t>
  </si>
  <si>
    <t>Excluding eco friendly business</t>
  </si>
  <si>
    <t xml:space="preserve">EV/EBITDA adjusted is </t>
  </si>
  <si>
    <t>Global Market Insight prevision of growth</t>
  </si>
  <si>
    <t>Actual EBITDA Frametastic</t>
  </si>
  <si>
    <t>1a. Project P&amp;L:</t>
  </si>
  <si>
    <t>Multiple valuation</t>
  </si>
  <si>
    <t>Historical</t>
  </si>
  <si>
    <t>Eco Friendly</t>
  </si>
  <si>
    <t>Without</t>
  </si>
  <si>
    <t>Projection</t>
  </si>
  <si>
    <r>
      <rPr>
        <rFont val="Calibri"/>
        <i/>
        <color theme="0"/>
        <sz val="11.0"/>
      </rPr>
      <t xml:space="preserve">(in </t>
    </r>
    <r>
      <rPr>
        <rFont val="Calibri"/>
        <i/>
        <color theme="0"/>
        <sz val="11.0"/>
      </rPr>
      <t>€ million)</t>
    </r>
  </si>
  <si>
    <t>Units:</t>
  </si>
  <si>
    <t>Projection period</t>
  </si>
  <si>
    <t>Revenue</t>
  </si>
  <si>
    <t>€</t>
  </si>
  <si>
    <t>% growth</t>
  </si>
  <si>
    <t>%</t>
  </si>
  <si>
    <t>Cost of Goods Sold (COGS)</t>
  </si>
  <si>
    <t>% of revenue</t>
  </si>
  <si>
    <t>Direct Labour</t>
  </si>
  <si>
    <t>% revenue</t>
  </si>
  <si>
    <t>Gross Profit</t>
  </si>
  <si>
    <t>SG&amp;A</t>
  </si>
  <si>
    <t>Product Development</t>
  </si>
  <si>
    <t>EBITDA</t>
  </si>
  <si>
    <t>EBITDA margin</t>
  </si>
  <si>
    <t>Depreciation &amp; Amortization</t>
  </si>
  <si>
    <t xml:space="preserve">EBIT  </t>
  </si>
  <si>
    <t>EBIT margin</t>
  </si>
  <si>
    <t>Interest Expense - TL</t>
  </si>
  <si>
    <t>Interest Expense - SHL</t>
  </si>
  <si>
    <t>EBT</t>
  </si>
  <si>
    <t>(Enter German Corporate Tax Rate)</t>
  </si>
  <si>
    <t>Tax    @</t>
  </si>
  <si>
    <t>Net Income</t>
  </si>
  <si>
    <t>Net Income Margin</t>
  </si>
  <si>
    <t>1b. DCM Table:</t>
  </si>
  <si>
    <t>1c. Shareholder Loan Table:</t>
  </si>
  <si>
    <t>Enter the details of the debt package selected by your team:</t>
  </si>
  <si>
    <t>Debt (Term Loan B) Amount</t>
  </si>
  <si>
    <t>Shareholder Loan (SHL) Amount</t>
  </si>
  <si>
    <t>We assume that they are not</t>
  </si>
  <si>
    <t>TLB Interest Premium</t>
  </si>
  <si>
    <t>SHL Interest</t>
  </si>
  <si>
    <t>in this round</t>
  </si>
  <si>
    <t>EURIBOR</t>
  </si>
  <si>
    <t xml:space="preserve">  </t>
  </si>
  <si>
    <t>Cash flow generation per year in £</t>
  </si>
  <si>
    <t>Current exchange rate GBP/EUR</t>
  </si>
  <si>
    <t>40m GBP / 1.1GBP /EUR= x EUR</t>
  </si>
  <si>
    <t>40m GBP / y GBP/EUR = x EUR</t>
  </si>
  <si>
    <t xml:space="preserve">proposed derivatives </t>
  </si>
  <si>
    <t>5-years exchange rate GBP/EUR from the pricing desk</t>
  </si>
  <si>
    <t>Fees- 0.005</t>
  </si>
  <si>
    <t>fee EUR/GBP</t>
  </si>
  <si>
    <t>EUR/GBP</t>
  </si>
  <si>
    <t>GBP</t>
  </si>
  <si>
    <t>EUR</t>
  </si>
  <si>
    <t>GPB/EUR 1,1</t>
  </si>
  <si>
    <t>Current exchange rates are 1.085 EUR/GBP.  Your derivatives pricing desk quoted a 5-year swap at a fixed exchange rate of 1.076 EUR/GBP without charging fees. To make the trade profitable for your Derivatives desk, consider adjusting this rate with fee for a swap of this size with a Credit Support Annex is about 0.005 EUR/GBP.</t>
  </si>
  <si>
    <t>Average historical growth of Inventory</t>
  </si>
  <si>
    <t>2. Project Working Capital Changes &amp; Capex:</t>
  </si>
  <si>
    <t>Average historical growth of Account receivable</t>
  </si>
  <si>
    <t>Average historical growth of Payable</t>
  </si>
  <si>
    <t>Eco</t>
  </si>
  <si>
    <r>
      <rPr>
        <rFont val="Calibri"/>
        <i/>
        <color theme="0"/>
        <sz val="11.0"/>
      </rPr>
      <t xml:space="preserve">(in </t>
    </r>
    <r>
      <rPr>
        <rFont val="Calibri"/>
        <i/>
        <color theme="0"/>
        <sz val="11.0"/>
      </rPr>
      <t>€ million)</t>
    </r>
  </si>
  <si>
    <t>Inventory</t>
  </si>
  <si>
    <t>Accounts Receivable</t>
  </si>
  <si>
    <t>Accounts Payable</t>
  </si>
  <si>
    <t>Working Capital</t>
  </si>
  <si>
    <t>Change in Working Capital</t>
  </si>
  <si>
    <t>Cash</t>
  </si>
  <si>
    <t xml:space="preserve">Book Equity </t>
  </si>
  <si>
    <t>Capex</t>
  </si>
  <si>
    <t>Capex historical growth</t>
  </si>
  <si>
    <t xml:space="preserve">Capital gain tax rates </t>
  </si>
  <si>
    <t>3. Calculate Free Cash Flow:</t>
  </si>
  <si>
    <t>Actual</t>
  </si>
  <si>
    <t>Projected</t>
  </si>
  <si>
    <r>
      <rPr>
        <rFont val="Calibri"/>
        <i/>
        <color theme="0"/>
        <sz val="11.0"/>
      </rPr>
      <t xml:space="preserve">(in </t>
    </r>
    <r>
      <rPr>
        <rFont val="Calibri"/>
        <i/>
        <color theme="0"/>
        <sz val="11.0"/>
      </rPr>
      <t>€ million)</t>
    </r>
  </si>
  <si>
    <t>(+) EBITDA</t>
  </si>
  <si>
    <t>(-) Interest</t>
  </si>
  <si>
    <t>(-) Taxes</t>
  </si>
  <si>
    <t>(-/+) Change in Working Capital</t>
  </si>
  <si>
    <t>(-) Capex</t>
  </si>
  <si>
    <t>Free Cash Flow to Equity (FCFE)</t>
  </si>
  <si>
    <t>in EUR millions</t>
  </si>
  <si>
    <t>Market Cap</t>
  </si>
  <si>
    <t>Book Equity</t>
  </si>
  <si>
    <t>Debt</t>
  </si>
  <si>
    <t>Ebitda</t>
  </si>
  <si>
    <t>4a. Discounted Cash Flow Valuation (DCF):</t>
  </si>
  <si>
    <t>Company name</t>
  </si>
  <si>
    <t>Superframes</t>
  </si>
  <si>
    <t>Good old frames</t>
  </si>
  <si>
    <r>
      <rPr>
        <rFont val="Calibri"/>
        <i/>
        <color theme="0"/>
        <sz val="11.0"/>
      </rPr>
      <t xml:space="preserve">(in </t>
    </r>
    <r>
      <rPr>
        <rFont val="Calibri"/>
        <i/>
        <color theme="0"/>
        <sz val="11.0"/>
      </rPr>
      <t>€ million)</t>
    </r>
  </si>
  <si>
    <t>French Windows</t>
  </si>
  <si>
    <t>Philipp Doors</t>
  </si>
  <si>
    <t>FCFE</t>
  </si>
  <si>
    <t>PV of FCFE</t>
  </si>
  <si>
    <t>Terminal Value</t>
  </si>
  <si>
    <t>=</t>
  </si>
  <si>
    <t>We are more similar to Philipp Doors</t>
  </si>
  <si>
    <t>PV of Terminal Value</t>
  </si>
  <si>
    <t xml:space="preserve">Net Debt </t>
  </si>
  <si>
    <t>D/E (E = market Cap)</t>
  </si>
  <si>
    <t>Revenue/Ebitda</t>
  </si>
  <si>
    <t>Revenue/NI</t>
  </si>
  <si>
    <t>WACC of the Industry</t>
  </si>
  <si>
    <t>Terminal Growth Rate</t>
  </si>
  <si>
    <t>We assume based on CAGR</t>
  </si>
  <si>
    <t xml:space="preserve">X </t>
  </si>
  <si>
    <t>This company seems to be not relevant for our case</t>
  </si>
  <si>
    <t>Equity Value</t>
  </si>
  <si>
    <t>(+) Debt</t>
  </si>
  <si>
    <t>Our D/E we choose Philipp Doors</t>
  </si>
  <si>
    <t>(-) Cash Balance</t>
  </si>
  <si>
    <t>The D/E we chose</t>
  </si>
  <si>
    <t>industry D/E</t>
  </si>
  <si>
    <t>Enterprise Value</t>
  </si>
  <si>
    <t xml:space="preserve">Unlevered Beta </t>
  </si>
  <si>
    <t>Levered Beta</t>
  </si>
  <si>
    <t>Re</t>
  </si>
  <si>
    <t>Rd</t>
  </si>
  <si>
    <t>Our WACC</t>
  </si>
  <si>
    <t>Frametastic</t>
  </si>
  <si>
    <t>Risk Free interest rate</t>
  </si>
  <si>
    <t xml:space="preserve">beta </t>
  </si>
  <si>
    <t xml:space="preserve">Tax rate </t>
  </si>
  <si>
    <t xml:space="preserve">Market rate </t>
  </si>
  <si>
    <t xml:space="preserve">cost of debt </t>
  </si>
  <si>
    <t xml:space="preserve">Debt </t>
  </si>
  <si>
    <t xml:space="preserve">Equity </t>
  </si>
  <si>
    <t xml:space="preserve">Euribor </t>
  </si>
  <si>
    <t xml:space="preserve">Leveraged beta </t>
  </si>
  <si>
    <t xml:space="preserve">Calculated cost of equity </t>
  </si>
  <si>
    <t xml:space="preserve">Debt to value </t>
  </si>
  <si>
    <t xml:space="preserve">Equity to value </t>
  </si>
  <si>
    <t>Wacc</t>
  </si>
  <si>
    <t>EBIT</t>
  </si>
  <si>
    <t>Taxes</t>
  </si>
  <si>
    <t>D&amp;A</t>
  </si>
  <si>
    <t>Delta  WC</t>
  </si>
  <si>
    <t>UFCF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</si>
</sst>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%"/>
    <numFmt numFmtId="165" formatCode="_ * #,##0.00_ ;_ * \-#,##0.00_ ;_ * &quot;-&quot;??_ ;_ @_ "/>
    <numFmt numFmtId="166" formatCode="0.000"/>
    <numFmt numFmtId="167" formatCode="&quot;$&quot;#,##0.00"/>
    <numFmt numFmtId="168" formatCode="[$£]#,##0"/>
    <numFmt numFmtId="169" formatCode="[$£]#,##0.000"/>
    <numFmt numFmtId="170" formatCode="[$£]#,##0.00"/>
    <numFmt numFmtId="171" formatCode="0.0"/>
    <numFmt numFmtId="172" formatCode="_ * #,##0_ ;_ * \-#,##0_ ;_ * &quot;-&quot;??_ ;_ @_ "/>
    <numFmt numFmtId="173" formatCode="_(* #,##0.0_);_(* \(#,##0.0\);_(* &quot;-&quot;??_);_(@_)"/>
  </numFmts>
  <fonts count="25">
    <font>
      <sz val="11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b/>
      <sz val="12.0"/>
      <color theme="0"/>
      <name val="Calibri"/>
    </font>
    <font/>
    <font>
      <b/>
      <sz val="12.0"/>
      <color rgb="FFFFFFFF"/>
      <name val="Calibri"/>
    </font>
    <font>
      <i/>
      <sz val="11.0"/>
      <color theme="0"/>
      <name val="Calibri"/>
    </font>
    <font>
      <b/>
      <i/>
      <sz val="12.0"/>
      <color theme="0"/>
      <name val="Calibri"/>
    </font>
    <font>
      <i/>
      <sz val="12.0"/>
      <color theme="0"/>
      <name val="Calibri"/>
    </font>
    <font>
      <i/>
      <sz val="12.0"/>
      <color theme="1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i/>
      <sz val="11.0"/>
      <color rgb="FF0070C0"/>
      <name val="Calibri"/>
    </font>
    <font>
      <sz val="12.0"/>
      <color rgb="FF0070C0"/>
      <name val="Calibri"/>
    </font>
    <font>
      <sz val="11.0"/>
      <color theme="1"/>
      <name val="Calibri"/>
    </font>
    <font>
      <sz val="12.0"/>
      <color rgb="FF0000FF"/>
      <name val="Calibri"/>
    </font>
    <font>
      <sz val="11.0"/>
      <color rgb="FF000000"/>
      <name val="&quot;Google Sans&quot;"/>
    </font>
    <font>
      <sz val="15.0"/>
      <color rgb="FF000000"/>
      <name val="Arial"/>
    </font>
    <font>
      <sz val="15.0"/>
      <color rgb="FF000000"/>
      <name val="D-DIN"/>
    </font>
    <font>
      <color rgb="FF000000"/>
      <name val="Arial"/>
    </font>
    <font>
      <color rgb="FFFFFFFF"/>
      <name val="Arial"/>
    </font>
    <font>
      <b/>
      <i/>
      <sz val="12.0"/>
      <color rgb="FF000000"/>
      <name val="Calibri"/>
    </font>
    <font>
      <i/>
      <sz val="11.0"/>
      <color rgb="FFFFFFFF"/>
      <name val="Calibri"/>
    </font>
    <font>
      <b/>
      <i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009999"/>
        <bgColor rgb="FF009999"/>
      </patternFill>
    </fill>
    <fill>
      <patternFill patternType="solid">
        <fgColor rgb="FF0070C0"/>
        <bgColor rgb="FF0070C0"/>
      </patternFill>
    </fill>
    <fill>
      <patternFill patternType="solid">
        <fgColor rgb="FFD1EBFF"/>
        <bgColor rgb="FFD1EBFF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</fills>
  <borders count="5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/>
    </border>
    <border>
      <left/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right/>
      <top/>
      <bottom style="thin">
        <color theme="0"/>
      </bottom>
    </border>
    <border>
      <left/>
      <right style="thin">
        <color theme="0"/>
      </right>
      <top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dotted">
        <color theme="0"/>
      </right>
      <top/>
      <bottom style="thin">
        <color theme="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6" fillId="2" fontId="3" numFmtId="0" xfId="0" applyAlignment="1" applyBorder="1" applyFill="1" applyFont="1">
      <alignment horizontal="center"/>
    </xf>
    <xf borderId="0" fillId="0" fontId="1" numFmtId="9" xfId="0" applyAlignment="1" applyFont="1" applyNumberFormat="1">
      <alignment readingOrder="0"/>
    </xf>
    <xf borderId="5" fillId="0" fontId="1" numFmtId="2" xfId="0" applyBorder="1" applyFont="1" applyNumberFormat="1"/>
    <xf borderId="5" fillId="0" fontId="1" numFmtId="1" xfId="0" applyBorder="1" applyFont="1" applyNumberFormat="1"/>
    <xf borderId="7" fillId="3" fontId="4" numFmtId="0" xfId="0" applyBorder="1" applyFill="1" applyFont="1"/>
    <xf borderId="8" fillId="3" fontId="4" numFmtId="0" xfId="0" applyBorder="1" applyFont="1"/>
    <xf borderId="8" fillId="3" fontId="4" numFmtId="0" xfId="0" applyAlignment="1" applyBorder="1" applyFont="1">
      <alignment horizontal="center"/>
    </xf>
    <xf borderId="4" fillId="0" fontId="4" numFmtId="0" xfId="0" applyBorder="1" applyFont="1"/>
    <xf borderId="0" fillId="0" fontId="4" numFmtId="0" xfId="0" applyFont="1"/>
    <xf borderId="0" fillId="0" fontId="4" numFmtId="0" xfId="0" applyAlignment="1" applyFont="1">
      <alignment horizontal="center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8" fillId="4" fontId="1" numFmtId="0" xfId="0" applyBorder="1" applyFill="1" applyFont="1"/>
    <xf borderId="8" fillId="4" fontId="1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15" fillId="4" fontId="6" numFmtId="0" xfId="0" applyAlignment="1" applyBorder="1" applyFont="1">
      <alignment horizontal="center" readingOrder="0"/>
    </xf>
    <xf borderId="12" fillId="4" fontId="6" numFmtId="0" xfId="0" applyAlignment="1" applyBorder="1" applyFont="1">
      <alignment horizontal="center" readingOrder="0"/>
    </xf>
    <xf borderId="8" fillId="4" fontId="7" numFmtId="0" xfId="0" applyBorder="1" applyFont="1"/>
    <xf borderId="8" fillId="4" fontId="8" numFmtId="0" xfId="0" applyBorder="1" applyFont="1"/>
    <xf borderId="8" fillId="4" fontId="8" numFmtId="0" xfId="0" applyAlignment="1" applyBorder="1" applyFont="1">
      <alignment horizontal="center"/>
    </xf>
    <xf borderId="8" fillId="4" fontId="4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0" fillId="0" fontId="10" numFmtId="0" xfId="0" applyFont="1"/>
    <xf borderId="16" fillId="0" fontId="1" numFmtId="0" xfId="0" applyBorder="1" applyFont="1"/>
    <xf borderId="17" fillId="0" fontId="1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18" fillId="0" fontId="3" numFmtId="1" xfId="0" applyAlignment="1" applyBorder="1" applyFont="1" applyNumberFormat="1">
      <alignment readingOrder="0"/>
    </xf>
    <xf borderId="19" fillId="0" fontId="3" numFmtId="1" xfId="0" applyAlignment="1" applyBorder="1" applyFont="1" applyNumberFormat="1">
      <alignment readingOrder="0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11" numFmtId="9" xfId="0" applyFont="1" applyNumberFormat="1"/>
    <xf borderId="0" fillId="0" fontId="11" numFmtId="164" xfId="0" applyFont="1" applyNumberFormat="1"/>
    <xf borderId="18" fillId="0" fontId="11" numFmtId="164" xfId="0" applyBorder="1" applyFont="1" applyNumberFormat="1"/>
    <xf borderId="19" fillId="0" fontId="11" numFmtId="164" xfId="0" applyBorder="1" applyFont="1" applyNumberFormat="1"/>
    <xf borderId="0" fillId="0" fontId="11" numFmtId="0" xfId="0" applyAlignment="1" applyFont="1">
      <alignment horizontal="center"/>
    </xf>
    <xf borderId="0" fillId="0" fontId="13" numFmtId="0" xfId="0" applyFont="1"/>
    <xf borderId="18" fillId="0" fontId="1" numFmtId="0" xfId="0" applyBorder="1" applyFont="1"/>
    <xf borderId="19" fillId="0" fontId="1" numFmtId="0" xfId="0" applyBorder="1" applyFont="1"/>
    <xf borderId="0" fillId="0" fontId="1" numFmtId="1" xfId="0" applyFont="1" applyNumberFormat="1"/>
    <xf borderId="0" fillId="0" fontId="1" numFmtId="1" xfId="0" applyAlignment="1" applyFont="1" applyNumberFormat="1">
      <alignment readingOrder="0"/>
    </xf>
    <xf borderId="18" fillId="0" fontId="1" numFmtId="0" xfId="0" applyAlignment="1" applyBorder="1" applyFont="1">
      <alignment readingOrder="0"/>
    </xf>
    <xf borderId="19" fillId="0" fontId="1" numFmtId="1" xfId="0" applyBorder="1" applyFont="1" applyNumberFormat="1"/>
    <xf borderId="0" fillId="0" fontId="1" numFmtId="164" xfId="0" applyFont="1" applyNumberFormat="1"/>
    <xf borderId="0" fillId="0" fontId="14" numFmtId="0" xfId="0" applyFont="1"/>
    <xf borderId="20" fillId="0" fontId="1" numFmtId="0" xfId="0" applyAlignment="1" applyBorder="1" applyFont="1">
      <alignment horizontal="center"/>
    </xf>
    <xf borderId="21" fillId="0" fontId="1" numFmtId="0" xfId="0" applyBorder="1" applyFont="1"/>
    <xf borderId="22" fillId="0" fontId="1" numFmtId="0" xfId="0" applyBorder="1" applyFont="1"/>
    <xf borderId="23" fillId="0" fontId="3" numFmtId="0" xfId="0" applyBorder="1" applyFont="1"/>
    <xf borderId="23" fillId="0" fontId="1" numFmtId="0" xfId="0" applyBorder="1" applyFont="1"/>
    <xf borderId="23" fillId="0" fontId="1" numFmtId="0" xfId="0" applyAlignment="1" applyBorder="1" applyFont="1">
      <alignment horizontal="center"/>
    </xf>
    <xf borderId="23" fillId="0" fontId="3" numFmtId="1" xfId="0" applyBorder="1" applyFont="1" applyNumberFormat="1"/>
    <xf borderId="18" fillId="0" fontId="1" numFmtId="1" xfId="0" applyBorder="1" applyFont="1" applyNumberFormat="1"/>
    <xf borderId="19" fillId="0" fontId="1" numFmtId="164" xfId="0" applyBorder="1" applyFont="1" applyNumberFormat="1"/>
    <xf borderId="23" fillId="0" fontId="3" numFmtId="0" xfId="0" applyAlignment="1" applyBorder="1" applyFont="1">
      <alignment readingOrder="0"/>
    </xf>
    <xf borderId="23" fillId="0" fontId="3" numFmtId="1" xfId="0" applyAlignment="1" applyBorder="1" applyFont="1" applyNumberFormat="1">
      <alignment readingOrder="0"/>
    </xf>
    <xf borderId="0" fillId="0" fontId="11" numFmtId="164" xfId="0" applyAlignment="1" applyFont="1" applyNumberFormat="1">
      <alignment horizontal="right"/>
    </xf>
    <xf borderId="18" fillId="0" fontId="11" numFmtId="164" xfId="0" applyAlignment="1" applyBorder="1" applyFont="1" applyNumberFormat="1">
      <alignment horizontal="right"/>
    </xf>
    <xf borderId="19" fillId="0" fontId="11" numFmtId="164" xfId="0" applyAlignment="1" applyBorder="1" applyFont="1" applyNumberFormat="1">
      <alignment horizontal="right"/>
    </xf>
    <xf borderId="0" fillId="0" fontId="15" numFmtId="0" xfId="0" applyAlignment="1" applyFont="1">
      <alignment horizontal="center"/>
    </xf>
    <xf borderId="0" fillId="0" fontId="11" numFmtId="0" xfId="0" applyAlignment="1" applyFont="1">
      <alignment horizontal="right" readingOrder="0"/>
    </xf>
    <xf borderId="19" fillId="0" fontId="1" numFmtId="0" xfId="0" applyAlignment="1" applyBorder="1" applyFont="1">
      <alignment readingOrder="0"/>
    </xf>
    <xf borderId="0" fillId="0" fontId="16" numFmtId="1" xfId="0" applyFont="1" applyNumberFormat="1"/>
    <xf borderId="0" fillId="0" fontId="16" numFmtId="0" xfId="0" applyFont="1"/>
    <xf borderId="24" fillId="0" fontId="3" numFmtId="1" xfId="0" applyBorder="1" applyFont="1" applyNumberFormat="1"/>
    <xf borderId="25" fillId="0" fontId="3" numFmtId="1" xfId="0" applyBorder="1" applyFont="1" applyNumberFormat="1"/>
    <xf borderId="6" fillId="2" fontId="1" numFmtId="1" xfId="0" applyBorder="1" applyFont="1" applyNumberFormat="1"/>
    <xf borderId="26" fillId="2" fontId="1" numFmtId="1" xfId="0" applyBorder="1" applyFont="1" applyNumberFormat="1"/>
    <xf borderId="27" fillId="2" fontId="1" numFmtId="1" xfId="0" applyBorder="1" applyFont="1" applyNumberFormat="1"/>
    <xf borderId="20" fillId="0" fontId="1" numFmtId="0" xfId="0" applyBorder="1" applyFont="1"/>
    <xf borderId="20" fillId="0" fontId="1" numFmtId="1" xfId="0" applyBorder="1" applyFont="1" applyNumberFormat="1"/>
    <xf borderId="28" fillId="5" fontId="16" numFmtId="10" xfId="0" applyAlignment="1" applyBorder="1" applyFill="1" applyFont="1" applyNumberFormat="1">
      <alignment horizontal="center"/>
    </xf>
    <xf borderId="29" fillId="0" fontId="1" numFmtId="0" xfId="0" applyBorder="1" applyFont="1"/>
    <xf borderId="30" fillId="0" fontId="3" numFmtId="0" xfId="0" applyBorder="1" applyFont="1"/>
    <xf borderId="30" fillId="0" fontId="1" numFmtId="0" xfId="0" applyBorder="1" applyFont="1"/>
    <xf borderId="30" fillId="0" fontId="1" numFmtId="0" xfId="0" applyAlignment="1" applyBorder="1" applyFont="1">
      <alignment horizontal="center"/>
    </xf>
    <xf borderId="30" fillId="0" fontId="3" numFmtId="1" xfId="0" applyBorder="1" applyFont="1" applyNumberFormat="1"/>
    <xf borderId="31" fillId="0" fontId="3" numFmtId="1" xfId="0" applyBorder="1" applyFont="1" applyNumberFormat="1"/>
    <xf borderId="5" fillId="0" fontId="10" numFmtId="164" xfId="0" applyBorder="1" applyFont="1" applyNumberFormat="1"/>
    <xf borderId="10" fillId="0" fontId="1" numFmtId="0" xfId="0" applyAlignment="1" applyBorder="1" applyFont="1">
      <alignment horizontal="center"/>
    </xf>
    <xf borderId="32" fillId="3" fontId="4" numFmtId="0" xfId="0" applyBorder="1" applyFont="1"/>
    <xf borderId="33" fillId="3" fontId="4" numFmtId="0" xfId="0" applyBorder="1" applyFont="1"/>
    <xf borderId="33" fillId="3" fontId="4" numFmtId="0" xfId="0" applyAlignment="1" applyBorder="1" applyFont="1">
      <alignment horizontal="center"/>
    </xf>
    <xf borderId="34" fillId="3" fontId="4" numFmtId="0" xfId="0" applyBorder="1" applyFont="1"/>
    <xf borderId="35" fillId="3" fontId="4" numFmtId="0" xfId="0" applyBorder="1" applyFont="1"/>
    <xf borderId="4" fillId="0" fontId="10" numFmtId="0" xfId="0" applyBorder="1" applyFont="1"/>
    <xf borderId="5" fillId="0" fontId="4" numFmtId="0" xfId="0" applyBorder="1" applyFont="1"/>
    <xf borderId="0" fillId="0" fontId="3" numFmtId="0" xfId="0" applyAlignment="1" applyFont="1">
      <alignment horizontal="left" vertical="top"/>
    </xf>
    <xf borderId="28" fillId="5" fontId="16" numFmtId="2" xfId="0" applyAlignment="1" applyBorder="1" applyFont="1" applyNumberFormat="1">
      <alignment horizontal="center" readingOrder="0"/>
    </xf>
    <xf borderId="28" fillId="5" fontId="16" numFmtId="1" xfId="0" applyAlignment="1" applyBorder="1" applyFont="1" applyNumberFormat="1">
      <alignment horizontal="center"/>
    </xf>
    <xf borderId="28" fillId="5" fontId="16" numFmtId="10" xfId="0" applyAlignment="1" applyBorder="1" applyFont="1" applyNumberFormat="1">
      <alignment horizontal="center" readingOrder="0"/>
    </xf>
    <xf borderId="0" fillId="6" fontId="17" numFmtId="0" xfId="0" applyAlignment="1" applyFill="1" applyFont="1">
      <alignment readingOrder="0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0" fillId="0" fontId="1" numFmtId="165" xfId="0" applyFont="1" applyNumberFormat="1"/>
    <xf borderId="0" fillId="0" fontId="1" numFmtId="2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18" numFmtId="169" xfId="0" applyAlignment="1" applyFont="1" applyNumberFormat="1">
      <alignment horizontal="left" readingOrder="0"/>
    </xf>
    <xf borderId="0" fillId="0" fontId="2" numFmtId="168" xfId="0" applyFont="1" applyNumberFormat="1"/>
    <xf borderId="0" fillId="0" fontId="2" numFmtId="169" xfId="0" applyFont="1" applyNumberFormat="1"/>
    <xf borderId="0" fillId="0" fontId="2" numFmtId="170" xfId="0" applyFont="1" applyNumberFormat="1"/>
    <xf borderId="0" fillId="0" fontId="19" numFmtId="169" xfId="0" applyAlignment="1" applyFont="1" applyNumberFormat="1">
      <alignment horizontal="left" readingOrder="0"/>
    </xf>
    <xf borderId="0" fillId="0" fontId="2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2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8" fillId="4" fontId="6" numFmtId="0" xfId="0" applyAlignment="1" applyBorder="1" applyFont="1">
      <alignment horizontal="center" readingOrder="0"/>
    </xf>
    <xf borderId="36" fillId="4" fontId="6" numFmtId="0" xfId="0" applyAlignment="1" applyBorder="1" applyFont="1">
      <alignment horizontal="center" readingOrder="0"/>
    </xf>
    <xf borderId="37" fillId="4" fontId="6" numFmtId="0" xfId="0" applyAlignment="1" applyBorder="1" applyFont="1">
      <alignment horizontal="center" readingOrder="0"/>
    </xf>
    <xf borderId="38" fillId="0" fontId="5" numFmtId="0" xfId="0" applyBorder="1" applyFont="1"/>
    <xf borderId="39" fillId="0" fontId="5" numFmtId="0" xfId="0" applyBorder="1" applyFont="1"/>
    <xf borderId="0" fillId="0" fontId="8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71" xfId="0" applyAlignment="1" applyFont="1" applyNumberFormat="1">
      <alignment horizontal="right" readingOrder="0"/>
    </xf>
    <xf borderId="28" fillId="5" fontId="16" numFmtId="171" xfId="0" applyAlignment="1" applyBorder="1" applyFont="1" applyNumberFormat="1">
      <alignment horizontal="right" readingOrder="0"/>
    </xf>
    <xf borderId="28" fillId="5" fontId="16" numFmtId="171" xfId="0" applyAlignment="1" applyBorder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71" xfId="0" applyAlignment="1" applyFont="1" applyNumberFormat="1">
      <alignment horizontal="right" readingOrder="0"/>
    </xf>
    <xf borderId="23" fillId="0" fontId="1" numFmtId="0" xfId="0" applyAlignment="1" applyBorder="1" applyFont="1">
      <alignment readingOrder="0"/>
    </xf>
    <xf borderId="0" fillId="0" fontId="1" numFmtId="10" xfId="0" applyFont="1" applyNumberFormat="1"/>
    <xf borderId="28" fillId="5" fontId="16" numFmtId="0" xfId="0" applyAlignment="1" applyBorder="1" applyFont="1">
      <alignment readingOrder="0"/>
    </xf>
    <xf borderId="15" fillId="4" fontId="4" numFmtId="0" xfId="0" applyAlignment="1" applyBorder="1" applyFont="1">
      <alignment horizontal="center"/>
    </xf>
    <xf borderId="40" fillId="0" fontId="5" numFmtId="0" xfId="0" applyBorder="1" applyFont="1"/>
    <xf borderId="41" fillId="4" fontId="6" numFmtId="0" xfId="0" applyAlignment="1" applyBorder="1" applyFont="1">
      <alignment horizontal="center" readingOrder="0"/>
    </xf>
    <xf borderId="42" fillId="0" fontId="1" numFmtId="0" xfId="0" applyBorder="1" applyFont="1"/>
    <xf borderId="42" fillId="0" fontId="1" numFmtId="1" xfId="0" applyBorder="1" applyFont="1" applyNumberFormat="1"/>
    <xf borderId="43" fillId="0" fontId="1" numFmtId="0" xfId="0" applyBorder="1" applyFont="1"/>
    <xf borderId="44" fillId="0" fontId="3" numFmtId="1" xfId="0" applyBorder="1" applyFont="1" applyNumberFormat="1"/>
    <xf borderId="10" fillId="0" fontId="3" numFmtId="1" xfId="0" applyBorder="1" applyFont="1" applyNumberFormat="1"/>
    <xf borderId="10" fillId="0" fontId="1" numFmtId="2" xfId="0" applyBorder="1" applyFont="1" applyNumberFormat="1"/>
    <xf borderId="6" fillId="4" fontId="23" numFmtId="0" xfId="0" applyAlignment="1" applyBorder="1" applyFont="1">
      <alignment readingOrder="0"/>
    </xf>
    <xf borderId="45" fillId="4" fontId="23" numFmtId="0" xfId="0" applyAlignment="1" applyBorder="1" applyFont="1">
      <alignment readingOrder="0"/>
    </xf>
    <xf borderId="26" fillId="4" fontId="23" numFmtId="0" xfId="0" applyAlignment="1" applyBorder="1" applyFont="1">
      <alignment horizontal="center" readingOrder="0"/>
    </xf>
    <xf borderId="23" fillId="0" fontId="5" numFmtId="0" xfId="0" applyBorder="1" applyFont="1"/>
    <xf borderId="27" fillId="0" fontId="5" numFmtId="0" xfId="0" applyBorder="1" applyFont="1"/>
    <xf borderId="46" fillId="0" fontId="5" numFmtId="0" xfId="0" applyBorder="1" applyFont="1"/>
    <xf borderId="6" fillId="0" fontId="1" numFmtId="0" xfId="0" applyAlignment="1" applyBorder="1" applyFont="1">
      <alignment readingOrder="0"/>
    </xf>
    <xf borderId="47" fillId="4" fontId="4" numFmtId="0" xfId="0" applyAlignment="1" applyBorder="1" applyFont="1">
      <alignment horizontal="center"/>
    </xf>
    <xf borderId="41" fillId="4" fontId="4" numFmtId="0" xfId="0" applyAlignment="1" applyBorder="1" applyFont="1">
      <alignment horizontal="center"/>
    </xf>
    <xf borderId="28" fillId="2" fontId="1" numFmtId="1" xfId="0" applyBorder="1" applyFont="1" applyNumberFormat="1"/>
    <xf borderId="48" fillId="0" fontId="1" numFmtId="1" xfId="0" applyBorder="1" applyFont="1" applyNumberFormat="1"/>
    <xf quotePrefix="1" borderId="0" fillId="0" fontId="1" numFmtId="2" xfId="0" applyAlignment="1" applyFont="1" applyNumberFormat="1">
      <alignment horizontal="center"/>
    </xf>
    <xf borderId="28" fillId="2" fontId="1" numFmtId="172" xfId="0" applyBorder="1" applyFont="1" applyNumberFormat="1"/>
    <xf borderId="0" fillId="0" fontId="1" numFmtId="2" xfId="0" applyAlignment="1" applyFont="1" applyNumberFormat="1">
      <alignment horizontal="center"/>
    </xf>
    <xf borderId="0" fillId="0" fontId="1" numFmtId="172" xfId="0" applyFont="1" applyNumberFormat="1"/>
    <xf borderId="6" fillId="0" fontId="2" numFmtId="0" xfId="0" applyAlignment="1" applyBorder="1" applyFont="1">
      <alignment readingOrder="0"/>
    </xf>
    <xf borderId="6" fillId="0" fontId="1" numFmtId="0" xfId="0" applyBorder="1" applyFont="1"/>
    <xf borderId="28" fillId="5" fontId="16" numFmtId="164" xfId="0" applyAlignment="1" applyBorder="1" applyFont="1" applyNumberFormat="1">
      <alignment horizontal="center" readingOrder="0"/>
    </xf>
    <xf borderId="26" fillId="0" fontId="1" numFmtId="2" xfId="0" applyBorder="1" applyFont="1" applyNumberFormat="1"/>
    <xf borderId="26" fillId="0" fontId="1" numFmtId="10" xfId="0" applyBorder="1" applyFont="1" applyNumberFormat="1"/>
    <xf borderId="6" fillId="0" fontId="1" numFmtId="10" xfId="0" applyBorder="1" applyFont="1" applyNumberFormat="1"/>
    <xf borderId="28" fillId="5" fontId="16" numFmtId="1" xfId="0" applyAlignment="1" applyBorder="1" applyFont="1" applyNumberFormat="1">
      <alignment horizontal="right" readingOrder="0"/>
    </xf>
    <xf borderId="49" fillId="7" fontId="3" numFmtId="172" xfId="0" applyAlignment="1" applyBorder="1" applyFill="1" applyFont="1" applyNumberFormat="1">
      <alignment horizontal="center"/>
    </xf>
    <xf borderId="10" fillId="0" fontId="24" numFmtId="0" xfId="0" applyBorder="1" applyFont="1"/>
    <xf borderId="10" fillId="0" fontId="10" numFmtId="0" xfId="0" applyBorder="1" applyFont="1"/>
    <xf borderId="11" fillId="0" fontId="3" numFmtId="0" xfId="0" applyBorder="1" applyFont="1"/>
    <xf borderId="0" fillId="0" fontId="3" numFmtId="172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horizontal="right" readingOrder="0" vertical="bottom"/>
    </xf>
    <xf borderId="0" fillId="0" fontId="1" numFmtId="173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76200</xdr:rowOff>
    </xdr:from>
    <xdr:ext cx="1714500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27</xdr:row>
      <xdr:rowOff>114300</xdr:rowOff>
    </xdr:from>
    <xdr:ext cx="6286500" cy="411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8.71"/>
    <col customWidth="1" min="2" max="2" width="1.43"/>
    <col customWidth="1" min="3" max="3" width="13.14"/>
    <col customWidth="1" min="4" max="4" width="18.43"/>
    <col customWidth="1" min="5" max="5" width="8.43"/>
    <col customWidth="1" min="6" max="6" width="8.86"/>
    <col customWidth="1" min="7" max="7" width="8.43"/>
    <col customWidth="1" min="8" max="8" width="8.29"/>
    <col customWidth="1" min="9" max="9" width="7.86"/>
    <col customWidth="1" min="10" max="10" width="8.71"/>
    <col customWidth="1" min="11" max="11" width="9.0"/>
    <col customWidth="1" min="12" max="12" width="10.29"/>
    <col customWidth="1" min="13" max="13" width="9.71"/>
    <col customWidth="1" min="14" max="14" width="8.71"/>
    <col customWidth="1" min="15" max="15" width="8.86"/>
    <col customWidth="1" min="16" max="18" width="8.57"/>
    <col customWidth="1" min="19" max="19" width="10.57"/>
    <col customWidth="1" min="20" max="28" width="8.71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/>
      <c r="B2" s="3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4"/>
      <c r="U2" s="4"/>
      <c r="V2" s="4"/>
      <c r="W2" s="4"/>
      <c r="X2" s="4"/>
      <c r="Y2" s="6"/>
      <c r="Z2" s="1"/>
      <c r="AA2" s="1"/>
      <c r="AB2" s="1"/>
    </row>
    <row r="3" ht="15.75" customHeight="1">
      <c r="A3" s="1"/>
      <c r="B3" s="7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7"/>
      <c r="T3" s="1"/>
      <c r="U3" s="1"/>
      <c r="V3" s="1"/>
      <c r="W3" s="1"/>
      <c r="X3" s="1"/>
      <c r="Y3" s="8"/>
      <c r="Z3" s="1"/>
      <c r="AA3" s="1"/>
      <c r="AB3" s="1"/>
    </row>
    <row r="4" ht="15.75" customHeight="1">
      <c r="A4" s="1"/>
      <c r="B4" s="7"/>
      <c r="C4" s="1"/>
      <c r="D4" s="1"/>
      <c r="E4" s="2"/>
      <c r="F4" s="1"/>
      <c r="G4" s="1"/>
      <c r="H4" s="9" t="s">
        <v>0</v>
      </c>
      <c r="I4" s="1"/>
      <c r="J4" s="1"/>
      <c r="K4" s="1"/>
      <c r="L4" s="1"/>
      <c r="M4" s="1"/>
      <c r="N4" s="1"/>
      <c r="O4" s="9" t="s">
        <v>1</v>
      </c>
      <c r="P4" s="1"/>
      <c r="Q4" s="1"/>
      <c r="R4" s="1"/>
      <c r="S4" s="10" t="s">
        <v>2</v>
      </c>
      <c r="T4" s="9">
        <v>350.0</v>
      </c>
      <c r="U4" s="1"/>
      <c r="V4" s="9" t="s">
        <v>3</v>
      </c>
      <c r="X4" s="1"/>
      <c r="Y4" s="8">
        <f>18*50</f>
        <v>900</v>
      </c>
      <c r="Z4" s="1"/>
      <c r="AA4" s="1"/>
      <c r="AB4" s="1"/>
    </row>
    <row r="5" ht="15.75" customHeight="1">
      <c r="A5" s="1"/>
      <c r="B5" s="7"/>
      <c r="C5" s="1"/>
      <c r="D5" s="1"/>
      <c r="E5" s="2"/>
      <c r="F5" s="1"/>
      <c r="G5" s="1"/>
      <c r="H5" s="9" t="s">
        <v>4</v>
      </c>
      <c r="I5" s="1"/>
      <c r="J5" s="1"/>
      <c r="K5" s="1"/>
      <c r="L5" s="1"/>
      <c r="M5" s="11">
        <v>0.025</v>
      </c>
      <c r="N5" s="9" t="s">
        <v>5</v>
      </c>
      <c r="O5" s="1"/>
      <c r="P5" s="9" t="s">
        <v>6</v>
      </c>
      <c r="Q5" s="11">
        <v>0.025</v>
      </c>
      <c r="R5" s="1"/>
      <c r="S5" s="12"/>
      <c r="U5" s="1"/>
      <c r="V5" s="9" t="s">
        <v>7</v>
      </c>
      <c r="Y5" s="13">
        <f>50+10+30+40</f>
        <v>130</v>
      </c>
      <c r="Z5" s="1"/>
      <c r="AA5" s="1"/>
      <c r="AB5" s="1"/>
    </row>
    <row r="6" ht="15.75" customHeight="1">
      <c r="A6" s="1"/>
      <c r="B6" s="7"/>
      <c r="C6" s="1" t="s">
        <v>8</v>
      </c>
      <c r="D6" s="1"/>
      <c r="E6" s="14">
        <v>2.0</v>
      </c>
      <c r="F6" s="1"/>
      <c r="G6" s="1"/>
      <c r="H6" s="9" t="s">
        <v>9</v>
      </c>
      <c r="I6" s="1"/>
      <c r="J6" s="1"/>
      <c r="K6" s="1"/>
      <c r="L6" s="1"/>
      <c r="M6" s="15">
        <v>0.03</v>
      </c>
      <c r="N6" s="9" t="s">
        <v>5</v>
      </c>
      <c r="O6" s="1"/>
      <c r="P6" s="1"/>
      <c r="Q6" s="1"/>
      <c r="R6" s="1"/>
      <c r="S6" s="7"/>
      <c r="T6" s="1"/>
      <c r="U6" s="1"/>
      <c r="V6" s="9" t="s">
        <v>10</v>
      </c>
      <c r="X6" s="1"/>
      <c r="Y6" s="16">
        <f>Y4/Y5</f>
        <v>6.923076923</v>
      </c>
      <c r="AA6" s="1"/>
      <c r="AB6" s="1"/>
    </row>
    <row r="7" ht="15.75" customHeight="1">
      <c r="A7" s="1"/>
      <c r="B7" s="7"/>
      <c r="C7" s="1"/>
      <c r="D7" s="1"/>
      <c r="E7" s="2"/>
      <c r="F7" s="1"/>
      <c r="G7" s="1"/>
      <c r="H7" s="9" t="s">
        <v>11</v>
      </c>
      <c r="I7" s="1"/>
      <c r="J7" s="1"/>
      <c r="K7" s="1"/>
      <c r="L7" s="1"/>
      <c r="M7" s="15">
        <v>0.03</v>
      </c>
      <c r="N7" s="9" t="s">
        <v>5</v>
      </c>
      <c r="O7" s="1"/>
      <c r="P7" s="1"/>
      <c r="Q7" s="1"/>
      <c r="R7" s="1"/>
      <c r="S7" s="7"/>
      <c r="T7" s="1"/>
      <c r="U7" s="1"/>
      <c r="V7" s="9" t="s">
        <v>12</v>
      </c>
      <c r="W7" s="1"/>
      <c r="X7" s="1"/>
      <c r="Y7" s="17">
        <f>Q32</f>
        <v>118.7142857</v>
      </c>
      <c r="Z7" s="1"/>
      <c r="AA7" s="1"/>
      <c r="AB7" s="1"/>
    </row>
    <row r="8" ht="15.75" customHeight="1">
      <c r="A8" s="1"/>
      <c r="B8" s="18" t="s">
        <v>13</v>
      </c>
      <c r="C8" s="19"/>
      <c r="D8" s="19"/>
      <c r="E8" s="20"/>
      <c r="F8" s="19"/>
      <c r="G8" s="19"/>
      <c r="H8" s="19"/>
      <c r="I8" s="19"/>
      <c r="J8" s="19"/>
      <c r="K8" s="19"/>
      <c r="L8" s="19"/>
      <c r="M8" s="19"/>
      <c r="N8" s="19"/>
      <c r="O8" s="19"/>
      <c r="P8" s="1"/>
      <c r="Q8" s="1"/>
      <c r="R8" s="1"/>
      <c r="S8" s="7"/>
      <c r="T8" s="1"/>
      <c r="U8" s="1"/>
      <c r="V8" s="9" t="s">
        <v>14</v>
      </c>
      <c r="W8" s="1"/>
      <c r="X8" s="1"/>
      <c r="Y8" s="16">
        <f>Y7*Y6</f>
        <v>821.8681319</v>
      </c>
      <c r="Z8" s="1"/>
      <c r="AA8" s="1"/>
      <c r="AB8" s="1"/>
    </row>
    <row r="9" ht="15.75" customHeight="1">
      <c r="A9" s="1"/>
      <c r="B9" s="21"/>
      <c r="C9" s="22"/>
      <c r="D9" s="22"/>
      <c r="E9" s="23"/>
      <c r="F9" s="22"/>
      <c r="G9" s="22"/>
      <c r="H9" s="22"/>
      <c r="I9" s="22"/>
      <c r="J9" s="22"/>
      <c r="K9" s="22"/>
      <c r="L9" s="22"/>
      <c r="M9" s="22"/>
      <c r="N9" s="22"/>
      <c r="O9" s="1"/>
      <c r="P9" s="1"/>
      <c r="Q9" s="1"/>
      <c r="R9" s="1"/>
      <c r="S9" s="24"/>
      <c r="T9" s="25"/>
      <c r="U9" s="25"/>
      <c r="V9" s="25"/>
      <c r="W9" s="25"/>
      <c r="X9" s="25"/>
      <c r="Y9" s="26"/>
      <c r="Z9" s="1"/>
      <c r="AA9" s="1"/>
      <c r="AB9" s="1"/>
    </row>
    <row r="10" ht="15.75" customHeight="1">
      <c r="A10" s="1"/>
      <c r="B10" s="7"/>
      <c r="C10" s="27"/>
      <c r="D10" s="27"/>
      <c r="E10" s="28"/>
      <c r="F10" s="29" t="s">
        <v>15</v>
      </c>
      <c r="G10" s="30"/>
      <c r="H10" s="30"/>
      <c r="I10" s="30"/>
      <c r="J10" s="31"/>
      <c r="K10" s="29" t="s">
        <v>15</v>
      </c>
      <c r="L10" s="30"/>
      <c r="M10" s="30"/>
      <c r="N10" s="30"/>
      <c r="O10" s="31"/>
      <c r="P10" s="32" t="s">
        <v>16</v>
      </c>
      <c r="Q10" s="32" t="s">
        <v>17</v>
      </c>
      <c r="R10" s="33" t="s">
        <v>15</v>
      </c>
      <c r="S10" s="30"/>
      <c r="T10" s="30"/>
      <c r="U10" s="30"/>
      <c r="V10" s="31"/>
      <c r="W10" s="33" t="s">
        <v>18</v>
      </c>
      <c r="X10" s="30"/>
      <c r="Y10" s="30"/>
      <c r="Z10" s="30"/>
      <c r="AA10" s="31"/>
      <c r="AB10" s="1"/>
    </row>
    <row r="11" ht="15.75" customHeight="1">
      <c r="A11" s="1"/>
      <c r="B11" s="7"/>
      <c r="C11" s="34" t="s">
        <v>19</v>
      </c>
      <c r="D11" s="35"/>
      <c r="E11" s="36" t="s">
        <v>20</v>
      </c>
      <c r="F11" s="37">
        <v>2025.0</v>
      </c>
      <c r="G11" s="37">
        <v>2026.0</v>
      </c>
      <c r="H11" s="37">
        <v>2027.0</v>
      </c>
      <c r="I11" s="37">
        <v>2028.0</v>
      </c>
      <c r="J11" s="37">
        <v>2029.0</v>
      </c>
      <c r="K11" s="37">
        <v>2030.0</v>
      </c>
      <c r="L11" s="37">
        <v>2031.0</v>
      </c>
      <c r="M11" s="37">
        <v>2032.0</v>
      </c>
      <c r="N11" s="37">
        <v>2033.0</v>
      </c>
      <c r="O11" s="37">
        <v>2034.0</v>
      </c>
      <c r="P11" s="37">
        <v>2034.0</v>
      </c>
      <c r="Q11" s="37">
        <v>2034.0</v>
      </c>
      <c r="R11" s="37">
        <v>2035.0</v>
      </c>
      <c r="S11" s="37">
        <v>2036.0</v>
      </c>
      <c r="T11" s="37">
        <v>2037.0</v>
      </c>
      <c r="U11" s="37">
        <v>2038.0</v>
      </c>
      <c r="V11" s="37">
        <v>2039.0</v>
      </c>
      <c r="W11" s="37">
        <v>2040.0</v>
      </c>
      <c r="X11" s="37">
        <v>2041.0</v>
      </c>
      <c r="Y11" s="37">
        <v>2042.0</v>
      </c>
      <c r="Z11" s="37">
        <v>2043.0</v>
      </c>
      <c r="AA11" s="37">
        <v>2044.0</v>
      </c>
      <c r="AB11" s="1"/>
    </row>
    <row r="12" ht="15.75" hidden="1" customHeight="1" outlineLevel="1">
      <c r="A12" s="1"/>
      <c r="B12" s="7"/>
      <c r="C12" s="34" t="s">
        <v>21</v>
      </c>
      <c r="D12" s="35"/>
      <c r="E12" s="36"/>
      <c r="F12" s="37"/>
      <c r="G12" s="37"/>
      <c r="H12" s="37"/>
      <c r="I12" s="37"/>
      <c r="J12" s="37"/>
      <c r="K12" s="38">
        <v>1.0</v>
      </c>
      <c r="L12" s="38">
        <v>2.0</v>
      </c>
      <c r="M12" s="38">
        <v>3.0</v>
      </c>
      <c r="N12" s="38">
        <v>4.0</v>
      </c>
      <c r="O12" s="38">
        <v>5.0</v>
      </c>
      <c r="P12" s="1"/>
      <c r="Q12" s="1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 collapsed="1">
      <c r="A13" s="1"/>
      <c r="B13" s="7"/>
      <c r="C13" s="1"/>
      <c r="D13" s="1"/>
      <c r="E13" s="2"/>
      <c r="F13" s="1"/>
      <c r="G13" s="1"/>
      <c r="H13" s="1"/>
      <c r="I13" s="1"/>
      <c r="J13" s="1"/>
      <c r="K13" s="39"/>
      <c r="L13" s="39"/>
      <c r="M13" s="39"/>
      <c r="N13" s="39"/>
      <c r="O13" s="39"/>
      <c r="P13" s="40"/>
      <c r="Q13" s="4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7"/>
      <c r="C14" s="42" t="s">
        <v>22</v>
      </c>
      <c r="D14" s="42"/>
      <c r="E14" s="43" t="s">
        <v>23</v>
      </c>
      <c r="F14" s="44">
        <v>612.0</v>
      </c>
      <c r="G14" s="44">
        <v>664.0</v>
      </c>
      <c r="H14" s="44">
        <v>708.0</v>
      </c>
      <c r="I14" s="44">
        <v>723.0</v>
      </c>
      <c r="J14" s="44">
        <v>740.0</v>
      </c>
      <c r="K14" s="45">
        <v>750.0</v>
      </c>
      <c r="L14" s="45">
        <v>765.0</v>
      </c>
      <c r="M14" s="45">
        <v>791.0</v>
      </c>
      <c r="N14" s="45">
        <v>821.0</v>
      </c>
      <c r="O14" s="45">
        <v>840.0</v>
      </c>
      <c r="P14" s="46">
        <v>300.0</v>
      </c>
      <c r="Q14" s="47">
        <f>O14-P14</f>
        <v>540</v>
      </c>
      <c r="R14" s="45">
        <v>570.0</v>
      </c>
      <c r="S14" s="45">
        <f t="shared" ref="S14:V14" si="1">R14*(1+S15)</f>
        <v>587.1</v>
      </c>
      <c r="T14" s="45">
        <f t="shared" si="1"/>
        <v>604.713</v>
      </c>
      <c r="U14" s="45">
        <f t="shared" si="1"/>
        <v>622.85439</v>
      </c>
      <c r="V14" s="45">
        <f t="shared" si="1"/>
        <v>641.5400217</v>
      </c>
      <c r="W14" s="45">
        <f t="shared" ref="W14:AA14" si="2">V14*(1+$Q$5)</f>
        <v>657.5785222</v>
      </c>
      <c r="X14" s="45">
        <f t="shared" si="2"/>
        <v>674.0179853</v>
      </c>
      <c r="Y14" s="45">
        <f t="shared" si="2"/>
        <v>690.8684349</v>
      </c>
      <c r="Z14" s="45">
        <f t="shared" si="2"/>
        <v>708.1401458</v>
      </c>
      <c r="AA14" s="45">
        <f t="shared" si="2"/>
        <v>725.8436494</v>
      </c>
      <c r="AB14" s="1"/>
    </row>
    <row r="15" ht="15.75" customHeight="1">
      <c r="A15" s="1"/>
      <c r="B15" s="7"/>
      <c r="C15" s="48" t="s">
        <v>24</v>
      </c>
      <c r="D15" s="48"/>
      <c r="E15" s="49" t="s">
        <v>25</v>
      </c>
      <c r="F15" s="50"/>
      <c r="G15" s="51">
        <f t="shared" ref="G15:O15" si="3">G14/F14-1</f>
        <v>0.08496732026</v>
      </c>
      <c r="H15" s="51">
        <f t="shared" si="3"/>
        <v>0.06626506024</v>
      </c>
      <c r="I15" s="51">
        <f t="shared" si="3"/>
        <v>0.02118644068</v>
      </c>
      <c r="J15" s="51">
        <f t="shared" si="3"/>
        <v>0.0235131397</v>
      </c>
      <c r="K15" s="51">
        <f t="shared" si="3"/>
        <v>0.01351351351</v>
      </c>
      <c r="L15" s="51">
        <f t="shared" si="3"/>
        <v>0.02</v>
      </c>
      <c r="M15" s="51">
        <f t="shared" si="3"/>
        <v>0.0339869281</v>
      </c>
      <c r="N15" s="51">
        <f t="shared" si="3"/>
        <v>0.03792667509</v>
      </c>
      <c r="O15" s="51">
        <f t="shared" si="3"/>
        <v>0.02314250914</v>
      </c>
      <c r="P15" s="52">
        <f>P14/O14</f>
        <v>0.3571428571</v>
      </c>
      <c r="Q15" s="53">
        <f>Q14/O14</f>
        <v>0.6428571429</v>
      </c>
      <c r="R15" s="51">
        <v>0.03</v>
      </c>
      <c r="S15" s="51">
        <v>0.03</v>
      </c>
      <c r="T15" s="51">
        <v>0.03</v>
      </c>
      <c r="U15" s="51">
        <v>0.03</v>
      </c>
      <c r="V15" s="51">
        <v>0.03</v>
      </c>
      <c r="W15" s="51">
        <f t="shared" ref="W15:AA15" si="4">W14/V14-1</f>
        <v>0.025</v>
      </c>
      <c r="X15" s="51">
        <f t="shared" si="4"/>
        <v>0.025</v>
      </c>
      <c r="Y15" s="51">
        <f t="shared" si="4"/>
        <v>0.025</v>
      </c>
      <c r="Z15" s="51">
        <f t="shared" si="4"/>
        <v>0.025</v>
      </c>
      <c r="AA15" s="51">
        <f t="shared" si="4"/>
        <v>0.025</v>
      </c>
      <c r="AB15" s="1"/>
    </row>
    <row r="16" ht="15.75" customHeight="1">
      <c r="A16" s="1"/>
      <c r="B16" s="7"/>
      <c r="C16" s="48"/>
      <c r="D16" s="48"/>
      <c r="E16" s="54"/>
      <c r="F16" s="48"/>
      <c r="G16" s="48"/>
      <c r="H16" s="48"/>
      <c r="I16" s="48"/>
      <c r="J16" s="48"/>
      <c r="K16" s="55"/>
      <c r="L16" s="55"/>
      <c r="M16" s="55"/>
      <c r="N16" s="55"/>
      <c r="O16" s="55"/>
      <c r="P16" s="56"/>
      <c r="Q16" s="57"/>
      <c r="R16" s="58"/>
      <c r="S16" s="58"/>
      <c r="T16" s="58"/>
      <c r="U16" s="58"/>
      <c r="V16" s="58"/>
      <c r="W16" s="58"/>
      <c r="X16" s="1"/>
      <c r="Y16" s="1"/>
      <c r="Z16" s="1"/>
      <c r="AA16" s="1"/>
      <c r="AB16" s="1"/>
    </row>
    <row r="17" ht="15.75" customHeight="1">
      <c r="A17" s="1"/>
      <c r="B17" s="7"/>
      <c r="C17" s="1" t="s">
        <v>26</v>
      </c>
      <c r="D17" s="1"/>
      <c r="E17" s="2" t="s">
        <v>23</v>
      </c>
      <c r="F17" s="9">
        <v>339.0</v>
      </c>
      <c r="G17" s="9">
        <v>372.0</v>
      </c>
      <c r="H17" s="9">
        <v>390.0</v>
      </c>
      <c r="I17" s="9">
        <v>391.0</v>
      </c>
      <c r="J17" s="9">
        <v>394.0</v>
      </c>
      <c r="K17" s="59">
        <v>404.0</v>
      </c>
      <c r="L17" s="59">
        <v>414.0</v>
      </c>
      <c r="M17" s="59">
        <v>425.0</v>
      </c>
      <c r="N17" s="59">
        <v>436.0</v>
      </c>
      <c r="O17" s="59">
        <v>442.0</v>
      </c>
      <c r="P17" s="60">
        <v>186.0</v>
      </c>
      <c r="Q17" s="61">
        <f>O17-P17</f>
        <v>256</v>
      </c>
      <c r="R17" s="59">
        <v>280.0</v>
      </c>
      <c r="S17" s="59">
        <v>282.0</v>
      </c>
      <c r="T17" s="59">
        <v>284.0</v>
      </c>
      <c r="U17" s="59">
        <v>286.0</v>
      </c>
      <c r="V17" s="59">
        <v>288.0</v>
      </c>
      <c r="W17" s="59">
        <f t="shared" ref="W17:AA17" si="5">W18*W14</f>
        <v>295.2</v>
      </c>
      <c r="X17" s="59">
        <f t="shared" si="5"/>
        <v>302.58</v>
      </c>
      <c r="Y17" s="59">
        <f t="shared" si="5"/>
        <v>310.1445</v>
      </c>
      <c r="Z17" s="59">
        <f t="shared" si="5"/>
        <v>317.8981125</v>
      </c>
      <c r="AA17" s="59">
        <f t="shared" si="5"/>
        <v>325.8455653</v>
      </c>
      <c r="AB17" s="1"/>
    </row>
    <row r="18" ht="15.75" customHeight="1">
      <c r="A18" s="1"/>
      <c r="B18" s="7"/>
      <c r="C18" s="48" t="s">
        <v>27</v>
      </c>
      <c r="D18" s="48"/>
      <c r="E18" s="54" t="s">
        <v>25</v>
      </c>
      <c r="F18" s="50"/>
      <c r="G18" s="51">
        <f t="shared" ref="G18:O18" si="6">G17/G14</f>
        <v>0.5602409639</v>
      </c>
      <c r="H18" s="51">
        <f t="shared" si="6"/>
        <v>0.5508474576</v>
      </c>
      <c r="I18" s="51">
        <f t="shared" si="6"/>
        <v>0.540802213</v>
      </c>
      <c r="J18" s="51">
        <f t="shared" si="6"/>
        <v>0.5324324324</v>
      </c>
      <c r="K18" s="51">
        <f t="shared" si="6"/>
        <v>0.5386666667</v>
      </c>
      <c r="L18" s="51">
        <f t="shared" si="6"/>
        <v>0.5411764706</v>
      </c>
      <c r="M18" s="51">
        <f t="shared" si="6"/>
        <v>0.5372945638</v>
      </c>
      <c r="N18" s="51">
        <f t="shared" si="6"/>
        <v>0.5310596833</v>
      </c>
      <c r="O18" s="51">
        <f t="shared" si="6"/>
        <v>0.5261904762</v>
      </c>
      <c r="P18" s="52">
        <f>(P17/O17)</f>
        <v>0.4208144796</v>
      </c>
      <c r="Q18" s="53">
        <f>Q17/O17</f>
        <v>0.5791855204</v>
      </c>
      <c r="R18" s="51">
        <f t="shared" ref="R18:V18" si="7">R17/R14</f>
        <v>0.4912280702</v>
      </c>
      <c r="S18" s="51">
        <f t="shared" si="7"/>
        <v>0.4803270312</v>
      </c>
      <c r="T18" s="51">
        <f t="shared" si="7"/>
        <v>0.4696442775</v>
      </c>
      <c r="U18" s="51">
        <f t="shared" si="7"/>
        <v>0.4591763414</v>
      </c>
      <c r="V18" s="51">
        <f t="shared" si="7"/>
        <v>0.4489197716</v>
      </c>
      <c r="W18" s="51">
        <f t="shared" ref="W18:AA18" si="8">V18</f>
        <v>0.4489197716</v>
      </c>
      <c r="X18" s="62">
        <f t="shared" si="8"/>
        <v>0.4489197716</v>
      </c>
      <c r="Y18" s="62">
        <f t="shared" si="8"/>
        <v>0.4489197716</v>
      </c>
      <c r="Z18" s="62">
        <f t="shared" si="8"/>
        <v>0.4489197716</v>
      </c>
      <c r="AA18" s="62">
        <f t="shared" si="8"/>
        <v>0.4489197716</v>
      </c>
      <c r="AB18" s="1"/>
    </row>
    <row r="19" ht="15.75" customHeight="1">
      <c r="A19" s="1"/>
      <c r="B19" s="7"/>
      <c r="C19" s="1"/>
      <c r="D19" s="1"/>
      <c r="E19" s="2"/>
      <c r="F19" s="1"/>
      <c r="G19" s="62">
        <f>AVERAGE(G18:O18)</f>
        <v>0.5398567697</v>
      </c>
      <c r="H19" s="1"/>
      <c r="I19" s="1"/>
      <c r="J19" s="1"/>
      <c r="K19" s="63"/>
      <c r="L19" s="63"/>
      <c r="M19" s="63"/>
      <c r="N19" s="63"/>
      <c r="O19" s="63"/>
      <c r="P19" s="56"/>
      <c r="Q19" s="5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7"/>
      <c r="C20" s="1" t="s">
        <v>28</v>
      </c>
      <c r="D20" s="1"/>
      <c r="E20" s="2" t="s">
        <v>23</v>
      </c>
      <c r="F20" s="9">
        <v>127.0</v>
      </c>
      <c r="G20" s="9">
        <v>134.0</v>
      </c>
      <c r="H20" s="9">
        <v>151.0</v>
      </c>
      <c r="I20" s="9">
        <v>157.0</v>
      </c>
      <c r="J20" s="9">
        <v>165.0</v>
      </c>
      <c r="K20" s="59">
        <v>161.0</v>
      </c>
      <c r="L20" s="59">
        <v>167.0</v>
      </c>
      <c r="M20" s="59">
        <v>173.0</v>
      </c>
      <c r="N20" s="59">
        <v>179.0</v>
      </c>
      <c r="O20" s="59">
        <v>185.0</v>
      </c>
      <c r="P20" s="60">
        <v>66.0</v>
      </c>
      <c r="Q20" s="61">
        <f>O20-P20</f>
        <v>119</v>
      </c>
      <c r="R20" s="59">
        <v>120.0</v>
      </c>
      <c r="S20" s="59">
        <v>125.0</v>
      </c>
      <c r="T20" s="59">
        <v>130.0</v>
      </c>
      <c r="U20" s="59">
        <v>135.0</v>
      </c>
      <c r="V20" s="59">
        <v>140.0</v>
      </c>
      <c r="W20" s="59">
        <f t="shared" ref="W20:AA20" si="9">V20+5</f>
        <v>145</v>
      </c>
      <c r="X20" s="59">
        <f t="shared" si="9"/>
        <v>150</v>
      </c>
      <c r="Y20" s="59">
        <f t="shared" si="9"/>
        <v>155</v>
      </c>
      <c r="Z20" s="59">
        <f t="shared" si="9"/>
        <v>160</v>
      </c>
      <c r="AA20" s="59">
        <f t="shared" si="9"/>
        <v>165</v>
      </c>
      <c r="AB20" s="1"/>
    </row>
    <row r="21" ht="15.75" customHeight="1">
      <c r="A21" s="1"/>
      <c r="B21" s="7"/>
      <c r="C21" s="48" t="s">
        <v>29</v>
      </c>
      <c r="D21" s="48"/>
      <c r="E21" s="54" t="s">
        <v>25</v>
      </c>
      <c r="F21" s="50"/>
      <c r="G21" s="51">
        <f t="shared" ref="G21:O21" si="10">G20/G14</f>
        <v>0.2018072289</v>
      </c>
      <c r="H21" s="51">
        <f t="shared" si="10"/>
        <v>0.2132768362</v>
      </c>
      <c r="I21" s="51">
        <f t="shared" si="10"/>
        <v>0.2171507607</v>
      </c>
      <c r="J21" s="51">
        <f t="shared" si="10"/>
        <v>0.222972973</v>
      </c>
      <c r="K21" s="51">
        <f t="shared" si="10"/>
        <v>0.2146666667</v>
      </c>
      <c r="L21" s="51">
        <f t="shared" si="10"/>
        <v>0.2183006536</v>
      </c>
      <c r="M21" s="51">
        <f t="shared" si="10"/>
        <v>0.218710493</v>
      </c>
      <c r="N21" s="51">
        <f t="shared" si="10"/>
        <v>0.2180267966</v>
      </c>
      <c r="O21" s="51">
        <f t="shared" si="10"/>
        <v>0.2202380952</v>
      </c>
      <c r="P21" s="52">
        <f>P20/O20</f>
        <v>0.3567567568</v>
      </c>
      <c r="Q21" s="53">
        <f>Q20/O20</f>
        <v>0.6432432432</v>
      </c>
      <c r="R21" s="62">
        <f t="shared" ref="R21:AA21" si="11">R20/R14</f>
        <v>0.2105263158</v>
      </c>
      <c r="S21" s="62">
        <f t="shared" si="11"/>
        <v>0.2129109181</v>
      </c>
      <c r="T21" s="62">
        <f t="shared" si="11"/>
        <v>0.2149780144</v>
      </c>
      <c r="U21" s="62">
        <f t="shared" si="11"/>
        <v>0.2167440772</v>
      </c>
      <c r="V21" s="62">
        <f t="shared" si="11"/>
        <v>0.218224889</v>
      </c>
      <c r="W21" s="62">
        <f t="shared" si="11"/>
        <v>0.2205059854</v>
      </c>
      <c r="X21" s="62">
        <f t="shared" si="11"/>
        <v>0.2225459903</v>
      </c>
      <c r="Y21" s="62">
        <f t="shared" si="11"/>
        <v>0.2243553073</v>
      </c>
      <c r="Z21" s="62">
        <f t="shared" si="11"/>
        <v>0.2259439758</v>
      </c>
      <c r="AA21" s="62">
        <f t="shared" si="11"/>
        <v>0.227321683</v>
      </c>
      <c r="AB21" s="1"/>
    </row>
    <row r="22" ht="15.75" customHeight="1">
      <c r="A22" s="1"/>
      <c r="B22" s="7"/>
      <c r="C22" s="1"/>
      <c r="D22" s="1"/>
      <c r="E22" s="64"/>
      <c r="F22" s="1"/>
      <c r="G22" s="62">
        <f>AVERAGE(G21:O21)</f>
        <v>0.2161278338</v>
      </c>
      <c r="H22" s="1"/>
      <c r="I22" s="1"/>
      <c r="J22" s="1"/>
      <c r="K22" s="1"/>
      <c r="L22" s="1"/>
      <c r="M22" s="1"/>
      <c r="N22" s="1"/>
      <c r="O22" s="1"/>
      <c r="P22" s="65"/>
      <c r="Q22" s="6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7"/>
      <c r="C23" s="67" t="s">
        <v>30</v>
      </c>
      <c r="D23" s="68"/>
      <c r="E23" s="69" t="s">
        <v>23</v>
      </c>
      <c r="F23" s="67">
        <f t="shared" ref="F23:AA23" si="12">F14-F17-F20</f>
        <v>146</v>
      </c>
      <c r="G23" s="67">
        <f t="shared" si="12"/>
        <v>158</v>
      </c>
      <c r="H23" s="67">
        <f t="shared" si="12"/>
        <v>167</v>
      </c>
      <c r="I23" s="67">
        <f t="shared" si="12"/>
        <v>175</v>
      </c>
      <c r="J23" s="67">
        <f t="shared" si="12"/>
        <v>181</v>
      </c>
      <c r="K23" s="70">
        <f t="shared" si="12"/>
        <v>185</v>
      </c>
      <c r="L23" s="70">
        <f t="shared" si="12"/>
        <v>184</v>
      </c>
      <c r="M23" s="70">
        <f t="shared" si="12"/>
        <v>193</v>
      </c>
      <c r="N23" s="70">
        <f t="shared" si="12"/>
        <v>206</v>
      </c>
      <c r="O23" s="70">
        <f t="shared" si="12"/>
        <v>213</v>
      </c>
      <c r="P23" s="70">
        <f t="shared" si="12"/>
        <v>48</v>
      </c>
      <c r="Q23" s="70">
        <f t="shared" si="12"/>
        <v>165</v>
      </c>
      <c r="R23" s="70">
        <f t="shared" si="12"/>
        <v>170</v>
      </c>
      <c r="S23" s="70">
        <f t="shared" si="12"/>
        <v>180.1</v>
      </c>
      <c r="T23" s="70">
        <f t="shared" si="12"/>
        <v>190.713</v>
      </c>
      <c r="U23" s="70">
        <f t="shared" si="12"/>
        <v>201.85439</v>
      </c>
      <c r="V23" s="70">
        <f t="shared" si="12"/>
        <v>213.5400217</v>
      </c>
      <c r="W23" s="70">
        <f t="shared" si="12"/>
        <v>217.3785222</v>
      </c>
      <c r="X23" s="70">
        <f t="shared" si="12"/>
        <v>221.4379853</v>
      </c>
      <c r="Y23" s="70">
        <f t="shared" si="12"/>
        <v>225.7239349</v>
      </c>
      <c r="Z23" s="70">
        <f t="shared" si="12"/>
        <v>230.2420333</v>
      </c>
      <c r="AA23" s="70">
        <f t="shared" si="12"/>
        <v>234.9980841</v>
      </c>
      <c r="AB23" s="1"/>
    </row>
    <row r="24" ht="15.75" customHeight="1">
      <c r="A24" s="1"/>
      <c r="B24" s="7"/>
      <c r="C24" s="48" t="s">
        <v>27</v>
      </c>
      <c r="D24" s="48"/>
      <c r="E24" s="54" t="s">
        <v>25</v>
      </c>
      <c r="F24" s="51">
        <f t="shared" ref="F24:AA24" si="13">F23/F14</f>
        <v>0.2385620915</v>
      </c>
      <c r="G24" s="51">
        <f t="shared" si="13"/>
        <v>0.2379518072</v>
      </c>
      <c r="H24" s="51">
        <f t="shared" si="13"/>
        <v>0.2358757062</v>
      </c>
      <c r="I24" s="51">
        <f t="shared" si="13"/>
        <v>0.2420470263</v>
      </c>
      <c r="J24" s="51">
        <f t="shared" si="13"/>
        <v>0.2445945946</v>
      </c>
      <c r="K24" s="51">
        <f t="shared" si="13"/>
        <v>0.2466666667</v>
      </c>
      <c r="L24" s="51">
        <f t="shared" si="13"/>
        <v>0.2405228758</v>
      </c>
      <c r="M24" s="51">
        <f t="shared" si="13"/>
        <v>0.2439949431</v>
      </c>
      <c r="N24" s="51">
        <f t="shared" si="13"/>
        <v>0.2509135201</v>
      </c>
      <c r="O24" s="51">
        <f t="shared" si="13"/>
        <v>0.2535714286</v>
      </c>
      <c r="P24" s="52">
        <f t="shared" si="13"/>
        <v>0.16</v>
      </c>
      <c r="Q24" s="53">
        <f t="shared" si="13"/>
        <v>0.3055555556</v>
      </c>
      <c r="R24" s="51">
        <f t="shared" si="13"/>
        <v>0.298245614</v>
      </c>
      <c r="S24" s="51">
        <f t="shared" si="13"/>
        <v>0.3067620508</v>
      </c>
      <c r="T24" s="51">
        <f t="shared" si="13"/>
        <v>0.3153777081</v>
      </c>
      <c r="U24" s="51">
        <f t="shared" si="13"/>
        <v>0.3240795814</v>
      </c>
      <c r="V24" s="51">
        <f t="shared" si="13"/>
        <v>0.3328553395</v>
      </c>
      <c r="W24" s="51">
        <f t="shared" si="13"/>
        <v>0.3305742431</v>
      </c>
      <c r="X24" s="51">
        <f t="shared" si="13"/>
        <v>0.3285342381</v>
      </c>
      <c r="Y24" s="51">
        <f t="shared" si="13"/>
        <v>0.3267249212</v>
      </c>
      <c r="Z24" s="51">
        <f t="shared" si="13"/>
        <v>0.3251362526</v>
      </c>
      <c r="AA24" s="51">
        <f t="shared" si="13"/>
        <v>0.3237585454</v>
      </c>
      <c r="AB24" s="1"/>
    </row>
    <row r="25" ht="15.75" customHeight="1">
      <c r="A25" s="1"/>
      <c r="B25" s="7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56"/>
      <c r="Q25" s="57"/>
      <c r="R25" s="58"/>
      <c r="S25" s="58"/>
      <c r="T25" s="58"/>
      <c r="U25" s="58"/>
      <c r="V25" s="58"/>
      <c r="W25" s="58"/>
      <c r="X25" s="1"/>
      <c r="Y25" s="1"/>
      <c r="Z25" s="1"/>
      <c r="AA25" s="1"/>
      <c r="AB25" s="1"/>
    </row>
    <row r="26" ht="15.75" customHeight="1">
      <c r="A26" s="1"/>
      <c r="B26" s="7"/>
      <c r="C26" s="1" t="s">
        <v>31</v>
      </c>
      <c r="D26" s="1"/>
      <c r="E26" s="2" t="s">
        <v>23</v>
      </c>
      <c r="F26" s="9">
        <v>32.0</v>
      </c>
      <c r="G26" s="9">
        <v>32.0</v>
      </c>
      <c r="H26" s="9">
        <v>36.0</v>
      </c>
      <c r="I26" s="9">
        <v>41.0</v>
      </c>
      <c r="J26" s="9">
        <v>74.0</v>
      </c>
      <c r="K26" s="59">
        <v>43.0</v>
      </c>
      <c r="L26" s="59">
        <v>44.0</v>
      </c>
      <c r="M26" s="59">
        <v>45.0</v>
      </c>
      <c r="N26" s="59">
        <v>46.0</v>
      </c>
      <c r="O26" s="59">
        <v>47.0</v>
      </c>
      <c r="P26" s="71">
        <f>P15*O26</f>
        <v>16.78571429</v>
      </c>
      <c r="Q26" s="61">
        <f>Q15*O26</f>
        <v>30.21428571</v>
      </c>
      <c r="R26" s="59">
        <v>35.0</v>
      </c>
      <c r="S26" s="59">
        <v>38.0</v>
      </c>
      <c r="T26" s="58">
        <f>S26*(1+T27)</f>
        <v>40.356</v>
      </c>
      <c r="U26" s="59">
        <v>42.0</v>
      </c>
      <c r="V26" s="59">
        <v>44.0</v>
      </c>
      <c r="W26" s="59">
        <f t="shared" ref="W26:AA26" si="14">V26+2</f>
        <v>46</v>
      </c>
      <c r="X26" s="59">
        <f t="shared" si="14"/>
        <v>48</v>
      </c>
      <c r="Y26" s="59">
        <f t="shared" si="14"/>
        <v>50</v>
      </c>
      <c r="Z26" s="59">
        <f t="shared" si="14"/>
        <v>52</v>
      </c>
      <c r="AA26" s="59">
        <f t="shared" si="14"/>
        <v>54</v>
      </c>
      <c r="AB26" s="1"/>
    </row>
    <row r="27" ht="15.75" customHeight="1">
      <c r="A27" s="1"/>
      <c r="B27" s="7"/>
      <c r="C27" s="48" t="s">
        <v>29</v>
      </c>
      <c r="D27" s="48"/>
      <c r="E27" s="54" t="s">
        <v>25</v>
      </c>
      <c r="F27" s="50"/>
      <c r="G27" s="51">
        <f t="shared" ref="G27:O27" si="15">G26/G14</f>
        <v>0.04819277108</v>
      </c>
      <c r="H27" s="51">
        <f t="shared" si="15"/>
        <v>0.05084745763</v>
      </c>
      <c r="I27" s="51">
        <f t="shared" si="15"/>
        <v>0.05670816044</v>
      </c>
      <c r="J27" s="51">
        <f t="shared" si="15"/>
        <v>0.1</v>
      </c>
      <c r="K27" s="51">
        <f t="shared" si="15"/>
        <v>0.05733333333</v>
      </c>
      <c r="L27" s="51">
        <f t="shared" si="15"/>
        <v>0.05751633987</v>
      </c>
      <c r="M27" s="51">
        <f t="shared" si="15"/>
        <v>0.05689001264</v>
      </c>
      <c r="N27" s="51">
        <f t="shared" si="15"/>
        <v>0.05602923264</v>
      </c>
      <c r="O27" s="51">
        <f t="shared" si="15"/>
        <v>0.05595238095</v>
      </c>
      <c r="P27" s="52">
        <f>P26/O26</f>
        <v>0.3571428571</v>
      </c>
      <c r="Q27" s="53">
        <f>Q26/O26</f>
        <v>0.6428571429</v>
      </c>
      <c r="R27" s="51">
        <v>0.059</v>
      </c>
      <c r="S27" s="51">
        <v>0.06</v>
      </c>
      <c r="T27" s="51">
        <v>0.062</v>
      </c>
      <c r="U27" s="51">
        <v>0.065</v>
      </c>
      <c r="V27" s="51">
        <v>0.067</v>
      </c>
      <c r="W27" s="51">
        <f t="shared" ref="W27:AA27" si="16">W26/W14</f>
        <v>0.06995362294</v>
      </c>
      <c r="X27" s="51">
        <f t="shared" si="16"/>
        <v>0.07121471689</v>
      </c>
      <c r="Y27" s="51">
        <f t="shared" si="16"/>
        <v>0.07237267976</v>
      </c>
      <c r="Z27" s="51">
        <f t="shared" si="16"/>
        <v>0.07343179215</v>
      </c>
      <c r="AA27" s="51">
        <f t="shared" si="16"/>
        <v>0.07439618717</v>
      </c>
      <c r="AB27" s="1"/>
    </row>
    <row r="28" ht="15.75" customHeight="1">
      <c r="A28" s="1"/>
      <c r="B28" s="7"/>
      <c r="C28" s="1"/>
      <c r="D28" s="1"/>
      <c r="E28" s="2"/>
      <c r="F28" s="1"/>
      <c r="G28" s="62">
        <f>AVERAGE(G27:O27)</f>
        <v>0.05994107651</v>
      </c>
      <c r="H28" s="1"/>
      <c r="I28" s="1"/>
      <c r="J28" s="1"/>
      <c r="K28" s="63"/>
      <c r="L28" s="63"/>
      <c r="M28" s="63"/>
      <c r="N28" s="63"/>
      <c r="O28" s="63"/>
      <c r="P28" s="56"/>
      <c r="Q28" s="72"/>
      <c r="R28" s="62"/>
      <c r="S28" s="62"/>
      <c r="T28" s="1"/>
      <c r="U28" s="59"/>
      <c r="V28" s="59"/>
      <c r="W28" s="59"/>
      <c r="X28" s="59"/>
      <c r="Y28" s="59"/>
      <c r="Z28" s="59"/>
      <c r="AA28" s="59"/>
      <c r="AB28" s="59"/>
    </row>
    <row r="29" ht="15.75" customHeight="1">
      <c r="A29" s="1"/>
      <c r="B29" s="7"/>
      <c r="C29" s="1" t="s">
        <v>32</v>
      </c>
      <c r="D29" s="1"/>
      <c r="E29" s="2" t="s">
        <v>23</v>
      </c>
      <c r="F29" s="9">
        <v>15.0</v>
      </c>
      <c r="G29" s="9">
        <v>16.0</v>
      </c>
      <c r="H29" s="9">
        <v>16.0</v>
      </c>
      <c r="I29" s="9">
        <v>16.0</v>
      </c>
      <c r="J29" s="9">
        <v>17.0</v>
      </c>
      <c r="K29" s="59">
        <v>19.0</v>
      </c>
      <c r="L29" s="59">
        <v>21.0</v>
      </c>
      <c r="M29" s="59">
        <v>22.0</v>
      </c>
      <c r="N29" s="59">
        <v>24.0</v>
      </c>
      <c r="O29" s="59">
        <v>25.0</v>
      </c>
      <c r="P29" s="71">
        <f>O29*P15</f>
        <v>8.928571429</v>
      </c>
      <c r="Q29" s="61">
        <f>O29*Q15</f>
        <v>16.07142857</v>
      </c>
      <c r="R29" s="59">
        <v>24.0</v>
      </c>
      <c r="S29" s="59">
        <v>25.0</v>
      </c>
      <c r="T29" s="59">
        <v>26.0</v>
      </c>
      <c r="U29" s="59">
        <v>27.0</v>
      </c>
      <c r="V29" s="59">
        <v>28.0</v>
      </c>
      <c r="W29" s="59">
        <f t="shared" ref="W29:AA29" si="17">V29+1</f>
        <v>29</v>
      </c>
      <c r="X29" s="59">
        <f t="shared" si="17"/>
        <v>30</v>
      </c>
      <c r="Y29" s="59">
        <f t="shared" si="17"/>
        <v>31</v>
      </c>
      <c r="Z29" s="59">
        <f t="shared" si="17"/>
        <v>32</v>
      </c>
      <c r="AA29" s="59">
        <f t="shared" si="17"/>
        <v>33</v>
      </c>
      <c r="AB29" s="59"/>
    </row>
    <row r="30" ht="15.75" customHeight="1">
      <c r="A30" s="1"/>
      <c r="B30" s="7"/>
      <c r="C30" s="48" t="s">
        <v>29</v>
      </c>
      <c r="D30" s="48"/>
      <c r="E30" s="54" t="s">
        <v>25</v>
      </c>
      <c r="F30" s="50"/>
      <c r="G30" s="51">
        <f t="shared" ref="G30:O30" si="18">G29/G14</f>
        <v>0.02409638554</v>
      </c>
      <c r="H30" s="51">
        <f t="shared" si="18"/>
        <v>0.02259887006</v>
      </c>
      <c r="I30" s="51">
        <f t="shared" si="18"/>
        <v>0.02213001383</v>
      </c>
      <c r="J30" s="51">
        <f t="shared" si="18"/>
        <v>0.02297297297</v>
      </c>
      <c r="K30" s="51">
        <f t="shared" si="18"/>
        <v>0.02533333333</v>
      </c>
      <c r="L30" s="51">
        <f t="shared" si="18"/>
        <v>0.02745098039</v>
      </c>
      <c r="M30" s="51">
        <f t="shared" si="18"/>
        <v>0.02781289507</v>
      </c>
      <c r="N30" s="51">
        <f t="shared" si="18"/>
        <v>0.02923264312</v>
      </c>
      <c r="O30" s="51">
        <f t="shared" si="18"/>
        <v>0.02976190476</v>
      </c>
      <c r="P30" s="52">
        <f>P29/O29</f>
        <v>0.3571428571</v>
      </c>
      <c r="Q30" s="53">
        <f>Q29/O29</f>
        <v>0.6428571429</v>
      </c>
      <c r="R30" s="51">
        <v>0.03</v>
      </c>
      <c r="S30" s="51">
        <v>0.032</v>
      </c>
      <c r="T30" s="51">
        <v>0.033</v>
      </c>
      <c r="U30" s="51">
        <v>0.035</v>
      </c>
      <c r="V30" s="51">
        <v>0.036</v>
      </c>
      <c r="W30" s="51">
        <f t="shared" ref="W30:AA30" si="19">W29/W14</f>
        <v>0.04410119707</v>
      </c>
      <c r="X30" s="51">
        <f t="shared" si="19"/>
        <v>0.04450919805</v>
      </c>
      <c r="Y30" s="51">
        <f t="shared" si="19"/>
        <v>0.04487106145</v>
      </c>
      <c r="Z30" s="51">
        <f t="shared" si="19"/>
        <v>0.04518879517</v>
      </c>
      <c r="AA30" s="51">
        <f t="shared" si="19"/>
        <v>0.0454643366</v>
      </c>
      <c r="AB30" s="1"/>
    </row>
    <row r="31" ht="15.75" customHeight="1">
      <c r="A31" s="1"/>
      <c r="B31" s="7"/>
      <c r="C31" s="1"/>
      <c r="D31" s="1"/>
      <c r="E31" s="64"/>
      <c r="F31" s="1"/>
      <c r="G31" s="62">
        <f>AVERAGE(G30:O30)</f>
        <v>0.0257099999</v>
      </c>
      <c r="H31" s="1"/>
      <c r="I31" s="1"/>
      <c r="J31" s="1"/>
      <c r="K31" s="1"/>
      <c r="L31" s="1"/>
      <c r="M31" s="1"/>
      <c r="N31" s="1"/>
      <c r="O31" s="1"/>
      <c r="P31" s="56"/>
      <c r="Q31" s="72"/>
      <c r="R31" s="62"/>
      <c r="S31" s="62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7"/>
      <c r="C32" s="67" t="s">
        <v>33</v>
      </c>
      <c r="D32" s="67"/>
      <c r="E32" s="69" t="s">
        <v>23</v>
      </c>
      <c r="F32" s="67">
        <f>F23-F26-F29</f>
        <v>99</v>
      </c>
      <c r="G32" s="73">
        <v>108.0</v>
      </c>
      <c r="H32" s="73">
        <v>115.0</v>
      </c>
      <c r="I32" s="67">
        <f t="shared" ref="I32:J32" si="20">I23-I26-I29</f>
        <v>118</v>
      </c>
      <c r="J32" s="67">
        <f t="shared" si="20"/>
        <v>90</v>
      </c>
      <c r="K32" s="74">
        <v>123.0</v>
      </c>
      <c r="L32" s="74">
        <v>119.0</v>
      </c>
      <c r="M32" s="74">
        <v>126.0</v>
      </c>
      <c r="N32" s="74">
        <v>136.0</v>
      </c>
      <c r="O32" s="74">
        <v>141.0</v>
      </c>
      <c r="P32" s="70">
        <f t="shared" ref="P32:S32" si="21">P23-P26-P29</f>
        <v>22.28571429</v>
      </c>
      <c r="Q32" s="70">
        <f t="shared" si="21"/>
        <v>118.7142857</v>
      </c>
      <c r="R32" s="70">
        <f t="shared" si="21"/>
        <v>111</v>
      </c>
      <c r="S32" s="70">
        <f t="shared" si="21"/>
        <v>117.1</v>
      </c>
      <c r="T32" s="73">
        <v>125.0</v>
      </c>
      <c r="U32" s="70">
        <f t="shared" ref="U32:AA32" si="22">U23-U26-U29</f>
        <v>132.85439</v>
      </c>
      <c r="V32" s="70">
        <f t="shared" si="22"/>
        <v>141.5400217</v>
      </c>
      <c r="W32" s="70">
        <f t="shared" si="22"/>
        <v>142.3785222</v>
      </c>
      <c r="X32" s="70">
        <f t="shared" si="22"/>
        <v>143.4379853</v>
      </c>
      <c r="Y32" s="70">
        <f t="shared" si="22"/>
        <v>144.7239349</v>
      </c>
      <c r="Z32" s="70">
        <f t="shared" si="22"/>
        <v>146.2420333</v>
      </c>
      <c r="AA32" s="70">
        <f t="shared" si="22"/>
        <v>147.9980841</v>
      </c>
      <c r="AB32" s="1"/>
    </row>
    <row r="33" ht="15.75" customHeight="1">
      <c r="A33" s="1"/>
      <c r="B33" s="7"/>
      <c r="C33" s="48" t="s">
        <v>34</v>
      </c>
      <c r="E33" s="54" t="s">
        <v>25</v>
      </c>
      <c r="F33" s="75">
        <f t="shared" ref="F33:V33" si="23">F32/F14</f>
        <v>0.1617647059</v>
      </c>
      <c r="G33" s="75">
        <f t="shared" si="23"/>
        <v>0.1626506024</v>
      </c>
      <c r="H33" s="75">
        <f t="shared" si="23"/>
        <v>0.1624293785</v>
      </c>
      <c r="I33" s="75">
        <f t="shared" si="23"/>
        <v>0.163208852</v>
      </c>
      <c r="J33" s="75">
        <f t="shared" si="23"/>
        <v>0.1216216216</v>
      </c>
      <c r="K33" s="75">
        <f t="shared" si="23"/>
        <v>0.164</v>
      </c>
      <c r="L33" s="75">
        <f t="shared" si="23"/>
        <v>0.1555555556</v>
      </c>
      <c r="M33" s="75">
        <f t="shared" si="23"/>
        <v>0.1592920354</v>
      </c>
      <c r="N33" s="75">
        <f t="shared" si="23"/>
        <v>0.1656516443</v>
      </c>
      <c r="O33" s="75">
        <f t="shared" si="23"/>
        <v>0.1678571429</v>
      </c>
      <c r="P33" s="76">
        <f t="shared" si="23"/>
        <v>0.07428571429</v>
      </c>
      <c r="Q33" s="77">
        <f t="shared" si="23"/>
        <v>0.2198412698</v>
      </c>
      <c r="R33" s="75">
        <f t="shared" si="23"/>
        <v>0.1947368421</v>
      </c>
      <c r="S33" s="75">
        <f t="shared" si="23"/>
        <v>0.199454948</v>
      </c>
      <c r="T33" s="75">
        <f t="shared" si="23"/>
        <v>0.2067096292</v>
      </c>
      <c r="U33" s="75">
        <f t="shared" si="23"/>
        <v>0.2132992753</v>
      </c>
      <c r="V33" s="51">
        <f t="shared" si="23"/>
        <v>0.2206253966</v>
      </c>
      <c r="W33" s="7"/>
      <c r="X33" s="51"/>
      <c r="Y33" s="51"/>
      <c r="Z33" s="51"/>
      <c r="AA33" s="51"/>
      <c r="AB33" s="51"/>
    </row>
    <row r="34" ht="15.75" customHeight="1">
      <c r="A34" s="1"/>
      <c r="B34" s="7"/>
      <c r="C34" s="48"/>
      <c r="E34" s="78"/>
      <c r="F34" s="79"/>
      <c r="G34" s="75"/>
      <c r="H34" s="75"/>
      <c r="I34" s="75"/>
      <c r="J34" s="75"/>
      <c r="K34" s="75"/>
      <c r="L34" s="75"/>
      <c r="M34" s="75"/>
      <c r="N34" s="75"/>
      <c r="O34" s="75"/>
      <c r="P34" s="56"/>
      <c r="Q34" s="57"/>
      <c r="R34" s="9"/>
      <c r="S34" s="9"/>
      <c r="T34" s="1"/>
      <c r="U34" s="1"/>
      <c r="V34" s="8"/>
      <c r="W34" s="7"/>
      <c r="X34" s="1"/>
      <c r="Y34" s="1"/>
      <c r="Z34" s="1"/>
      <c r="AA34" s="1"/>
      <c r="AB34" s="1"/>
    </row>
    <row r="35" ht="15.75" customHeight="1">
      <c r="A35" s="1"/>
      <c r="B35" s="7"/>
      <c r="C35" s="1" t="s">
        <v>35</v>
      </c>
      <c r="D35" s="1"/>
      <c r="E35" s="2" t="s">
        <v>23</v>
      </c>
      <c r="F35" s="1">
        <v>3.0</v>
      </c>
      <c r="G35" s="1">
        <v>3.0</v>
      </c>
      <c r="H35" s="1">
        <v>4.0</v>
      </c>
      <c r="I35" s="1">
        <v>4.0</v>
      </c>
      <c r="J35" s="1">
        <v>4.0</v>
      </c>
      <c r="K35" s="1">
        <v>6.0</v>
      </c>
      <c r="L35" s="1">
        <v>8.0</v>
      </c>
      <c r="M35" s="1">
        <v>8.0</v>
      </c>
      <c r="N35" s="1">
        <v>9.0</v>
      </c>
      <c r="O35" s="1">
        <v>11.0</v>
      </c>
      <c r="P35" s="60"/>
      <c r="Q35" s="80"/>
      <c r="R35" s="9">
        <v>10.0</v>
      </c>
      <c r="S35" s="9">
        <v>10.0</v>
      </c>
      <c r="T35" s="9">
        <v>9.0</v>
      </c>
      <c r="U35" s="9">
        <v>9.0</v>
      </c>
      <c r="V35" s="13">
        <v>9.0</v>
      </c>
      <c r="W35" s="7">
        <f t="shared" ref="W35:X35" si="24">V35</f>
        <v>9</v>
      </c>
      <c r="X35" s="1">
        <f t="shared" si="24"/>
        <v>9</v>
      </c>
      <c r="Y35" s="1">
        <f>X35-1</f>
        <v>8</v>
      </c>
      <c r="Z35" s="1">
        <f t="shared" ref="Z35:AA35" si="25">Y35</f>
        <v>8</v>
      </c>
      <c r="AA35" s="1">
        <f t="shared" si="25"/>
        <v>8</v>
      </c>
      <c r="AB35" s="1"/>
    </row>
    <row r="36" ht="15.75" customHeight="1">
      <c r="A36" s="1"/>
      <c r="B36" s="7"/>
      <c r="C36" s="1"/>
      <c r="D36" s="1"/>
      <c r="E36" s="64"/>
      <c r="F36" s="1"/>
      <c r="G36" s="1"/>
      <c r="H36" s="1"/>
      <c r="I36" s="1"/>
      <c r="J36" s="1"/>
      <c r="K36" s="81"/>
      <c r="L36" s="82"/>
      <c r="M36" s="82"/>
      <c r="N36" s="82"/>
      <c r="O36" s="82"/>
      <c r="P36" s="56"/>
      <c r="Q36" s="57"/>
      <c r="R36" s="9"/>
      <c r="S36" s="9"/>
      <c r="T36" s="1"/>
      <c r="U36" s="1"/>
      <c r="V36" s="8"/>
      <c r="W36" s="7"/>
      <c r="X36" s="1"/>
      <c r="Y36" s="1"/>
      <c r="Z36" s="1"/>
      <c r="AA36" s="1"/>
      <c r="AB36" s="1"/>
    </row>
    <row r="37" ht="15.75" customHeight="1">
      <c r="A37" s="1"/>
      <c r="B37" s="7"/>
      <c r="C37" s="67" t="s">
        <v>36</v>
      </c>
      <c r="D37" s="67"/>
      <c r="E37" s="69" t="s">
        <v>23</v>
      </c>
      <c r="F37" s="67">
        <f t="shared" ref="F37:O37" si="26">F32-F35</f>
        <v>96</v>
      </c>
      <c r="G37" s="67">
        <f t="shared" si="26"/>
        <v>105</v>
      </c>
      <c r="H37" s="67">
        <f t="shared" si="26"/>
        <v>111</v>
      </c>
      <c r="I37" s="67">
        <f t="shared" si="26"/>
        <v>114</v>
      </c>
      <c r="J37" s="67">
        <f t="shared" si="26"/>
        <v>86</v>
      </c>
      <c r="K37" s="70">
        <f t="shared" si="26"/>
        <v>117</v>
      </c>
      <c r="L37" s="70">
        <f t="shared" si="26"/>
        <v>111</v>
      </c>
      <c r="M37" s="70">
        <f t="shared" si="26"/>
        <v>118</v>
      </c>
      <c r="N37" s="70">
        <f t="shared" si="26"/>
        <v>127</v>
      </c>
      <c r="O37" s="70">
        <f t="shared" si="26"/>
        <v>130</v>
      </c>
      <c r="P37" s="83"/>
      <c r="Q37" s="84"/>
      <c r="R37" s="70">
        <f t="shared" ref="R37:AA37" si="27">R32-R35</f>
        <v>101</v>
      </c>
      <c r="S37" s="70">
        <f t="shared" si="27"/>
        <v>107.1</v>
      </c>
      <c r="T37" s="70">
        <f t="shared" si="27"/>
        <v>116</v>
      </c>
      <c r="U37" s="70">
        <f t="shared" si="27"/>
        <v>123.85439</v>
      </c>
      <c r="V37" s="70">
        <f t="shared" si="27"/>
        <v>132.5400217</v>
      </c>
      <c r="W37" s="70">
        <f t="shared" si="27"/>
        <v>133.3785222</v>
      </c>
      <c r="X37" s="70">
        <f t="shared" si="27"/>
        <v>134.4379853</v>
      </c>
      <c r="Y37" s="70">
        <f t="shared" si="27"/>
        <v>136.7239349</v>
      </c>
      <c r="Z37" s="70">
        <f t="shared" si="27"/>
        <v>138.2420333</v>
      </c>
      <c r="AA37" s="70">
        <f t="shared" si="27"/>
        <v>139.9980841</v>
      </c>
      <c r="AB37" s="1"/>
    </row>
    <row r="38" ht="15.75" customHeight="1">
      <c r="A38" s="1"/>
      <c r="B38" s="7"/>
      <c r="C38" s="48" t="s">
        <v>37</v>
      </c>
      <c r="E38" s="54" t="s">
        <v>25</v>
      </c>
      <c r="F38" s="75">
        <f t="shared" ref="F38:O38" si="28">F37/F14</f>
        <v>0.1568627451</v>
      </c>
      <c r="G38" s="75">
        <f t="shared" si="28"/>
        <v>0.1581325301</v>
      </c>
      <c r="H38" s="75">
        <f t="shared" si="28"/>
        <v>0.156779661</v>
      </c>
      <c r="I38" s="75">
        <f t="shared" si="28"/>
        <v>0.1576763485</v>
      </c>
      <c r="J38" s="75">
        <f t="shared" si="28"/>
        <v>0.1162162162</v>
      </c>
      <c r="K38" s="75">
        <f t="shared" si="28"/>
        <v>0.156</v>
      </c>
      <c r="L38" s="75">
        <f t="shared" si="28"/>
        <v>0.1450980392</v>
      </c>
      <c r="M38" s="75">
        <f t="shared" si="28"/>
        <v>0.1491782554</v>
      </c>
      <c r="N38" s="75">
        <f t="shared" si="28"/>
        <v>0.1546894032</v>
      </c>
      <c r="O38" s="75">
        <f t="shared" si="28"/>
        <v>0.1547619048</v>
      </c>
      <c r="P38" s="1"/>
      <c r="Q38" s="1"/>
      <c r="R38" s="75">
        <f t="shared" ref="R38:V38" si="29">R37/R14</f>
        <v>0.1771929825</v>
      </c>
      <c r="S38" s="75">
        <f t="shared" si="29"/>
        <v>0.1824220746</v>
      </c>
      <c r="T38" s="75">
        <f t="shared" si="29"/>
        <v>0.1918265359</v>
      </c>
      <c r="U38" s="75">
        <f t="shared" si="29"/>
        <v>0.1988496701</v>
      </c>
      <c r="V38" s="51">
        <f t="shared" si="29"/>
        <v>0.2065966537</v>
      </c>
      <c r="W38" s="7"/>
      <c r="X38" s="51"/>
      <c r="Y38" s="51"/>
      <c r="Z38" s="51"/>
      <c r="AA38" s="51"/>
      <c r="AB38" s="51"/>
    </row>
    <row r="39" ht="15.75" customHeight="1">
      <c r="A39" s="1"/>
      <c r="B39" s="7"/>
      <c r="C39" s="1"/>
      <c r="D39" s="1"/>
      <c r="E39" s="2"/>
      <c r="F39" s="9"/>
      <c r="G39" s="1"/>
      <c r="H39" s="1"/>
      <c r="I39" s="1"/>
      <c r="J39" s="1"/>
      <c r="K39" s="81"/>
      <c r="L39" s="82"/>
      <c r="M39" s="82"/>
      <c r="N39" s="82"/>
      <c r="O39" s="82"/>
      <c r="P39" s="1"/>
      <c r="Q39" s="1"/>
      <c r="R39" s="9"/>
      <c r="S39" s="9"/>
      <c r="T39" s="1"/>
      <c r="U39" s="1"/>
      <c r="V39" s="8"/>
      <c r="W39" s="7"/>
      <c r="X39" s="1"/>
      <c r="Y39" s="1"/>
      <c r="Z39" s="1"/>
      <c r="AA39" s="1"/>
      <c r="AB39" s="1"/>
    </row>
    <row r="40" ht="15.75" customHeight="1">
      <c r="A40" s="1"/>
      <c r="B40" s="7"/>
      <c r="C40" s="1" t="s">
        <v>38</v>
      </c>
      <c r="D40" s="1"/>
      <c r="E40" s="2" t="s">
        <v>23</v>
      </c>
      <c r="F40" s="85">
        <f t="shared" ref="F40:O40" si="30">($E$56+$E$57)*$E$55</f>
        <v>65.25</v>
      </c>
      <c r="G40" s="85">
        <f t="shared" si="30"/>
        <v>65.25</v>
      </c>
      <c r="H40" s="85">
        <f t="shared" si="30"/>
        <v>65.25</v>
      </c>
      <c r="I40" s="85">
        <f t="shared" si="30"/>
        <v>65.25</v>
      </c>
      <c r="J40" s="85">
        <f t="shared" si="30"/>
        <v>65.25</v>
      </c>
      <c r="K40" s="85">
        <f t="shared" si="30"/>
        <v>65.25</v>
      </c>
      <c r="L40" s="85">
        <f t="shared" si="30"/>
        <v>65.25</v>
      </c>
      <c r="M40" s="85">
        <f t="shared" si="30"/>
        <v>65.25</v>
      </c>
      <c r="N40" s="85">
        <f t="shared" si="30"/>
        <v>65.25</v>
      </c>
      <c r="O40" s="86">
        <f t="shared" si="30"/>
        <v>65.25</v>
      </c>
      <c r="P40" s="40"/>
      <c r="Q40" s="41"/>
      <c r="R40" s="87">
        <f t="shared" ref="R40:V40" si="31">($E$56+$E$57)*$E$55</f>
        <v>65.25</v>
      </c>
      <c r="S40" s="85">
        <f t="shared" si="31"/>
        <v>65.25</v>
      </c>
      <c r="T40" s="85">
        <f t="shared" si="31"/>
        <v>65.25</v>
      </c>
      <c r="U40" s="85">
        <f t="shared" si="31"/>
        <v>65.25</v>
      </c>
      <c r="V40" s="86">
        <f t="shared" si="31"/>
        <v>65.25</v>
      </c>
      <c r="W40" s="86">
        <f t="shared" ref="W40:AA40" si="32">($N54*(1+$N55)^(W11-1))*$N55</f>
        <v>0</v>
      </c>
      <c r="X40" s="86">
        <f t="shared" si="32"/>
        <v>0</v>
      </c>
      <c r="Y40" s="86">
        <f t="shared" si="32"/>
        <v>0</v>
      </c>
      <c r="Z40" s="86">
        <f t="shared" si="32"/>
        <v>0</v>
      </c>
      <c r="AA40" s="86">
        <f t="shared" si="32"/>
        <v>0</v>
      </c>
      <c r="AB40" s="1"/>
    </row>
    <row r="41" ht="15.75" customHeight="1">
      <c r="A41" s="1"/>
      <c r="B41" s="7"/>
      <c r="C41" s="1" t="s">
        <v>39</v>
      </c>
      <c r="D41" s="1"/>
      <c r="E41" s="2" t="s">
        <v>23</v>
      </c>
      <c r="F41" s="85">
        <f t="shared" ref="F41:O41" si="33">($N55*(1+$N56)^(F12-1))*$N56</f>
        <v>0</v>
      </c>
      <c r="G41" s="85">
        <f t="shared" si="33"/>
        <v>0</v>
      </c>
      <c r="H41" s="85">
        <f t="shared" si="33"/>
        <v>0</v>
      </c>
      <c r="I41" s="85">
        <f t="shared" si="33"/>
        <v>0</v>
      </c>
      <c r="J41" s="85">
        <f t="shared" si="33"/>
        <v>0</v>
      </c>
      <c r="K41" s="85">
        <f t="shared" si="33"/>
        <v>0</v>
      </c>
      <c r="L41" s="85">
        <f t="shared" si="33"/>
        <v>0</v>
      </c>
      <c r="M41" s="85">
        <f t="shared" si="33"/>
        <v>0</v>
      </c>
      <c r="N41" s="85">
        <f t="shared" si="33"/>
        <v>0</v>
      </c>
      <c r="O41" s="86">
        <f t="shared" si="33"/>
        <v>0</v>
      </c>
      <c r="P41" s="65"/>
      <c r="Q41" s="66"/>
      <c r="R41" s="87">
        <f t="shared" ref="R41:AA41" si="34">($N55*(1+$N56)^(R12-1))*$N56</f>
        <v>0</v>
      </c>
      <c r="S41" s="85">
        <f t="shared" si="34"/>
        <v>0</v>
      </c>
      <c r="T41" s="85">
        <f t="shared" si="34"/>
        <v>0</v>
      </c>
      <c r="U41" s="85">
        <f t="shared" si="34"/>
        <v>0</v>
      </c>
      <c r="V41" s="86">
        <f t="shared" si="34"/>
        <v>0</v>
      </c>
      <c r="W41" s="86">
        <f t="shared" si="34"/>
        <v>0</v>
      </c>
      <c r="X41" s="86">
        <f t="shared" si="34"/>
        <v>0</v>
      </c>
      <c r="Y41" s="86">
        <f t="shared" si="34"/>
        <v>0</v>
      </c>
      <c r="Z41" s="86">
        <f t="shared" si="34"/>
        <v>0</v>
      </c>
      <c r="AA41" s="86">
        <f t="shared" si="34"/>
        <v>0</v>
      </c>
      <c r="AB41" s="1"/>
    </row>
    <row r="42" ht="15.75" customHeight="1">
      <c r="A42" s="1"/>
      <c r="B42" s="7"/>
      <c r="C42" s="88"/>
      <c r="D42" s="88"/>
      <c r="E42" s="64"/>
      <c r="F42" s="88"/>
      <c r="G42" s="88"/>
      <c r="H42" s="88"/>
      <c r="I42" s="88"/>
      <c r="J42" s="88"/>
      <c r="K42" s="89"/>
      <c r="L42" s="89"/>
      <c r="M42" s="89"/>
      <c r="N42" s="89"/>
      <c r="O42" s="89"/>
      <c r="P42" s="1"/>
      <c r="Q42" s="1"/>
      <c r="R42" s="9"/>
      <c r="S42" s="9"/>
      <c r="T42" s="1"/>
      <c r="U42" s="1"/>
      <c r="V42" s="8"/>
      <c r="W42" s="7"/>
      <c r="X42" s="1"/>
      <c r="Y42" s="1"/>
      <c r="Z42" s="1"/>
      <c r="AA42" s="1"/>
      <c r="AB42" s="1"/>
    </row>
    <row r="43" ht="15.75" customHeight="1">
      <c r="A43" s="1"/>
      <c r="B43" s="7"/>
      <c r="C43" s="67" t="s">
        <v>40</v>
      </c>
      <c r="D43" s="67"/>
      <c r="E43" s="69" t="s">
        <v>23</v>
      </c>
      <c r="F43" s="70">
        <f t="shared" ref="F43:O43" si="35">F37-F40-F41</f>
        <v>30.75</v>
      </c>
      <c r="G43" s="70">
        <f t="shared" si="35"/>
        <v>39.75</v>
      </c>
      <c r="H43" s="70">
        <f t="shared" si="35"/>
        <v>45.75</v>
      </c>
      <c r="I43" s="70">
        <f t="shared" si="35"/>
        <v>48.75</v>
      </c>
      <c r="J43" s="70">
        <f t="shared" si="35"/>
        <v>20.75</v>
      </c>
      <c r="K43" s="70">
        <f t="shared" si="35"/>
        <v>51.75</v>
      </c>
      <c r="L43" s="70">
        <f t="shared" si="35"/>
        <v>45.75</v>
      </c>
      <c r="M43" s="70">
        <f t="shared" si="35"/>
        <v>52.75</v>
      </c>
      <c r="N43" s="70">
        <f t="shared" si="35"/>
        <v>61.75</v>
      </c>
      <c r="O43" s="70">
        <f t="shared" si="35"/>
        <v>64.75</v>
      </c>
      <c r="P43" s="70"/>
      <c r="Q43" s="70"/>
      <c r="R43" s="70">
        <f t="shared" ref="R43:AA43" si="36">R37-R40-R41</f>
        <v>35.75</v>
      </c>
      <c r="S43" s="70">
        <f t="shared" si="36"/>
        <v>41.85</v>
      </c>
      <c r="T43" s="70">
        <f t="shared" si="36"/>
        <v>50.75</v>
      </c>
      <c r="U43" s="70">
        <f t="shared" si="36"/>
        <v>58.60439</v>
      </c>
      <c r="V43" s="70">
        <f t="shared" si="36"/>
        <v>67.2900217</v>
      </c>
      <c r="W43" s="70">
        <f t="shared" si="36"/>
        <v>133.3785222</v>
      </c>
      <c r="X43" s="70">
        <f t="shared" si="36"/>
        <v>134.4379853</v>
      </c>
      <c r="Y43" s="70">
        <f t="shared" si="36"/>
        <v>136.7239349</v>
      </c>
      <c r="Z43" s="70">
        <f t="shared" si="36"/>
        <v>138.2420333</v>
      </c>
      <c r="AA43" s="70">
        <f t="shared" si="36"/>
        <v>139.9980841</v>
      </c>
      <c r="AB43" s="1"/>
    </row>
    <row r="44" ht="15.75" customHeight="1">
      <c r="A44" s="1"/>
      <c r="B44" s="7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9"/>
      <c r="S44" s="9"/>
      <c r="T44" s="1"/>
      <c r="U44" s="1"/>
      <c r="V44" s="8"/>
      <c r="W44" s="7"/>
      <c r="X44" s="1"/>
      <c r="Y44" s="1"/>
      <c r="Z44" s="1"/>
      <c r="AA44" s="1"/>
      <c r="AB44" s="1"/>
    </row>
    <row r="45" ht="15.75" customHeight="1">
      <c r="A45" s="1"/>
      <c r="B45" s="7"/>
      <c r="C45" s="1"/>
      <c r="D45" s="54" t="s">
        <v>41</v>
      </c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9"/>
      <c r="S45" s="9"/>
      <c r="T45" s="1"/>
      <c r="U45" s="1"/>
      <c r="V45" s="8"/>
      <c r="W45" s="7"/>
      <c r="X45" s="1"/>
      <c r="Y45" s="1"/>
      <c r="Z45" s="1"/>
      <c r="AA45" s="1"/>
      <c r="AB45" s="1"/>
    </row>
    <row r="46" ht="15.75" customHeight="1">
      <c r="A46" s="1"/>
      <c r="B46" s="7"/>
      <c r="C46" s="2" t="s">
        <v>42</v>
      </c>
      <c r="D46" s="90">
        <v>0.15</v>
      </c>
      <c r="E46" s="2" t="s">
        <v>23</v>
      </c>
      <c r="F46" s="85">
        <f t="shared" ref="F46:O46" si="37">F43*$D46</f>
        <v>4.6125</v>
      </c>
      <c r="G46" s="85">
        <f t="shared" si="37"/>
        <v>5.9625</v>
      </c>
      <c r="H46" s="85">
        <f t="shared" si="37"/>
        <v>6.8625</v>
      </c>
      <c r="I46" s="85">
        <f t="shared" si="37"/>
        <v>7.3125</v>
      </c>
      <c r="J46" s="85">
        <f t="shared" si="37"/>
        <v>3.1125</v>
      </c>
      <c r="K46" s="85">
        <f t="shared" si="37"/>
        <v>7.7625</v>
      </c>
      <c r="L46" s="85">
        <f t="shared" si="37"/>
        <v>6.8625</v>
      </c>
      <c r="M46" s="85">
        <f t="shared" si="37"/>
        <v>7.9125</v>
      </c>
      <c r="N46" s="85">
        <f t="shared" si="37"/>
        <v>9.2625</v>
      </c>
      <c r="O46" s="85">
        <f t="shared" si="37"/>
        <v>9.7125</v>
      </c>
      <c r="P46" s="91"/>
      <c r="Q46" s="91"/>
      <c r="R46" s="85">
        <f t="shared" ref="R46:AA46" si="38">R43*$D46</f>
        <v>5.3625</v>
      </c>
      <c r="S46" s="85">
        <f t="shared" si="38"/>
        <v>6.2775</v>
      </c>
      <c r="T46" s="85">
        <f t="shared" si="38"/>
        <v>7.6125</v>
      </c>
      <c r="U46" s="85">
        <f t="shared" si="38"/>
        <v>8.7906585</v>
      </c>
      <c r="V46" s="86">
        <f t="shared" si="38"/>
        <v>10.09350326</v>
      </c>
      <c r="W46" s="86">
        <f t="shared" si="38"/>
        <v>20.00677834</v>
      </c>
      <c r="X46" s="86">
        <f t="shared" si="38"/>
        <v>20.16569779</v>
      </c>
      <c r="Y46" s="86">
        <f t="shared" si="38"/>
        <v>20.50859024</v>
      </c>
      <c r="Z46" s="86">
        <f t="shared" si="38"/>
        <v>20.736305</v>
      </c>
      <c r="AA46" s="86">
        <f t="shared" si="38"/>
        <v>20.99971262</v>
      </c>
      <c r="AB46" s="1"/>
    </row>
    <row r="47" ht="15.75" customHeight="1">
      <c r="A47" s="1"/>
      <c r="B47" s="7"/>
      <c r="C47" s="1"/>
      <c r="D47" s="1"/>
      <c r="E47" s="6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9"/>
      <c r="S47" s="9"/>
      <c r="T47" s="1"/>
      <c r="U47" s="1"/>
      <c r="V47" s="8"/>
      <c r="W47" s="7"/>
      <c r="X47" s="1"/>
      <c r="Y47" s="1"/>
      <c r="Z47" s="1"/>
      <c r="AA47" s="1"/>
      <c r="AB47" s="1"/>
    </row>
    <row r="48" ht="15.75" customHeight="1">
      <c r="A48" s="1"/>
      <c r="B48" s="7"/>
      <c r="C48" s="92" t="s">
        <v>43</v>
      </c>
      <c r="D48" s="93"/>
      <c r="E48" s="94" t="s">
        <v>23</v>
      </c>
      <c r="F48" s="95">
        <f t="shared" ref="F48:O48" si="39">F43-F46</f>
        <v>26.1375</v>
      </c>
      <c r="G48" s="95">
        <f t="shared" si="39"/>
        <v>33.7875</v>
      </c>
      <c r="H48" s="95">
        <f t="shared" si="39"/>
        <v>38.8875</v>
      </c>
      <c r="I48" s="95">
        <f t="shared" si="39"/>
        <v>41.4375</v>
      </c>
      <c r="J48" s="95">
        <f t="shared" si="39"/>
        <v>17.6375</v>
      </c>
      <c r="K48" s="95">
        <f t="shared" si="39"/>
        <v>43.9875</v>
      </c>
      <c r="L48" s="95">
        <f t="shared" si="39"/>
        <v>38.8875</v>
      </c>
      <c r="M48" s="95">
        <f t="shared" si="39"/>
        <v>44.8375</v>
      </c>
      <c r="N48" s="95">
        <f t="shared" si="39"/>
        <v>52.4875</v>
      </c>
      <c r="O48" s="95">
        <f t="shared" si="39"/>
        <v>55.0375</v>
      </c>
      <c r="P48" s="95"/>
      <c r="Q48" s="95"/>
      <c r="R48" s="95">
        <f t="shared" ref="R48:AA48" si="40">R43-R46</f>
        <v>30.3875</v>
      </c>
      <c r="S48" s="95">
        <f t="shared" si="40"/>
        <v>35.5725</v>
      </c>
      <c r="T48" s="95">
        <f t="shared" si="40"/>
        <v>43.1375</v>
      </c>
      <c r="U48" s="95">
        <f t="shared" si="40"/>
        <v>49.8137315</v>
      </c>
      <c r="V48" s="96">
        <f t="shared" si="40"/>
        <v>57.19651845</v>
      </c>
      <c r="W48" s="96">
        <f t="shared" si="40"/>
        <v>113.3717439</v>
      </c>
      <c r="X48" s="96">
        <f t="shared" si="40"/>
        <v>114.2722875</v>
      </c>
      <c r="Y48" s="96">
        <f t="shared" si="40"/>
        <v>116.2153447</v>
      </c>
      <c r="Z48" s="96">
        <f t="shared" si="40"/>
        <v>117.5057283</v>
      </c>
      <c r="AA48" s="96">
        <f t="shared" si="40"/>
        <v>118.9983715</v>
      </c>
      <c r="AB48" s="1"/>
    </row>
    <row r="49" ht="15.75" customHeight="1">
      <c r="A49" s="1"/>
      <c r="B49" s="7"/>
      <c r="C49" s="48" t="s">
        <v>44</v>
      </c>
      <c r="E49" s="54" t="s">
        <v>25</v>
      </c>
      <c r="F49" s="75"/>
      <c r="G49" s="75"/>
      <c r="H49" s="75"/>
      <c r="I49" s="75"/>
      <c r="J49" s="75"/>
      <c r="K49" s="75">
        <f t="shared" ref="K49:O49" si="41">K48/K14</f>
        <v>0.05865</v>
      </c>
      <c r="L49" s="75">
        <f t="shared" si="41"/>
        <v>0.05083333333</v>
      </c>
      <c r="M49" s="75">
        <f t="shared" si="41"/>
        <v>0.05668457649</v>
      </c>
      <c r="N49" s="75">
        <f t="shared" si="41"/>
        <v>0.06393118149</v>
      </c>
      <c r="O49" s="75">
        <f t="shared" si="41"/>
        <v>0.06552083333</v>
      </c>
      <c r="P49" s="1"/>
      <c r="Q49" s="1"/>
      <c r="R49" s="75">
        <f t="shared" ref="R49:V49" si="42">R48/R14</f>
        <v>0.05331140351</v>
      </c>
      <c r="S49" s="75">
        <f t="shared" si="42"/>
        <v>0.06059018906</v>
      </c>
      <c r="T49" s="75">
        <f t="shared" si="42"/>
        <v>0.07133549304</v>
      </c>
      <c r="U49" s="75">
        <f t="shared" si="42"/>
        <v>0.0799765279</v>
      </c>
      <c r="V49" s="97">
        <f t="shared" si="42"/>
        <v>0.08915502776</v>
      </c>
      <c r="W49" s="7"/>
      <c r="X49" s="1"/>
      <c r="Y49" s="1"/>
      <c r="Z49" s="1"/>
      <c r="AA49" s="1"/>
      <c r="AB49" s="1"/>
    </row>
    <row r="50" ht="15.75" customHeight="1">
      <c r="A50" s="1"/>
      <c r="B50" s="24"/>
      <c r="C50" s="25"/>
      <c r="D50" s="25"/>
      <c r="E50" s="98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6"/>
      <c r="W50" s="7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99" t="s">
        <v>45</v>
      </c>
      <c r="C53" s="100"/>
      <c r="D53" s="100"/>
      <c r="E53" s="101"/>
      <c r="F53" s="100"/>
      <c r="G53" s="102"/>
      <c r="H53" s="1"/>
      <c r="I53" s="99" t="s">
        <v>46</v>
      </c>
      <c r="J53" s="100"/>
      <c r="K53" s="100"/>
      <c r="L53" s="100"/>
      <c r="M53" s="100"/>
      <c r="N53" s="100"/>
      <c r="O53" s="100"/>
      <c r="P53" s="103"/>
      <c r="Q53" s="103"/>
      <c r="R53" s="102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04" t="s">
        <v>47</v>
      </c>
      <c r="C54" s="104"/>
      <c r="D54" s="22"/>
      <c r="E54" s="23"/>
      <c r="F54" s="22"/>
      <c r="G54" s="105"/>
      <c r="H54" s="1"/>
      <c r="I54" s="21"/>
      <c r="J54" s="1"/>
      <c r="K54" s="22"/>
      <c r="L54" s="22"/>
      <c r="M54" s="22"/>
      <c r="N54" s="1"/>
      <c r="O54" s="1"/>
      <c r="P54" s="1"/>
      <c r="Q54" s="1"/>
      <c r="R54" s="8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7"/>
      <c r="C55" s="106" t="s">
        <v>48</v>
      </c>
      <c r="D55" s="106"/>
      <c r="E55" s="107">
        <v>900.0</v>
      </c>
      <c r="F55" s="1"/>
      <c r="G55" s="8"/>
      <c r="H55" s="1"/>
      <c r="I55" s="7"/>
      <c r="J55" s="106" t="s">
        <v>49</v>
      </c>
      <c r="N55" s="108"/>
      <c r="O55" s="9" t="s">
        <v>50</v>
      </c>
      <c r="Q55" s="1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04"/>
      <c r="C56" s="106" t="s">
        <v>51</v>
      </c>
      <c r="D56" s="106"/>
      <c r="E56" s="109">
        <v>0.0325</v>
      </c>
      <c r="F56" s="1"/>
      <c r="G56" s="8"/>
      <c r="H56" s="1"/>
      <c r="I56" s="7"/>
      <c r="J56" s="106" t="s">
        <v>52</v>
      </c>
      <c r="N56" s="90"/>
      <c r="O56" s="110" t="s">
        <v>53</v>
      </c>
      <c r="P56" s="1"/>
      <c r="Q56" s="1"/>
      <c r="R56" s="8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7"/>
      <c r="C57" s="106" t="s">
        <v>54</v>
      </c>
      <c r="D57" s="106"/>
      <c r="E57" s="90">
        <v>0.04</v>
      </c>
      <c r="F57" s="1"/>
      <c r="G57" s="8"/>
      <c r="H57" s="1"/>
      <c r="I57" s="7"/>
      <c r="J57" s="1"/>
      <c r="K57" s="1"/>
      <c r="L57" s="1"/>
      <c r="M57" s="1"/>
      <c r="N57" s="1"/>
      <c r="O57" s="1"/>
      <c r="P57" s="1"/>
      <c r="Q57" s="1"/>
      <c r="R57" s="8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24"/>
      <c r="C58" s="25"/>
      <c r="D58" s="25"/>
      <c r="E58" s="98"/>
      <c r="F58" s="111"/>
      <c r="G58" s="112"/>
      <c r="H58" s="1"/>
      <c r="I58" s="24"/>
      <c r="J58" s="25"/>
      <c r="K58" s="25"/>
      <c r="L58" s="25"/>
      <c r="M58" s="25"/>
      <c r="N58" s="25"/>
      <c r="O58" s="25"/>
      <c r="P58" s="25"/>
      <c r="Q58" s="25"/>
      <c r="R58" s="26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23"/>
      <c r="G59" s="23"/>
      <c r="H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1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9" t="s">
        <v>55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14"/>
      <c r="F123" s="115"/>
      <c r="G123" s="1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14"/>
      <c r="F124" s="115"/>
      <c r="G124" s="1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9"/>
      <c r="E137" s="11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9"/>
      <c r="E138" s="11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9"/>
      <c r="E139" s="1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6">
    <mergeCell ref="F10:J10"/>
    <mergeCell ref="K10:O10"/>
    <mergeCell ref="R10:V10"/>
    <mergeCell ref="W10:AA10"/>
    <mergeCell ref="J55:M55"/>
    <mergeCell ref="J56:M5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</cols>
  <sheetData>
    <row r="2">
      <c r="A2" s="119" t="s">
        <v>56</v>
      </c>
      <c r="C2" s="120" t="s">
        <v>57</v>
      </c>
    </row>
    <row r="3">
      <c r="A3" s="121">
        <v>4.0E7</v>
      </c>
      <c r="C3" s="122">
        <f>1.105-0.005</f>
        <v>1.1</v>
      </c>
      <c r="G3" s="120" t="s">
        <v>58</v>
      </c>
    </row>
    <row r="4">
      <c r="A4" s="123">
        <f>A3/C3</f>
        <v>36363636.36</v>
      </c>
      <c r="B4" s="123">
        <f>A4*0.8</f>
        <v>29090909.09</v>
      </c>
      <c r="C4" s="124">
        <f>(C3+C6)/2</f>
        <v>1.0755</v>
      </c>
      <c r="G4" s="120" t="s">
        <v>59</v>
      </c>
    </row>
    <row r="5">
      <c r="A5" s="120" t="s">
        <v>60</v>
      </c>
      <c r="B5" s="123">
        <f>B4+B6</f>
        <v>59538102.24</v>
      </c>
      <c r="C5" s="120" t="s">
        <v>61</v>
      </c>
    </row>
    <row r="6">
      <c r="A6" s="125">
        <f>A3/C6</f>
        <v>38058991.44</v>
      </c>
      <c r="B6" s="125">
        <f>A6*0.8</f>
        <v>30447193.15</v>
      </c>
      <c r="C6" s="126">
        <f>1.056-0.005</f>
        <v>1.051</v>
      </c>
    </row>
    <row r="7">
      <c r="B7" s="123">
        <f>B5/2</f>
        <v>29769051.12</v>
      </c>
    </row>
    <row r="8">
      <c r="C8" s="120" t="s">
        <v>62</v>
      </c>
    </row>
    <row r="9">
      <c r="A9" s="120">
        <v>0.005</v>
      </c>
      <c r="B9" s="120" t="s">
        <v>63</v>
      </c>
    </row>
    <row r="10">
      <c r="A10" s="120">
        <v>1.076</v>
      </c>
      <c r="B10" s="120" t="s">
        <v>64</v>
      </c>
    </row>
    <row r="11">
      <c r="A11" s="120">
        <v>20000.0</v>
      </c>
      <c r="B11" s="120" t="s">
        <v>65</v>
      </c>
    </row>
    <row r="12">
      <c r="A12" s="127">
        <f>(A10+A9)*A11</f>
        <v>21620</v>
      </c>
      <c r="B12" s="120" t="s">
        <v>66</v>
      </c>
      <c r="D12" s="127">
        <f>80%*40</f>
        <v>32</v>
      </c>
    </row>
    <row r="13">
      <c r="A13" s="120" t="s">
        <v>67</v>
      </c>
    </row>
    <row r="15">
      <c r="B15" s="128" t="s">
        <v>68</v>
      </c>
    </row>
    <row r="16">
      <c r="B16" s="129">
        <v>1.085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.43"/>
    <col customWidth="1" min="3" max="3" width="31.0"/>
    <col customWidth="1" min="4" max="13" width="8.71"/>
    <col customWidth="1" min="14" max="14" width="8.14"/>
    <col customWidth="1" min="15" max="27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130" t="s">
        <v>69</v>
      </c>
      <c r="P2" s="131"/>
      <c r="Q2" s="131"/>
      <c r="R2" s="131"/>
      <c r="S2" s="4"/>
      <c r="T2" s="132">
        <v>0.025</v>
      </c>
      <c r="U2" s="1"/>
      <c r="V2" s="1"/>
      <c r="W2" s="1"/>
      <c r="X2" s="1"/>
      <c r="Y2" s="1"/>
      <c r="Z2" s="1"/>
      <c r="AA2" s="1"/>
    </row>
    <row r="3" ht="15.75" customHeight="1">
      <c r="A3" s="1"/>
      <c r="B3" s="18" t="s">
        <v>70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8"/>
      <c r="O3" s="133" t="s">
        <v>71</v>
      </c>
      <c r="S3" s="1"/>
      <c r="T3" s="132">
        <v>0.025</v>
      </c>
      <c r="U3" s="1"/>
      <c r="V3" s="1"/>
      <c r="W3" s="1"/>
      <c r="X3" s="1"/>
      <c r="Y3" s="1"/>
      <c r="Z3" s="1"/>
      <c r="AA3" s="1"/>
    </row>
    <row r="4" ht="15.75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/>
      <c r="O4" s="134" t="s">
        <v>72</v>
      </c>
      <c r="P4" s="135"/>
      <c r="Q4" s="135"/>
      <c r="R4" s="135"/>
      <c r="S4" s="25"/>
      <c r="T4" s="132">
        <v>0.025</v>
      </c>
      <c r="U4" s="1"/>
      <c r="V4" s="1"/>
      <c r="W4" s="1"/>
      <c r="X4" s="1"/>
      <c r="Y4" s="1"/>
      <c r="Z4" s="1"/>
      <c r="AA4" s="1"/>
    </row>
    <row r="5" ht="15.75" customHeight="1">
      <c r="A5" s="1"/>
      <c r="B5" s="7"/>
      <c r="C5" s="27"/>
      <c r="D5" s="29" t="s">
        <v>15</v>
      </c>
      <c r="E5" s="30"/>
      <c r="F5" s="30"/>
      <c r="G5" s="30"/>
      <c r="H5" s="31"/>
      <c r="I5" s="29" t="s">
        <v>15</v>
      </c>
      <c r="J5" s="30"/>
      <c r="K5" s="30"/>
      <c r="L5" s="30"/>
      <c r="M5" s="31"/>
      <c r="N5" s="136" t="s">
        <v>73</v>
      </c>
      <c r="O5" s="137" t="s">
        <v>17</v>
      </c>
      <c r="P5" s="138" t="s">
        <v>15</v>
      </c>
      <c r="Q5" s="139"/>
      <c r="R5" s="139"/>
      <c r="S5" s="139"/>
      <c r="T5" s="140"/>
      <c r="U5" s="138" t="s">
        <v>18</v>
      </c>
      <c r="V5" s="139"/>
      <c r="W5" s="139"/>
      <c r="X5" s="139"/>
      <c r="Y5" s="140"/>
      <c r="Z5" s="1"/>
      <c r="AA5" s="1"/>
    </row>
    <row r="6" ht="15.75" customHeight="1">
      <c r="A6" s="1"/>
      <c r="B6" s="7"/>
      <c r="C6" s="34" t="s">
        <v>74</v>
      </c>
      <c r="D6" s="37">
        <v>2025.0</v>
      </c>
      <c r="E6" s="37">
        <v>2026.0</v>
      </c>
      <c r="F6" s="37">
        <v>2027.0</v>
      </c>
      <c r="G6" s="37">
        <v>2028.0</v>
      </c>
      <c r="H6" s="37">
        <v>2029.0</v>
      </c>
      <c r="I6" s="37">
        <v>2030.0</v>
      </c>
      <c r="J6" s="37">
        <v>2031.0</v>
      </c>
      <c r="K6" s="37">
        <v>2032.0</v>
      </c>
      <c r="L6" s="37">
        <v>2033.0</v>
      </c>
      <c r="M6" s="37">
        <v>2034.0</v>
      </c>
      <c r="N6" s="37">
        <v>2034.0</v>
      </c>
      <c r="O6" s="136"/>
      <c r="P6" s="136">
        <v>2035.0</v>
      </c>
      <c r="Q6" s="136">
        <v>2036.0</v>
      </c>
      <c r="R6" s="136">
        <v>2037.0</v>
      </c>
      <c r="S6" s="136">
        <v>2038.0</v>
      </c>
      <c r="T6" s="136">
        <v>2039.0</v>
      </c>
      <c r="U6" s="136">
        <v>2040.0</v>
      </c>
      <c r="V6" s="136">
        <v>2041.0</v>
      </c>
      <c r="W6" s="136">
        <v>2042.0</v>
      </c>
      <c r="X6" s="136">
        <v>2043.0</v>
      </c>
      <c r="Y6" s="136">
        <v>2044.0</v>
      </c>
      <c r="Z6" s="1"/>
      <c r="AA6" s="1"/>
    </row>
    <row r="7" ht="15.75" customHeight="1">
      <c r="A7" s="1"/>
      <c r="B7" s="7"/>
      <c r="C7" s="1"/>
      <c r="D7" s="141"/>
      <c r="E7" s="141"/>
      <c r="F7" s="141"/>
      <c r="G7" s="142"/>
      <c r="H7" s="141"/>
      <c r="I7" s="141"/>
      <c r="J7" s="9"/>
      <c r="K7" s="9"/>
      <c r="L7" s="9"/>
      <c r="M7" s="9"/>
      <c r="N7" s="9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7"/>
      <c r="C8" s="1" t="s">
        <v>75</v>
      </c>
      <c r="D8" s="118">
        <v>70.0</v>
      </c>
      <c r="E8" s="118">
        <v>71.0</v>
      </c>
      <c r="F8" s="118">
        <v>72.0</v>
      </c>
      <c r="G8" s="118">
        <v>72.0</v>
      </c>
      <c r="H8" s="118">
        <v>76.0</v>
      </c>
      <c r="I8" s="118">
        <v>78.0</v>
      </c>
      <c r="J8" s="118">
        <v>80.0</v>
      </c>
      <c r="K8" s="118">
        <v>83.0</v>
      </c>
      <c r="L8" s="118">
        <v>85.0</v>
      </c>
      <c r="M8" s="118">
        <v>88.0</v>
      </c>
      <c r="N8" s="118">
        <v>22.0</v>
      </c>
      <c r="O8" s="118">
        <f t="shared" ref="O8:O10" si="2">M8-N8</f>
        <v>66</v>
      </c>
      <c r="P8" s="143">
        <v>57.0</v>
      </c>
      <c r="Q8" s="143">
        <v>63.0</v>
      </c>
      <c r="R8" s="143">
        <v>65.0</v>
      </c>
      <c r="S8" s="143">
        <v>66.0</v>
      </c>
      <c r="T8" s="143">
        <v>67.0</v>
      </c>
      <c r="U8" s="144">
        <f t="shared" ref="U8:Y8" si="1">T8*(1+$T$2)</f>
        <v>68.675</v>
      </c>
      <c r="V8" s="144">
        <f t="shared" si="1"/>
        <v>70.391875</v>
      </c>
      <c r="W8" s="144">
        <f t="shared" si="1"/>
        <v>72.15167188</v>
      </c>
      <c r="X8" s="144">
        <f t="shared" si="1"/>
        <v>73.95546367</v>
      </c>
      <c r="Y8" s="144">
        <f t="shared" si="1"/>
        <v>75.80435026</v>
      </c>
      <c r="Z8" s="1"/>
      <c r="AA8" s="1"/>
    </row>
    <row r="9" ht="15.75" customHeight="1">
      <c r="A9" s="1"/>
      <c r="B9" s="7"/>
      <c r="C9" s="1" t="s">
        <v>76</v>
      </c>
      <c r="D9" s="118">
        <v>45.0</v>
      </c>
      <c r="E9" s="118">
        <v>45.0</v>
      </c>
      <c r="F9" s="118">
        <v>46.0</v>
      </c>
      <c r="G9" s="118">
        <v>47.0</v>
      </c>
      <c r="H9" s="118">
        <v>47.0</v>
      </c>
      <c r="I9" s="118">
        <v>48.0</v>
      </c>
      <c r="J9" s="118">
        <v>49.0</v>
      </c>
      <c r="K9" s="118">
        <v>50.0</v>
      </c>
      <c r="L9" s="118">
        <v>52.0</v>
      </c>
      <c r="M9" s="118">
        <v>54.0</v>
      </c>
      <c r="N9" s="118">
        <v>13.0</v>
      </c>
      <c r="O9" s="118">
        <f t="shared" si="2"/>
        <v>41</v>
      </c>
      <c r="P9" s="143">
        <v>34.0</v>
      </c>
      <c r="Q9" s="143">
        <v>40.0</v>
      </c>
      <c r="R9" s="143">
        <f t="shared" ref="R9:S9" si="3">Q9*(1+$T$3)</f>
        <v>41</v>
      </c>
      <c r="S9" s="143">
        <f t="shared" si="3"/>
        <v>42.025</v>
      </c>
      <c r="T9" s="143">
        <v>43.0</v>
      </c>
      <c r="U9" s="144">
        <f t="shared" ref="U9:Y9" si="4">T9*(1+$T$3)</f>
        <v>44.075</v>
      </c>
      <c r="V9" s="144">
        <f t="shared" si="4"/>
        <v>45.176875</v>
      </c>
      <c r="W9" s="144">
        <f t="shared" si="4"/>
        <v>46.30629688</v>
      </c>
      <c r="X9" s="144">
        <f t="shared" si="4"/>
        <v>47.4639543</v>
      </c>
      <c r="Y9" s="144">
        <f t="shared" si="4"/>
        <v>48.65055315</v>
      </c>
      <c r="Z9" s="1"/>
      <c r="AA9" s="1"/>
    </row>
    <row r="10" ht="15.75" customHeight="1">
      <c r="A10" s="1"/>
      <c r="B10" s="7"/>
      <c r="C10" s="1" t="s">
        <v>77</v>
      </c>
      <c r="D10" s="118">
        <v>28.0</v>
      </c>
      <c r="E10" s="118">
        <v>28.0</v>
      </c>
      <c r="F10" s="118">
        <v>29.0</v>
      </c>
      <c r="G10" s="118">
        <v>29.0</v>
      </c>
      <c r="H10" s="118">
        <v>29.0</v>
      </c>
      <c r="I10" s="118">
        <v>30.0</v>
      </c>
      <c r="J10" s="118">
        <v>30.0</v>
      </c>
      <c r="K10" s="118">
        <v>31.0</v>
      </c>
      <c r="L10" s="118">
        <v>32.0</v>
      </c>
      <c r="M10" s="118">
        <v>33.0</v>
      </c>
      <c r="N10" s="118">
        <v>7.0</v>
      </c>
      <c r="O10" s="118">
        <f t="shared" si="2"/>
        <v>26</v>
      </c>
      <c r="P10" s="143">
        <v>23.0</v>
      </c>
      <c r="Q10" s="143">
        <v>27.0</v>
      </c>
      <c r="R10" s="143">
        <v>28.0</v>
      </c>
      <c r="S10" s="143">
        <v>29.0</v>
      </c>
      <c r="T10" s="143">
        <v>30.0</v>
      </c>
      <c r="U10" s="144">
        <f t="shared" ref="U10:Y10" si="5">T10*(1+$T$4)</f>
        <v>30.75</v>
      </c>
      <c r="V10" s="144">
        <f t="shared" si="5"/>
        <v>31.51875</v>
      </c>
      <c r="W10" s="144">
        <f t="shared" si="5"/>
        <v>32.30671875</v>
      </c>
      <c r="X10" s="144">
        <f t="shared" si="5"/>
        <v>33.11438672</v>
      </c>
      <c r="Y10" s="144">
        <f t="shared" si="5"/>
        <v>33.94224639</v>
      </c>
      <c r="Z10" s="1"/>
      <c r="AA10" s="1"/>
    </row>
    <row r="11" ht="15.75" customHeight="1">
      <c r="A11" s="1"/>
      <c r="B11" s="7"/>
      <c r="C11" s="1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43"/>
      <c r="Q11" s="143"/>
      <c r="R11" s="143"/>
      <c r="S11" s="143"/>
      <c r="T11" s="143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7"/>
      <c r="C12" s="1" t="s">
        <v>78</v>
      </c>
      <c r="D12" s="118">
        <f t="shared" ref="D12:N12" si="6">D8+D9-D10</f>
        <v>87</v>
      </c>
      <c r="E12" s="118">
        <f t="shared" si="6"/>
        <v>88</v>
      </c>
      <c r="F12" s="118">
        <f t="shared" si="6"/>
        <v>89</v>
      </c>
      <c r="G12" s="118">
        <f t="shared" si="6"/>
        <v>90</v>
      </c>
      <c r="H12" s="118">
        <f t="shared" si="6"/>
        <v>94</v>
      </c>
      <c r="I12" s="118">
        <f t="shared" si="6"/>
        <v>96</v>
      </c>
      <c r="J12" s="118">
        <f t="shared" si="6"/>
        <v>99</v>
      </c>
      <c r="K12" s="118">
        <f t="shared" si="6"/>
        <v>102</v>
      </c>
      <c r="L12" s="118">
        <f t="shared" si="6"/>
        <v>105</v>
      </c>
      <c r="M12" s="118">
        <f t="shared" si="6"/>
        <v>109</v>
      </c>
      <c r="N12" s="118">
        <f t="shared" si="6"/>
        <v>28</v>
      </c>
      <c r="O12" s="118">
        <f>M12-N12</f>
        <v>81</v>
      </c>
      <c r="P12" s="143">
        <f t="shared" ref="P12:Y12" si="7">P8+P9-P10</f>
        <v>68</v>
      </c>
      <c r="Q12" s="143">
        <f t="shared" si="7"/>
        <v>76</v>
      </c>
      <c r="R12" s="143">
        <f t="shared" si="7"/>
        <v>78</v>
      </c>
      <c r="S12" s="143">
        <f t="shared" si="7"/>
        <v>79.025</v>
      </c>
      <c r="T12" s="143">
        <f t="shared" si="7"/>
        <v>80</v>
      </c>
      <c r="U12" s="145">
        <f t="shared" si="7"/>
        <v>82</v>
      </c>
      <c r="V12" s="145">
        <f t="shared" si="7"/>
        <v>84.05</v>
      </c>
      <c r="W12" s="145">
        <f t="shared" si="7"/>
        <v>86.15125</v>
      </c>
      <c r="X12" s="145">
        <f t="shared" si="7"/>
        <v>88.30503125</v>
      </c>
      <c r="Y12" s="145">
        <f t="shared" si="7"/>
        <v>90.51265703</v>
      </c>
      <c r="Z12" s="1"/>
      <c r="AA12" s="1"/>
    </row>
    <row r="13" ht="15.75" customHeight="1">
      <c r="A13" s="1"/>
      <c r="B13" s="7"/>
      <c r="C13" s="67" t="s">
        <v>79</v>
      </c>
      <c r="D13" s="146">
        <v>3.0</v>
      </c>
      <c r="E13" s="146">
        <f t="shared" ref="E13:M13" si="8">-E12+D12</f>
        <v>-1</v>
      </c>
      <c r="F13" s="146">
        <f t="shared" si="8"/>
        <v>-1</v>
      </c>
      <c r="G13" s="146">
        <f t="shared" si="8"/>
        <v>-1</v>
      </c>
      <c r="H13" s="146">
        <f t="shared" si="8"/>
        <v>-4</v>
      </c>
      <c r="I13" s="146">
        <f t="shared" si="8"/>
        <v>-2</v>
      </c>
      <c r="J13" s="146">
        <f t="shared" si="8"/>
        <v>-3</v>
      </c>
      <c r="K13" s="146">
        <f t="shared" si="8"/>
        <v>-3</v>
      </c>
      <c r="L13" s="146">
        <f t="shared" si="8"/>
        <v>-3</v>
      </c>
      <c r="M13" s="146">
        <f t="shared" si="8"/>
        <v>-4</v>
      </c>
      <c r="N13" s="146"/>
      <c r="O13" s="146">
        <f>O12-M12</f>
        <v>-28</v>
      </c>
      <c r="P13" s="147">
        <f t="shared" ref="P13:Y13" si="9">P12-O12</f>
        <v>-13</v>
      </c>
      <c r="Q13" s="147">
        <f t="shared" si="9"/>
        <v>8</v>
      </c>
      <c r="R13" s="147">
        <f t="shared" si="9"/>
        <v>2</v>
      </c>
      <c r="S13" s="147">
        <f t="shared" si="9"/>
        <v>1.025</v>
      </c>
      <c r="T13" s="147">
        <f t="shared" si="9"/>
        <v>0.975</v>
      </c>
      <c r="U13" s="145">
        <f t="shared" si="9"/>
        <v>2</v>
      </c>
      <c r="V13" s="145">
        <f t="shared" si="9"/>
        <v>2.05</v>
      </c>
      <c r="W13" s="145">
        <f t="shared" si="9"/>
        <v>2.10125</v>
      </c>
      <c r="X13" s="145">
        <f t="shared" si="9"/>
        <v>2.15378125</v>
      </c>
      <c r="Y13" s="145">
        <f t="shared" si="9"/>
        <v>2.207625781</v>
      </c>
      <c r="Z13" s="1"/>
      <c r="AA13" s="1"/>
    </row>
    <row r="14" ht="15.75" customHeight="1">
      <c r="A14" s="1"/>
      <c r="B14" s="7"/>
      <c r="C14" s="148" t="s">
        <v>80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>
        <v>86.0</v>
      </c>
      <c r="N14" s="118">
        <v>30.0</v>
      </c>
      <c r="O14" s="118">
        <f t="shared" ref="O14:O16" si="10">M14-N14</f>
        <v>56</v>
      </c>
      <c r="P14" s="143">
        <f>O14+350+O19</f>
        <v>360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"/>
      <c r="AA14" s="1"/>
    </row>
    <row r="15" ht="15.75" customHeight="1">
      <c r="A15" s="1"/>
      <c r="B15" s="7"/>
      <c r="C15" s="148" t="s">
        <v>81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>
        <v>300.0</v>
      </c>
      <c r="N15" s="118">
        <v>120.0</v>
      </c>
      <c r="O15" s="118">
        <f t="shared" si="10"/>
        <v>180</v>
      </c>
      <c r="P15" s="143">
        <v>364.0</v>
      </c>
      <c r="Q15" s="143"/>
      <c r="R15" s="143"/>
      <c r="S15" s="143"/>
      <c r="T15" s="143"/>
      <c r="U15" s="143"/>
      <c r="V15" s="143"/>
      <c r="W15" s="143"/>
      <c r="X15" s="143"/>
      <c r="Y15" s="143"/>
      <c r="Z15" s="1"/>
      <c r="AA15" s="1"/>
    </row>
    <row r="16" ht="15.75" customHeight="1">
      <c r="A16" s="1"/>
      <c r="B16" s="7"/>
      <c r="C16" s="88" t="s">
        <v>82</v>
      </c>
      <c r="D16" s="118">
        <v>-15.0</v>
      </c>
      <c r="E16" s="118">
        <v>-17.0</v>
      </c>
      <c r="F16" s="118">
        <v>-18.0</v>
      </c>
      <c r="G16" s="118">
        <v>-19.0</v>
      </c>
      <c r="H16" s="118">
        <v>-20.0</v>
      </c>
      <c r="I16" s="118">
        <v>-20.0</v>
      </c>
      <c r="J16" s="118">
        <v>-20.0</v>
      </c>
      <c r="K16" s="118">
        <v>-20.0</v>
      </c>
      <c r="L16" s="118">
        <v>-36.0</v>
      </c>
      <c r="M16" s="118">
        <v>-36.0</v>
      </c>
      <c r="N16" s="118">
        <v>-7.0</v>
      </c>
      <c r="O16" s="118">
        <f t="shared" si="10"/>
        <v>-29</v>
      </c>
      <c r="P16" s="143">
        <v>-15.0</v>
      </c>
      <c r="Q16" s="143">
        <v>-15.0</v>
      </c>
      <c r="R16" s="143">
        <v>-15.0</v>
      </c>
      <c r="S16" s="143">
        <v>-16.0</v>
      </c>
      <c r="T16" s="143">
        <v>-16.0</v>
      </c>
      <c r="U16" s="143">
        <f t="shared" ref="U16:Y16" si="11">T16*(1+$T$18)</f>
        <v>-16.21333333</v>
      </c>
      <c r="V16" s="143">
        <f t="shared" si="11"/>
        <v>-16.42951111</v>
      </c>
      <c r="W16" s="143">
        <f t="shared" si="11"/>
        <v>-16.64857126</v>
      </c>
      <c r="X16" s="143">
        <f t="shared" si="11"/>
        <v>-16.87055221</v>
      </c>
      <c r="Y16" s="143">
        <f t="shared" si="11"/>
        <v>-17.09549291</v>
      </c>
      <c r="Z16" s="1"/>
      <c r="AA16" s="1"/>
    </row>
    <row r="17" ht="15.75" customHeight="1">
      <c r="A17" s="1"/>
      <c r="B17" s="24"/>
      <c r="C17" s="25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58"/>
      <c r="E18" s="58"/>
      <c r="F18" s="58"/>
      <c r="G18" s="58"/>
      <c r="H18" s="58"/>
      <c r="I18" s="1"/>
      <c r="J18" s="1"/>
      <c r="K18" s="1"/>
      <c r="L18" s="1"/>
      <c r="M18" s="1"/>
      <c r="N18" s="1"/>
      <c r="O18" s="1"/>
      <c r="P18" s="1"/>
      <c r="Q18" s="1"/>
      <c r="R18" s="9" t="s">
        <v>83</v>
      </c>
      <c r="S18" s="1"/>
      <c r="T18" s="149">
        <f>(T16/P16-1)/5</f>
        <v>0.01333333333</v>
      </c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9" t="s">
        <v>84</v>
      </c>
      <c r="O19" s="9">
        <f>-20%*(350-N15)</f>
        <v>-46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50"/>
      <c r="G20" s="1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4">
    <mergeCell ref="D5:H5"/>
    <mergeCell ref="I5:M5"/>
    <mergeCell ref="P5:T5"/>
    <mergeCell ref="U5:Y5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.29"/>
    <col customWidth="1" min="3" max="3" width="13.43"/>
    <col customWidth="1" min="4" max="4" width="31.0"/>
    <col customWidth="1" min="5" max="6" width="8.71"/>
    <col customWidth="1" min="7" max="7" width="9.86"/>
    <col customWidth="1" min="8" max="10" width="8.71"/>
    <col customWidth="1" min="11" max="11" width="1.43"/>
    <col customWidth="1" min="12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/>
      <c r="C2" s="4"/>
      <c r="D2" s="4"/>
      <c r="E2" s="4"/>
      <c r="F2" s="4"/>
      <c r="G2" s="4"/>
      <c r="H2" s="4"/>
      <c r="I2" s="4"/>
      <c r="J2" s="4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8" t="s">
        <v>85</v>
      </c>
      <c r="C3" s="19"/>
      <c r="D3" s="19"/>
      <c r="E3" s="19"/>
      <c r="F3" s="19"/>
      <c r="G3" s="19"/>
      <c r="H3" s="19"/>
      <c r="I3" s="19"/>
      <c r="J3" s="19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C4" s="1"/>
      <c r="D4" s="1"/>
      <c r="E4" s="1"/>
      <c r="F4" s="1"/>
      <c r="G4" s="1"/>
      <c r="H4" s="1"/>
      <c r="I4" s="1"/>
      <c r="J4" s="1"/>
      <c r="K4" s="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C5" s="34"/>
      <c r="D5" s="35"/>
      <c r="E5" s="151" t="s">
        <v>86</v>
      </c>
      <c r="F5" s="29" t="s">
        <v>87</v>
      </c>
      <c r="G5" s="30"/>
      <c r="H5" s="30"/>
      <c r="I5" s="30"/>
      <c r="J5" s="152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C6" s="34" t="s">
        <v>88</v>
      </c>
      <c r="D6" s="35"/>
      <c r="E6" s="153">
        <v>2039.0</v>
      </c>
      <c r="F6" s="37">
        <v>2040.0</v>
      </c>
      <c r="G6" s="37">
        <v>2041.0</v>
      </c>
      <c r="H6" s="37">
        <v>2042.0</v>
      </c>
      <c r="I6" s="37">
        <v>2043.0</v>
      </c>
      <c r="J6" s="37">
        <v>2044.0</v>
      </c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C7" s="1"/>
      <c r="D7" s="1"/>
      <c r="E7" s="154"/>
      <c r="F7" s="1"/>
      <c r="G7" s="1"/>
      <c r="H7" s="1"/>
      <c r="I7" s="1"/>
      <c r="J7" s="1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C8" s="1" t="s">
        <v>89</v>
      </c>
      <c r="D8" s="1"/>
      <c r="E8" s="155"/>
      <c r="F8" s="85">
        <f>'1. P&amp;L'!W32</f>
        <v>142.3785222</v>
      </c>
      <c r="G8" s="85">
        <f>'1. P&amp;L'!X32</f>
        <v>143.4379853</v>
      </c>
      <c r="H8" s="85">
        <f>'1. P&amp;L'!Y32</f>
        <v>144.7239349</v>
      </c>
      <c r="I8" s="85">
        <f>'1. P&amp;L'!Z32</f>
        <v>146.2420333</v>
      </c>
      <c r="J8" s="85">
        <f>'1. P&amp;L'!AA32</f>
        <v>147.9980841</v>
      </c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C9" s="1" t="s">
        <v>90</v>
      </c>
      <c r="D9" s="1"/>
      <c r="E9" s="155"/>
      <c r="F9" s="85">
        <f>-'1. P&amp;L'!W40</f>
        <v>0</v>
      </c>
      <c r="G9" s="85">
        <f>-'1. P&amp;L'!X40</f>
        <v>0</v>
      </c>
      <c r="H9" s="85">
        <f>-'1. P&amp;L'!Y40</f>
        <v>0</v>
      </c>
      <c r="I9" s="85">
        <f>-'1. P&amp;L'!Z40</f>
        <v>0</v>
      </c>
      <c r="J9" s="85">
        <f>-'1. P&amp;L'!AA40</f>
        <v>0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C10" s="1" t="s">
        <v>91</v>
      </c>
      <c r="D10" s="1"/>
      <c r="E10" s="154"/>
      <c r="F10" s="85">
        <f>-'1. P&amp;L'!W46</f>
        <v>-20.00677834</v>
      </c>
      <c r="G10" s="85">
        <f>-'1. P&amp;L'!X46</f>
        <v>-20.16569779</v>
      </c>
      <c r="H10" s="85">
        <f>-'1. P&amp;L'!Y46</f>
        <v>-20.50859024</v>
      </c>
      <c r="I10" s="85">
        <f>-'1. P&amp;L'!Z46</f>
        <v>-20.736305</v>
      </c>
      <c r="J10" s="85">
        <f>-'1. P&amp;L'!AA46</f>
        <v>-20.99971262</v>
      </c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C11" s="1" t="s">
        <v>92</v>
      </c>
      <c r="D11" s="1"/>
      <c r="E11" s="154"/>
      <c r="F11" s="85">
        <f>'2. Working Capital &amp; Capex'!U13</f>
        <v>2</v>
      </c>
      <c r="G11" s="85">
        <f>'2. Working Capital &amp; Capex'!V13</f>
        <v>2.05</v>
      </c>
      <c r="H11" s="85">
        <f>'2. Working Capital &amp; Capex'!W13</f>
        <v>2.10125</v>
      </c>
      <c r="I11" s="85">
        <f>'2. Working Capital &amp; Capex'!X13</f>
        <v>2.15378125</v>
      </c>
      <c r="J11" s="85">
        <f>'2. Working Capital &amp; Capex'!Y13</f>
        <v>2.207625781</v>
      </c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C12" s="88" t="s">
        <v>93</v>
      </c>
      <c r="D12" s="88"/>
      <c r="E12" s="156"/>
      <c r="F12" s="85">
        <f>'2. Working Capital &amp; Capex'!U16</f>
        <v>-16.21333333</v>
      </c>
      <c r="G12" s="85">
        <f>'2. Working Capital &amp; Capex'!Q16</f>
        <v>-15</v>
      </c>
      <c r="H12" s="85">
        <f>'2. Working Capital &amp; Capex'!R16</f>
        <v>-15</v>
      </c>
      <c r="I12" s="85">
        <f>'2. Working Capital &amp; Capex'!S16</f>
        <v>-16</v>
      </c>
      <c r="J12" s="85">
        <f>'2. Working Capital &amp; Capex'!T16</f>
        <v>-16</v>
      </c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4"/>
      <c r="C13" s="92" t="s">
        <v>94</v>
      </c>
      <c r="D13" s="93"/>
      <c r="E13" s="157"/>
      <c r="F13" s="158">
        <f t="shared" ref="F13:J13" si="1">SUM(F8:F12)</f>
        <v>108.1584106</v>
      </c>
      <c r="G13" s="158">
        <f t="shared" si="1"/>
        <v>110.3222875</v>
      </c>
      <c r="H13" s="158">
        <f t="shared" si="1"/>
        <v>111.3165947</v>
      </c>
      <c r="I13" s="158">
        <f t="shared" si="1"/>
        <v>111.6595096</v>
      </c>
      <c r="J13" s="158">
        <f t="shared" si="1"/>
        <v>113.2059973</v>
      </c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4"/>
      <c r="C14" s="25"/>
      <c r="D14" s="25"/>
      <c r="E14" s="159"/>
      <c r="F14" s="159"/>
      <c r="G14" s="159"/>
      <c r="H14" s="159"/>
      <c r="I14" s="25"/>
      <c r="J14" s="25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5:J5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.86"/>
    <col customWidth="1" min="3" max="3" width="36.14"/>
    <col customWidth="1" min="4" max="4" width="10.14"/>
    <col customWidth="1" min="5" max="5" width="9.43"/>
    <col customWidth="1" min="6" max="9" width="8.71"/>
    <col customWidth="1" min="10" max="10" width="1.14"/>
    <col customWidth="1" min="11" max="11" width="8.14"/>
    <col customWidth="1" min="12" max="12" width="1.0"/>
    <col customWidth="1" min="13" max="13" width="10.0"/>
    <col customWidth="1" min="14" max="14" width="14.86"/>
    <col customWidth="1" min="15" max="15" width="11.0"/>
    <col customWidth="1" min="16" max="16" width="11.14"/>
    <col customWidth="1" min="17" max="18" width="8.71"/>
    <col customWidth="1" min="19" max="19" width="10.71"/>
    <col customWidth="1" min="20" max="27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3"/>
      <c r="C2" s="4"/>
      <c r="D2" s="4"/>
      <c r="E2" s="4"/>
      <c r="F2" s="4"/>
      <c r="G2" s="4"/>
      <c r="H2" s="4"/>
      <c r="I2" s="4"/>
      <c r="J2" s="6"/>
      <c r="K2" s="1"/>
      <c r="L2" s="1"/>
      <c r="M2" s="1"/>
      <c r="N2" s="160" t="s">
        <v>95</v>
      </c>
      <c r="O2" s="161" t="s">
        <v>96</v>
      </c>
      <c r="P2" s="161" t="s">
        <v>97</v>
      </c>
      <c r="Q2" s="161" t="s">
        <v>80</v>
      </c>
      <c r="R2" s="161" t="s">
        <v>98</v>
      </c>
      <c r="S2" s="162" t="s">
        <v>22</v>
      </c>
      <c r="T2" s="163"/>
      <c r="U2" s="164"/>
      <c r="V2" s="162" t="s">
        <v>99</v>
      </c>
      <c r="W2" s="163"/>
      <c r="X2" s="164"/>
      <c r="Y2" s="162" t="s">
        <v>43</v>
      </c>
      <c r="Z2" s="163"/>
      <c r="AA2" s="164"/>
    </row>
    <row r="3" ht="15.75" customHeight="1">
      <c r="A3" s="1"/>
      <c r="B3" s="18" t="s">
        <v>100</v>
      </c>
      <c r="C3" s="19"/>
      <c r="D3" s="19"/>
      <c r="E3" s="19"/>
      <c r="F3" s="19"/>
      <c r="G3" s="19"/>
      <c r="H3" s="19"/>
      <c r="I3" s="19"/>
      <c r="J3" s="105"/>
      <c r="K3" s="22"/>
      <c r="L3" s="22"/>
      <c r="M3" s="22"/>
      <c r="N3" s="160" t="s">
        <v>101</v>
      </c>
      <c r="O3" s="165"/>
      <c r="P3" s="165"/>
      <c r="Q3" s="165"/>
      <c r="R3" s="165"/>
      <c r="S3" s="160">
        <v>2037.0</v>
      </c>
      <c r="T3" s="160">
        <v>2038.0</v>
      </c>
      <c r="U3" s="160">
        <v>2039.0</v>
      </c>
      <c r="V3" s="160">
        <v>2037.0</v>
      </c>
      <c r="W3" s="160">
        <v>2038.0</v>
      </c>
      <c r="X3" s="160">
        <v>2039.0</v>
      </c>
      <c r="Y3" s="160">
        <v>2037.0</v>
      </c>
      <c r="Z3" s="160">
        <v>2038.0</v>
      </c>
      <c r="AA3" s="160">
        <v>2039.0</v>
      </c>
    </row>
    <row r="4" ht="15.75" customHeight="1">
      <c r="A4" s="1"/>
      <c r="B4" s="7"/>
      <c r="C4" s="1"/>
      <c r="D4" s="1"/>
      <c r="E4" s="1"/>
      <c r="F4" s="1"/>
      <c r="G4" s="1"/>
      <c r="H4" s="1"/>
      <c r="I4" s="1"/>
      <c r="J4" s="8"/>
      <c r="K4" s="1"/>
      <c r="L4" s="1"/>
      <c r="M4" s="1"/>
      <c r="N4" s="166" t="s">
        <v>102</v>
      </c>
      <c r="O4" s="166">
        <v>5750.0</v>
      </c>
      <c r="P4" s="166">
        <v>2657.0</v>
      </c>
      <c r="Q4" s="166">
        <v>440.0</v>
      </c>
      <c r="R4" s="166">
        <v>1052.0</v>
      </c>
      <c r="S4" s="166">
        <v>4832.0</v>
      </c>
      <c r="T4" s="166">
        <v>5258.0</v>
      </c>
      <c r="U4" s="166">
        <v>5640.0</v>
      </c>
      <c r="V4" s="166">
        <v>636.0</v>
      </c>
      <c r="W4" s="166">
        <v>654.0</v>
      </c>
      <c r="X4" s="166">
        <v>612.0</v>
      </c>
      <c r="Y4" s="166">
        <v>388.0</v>
      </c>
      <c r="Z4" s="166">
        <v>353.0</v>
      </c>
      <c r="AA4" s="166">
        <v>288.0</v>
      </c>
    </row>
    <row r="5" ht="15.75" customHeight="1">
      <c r="A5" s="1"/>
      <c r="B5" s="7"/>
      <c r="C5" s="34"/>
      <c r="D5" s="167" t="s">
        <v>86</v>
      </c>
      <c r="E5" s="29" t="s">
        <v>87</v>
      </c>
      <c r="F5" s="30"/>
      <c r="G5" s="30"/>
      <c r="H5" s="30"/>
      <c r="I5" s="152"/>
      <c r="J5" s="8"/>
      <c r="K5" s="1"/>
      <c r="L5" s="1"/>
      <c r="M5" s="1"/>
      <c r="N5" s="166" t="s">
        <v>103</v>
      </c>
      <c r="O5" s="166">
        <v>2416.0</v>
      </c>
      <c r="P5" s="166">
        <v>1300.0</v>
      </c>
      <c r="Q5" s="166">
        <v>339.0</v>
      </c>
      <c r="R5" s="166">
        <v>982.0</v>
      </c>
      <c r="S5" s="166">
        <v>3147.0</v>
      </c>
      <c r="T5" s="166">
        <v>3357.0</v>
      </c>
      <c r="U5" s="166">
        <v>3550.0</v>
      </c>
      <c r="V5" s="166">
        <v>426.0</v>
      </c>
      <c r="W5" s="166">
        <v>466.0</v>
      </c>
      <c r="X5" s="166">
        <v>480.0</v>
      </c>
      <c r="Y5" s="166">
        <v>207.0</v>
      </c>
      <c r="Z5" s="166">
        <v>222.0</v>
      </c>
      <c r="AA5" s="166">
        <v>218.0</v>
      </c>
    </row>
    <row r="6" ht="15.75" customHeight="1">
      <c r="A6" s="1"/>
      <c r="B6" s="7"/>
      <c r="C6" s="34" t="s">
        <v>104</v>
      </c>
      <c r="D6" s="168">
        <v>2024.0</v>
      </c>
      <c r="E6" s="37">
        <v>2030.0</v>
      </c>
      <c r="F6" s="37">
        <v>2031.0</v>
      </c>
      <c r="G6" s="37">
        <v>2032.0</v>
      </c>
      <c r="H6" s="37">
        <v>2033.0</v>
      </c>
      <c r="I6" s="37">
        <v>2034.0</v>
      </c>
      <c r="J6" s="8"/>
      <c r="K6" s="1"/>
      <c r="L6" s="1"/>
      <c r="M6" s="1"/>
      <c r="N6" s="166" t="s">
        <v>105</v>
      </c>
      <c r="O6" s="166">
        <v>120.0</v>
      </c>
      <c r="P6" s="166">
        <v>1050.0</v>
      </c>
      <c r="Q6" s="166">
        <v>52.0</v>
      </c>
      <c r="R6" s="166">
        <v>427.0</v>
      </c>
      <c r="S6" s="166">
        <v>1814.0</v>
      </c>
      <c r="T6" s="166">
        <v>1489.0</v>
      </c>
      <c r="U6" s="166">
        <v>1222.0</v>
      </c>
      <c r="V6" s="166">
        <v>202.0</v>
      </c>
      <c r="W6" s="166">
        <v>140.0</v>
      </c>
      <c r="X6" s="166">
        <v>82.0</v>
      </c>
      <c r="Y6" s="166">
        <v>31.0</v>
      </c>
      <c r="Z6" s="166">
        <v>26.0</v>
      </c>
      <c r="AA6" s="166">
        <v>-33.0</v>
      </c>
    </row>
    <row r="7" ht="15.75" customHeight="1">
      <c r="A7" s="1"/>
      <c r="B7" s="7"/>
      <c r="C7" s="1"/>
      <c r="D7" s="1"/>
      <c r="E7" s="1"/>
      <c r="F7" s="1"/>
      <c r="G7" s="1"/>
      <c r="H7" s="1"/>
      <c r="I7" s="1"/>
      <c r="J7" s="8"/>
      <c r="K7" s="1"/>
      <c r="L7" s="1"/>
      <c r="M7" s="1"/>
      <c r="N7" s="166" t="s">
        <v>106</v>
      </c>
      <c r="O7" s="166">
        <v>870.0</v>
      </c>
      <c r="P7" s="166">
        <v>590.0</v>
      </c>
      <c r="Q7" s="166">
        <v>48.0</v>
      </c>
      <c r="R7" s="166">
        <v>323.0</v>
      </c>
      <c r="S7" s="166">
        <v>1121.0</v>
      </c>
      <c r="T7" s="166">
        <v>1145.0</v>
      </c>
      <c r="U7" s="166">
        <v>1190.0</v>
      </c>
      <c r="V7" s="166">
        <v>195.0</v>
      </c>
      <c r="W7" s="166">
        <v>204.0</v>
      </c>
      <c r="X7" s="166">
        <v>216.0</v>
      </c>
      <c r="Y7" s="166">
        <v>68.0</v>
      </c>
      <c r="Z7" s="166">
        <v>76.0</v>
      </c>
      <c r="AA7" s="166">
        <v>82.0</v>
      </c>
    </row>
    <row r="8" ht="15.75" customHeight="1">
      <c r="A8" s="1"/>
      <c r="B8" s="7"/>
      <c r="C8" s="1" t="s">
        <v>107</v>
      </c>
      <c r="D8" s="1"/>
      <c r="E8" s="169">
        <f>'3. FCFE'!F13</f>
        <v>108.1584106</v>
      </c>
      <c r="F8" s="169">
        <f>'3. FCFE'!G13</f>
        <v>110.3222875</v>
      </c>
      <c r="G8" s="169">
        <f>'3. FCFE'!H13</f>
        <v>111.3165947</v>
      </c>
      <c r="H8" s="169">
        <f>'3. FCFE'!I13</f>
        <v>111.6595096</v>
      </c>
      <c r="I8" s="169">
        <f>'3. FCFE'!J13</f>
        <v>113.2059973</v>
      </c>
      <c r="J8" s="8"/>
      <c r="K8" s="1"/>
      <c r="L8" s="1"/>
      <c r="M8" s="1"/>
      <c r="O8" s="1"/>
      <c r="P8" s="1"/>
      <c r="X8" s="1"/>
      <c r="Y8" s="1"/>
      <c r="Z8" s="1"/>
      <c r="AA8" s="1"/>
    </row>
    <row r="9" ht="15.75" customHeight="1">
      <c r="A9" s="1"/>
      <c r="B9" s="7"/>
      <c r="C9" s="1"/>
      <c r="D9" s="1"/>
      <c r="E9" s="170"/>
      <c r="F9" s="170"/>
      <c r="G9" s="170"/>
      <c r="H9" s="170"/>
      <c r="I9" s="170"/>
      <c r="J9" s="8"/>
      <c r="K9" s="1"/>
      <c r="L9" s="1"/>
      <c r="M9" s="1"/>
      <c r="N9" s="1"/>
      <c r="O9" s="1"/>
      <c r="P9" s="1"/>
      <c r="Q9" s="127">
        <f>(R7-Q7)/(R7-Q7+O7)</f>
        <v>0.2401746725</v>
      </c>
      <c r="X9" s="1"/>
      <c r="Y9" s="1"/>
      <c r="Z9" s="1"/>
      <c r="AA9" s="1"/>
    </row>
    <row r="10" ht="15.75" customHeight="1">
      <c r="A10" s="1"/>
      <c r="B10" s="7"/>
      <c r="C10" s="1" t="s">
        <v>108</v>
      </c>
      <c r="D10" s="1"/>
      <c r="E10" s="169">
        <f>E8/(1+$D$16)^1</f>
        <v>101.3266721</v>
      </c>
      <c r="F10" s="169">
        <f>F8/(1+$D$16)^2</f>
        <v>96.82560596</v>
      </c>
      <c r="G10" s="169">
        <f>G8/(1+$D$16)^3</f>
        <v>91.52723871</v>
      </c>
      <c r="H10" s="169">
        <f>H8/(1+$D$16)^4</f>
        <v>86.01013844</v>
      </c>
      <c r="I10" s="169">
        <f>I8/(1+$D$16)^5</f>
        <v>81.69337687</v>
      </c>
      <c r="J10" s="8"/>
      <c r="K10" s="1"/>
      <c r="L10" s="1"/>
      <c r="M10" s="1"/>
      <c r="N10" s="1"/>
      <c r="O10" s="1"/>
      <c r="P10" s="1"/>
      <c r="X10" s="1"/>
      <c r="Y10" s="1"/>
      <c r="Z10" s="1"/>
      <c r="AA10" s="1"/>
    </row>
    <row r="11" ht="15.75" customHeight="1">
      <c r="A11" s="1"/>
      <c r="B11" s="7"/>
      <c r="C11" s="1"/>
      <c r="D11" s="1"/>
      <c r="E11" s="58"/>
      <c r="F11" s="58"/>
      <c r="G11" s="58"/>
      <c r="H11" s="58"/>
      <c r="I11" s="58"/>
      <c r="J11" s="8"/>
      <c r="K11" s="1"/>
      <c r="L11" s="1"/>
      <c r="X11" s="1"/>
      <c r="Y11" s="1"/>
      <c r="Z11" s="1"/>
      <c r="AA11" s="1"/>
    </row>
    <row r="12" ht="15.75" customHeight="1">
      <c r="A12" s="1"/>
      <c r="B12" s="7"/>
      <c r="C12" s="1" t="s">
        <v>109</v>
      </c>
      <c r="D12" s="1"/>
      <c r="E12" s="116"/>
      <c r="F12" s="116"/>
      <c r="G12" s="116"/>
      <c r="H12" s="171" t="s">
        <v>110</v>
      </c>
      <c r="I12" s="172">
        <f>I8*(1+D18)/(D16-D18)</f>
        <v>2735.224053</v>
      </c>
      <c r="J12" s="8"/>
      <c r="K12" s="1"/>
      <c r="L12" s="1"/>
      <c r="X12" s="1"/>
      <c r="Y12" s="1"/>
      <c r="Z12" s="1"/>
      <c r="AA12" s="1"/>
    </row>
    <row r="13" ht="15.75" customHeight="1">
      <c r="A13" s="1"/>
      <c r="B13" s="7"/>
      <c r="C13" s="1"/>
      <c r="D13" s="1"/>
      <c r="E13" s="116"/>
      <c r="F13" s="116"/>
      <c r="G13" s="116"/>
      <c r="H13" s="173"/>
      <c r="I13" s="174"/>
      <c r="J13" s="8"/>
      <c r="K13" s="1"/>
      <c r="L13" s="1"/>
      <c r="Q13" s="120" t="s">
        <v>111</v>
      </c>
      <c r="X13" s="1"/>
      <c r="Y13" s="1"/>
      <c r="Z13" s="1"/>
      <c r="AA13" s="1"/>
    </row>
    <row r="14" ht="15.75" customHeight="1">
      <c r="A14" s="1"/>
      <c r="B14" s="7"/>
      <c r="C14" s="1" t="s">
        <v>112</v>
      </c>
      <c r="D14" s="1"/>
      <c r="E14" s="116"/>
      <c r="F14" s="116"/>
      <c r="G14" s="116"/>
      <c r="H14" s="171" t="s">
        <v>110</v>
      </c>
      <c r="I14" s="172">
        <f>I12/(1+D16)^5</f>
        <v>1973.832613</v>
      </c>
      <c r="J14" s="8"/>
      <c r="K14" s="1"/>
      <c r="L14" s="1"/>
      <c r="X14" s="1"/>
      <c r="Y14" s="1"/>
      <c r="Z14" s="1"/>
      <c r="AA14" s="1"/>
    </row>
    <row r="15" ht="15.75" customHeight="1">
      <c r="A15" s="1"/>
      <c r="B15" s="7"/>
      <c r="C15" s="1"/>
      <c r="D15" s="1"/>
      <c r="F15" s="58"/>
      <c r="G15" s="58"/>
      <c r="H15" s="58"/>
      <c r="I15" s="58"/>
      <c r="J15" s="8"/>
      <c r="K15" s="1"/>
      <c r="L15" s="1"/>
      <c r="N15" s="1"/>
      <c r="O15" s="175" t="s">
        <v>113</v>
      </c>
      <c r="P15" s="166" t="s">
        <v>114</v>
      </c>
      <c r="Q15" s="176"/>
      <c r="R15" s="166" t="s">
        <v>115</v>
      </c>
      <c r="S15" s="176"/>
      <c r="T15" s="166" t="s">
        <v>116</v>
      </c>
      <c r="X15" s="1"/>
      <c r="Y15" s="1"/>
      <c r="Z15" s="1"/>
      <c r="AA15" s="1"/>
    </row>
    <row r="16" ht="15.75" customHeight="1">
      <c r="A16" s="1"/>
      <c r="B16" s="7"/>
      <c r="C16" s="9" t="s">
        <v>117</v>
      </c>
      <c r="D16" s="177">
        <f>P26</f>
        <v>0.06742290393</v>
      </c>
      <c r="F16" s="9"/>
      <c r="H16" s="15"/>
      <c r="I16" s="1"/>
      <c r="J16" s="8"/>
      <c r="K16" s="1"/>
      <c r="L16" s="1"/>
      <c r="N16" s="166" t="s">
        <v>102</v>
      </c>
      <c r="O16" s="176">
        <f t="shared" ref="O16:O19" si="1">R4-Q4</f>
        <v>612</v>
      </c>
      <c r="P16" s="178">
        <f t="shared" ref="P16:P19" si="2">O16/O4</f>
        <v>0.1064347826</v>
      </c>
      <c r="Q16" s="164"/>
      <c r="R16" s="179">
        <f t="shared" ref="R16:R19" si="3">(AVERAGE(V4:X4))/U4</f>
        <v>0.1124113475</v>
      </c>
      <c r="S16" s="164"/>
      <c r="T16" s="180">
        <f t="shared" ref="T16:T19" si="4">AVERAGE(Y4:AA4)/U4</f>
        <v>0.06081560284</v>
      </c>
      <c r="X16" s="1"/>
      <c r="Y16" s="1"/>
      <c r="Z16" s="1"/>
      <c r="AA16" s="1"/>
    </row>
    <row r="17" ht="15.75" customHeight="1">
      <c r="A17" s="1"/>
      <c r="B17" s="7"/>
      <c r="C17" s="1"/>
      <c r="D17" s="2"/>
      <c r="F17" s="1"/>
      <c r="H17" s="1"/>
      <c r="I17" s="1"/>
      <c r="J17" s="8"/>
      <c r="K17" s="1"/>
      <c r="L17" s="1"/>
      <c r="N17" s="166" t="s">
        <v>103</v>
      </c>
      <c r="O17" s="176">
        <f t="shared" si="1"/>
        <v>643</v>
      </c>
      <c r="P17" s="178">
        <f t="shared" si="2"/>
        <v>0.2661423841</v>
      </c>
      <c r="Q17" s="164"/>
      <c r="R17" s="179">
        <f t="shared" si="3"/>
        <v>0.1288262911</v>
      </c>
      <c r="S17" s="164"/>
      <c r="T17" s="180">
        <f t="shared" si="4"/>
        <v>0.06075117371</v>
      </c>
      <c r="X17" s="1"/>
      <c r="Y17" s="1"/>
      <c r="Z17" s="1"/>
      <c r="AA17" s="1"/>
    </row>
    <row r="18" ht="15.75" customHeight="1">
      <c r="A18" s="1"/>
      <c r="B18" s="7"/>
      <c r="C18" s="1" t="s">
        <v>118</v>
      </c>
      <c r="D18" s="109">
        <v>0.025</v>
      </c>
      <c r="E18" s="1"/>
      <c r="F18" s="9" t="s">
        <v>119</v>
      </c>
      <c r="G18" s="1"/>
      <c r="H18" s="1"/>
      <c r="I18" s="1"/>
      <c r="J18" s="8"/>
      <c r="K18" s="1"/>
      <c r="L18" s="1"/>
      <c r="N18" s="166" t="s">
        <v>105</v>
      </c>
      <c r="O18" s="176">
        <f t="shared" si="1"/>
        <v>375</v>
      </c>
      <c r="P18" s="178">
        <f t="shared" si="2"/>
        <v>3.125</v>
      </c>
      <c r="Q18" s="164"/>
      <c r="R18" s="179">
        <f t="shared" si="3"/>
        <v>0.1156573923</v>
      </c>
      <c r="S18" s="164"/>
      <c r="T18" s="180">
        <f t="shared" si="4"/>
        <v>0.006546644845</v>
      </c>
      <c r="U18" s="120" t="s">
        <v>120</v>
      </c>
      <c r="V18" s="120" t="s">
        <v>121</v>
      </c>
      <c r="X18" s="1"/>
      <c r="Y18" s="1"/>
      <c r="Z18" s="1"/>
      <c r="AA18" s="1"/>
    </row>
    <row r="19" ht="15.75" customHeight="1">
      <c r="A19" s="1"/>
      <c r="B19" s="7"/>
      <c r="C19" s="1"/>
      <c r="D19" s="1"/>
      <c r="E19" s="1"/>
      <c r="F19" s="1"/>
      <c r="G19" s="1"/>
      <c r="H19" s="1"/>
      <c r="I19" s="1"/>
      <c r="J19" s="8"/>
      <c r="K19" s="1"/>
      <c r="L19" s="1"/>
      <c r="N19" s="166" t="s">
        <v>106</v>
      </c>
      <c r="O19" s="176">
        <f t="shared" si="1"/>
        <v>275</v>
      </c>
      <c r="P19" s="178">
        <f t="shared" si="2"/>
        <v>0.316091954</v>
      </c>
      <c r="Q19" s="164"/>
      <c r="R19" s="179">
        <f t="shared" si="3"/>
        <v>0.1722689076</v>
      </c>
      <c r="S19" s="164"/>
      <c r="T19" s="180">
        <f t="shared" si="4"/>
        <v>0.06330532213</v>
      </c>
      <c r="U19" s="1"/>
      <c r="V19" s="1"/>
      <c r="W19" s="1"/>
      <c r="X19" s="1"/>
      <c r="Y19" s="1"/>
      <c r="Z19" s="1"/>
      <c r="AA19" s="1"/>
    </row>
    <row r="20" ht="15.75" customHeight="1">
      <c r="A20" s="1"/>
      <c r="B20" s="7"/>
      <c r="C20" s="42" t="s">
        <v>122</v>
      </c>
      <c r="D20" s="172">
        <f>SUM(E10:I10,I14)</f>
        <v>2431.215645</v>
      </c>
      <c r="E20" s="1"/>
      <c r="F20" s="1"/>
      <c r="G20" s="1"/>
      <c r="H20" s="1"/>
      <c r="I20" s="1"/>
      <c r="J20" s="8"/>
      <c r="K20" s="1"/>
      <c r="L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7"/>
      <c r="C21" s="42" t="s">
        <v>123</v>
      </c>
      <c r="D21" s="181">
        <v>0.0</v>
      </c>
      <c r="E21" s="1"/>
      <c r="F21" s="1"/>
      <c r="G21" s="1"/>
      <c r="H21" s="1"/>
      <c r="I21" s="1"/>
      <c r="J21" s="8"/>
      <c r="K21" s="1"/>
      <c r="L21" s="1"/>
      <c r="N21" s="1"/>
      <c r="O21" s="1"/>
      <c r="P21" s="9" t="s">
        <v>124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7"/>
      <c r="C22" s="42" t="s">
        <v>125</v>
      </c>
      <c r="D22" s="181">
        <v>0.0</v>
      </c>
      <c r="E22" s="1"/>
      <c r="F22" s="1"/>
      <c r="G22" s="9"/>
      <c r="H22" s="9"/>
      <c r="I22" s="1"/>
      <c r="J22" s="8"/>
      <c r="K22" s="1"/>
      <c r="L22" s="1"/>
      <c r="N22" s="9" t="s">
        <v>126</v>
      </c>
      <c r="O22" s="1"/>
      <c r="P22" s="116">
        <f>P19</f>
        <v>0.316091954</v>
      </c>
      <c r="Q22" s="9" t="s">
        <v>127</v>
      </c>
      <c r="R22" s="1"/>
      <c r="S22" s="1">
        <f>(P16+P17+P19)/3</f>
        <v>0.2295563736</v>
      </c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7"/>
      <c r="C23" s="92" t="s">
        <v>128</v>
      </c>
      <c r="D23" s="182">
        <f>D20+D21-D22</f>
        <v>2431.215645</v>
      </c>
      <c r="E23" s="1"/>
      <c r="G23" s="9"/>
      <c r="H23" s="1"/>
      <c r="J23" s="8"/>
      <c r="K23" s="1"/>
      <c r="L23" s="1"/>
      <c r="N23" s="9" t="s">
        <v>129</v>
      </c>
      <c r="O23" s="1"/>
      <c r="P23" s="9">
        <v>1.02</v>
      </c>
      <c r="Q23" s="1"/>
      <c r="R23" s="1"/>
      <c r="S23" s="9">
        <v>1.02</v>
      </c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4"/>
      <c r="C24" s="183"/>
      <c r="D24" s="184"/>
      <c r="E24" s="184"/>
      <c r="F24" s="184"/>
      <c r="G24" s="184"/>
      <c r="H24" s="25"/>
      <c r="I24" s="25"/>
      <c r="J24" s="185"/>
      <c r="K24" s="186"/>
      <c r="L24" s="1"/>
      <c r="N24" s="9" t="s">
        <v>130</v>
      </c>
      <c r="O24" s="1"/>
      <c r="P24" s="116">
        <f>P23*(1+(1-'1. P&amp;L'!D46)*P22)</f>
        <v>1.294051724</v>
      </c>
      <c r="Q24" s="1"/>
      <c r="R24" s="1"/>
      <c r="S24" s="1">
        <f>S23*(1+(1-'1. P&amp;L'!D46)*S22)</f>
        <v>1.219025376</v>
      </c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9" t="s">
        <v>131</v>
      </c>
      <c r="O25" s="1"/>
      <c r="P25" s="149">
        <f>2.1%+P24*(6.4%-2.1%)</f>
        <v>0.07664422414</v>
      </c>
      <c r="Q25" s="9" t="s">
        <v>132</v>
      </c>
      <c r="R25" s="11">
        <v>0.045</v>
      </c>
      <c r="S25" s="149">
        <f>2.1%+S24*(6.4%-2.1%)</f>
        <v>0.07341809116</v>
      </c>
      <c r="T25" s="1"/>
      <c r="U25" s="1"/>
      <c r="V25" s="1"/>
      <c r="W25" s="1"/>
      <c r="X25" s="1"/>
      <c r="Y25" s="1"/>
      <c r="Z25" s="1"/>
      <c r="AA25" s="1"/>
    </row>
    <row r="26" ht="15.75" customHeight="1">
      <c r="L26" s="1"/>
      <c r="M26" s="1"/>
      <c r="N26" s="9" t="s">
        <v>133</v>
      </c>
      <c r="O26" s="1"/>
      <c r="P26" s="11">
        <f>R25*(1-'1. P&amp;L'!D46)*(R7-Q7)/(R7-Q7+O7)+P25*(O7/(R7-Q7+O7))</f>
        <v>0.06742290393</v>
      </c>
      <c r="Q26" s="1"/>
      <c r="R26" s="1"/>
      <c r="S26" s="149">
        <f>R25*(1-'1. P&amp;L'!D46)+S25*(O7/(R7-Q7+O7))</f>
        <v>0.09403492516</v>
      </c>
      <c r="T26" s="1"/>
      <c r="U26" s="1"/>
      <c r="V26" s="1"/>
      <c r="W26" s="1"/>
      <c r="X26" s="1"/>
      <c r="Y26" s="1"/>
      <c r="Z26" s="1"/>
      <c r="AA26" s="1"/>
    </row>
    <row r="27" ht="15.75" customHeight="1"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</sheetData>
  <mergeCells count="16">
    <mergeCell ref="P17:Q17"/>
    <mergeCell ref="P18:Q18"/>
    <mergeCell ref="O2:O3"/>
    <mergeCell ref="P2:P3"/>
    <mergeCell ref="Q2:Q3"/>
    <mergeCell ref="S2:U2"/>
    <mergeCell ref="V2:X2"/>
    <mergeCell ref="Y2:AA2"/>
    <mergeCell ref="E5:I5"/>
    <mergeCell ref="R2:R3"/>
    <mergeCell ref="R16:S16"/>
    <mergeCell ref="R17:S17"/>
    <mergeCell ref="R18:S18"/>
    <mergeCell ref="R19:S19"/>
    <mergeCell ref="P16:Q16"/>
    <mergeCell ref="P19:Q19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4" max="4" width="15.86"/>
    <col customWidth="1" min="5" max="5" width="15.29"/>
  </cols>
  <sheetData>
    <row r="1">
      <c r="A1" s="187"/>
      <c r="B1" s="188" t="s">
        <v>134</v>
      </c>
    </row>
    <row r="2">
      <c r="A2" s="187" t="s">
        <v>135</v>
      </c>
      <c r="B2" s="189">
        <v>0.021</v>
      </c>
      <c r="C2" s="189"/>
      <c r="D2" s="189"/>
      <c r="E2" s="189"/>
      <c r="F2" s="189"/>
    </row>
    <row r="3">
      <c r="A3" s="187" t="s">
        <v>136</v>
      </c>
      <c r="B3" s="188">
        <v>1.02</v>
      </c>
      <c r="C3" s="188"/>
      <c r="D3" s="188"/>
      <c r="E3" s="188"/>
      <c r="F3" s="188"/>
    </row>
    <row r="4">
      <c r="A4" s="187" t="s">
        <v>137</v>
      </c>
      <c r="B4" s="190">
        <v>0.15</v>
      </c>
      <c r="C4" s="190"/>
      <c r="D4" s="190"/>
      <c r="E4" s="190"/>
      <c r="F4" s="190"/>
    </row>
    <row r="5">
      <c r="A5" s="187" t="s">
        <v>138</v>
      </c>
      <c r="B5" s="189">
        <v>0.064</v>
      </c>
      <c r="C5" s="189"/>
      <c r="D5" s="189"/>
      <c r="E5" s="189"/>
      <c r="F5" s="189"/>
    </row>
    <row r="6">
      <c r="A6" s="187" t="s">
        <v>139</v>
      </c>
      <c r="B6" s="189">
        <v>0.045</v>
      </c>
      <c r="C6" s="189"/>
      <c r="D6" s="189"/>
      <c r="E6" s="189"/>
      <c r="F6" s="189"/>
    </row>
    <row r="7">
      <c r="A7" s="187" t="s">
        <v>140</v>
      </c>
      <c r="B7" s="191">
        <v>900.0</v>
      </c>
      <c r="C7" s="191"/>
      <c r="D7" s="191"/>
      <c r="E7" s="191"/>
      <c r="F7" s="191"/>
    </row>
    <row r="8">
      <c r="A8" s="187" t="s">
        <v>141</v>
      </c>
      <c r="B8" s="192">
        <v>325.0</v>
      </c>
      <c r="C8" s="192"/>
      <c r="D8" s="192"/>
      <c r="E8" s="192"/>
      <c r="F8" s="192"/>
    </row>
    <row r="9">
      <c r="A9" s="187" t="s">
        <v>142</v>
      </c>
      <c r="B9" s="190">
        <v>0.04</v>
      </c>
      <c r="C9" s="190"/>
      <c r="D9" s="190"/>
      <c r="E9" s="190"/>
      <c r="F9" s="190"/>
    </row>
    <row r="10">
      <c r="A10" s="187"/>
      <c r="B10" s="187"/>
      <c r="C10" s="187"/>
      <c r="D10" s="187"/>
      <c r="E10" s="187"/>
      <c r="F10" s="187"/>
    </row>
    <row r="11">
      <c r="A11" s="187" t="s">
        <v>143</v>
      </c>
      <c r="B11" s="193">
        <f>B3*(1 + (1-B4)*(B7/B8))</f>
        <v>3.420923077</v>
      </c>
      <c r="C11" s="193"/>
      <c r="D11" s="193"/>
      <c r="E11" s="193"/>
      <c r="F11" s="193"/>
    </row>
    <row r="12">
      <c r="A12" s="187" t="s">
        <v>144</v>
      </c>
      <c r="B12" s="194">
        <f>B2 + B11*(B5 - B2)</f>
        <v>0.1680996923</v>
      </c>
      <c r="C12" s="194"/>
      <c r="D12" s="194"/>
      <c r="E12" s="194"/>
      <c r="F12" s="194"/>
    </row>
    <row r="13">
      <c r="A13" s="187" t="s">
        <v>145</v>
      </c>
      <c r="B13" s="188">
        <v>0.0</v>
      </c>
      <c r="C13" s="188"/>
      <c r="D13" s="188"/>
      <c r="E13" s="188"/>
      <c r="F13" s="188"/>
    </row>
    <row r="14">
      <c r="A14" s="187" t="s">
        <v>146</v>
      </c>
      <c r="B14" s="193">
        <f>B8 / (B7 + B8)</f>
        <v>0.2653061224</v>
      </c>
      <c r="C14" s="193"/>
      <c r="D14" s="193"/>
      <c r="E14" s="193"/>
      <c r="F14" s="193"/>
    </row>
    <row r="15">
      <c r="A15" s="187" t="s">
        <v>147</v>
      </c>
      <c r="B15" s="194">
        <f>(B6 * (1 - B4) * B13) + (B12 * B14)</f>
        <v>0.04459787755</v>
      </c>
      <c r="C15" s="194"/>
      <c r="D15" s="194"/>
      <c r="E15" s="194"/>
      <c r="F15" s="19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7" t="s">
        <v>148</v>
      </c>
    </row>
    <row r="2">
      <c r="A2" s="187" t="s">
        <v>149</v>
      </c>
    </row>
    <row r="3">
      <c r="A3" s="187" t="s">
        <v>150</v>
      </c>
    </row>
    <row r="4">
      <c r="A4" s="187" t="s">
        <v>82</v>
      </c>
    </row>
    <row r="5">
      <c r="A5" s="187" t="s">
        <v>151</v>
      </c>
    </row>
    <row r="6">
      <c r="A6" s="187" t="s">
        <v>152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2019-03-17T07:27:54Z</dcterms:created>
  <dc:creator>Windows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0x010100DB3155073D5EFA4EAF949B06A2D25F86</vt:lpwstr>
  </property>
  <property fmtid="{D5CDD505-2E9C-101B-9397-08002B2CF9AE}" pid="3" name="MediaServiceImageTags">
    <vt:lpwstr/>
  </property>
</Properties>
</file>