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tar Hotel" sheetId="1" r:id="rId4"/>
    <sheet state="visible" name="Multiple" sheetId="2" r:id="rId5"/>
    <sheet state="visible" name="WACC" sheetId="3" r:id="rId6"/>
    <sheet state="visible" name="UFCF" sheetId="4" r:id="rId7"/>
    <sheet state="visible" name="Derivatives" sheetId="5" r:id="rId8"/>
    <sheet state="visible" name="Synergie Valuation " sheetId="6" r:id="rId9"/>
  </sheets>
  <definedNames/>
  <calcPr/>
  <extLst>
    <ext uri="GoogleSheetsCustomDataVersion2">
      <go:sheetsCustomData xmlns:go="http://customooxmlschemas.google.com/" r:id="rId10" roundtripDataChecksum="hy/3w8WS7ZzVMotB3OIQkZ7bPwCEZqNtLqi/r8qi+fU="/>
    </ext>
  </extLst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C86">
      <text>
        <t xml:space="preserve">======
ID#AAABaETYfd0
Gerhard Woertche    (2024-12-11 09:43:42)
The terminal value growth rate is typically set in line with the expected long-term growth rate of the economy or the industry. Commonly used rates range from 2% to 4%. Use your judgement.</t>
      </text>
    </comment>
    <comment authorId="0" ref="C48">
      <text>
        <t xml:space="preserve">======
ID#AAABaETYfd4
Gerhard Woertche    (2024-12-11 09:43:42)
Once the DCM deadline has passed, you will see debt financing packages available. Select the debt amount and interest rate of the financing package you're selecting.</t>
      </text>
    </comment>
    <comment authorId="0" ref="C63">
      <text>
        <t xml:space="preserve">======
ID#AAABaETYfdw
Gerhard Woertche    (2024-12-11 09:43:42)
Growth Capex should be based on the expansion of the hotel quantity. Derive the cost for building one hotel based on the historical growth capex numbers.</t>
      </text>
    </comment>
    <comment authorId="0" ref="C23">
      <text>
        <t xml:space="preserve">======
ID#AAABaETYfds
Gerhard Woertche    (2024-12-11 09:43:42)
Use historical data, the DD report and your own judgement to make revenue forecasts.</t>
      </text>
    </comment>
    <comment authorId="0" ref="C83">
      <text>
        <t xml:space="preserve">======
ID#AAABaETYfdo
Gerhard Woertche    (2024-12-11 09:43:42)
Verify that the signs are correct to ensure that cash expenses and other cash outflows are subtracted from EBITDA.</t>
      </text>
    </comment>
    <comment authorId="0" ref="C85">
      <text>
        <t xml:space="preserve">======
ID#AAABaETYfdk
Gerhard Woertche    (2024-12-11 09:43:42)
For most PE firms, the minimum required rate of return is currently around 15%, which is the IRR target. Ideally, your submitted EV bid should not imply an IRR of less than 15%. Therefore, your discount rate should be set at 15%.</t>
      </text>
    </comment>
    <comment authorId="0" ref="C64">
      <text>
        <t xml:space="preserve">======
ID#AAABaETYfdg
Gerhard Woertche    (2024-12-11 09:43:42)
Maintenance Capex should be based on the quantity of hotels over the last few years.</t>
      </text>
    </comment>
    <comment authorId="0" ref="C41">
      <text>
        <t xml:space="preserve">======
ID#AAABaETYfdc
Gerhard Woertche    (2024-12-11 09:43:42)
Assume 24% as the Italian corporate tax rate.</t>
      </text>
    </comment>
    <comment authorId="0" ref="C67">
      <text>
        <t xml:space="preserve">======
ID#AAABaETYfdY
Gerhard Woertche    (2024-12-11 09:43:42)
Estimate the factors that you believe could be driving the changes in working capital, particularly in relation to revenue.</t>
      </text>
    </comment>
    <comment authorId="0" ref="C52">
      <text>
        <t xml:space="preserve">======
ID#AAABaETYfdU
Gerhard Woertche    (2024-12-11 09:43:42)
Assume the reference rate is Euribor. Google the current 3-month Euribor rate and enter it here.</t>
      </text>
    </comment>
    <comment authorId="0" ref="C94">
      <text>
        <t xml:space="preserve">======
ID#AAABaETYfdQ
Aatmay    (2024-12-11 09:43:42)
Insert here the TLB (Term Loan B) loan amount that you select.</t>
      </text>
    </comment>
    <comment authorId="0" ref="C37">
      <text>
        <t xml:space="preserve">======
ID#AAABaELtm3Y
Gerhard Woertche    (2024-12-11 09:43:42)
You may want to use some sort of past Capex figures to help you estimate D&amp;A.</t>
      </text>
    </comment>
    <comment authorId="0" ref="C95">
      <text>
        <t xml:space="preserve">======
ID#AAABaELtm3U
Aatmay    (2024-12-11 09:43:42)
Post transaction, Star Hotel will have an excess cash balance of €20 million.</t>
      </text>
    </comment>
    <comment authorId="0" ref="C32">
      <text>
        <t xml:space="preserve">======
ID#AAABaELtm3Q
Gerhard Woertche    (2024-12-11 09:43:42)
Some expense items may move in line with revenue, while others may have different patterns. You should use your judgment and historical data to estimate future cost items.</t>
      </text>
    </comment>
  </commentList>
  <extLst>
    <ext uri="GoogleSheetsCustomDataVersion2">
      <go:sheetsCustomData xmlns:go="http://customooxmlschemas.google.com/" r:id="rId1" roundtripDataSignature="AMtx7mjTdJK/1g1UfFb0xraVwOL3diswEw=="/>
    </ext>
  </extLst>
</comments>
</file>

<file path=xl/sharedStrings.xml><?xml version="1.0" encoding="utf-8"?>
<sst xmlns="http://schemas.openxmlformats.org/spreadsheetml/2006/main" count="190" uniqueCount="146">
  <si>
    <t>@</t>
  </si>
  <si>
    <t>Team Number:</t>
  </si>
  <si>
    <t>1a. Profit &amp; Loss</t>
  </si>
  <si>
    <t xml:space="preserve">Historical </t>
  </si>
  <si>
    <t>Historical</t>
  </si>
  <si>
    <t>Forecast</t>
  </si>
  <si>
    <t>Units:</t>
  </si>
  <si>
    <t>Leased &amp; Operated:</t>
  </si>
  <si>
    <t>Hotels at Year End</t>
  </si>
  <si>
    <t>#</t>
  </si>
  <si>
    <t>Rooms per Hotel</t>
  </si>
  <si>
    <t>Average Occupancy Rate</t>
  </si>
  <si>
    <t>%</t>
  </si>
  <si>
    <t>ADR (Average Daily Rate)</t>
  </si>
  <si>
    <t>€</t>
  </si>
  <si>
    <t>RevPAR (Revenue per Available Room)</t>
  </si>
  <si>
    <t xml:space="preserve">We decided to put a 1% conservation rate on the management numbers on the RevPAR </t>
  </si>
  <si>
    <t>Revenue</t>
  </si>
  <si>
    <t>€m</t>
  </si>
  <si>
    <t>% growth</t>
  </si>
  <si>
    <t>Hotel Operating Costs (COGS)</t>
  </si>
  <si>
    <t>% of revenue</t>
  </si>
  <si>
    <t>Gross profit</t>
  </si>
  <si>
    <t>SG&amp;A</t>
  </si>
  <si>
    <t>EBITDA</t>
  </si>
  <si>
    <t>% margin</t>
  </si>
  <si>
    <t xml:space="preserve">Adjusted EBITDA </t>
  </si>
  <si>
    <t>Interest</t>
  </si>
  <si>
    <t>Depreciation &amp; Amortization</t>
  </si>
  <si>
    <t>Earnings Before Tax (EBT)</t>
  </si>
  <si>
    <t>Tax   (Enter Italian Corporate Tax Rate)</t>
  </si>
  <si>
    <t>Net Income</t>
  </si>
  <si>
    <t>1b. DCM Table:</t>
  </si>
  <si>
    <t>Debt (Term Loan B) Amount</t>
  </si>
  <si>
    <t>TLB Interest Premium</t>
  </si>
  <si>
    <t>EURIBOR</t>
  </si>
  <si>
    <t xml:space="preserve">Actual offer EV/EBITDA </t>
  </si>
  <si>
    <t>1c. Working Capital, Capex, Free Cash Flow &amp; DCF Valuation:</t>
  </si>
  <si>
    <t>Growth Phase</t>
  </si>
  <si>
    <t>Capex:</t>
  </si>
  <si>
    <t xml:space="preserve">Growth </t>
  </si>
  <si>
    <t>(28.3)</t>
  </si>
  <si>
    <t>(42.5)</t>
  </si>
  <si>
    <t>Maintenance</t>
  </si>
  <si>
    <t>(44.5)</t>
  </si>
  <si>
    <t>(46.4)</t>
  </si>
  <si>
    <t>(48.4)</t>
  </si>
  <si>
    <t>(50.3)</t>
  </si>
  <si>
    <t>Total Capex</t>
  </si>
  <si>
    <t>Change in Working Capital</t>
  </si>
  <si>
    <t>(4.8)</t>
  </si>
  <si>
    <t>(6.0)</t>
  </si>
  <si>
    <t>(6.5)</t>
  </si>
  <si>
    <t>(7.0)</t>
  </si>
  <si>
    <t>(7.5)</t>
  </si>
  <si>
    <t>-13.6</t>
  </si>
  <si>
    <t>-9.9</t>
  </si>
  <si>
    <t>-10.1</t>
  </si>
  <si>
    <t>-10.4</t>
  </si>
  <si>
    <t>-10.6</t>
  </si>
  <si>
    <t>-10.8</t>
  </si>
  <si>
    <t>-10.9</t>
  </si>
  <si>
    <t>-10.10</t>
  </si>
  <si>
    <t>-10.11</t>
  </si>
  <si>
    <t>-10.12</t>
  </si>
  <si>
    <t>-10.13</t>
  </si>
  <si>
    <t>1d. Free Cash Flow &amp; DCF Valuation:</t>
  </si>
  <si>
    <t>Tax</t>
  </si>
  <si>
    <t>Capex</t>
  </si>
  <si>
    <t>Free Cash Flow to Equity (FCFE)</t>
  </si>
  <si>
    <t>Discount Rate (IRR)</t>
  </si>
  <si>
    <t>Terminal Value:</t>
  </si>
  <si>
    <t>Terminal Growth Rate</t>
  </si>
  <si>
    <t>Tax Rate</t>
  </si>
  <si>
    <t>PV of Terminal Value:</t>
  </si>
  <si>
    <t>Discount Factor</t>
  </si>
  <si>
    <t>Year</t>
  </si>
  <si>
    <t>PV of FCFE</t>
  </si>
  <si>
    <t>Equity Value</t>
  </si>
  <si>
    <t>(+) Debt</t>
  </si>
  <si>
    <t>(-) Cash Balance</t>
  </si>
  <si>
    <t>Enterprise Value</t>
  </si>
  <si>
    <t>EV/Adj Ebitda offer</t>
  </si>
  <si>
    <t>EV/Ebita</t>
  </si>
  <si>
    <t>Multiple</t>
  </si>
  <si>
    <t>Superior Hotel</t>
  </si>
  <si>
    <t>Great Lodge</t>
  </si>
  <si>
    <t>Sleep</t>
  </si>
  <si>
    <t>Jovi Doors</t>
  </si>
  <si>
    <t>Debt</t>
  </si>
  <si>
    <t>Equity</t>
  </si>
  <si>
    <t>Cash</t>
  </si>
  <si>
    <t>EV</t>
  </si>
  <si>
    <t>EV/EBITDA</t>
  </si>
  <si>
    <t>Sales</t>
  </si>
  <si>
    <t>EV/ Sales</t>
  </si>
  <si>
    <t>EBITDA / Sales</t>
  </si>
  <si>
    <t>our</t>
  </si>
  <si>
    <t>Star Hotel</t>
  </si>
  <si>
    <t>Risk Free interest rate</t>
  </si>
  <si>
    <t xml:space="preserve">beta </t>
  </si>
  <si>
    <t xml:space="preserve">Tax rate </t>
  </si>
  <si>
    <t xml:space="preserve">Market rate </t>
  </si>
  <si>
    <t xml:space="preserve">cost of debt </t>
  </si>
  <si>
    <t xml:space="preserve">Debt </t>
  </si>
  <si>
    <t xml:space="preserve">Equity </t>
  </si>
  <si>
    <t>19830</t>
  </si>
  <si>
    <t xml:space="preserve">Euribor </t>
  </si>
  <si>
    <t xml:space="preserve">Leveraged beta </t>
  </si>
  <si>
    <t xml:space="preserve">Calculated cost of equity </t>
  </si>
  <si>
    <t>Debt to E</t>
  </si>
  <si>
    <t xml:space="preserve">Equity to value </t>
  </si>
  <si>
    <t>Wacc</t>
  </si>
  <si>
    <t xml:space="preserve">Average IndustryD/E </t>
  </si>
  <si>
    <t>Average Industry wacc</t>
  </si>
  <si>
    <t>WE SELECT D/E of Superior Hotel as our Ebita/Sales which is  24,6% is nearest to Ebita/Sales of Superior Hotel hence we select there D/E</t>
  </si>
  <si>
    <t>EBIT</t>
  </si>
  <si>
    <t>Taxes</t>
  </si>
  <si>
    <t>D&amp;A</t>
  </si>
  <si>
    <t>Delta  WC</t>
  </si>
  <si>
    <t>UFCF</t>
  </si>
  <si>
    <t>Exchange rate Adjusted</t>
  </si>
  <si>
    <t>Debt Short (with hedge of 80%)</t>
  </si>
  <si>
    <t>Debt Long (with hedge of 80%)</t>
  </si>
  <si>
    <t>Cash flow in USD</t>
  </si>
  <si>
    <t xml:space="preserve">Current Exchange rate </t>
  </si>
  <si>
    <t>Exchange-rate in 5 years</t>
  </si>
  <si>
    <t>Fee For Swap</t>
  </si>
  <si>
    <t>Fee sup</t>
  </si>
  <si>
    <t xml:space="preserve">Acquisition Valuation </t>
  </si>
  <si>
    <t>Combined Ebitda for 2034</t>
  </si>
  <si>
    <t>Estrella Hotel</t>
  </si>
  <si>
    <t>Star Hotel Ebitda</t>
  </si>
  <si>
    <t>Market Cap</t>
  </si>
  <si>
    <t>Estrella Ebitda</t>
  </si>
  <si>
    <t>Premium</t>
  </si>
  <si>
    <t>Total</t>
  </si>
  <si>
    <t xml:space="preserve">Total </t>
  </si>
  <si>
    <t xml:space="preserve">Synergie Valuation </t>
  </si>
  <si>
    <t>Revenue Synergy</t>
  </si>
  <si>
    <t>Assumption</t>
  </si>
  <si>
    <t xml:space="preserve">5% Reduction in Cost </t>
  </si>
  <si>
    <t xml:space="preserve">Cost Synergy </t>
  </si>
  <si>
    <t xml:space="preserve">Star Hotel Cost saving </t>
  </si>
  <si>
    <t xml:space="preserve">Total Cost Synergy </t>
  </si>
  <si>
    <t xml:space="preserve">Total Synergy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</si>
</sst>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0">
    <numFmt numFmtId="164" formatCode="_-* #,##0_-;\-* #,##0_-;_-* &quot;-&quot;??_-;_-@"/>
    <numFmt numFmtId="165" formatCode="0.0"/>
    <numFmt numFmtId="166" formatCode="_-* #,##0.00_-;\-* #,##0.00_-;_-* &quot;-&quot;??.00_-;_-@"/>
    <numFmt numFmtId="167" formatCode="0.0%"/>
    <numFmt numFmtId="168" formatCode="_-* #,##0.0_-;\-* #,##0.0_-;_-* &quot;-&quot;??_-;_-@"/>
    <numFmt numFmtId="169" formatCode="#,##0.0"/>
    <numFmt numFmtId="170" formatCode="_(* #,##0.0_);_(* \(#,##0.0\);_(* &quot;-&quot;??_);_(@_)"/>
    <numFmt numFmtId="171" formatCode="#.0,,&quot;M&quot;"/>
    <numFmt numFmtId="172" formatCode="#,##0.00\ [$€-1]"/>
    <numFmt numFmtId="173" formatCode="_(* #,##0.00_);_(* \(#,##0.00\);_(* &quot;-&quot;??.0_);_(@_)"/>
    <numFmt numFmtId="174" formatCode="_-* #,##0.0_-;\-* #,##0.0_-;_-* &quot;-&quot;??.0_-;_-@"/>
    <numFmt numFmtId="175" formatCode="#,,&quot;M&quot;"/>
    <numFmt numFmtId="176" formatCode="#,,\ &quot;m&quot;"/>
    <numFmt numFmtId="177" formatCode="_-* #,##0.00_-;\-* #,##0.00_-;_-* &quot;-&quot;??_-;_-@"/>
    <numFmt numFmtId="178" formatCode="_(* #,##0_);_(* \(#,##0\);_(* &quot;-&quot;??_);_(@_)"/>
    <numFmt numFmtId="179" formatCode="_(* #,##0.0_);_(* \(#,##0.0\);_(* &quot;-&quot;??.0_);_(@_)"/>
    <numFmt numFmtId="180" formatCode="_ * #,##0_ ;_ * \-#,##0_ ;_ * &quot;-&quot;??_ ;_ @_ "/>
    <numFmt numFmtId="181" formatCode="_(* #,##0.00_);_(* \(#,##0.00\);_(* &quot;-&quot;??_);_(@_)"/>
    <numFmt numFmtId="182" formatCode="#.0,,\ &quot;m&quot;"/>
    <numFmt numFmtId="183" formatCode="[$$]#,##0.00"/>
  </numFmts>
  <fonts count="27">
    <font>
      <sz val="12.0"/>
      <color theme="1"/>
      <name val="Calibri"/>
      <scheme val="minor"/>
    </font>
    <font>
      <sz val="12.0"/>
      <color theme="1"/>
      <name val="Calibri"/>
    </font>
    <font>
      <b/>
      <sz val="12.0"/>
      <color rgb="FFFF0000"/>
      <name val="Calibri"/>
    </font>
    <font>
      <sz val="12.0"/>
      <color rgb="FFFF0000"/>
      <name val="Calibri"/>
    </font>
    <font>
      <b/>
      <sz val="12.0"/>
      <color theme="1"/>
      <name val="Calibri"/>
    </font>
    <font>
      <sz val="12.0"/>
      <color theme="0"/>
      <name val="Calibri"/>
    </font>
    <font>
      <b/>
      <sz val="12.0"/>
      <color theme="0"/>
      <name val="Calibri"/>
    </font>
    <font>
      <b/>
      <sz val="12.0"/>
      <color rgb="FFFFFFFF"/>
      <name val="Calibri"/>
    </font>
    <font/>
    <font>
      <sz val="12.0"/>
      <color rgb="FF0000FF"/>
      <name val="Arial"/>
    </font>
    <font>
      <sz val="12.0"/>
      <color rgb="FF0000FF"/>
      <name val="Calibri"/>
    </font>
    <font>
      <i/>
      <sz val="10.0"/>
      <color theme="1"/>
      <name val="Calibri"/>
    </font>
    <font>
      <i/>
      <sz val="11.0"/>
      <color theme="1"/>
      <name val="Calibri"/>
    </font>
    <font>
      <color theme="1"/>
      <name val="Calibri"/>
      <scheme val="minor"/>
    </font>
    <font>
      <sz val="12.0"/>
      <color rgb="FF000000"/>
      <name val="Arial"/>
    </font>
    <font>
      <b/>
      <sz val="12.0"/>
      <color rgb="FF000000"/>
      <name val="Calibri"/>
    </font>
    <font>
      <i/>
      <sz val="12.0"/>
      <color theme="1"/>
      <name val="Calibri"/>
    </font>
    <font>
      <i/>
      <u/>
      <sz val="12.0"/>
      <color theme="1"/>
      <name val="Calibri"/>
    </font>
    <font>
      <sz val="12.0"/>
      <color rgb="FF000000"/>
      <name val="&quot;Aptos Narrow&quot;"/>
    </font>
    <font>
      <b/>
      <sz val="12.0"/>
      <color rgb="FF000000"/>
      <name val="&quot;Aptos Narrow&quot;"/>
    </font>
    <font>
      <b/>
      <sz val="12.0"/>
      <color rgb="FF000000"/>
      <name val="Arial"/>
    </font>
    <font>
      <sz val="12.0"/>
      <color rgb="FF0000FF"/>
      <name val="&quot;Aptos Narrow&quot;"/>
    </font>
    <font>
      <b/>
      <color theme="1"/>
      <name val="Calibri"/>
      <scheme val="minor"/>
    </font>
    <font>
      <u/>
      <color theme="1"/>
      <name val="Calibri"/>
      <scheme val="minor"/>
    </font>
    <font>
      <b/>
      <u/>
      <color theme="1"/>
      <name val="Calibri"/>
      <scheme val="minor"/>
    </font>
    <font>
      <b/>
      <u/>
      <color theme="1"/>
      <name val="Calibri"/>
      <scheme val="minor"/>
    </font>
    <font>
      <b/>
      <u/>
      <color theme="1"/>
      <name val="Calibri"/>
      <scheme val="minor"/>
    </font>
  </fonts>
  <fills count="12">
    <fill>
      <patternFill patternType="none"/>
    </fill>
    <fill>
      <patternFill patternType="lightGray"/>
    </fill>
    <fill>
      <patternFill patternType="solid">
        <fgColor rgb="FFE2EFD9"/>
        <bgColor rgb="FFE2EFD9"/>
      </patternFill>
    </fill>
    <fill>
      <patternFill patternType="solid">
        <fgColor rgb="FF009999"/>
        <bgColor rgb="FF009999"/>
      </patternFill>
    </fill>
    <fill>
      <patternFill patternType="solid">
        <fgColor rgb="FF0070C0"/>
        <bgColor rgb="FF0070C0"/>
      </patternFill>
    </fill>
    <fill>
      <patternFill patternType="solid">
        <fgColor rgb="FFD1EBFF"/>
        <bgColor rgb="FFD1EBFF"/>
      </patternFill>
    </fill>
    <fill>
      <patternFill patternType="solid">
        <fgColor rgb="FFFBE2D5"/>
        <bgColor rgb="FFFBE2D5"/>
      </patternFill>
    </fill>
    <fill>
      <patternFill patternType="solid">
        <fgColor rgb="FFFBE4D5"/>
        <bgColor rgb="FFFBE4D5"/>
      </patternFill>
    </fill>
    <fill>
      <patternFill patternType="solid">
        <fgColor rgb="FFD9D2E9"/>
        <bgColor rgb="FFD9D2E9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81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/>
      <top/>
      <bottom/>
    </border>
    <border>
      <left/>
      <right/>
      <top/>
      <bottom/>
    </border>
    <border>
      <left/>
      <right style="medium">
        <color rgb="FF000000"/>
      </right>
      <top/>
      <bottom/>
    </border>
    <border>
      <left style="thin">
        <color theme="0"/>
      </left>
      <top/>
      <bottom style="thin">
        <color theme="0"/>
      </bottom>
    </border>
    <border>
      <top/>
      <bottom style="thin">
        <color theme="0"/>
      </bottom>
    </border>
    <border>
      <right/>
      <top/>
      <bottom style="thin">
        <color theme="0"/>
      </bottom>
    </border>
    <border>
      <left/>
      <right style="thin">
        <color theme="0"/>
      </right>
      <top/>
      <bottom/>
    </border>
    <border>
      <left style="thin">
        <color theme="0"/>
      </left>
      <right/>
      <top/>
      <bottom/>
    </border>
    <border>
      <left style="thin">
        <color theme="0"/>
      </left>
      <right/>
      <top style="thin">
        <color theme="0"/>
      </top>
      <bottom/>
    </border>
    <border>
      <left/>
      <right/>
      <top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</border>
    <border>
      <left style="dotted">
        <color rgb="FF000000"/>
      </left>
      <top style="dotted">
        <color rgb="FF000000"/>
      </top>
      <bottom style="dotted">
        <color rgb="FF000000"/>
      </bottom>
    </border>
    <border>
      <bottom style="thin">
        <color rgb="FF000000"/>
      </bottom>
    </border>
    <border>
      <top style="thin">
        <color rgb="FF000000"/>
      </top>
      <bottom style="medium">
        <color rgb="FF000000"/>
      </bottom>
    </border>
    <border>
      <left style="thin">
        <color rgb="FF000000"/>
      </left>
      <right style="dotted">
        <color rgb="FF000000"/>
      </right>
      <top style="thin">
        <color rgb="FF000000"/>
      </top>
      <bottom style="thick">
        <color rgb="FF000000"/>
      </bottom>
    </border>
    <border>
      <left style="dotted">
        <color rgb="FF000000"/>
      </left>
      <right style="dotted">
        <color rgb="FF000000"/>
      </right>
      <top style="thin">
        <color rgb="FF000000"/>
      </top>
      <bottom style="thick">
        <color rgb="FF000000"/>
      </bottom>
    </border>
    <border>
      <left style="dotted">
        <color rgb="FF000000"/>
      </left>
      <top style="thin">
        <color rgb="FF000000"/>
      </top>
      <bottom style="thick">
        <color rgb="FF000000"/>
      </bottom>
    </border>
    <border>
      <right style="dotted">
        <color rgb="FF000000"/>
      </right>
      <top style="dotted">
        <color rgb="FF000000"/>
      </top>
      <bottom style="dotted">
        <color rgb="FF000000"/>
      </bottom>
    </border>
    <border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right style="thin">
        <color rgb="FF000000"/>
      </right>
      <bottom style="thin">
        <color rgb="FF000000"/>
      </bottom>
    </border>
    <border>
      <bottom style="thick">
        <color rgb="FF000000"/>
      </bottom>
    </border>
    <border>
      <right style="medium">
        <color rgb="FF000000"/>
      </right>
      <bottom style="medium">
        <color rgb="FF000000"/>
      </bottom>
    </border>
    <border>
      <left/>
      <top/>
      <bottom/>
    </border>
    <border>
      <left/>
      <top/>
      <bottom style="thin">
        <color theme="0"/>
      </bottom>
    </border>
    <border>
      <right style="thin">
        <color theme="0"/>
      </right>
      <top/>
      <bottom style="thin">
        <color theme="0"/>
      </bottom>
    </border>
    <border>
      <right style="medium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dotted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  <border>
      <right style="hair">
        <color rgb="FF000000"/>
      </right>
      <top style="hair">
        <color rgb="FF000000"/>
      </top>
      <bottom style="thin">
        <color rgb="FF000000"/>
      </bottom>
    </border>
    <border>
      <top style="hair">
        <color rgb="FF000000"/>
      </top>
      <bottom style="thin">
        <color rgb="FF000000"/>
      </bottom>
    </border>
    <border>
      <right style="medium">
        <color rgb="FF000000"/>
      </right>
      <top style="hair">
        <color rgb="FF000000"/>
      </top>
      <bottom style="thin">
        <color rgb="FF000000"/>
      </bottom>
    </border>
    <border>
      <left style="thick">
        <color rgb="FF000000"/>
      </left>
      <right/>
      <top style="thick">
        <color rgb="FF000000"/>
      </top>
      <bottom/>
    </border>
    <border>
      <left/>
      <right/>
      <top style="thick">
        <color rgb="FF000000"/>
      </top>
      <bottom/>
    </border>
    <border>
      <left/>
      <top style="thick">
        <color rgb="FF000000"/>
      </top>
      <bottom style="thin">
        <color theme="0"/>
      </bottom>
    </border>
    <border>
      <top style="thick">
        <color rgb="FF000000"/>
      </top>
      <bottom style="thin">
        <color theme="0"/>
      </bottom>
    </border>
    <border>
      <right style="thin">
        <color theme="0"/>
      </right>
      <top style="thick">
        <color rgb="FF000000"/>
      </top>
      <bottom style="thin">
        <color theme="0"/>
      </bottom>
    </border>
    <border>
      <left style="thin">
        <color theme="0"/>
      </left>
      <top style="thick">
        <color rgb="FF000000"/>
      </top>
      <bottom style="thin">
        <color theme="0"/>
      </bottom>
    </border>
    <border>
      <right/>
      <top style="thick">
        <color rgb="FF000000"/>
      </top>
      <bottom style="thin">
        <color theme="0"/>
      </bottom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  <right/>
      <top/>
      <bottom/>
    </border>
    <border>
      <right style="thick">
        <color rgb="FF000000"/>
      </right>
    </border>
    <border>
      <left style="thick">
        <color rgb="FF000000"/>
      </left>
    </border>
    <border>
      <left style="thick">
        <color rgb="FF000000"/>
      </left>
      <top style="thin">
        <color rgb="FF000000"/>
      </top>
      <bottom style="medium">
        <color rgb="FF000000"/>
      </bottom>
    </border>
    <border>
      <right style="thick">
        <color rgb="FF000000"/>
      </right>
      <top style="thin">
        <color rgb="FF000000"/>
      </top>
      <bottom style="medium">
        <color rgb="FF000000"/>
      </bottom>
    </border>
    <border>
      <top style="thin">
        <color rgb="FF000000"/>
      </top>
      <bottom style="thick">
        <color rgb="FF000000"/>
      </bottom>
    </border>
    <border>
      <right style="thick">
        <color rgb="FF000000"/>
      </right>
      <top style="thin">
        <color rgb="FF000000"/>
      </top>
      <bottom style="thick">
        <color rgb="FF000000"/>
      </bottom>
    </border>
    <border>
      <top style="thin">
        <color rgb="FF000000"/>
      </top>
    </border>
    <border>
      <right style="dotted">
        <color rgb="FF000000"/>
      </right>
      <bottom style="thin">
        <color rgb="FF000000"/>
      </bottom>
    </border>
    <border>
      <left style="dotted">
        <color rgb="FF000000"/>
      </left>
      <right style="dotted">
        <color rgb="FF000000"/>
      </right>
      <top style="dotted">
        <color rgb="FF000000"/>
      </top>
      <bottom style="thin">
        <color rgb="FF000000"/>
      </bottom>
    </border>
    <border>
      <left style="thick">
        <color rgb="FF000000"/>
      </left>
      <top style="thin">
        <color rgb="FF000000"/>
      </top>
      <bottom style="thick">
        <color rgb="FF000000"/>
      </bottom>
    </border>
    <border>
      <left style="dotted">
        <color rgb="FF000000"/>
      </left>
      <right style="dotted">
        <color rgb="FF000000"/>
      </right>
      <top/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left style="thick">
        <color rgb="FF000000"/>
      </left>
      <top style="thick">
        <color rgb="FF000000"/>
      </top>
      <bottom style="thin">
        <color rgb="FF000000"/>
      </bottom>
    </border>
    <border>
      <top style="thick">
        <color rgb="FF000000"/>
      </top>
      <bottom style="thin">
        <color rgb="FF000000"/>
      </bottom>
    </border>
    <border>
      <right style="thick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ck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ck">
        <color rgb="FF000000"/>
      </bottom>
    </border>
    <border>
      <left style="thick">
        <color rgb="FF000000"/>
      </left>
      <top style="thick">
        <color rgb="FF000000"/>
      </top>
      <bottom style="medium">
        <color rgb="FF000000"/>
      </bottom>
    </border>
    <border>
      <top style="thick">
        <color rgb="FF000000"/>
      </top>
      <bottom style="medium">
        <color rgb="FF000000"/>
      </bottom>
    </border>
    <border>
      <right style="thick">
        <color rgb="FF000000"/>
      </right>
      <top style="thick">
        <color rgb="FF000000"/>
      </top>
      <bottom style="medium">
        <color rgb="FF000000"/>
      </bottom>
    </border>
    <border>
      <left style="thick">
        <color rgb="FF000000"/>
      </left>
      <top style="medium">
        <color rgb="FF000000"/>
      </top>
    </border>
    <border>
      <right style="thick">
        <color rgb="FF000000"/>
      </right>
      <top style="medium">
        <color rgb="FF000000"/>
      </top>
    </border>
    <border>
      <left style="thick">
        <color rgb="FF000000"/>
      </left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top style="thick">
        <color rgb="FF000000"/>
      </top>
    </border>
  </borders>
  <cellStyleXfs count="1">
    <xf borderId="0" fillId="0" fontId="0" numFmtId="0" applyAlignment="1" applyFont="1"/>
  </cellStyleXfs>
  <cellXfs count="29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1" fillId="0" fontId="1" numFmtId="0" xfId="0" applyBorder="1" applyFont="1"/>
    <xf borderId="2" fillId="0" fontId="1" numFmtId="0" xfId="0" applyBorder="1" applyFont="1"/>
    <xf borderId="3" fillId="0" fontId="1" numFmtId="0" xfId="0" applyBorder="1" applyFont="1"/>
    <xf borderId="4" fillId="0" fontId="1" numFmtId="0" xfId="0" applyBorder="1" applyFont="1"/>
    <xf borderId="5" fillId="0" fontId="1" numFmtId="0" xfId="0" applyBorder="1" applyFont="1"/>
    <xf borderId="0" fillId="0" fontId="2" numFmtId="0" xfId="0" applyFont="1"/>
    <xf borderId="6" fillId="0" fontId="1" numFmtId="0" xfId="0" applyBorder="1" applyFont="1"/>
    <xf borderId="7" fillId="0" fontId="1" numFmtId="0" xfId="0" applyBorder="1" applyFont="1"/>
    <xf borderId="0" fillId="0" fontId="3" numFmtId="0" xfId="0" applyFont="1"/>
    <xf borderId="8" fillId="2" fontId="4" numFmtId="0" xfId="0" applyAlignment="1" applyBorder="1" applyFill="1" applyFont="1">
      <alignment horizontal="center"/>
    </xf>
    <xf borderId="0" fillId="0" fontId="4" numFmtId="0" xfId="0" applyAlignment="1" applyFont="1">
      <alignment horizontal="center"/>
    </xf>
    <xf borderId="0" fillId="0" fontId="5" numFmtId="0" xfId="0" applyAlignment="1" applyFont="1">
      <alignment horizontal="center"/>
    </xf>
    <xf borderId="9" fillId="3" fontId="6" numFmtId="0" xfId="0" applyBorder="1" applyFill="1" applyFont="1"/>
    <xf borderId="10" fillId="3" fontId="6" numFmtId="0" xfId="0" applyBorder="1" applyFont="1"/>
    <xf borderId="10" fillId="3" fontId="6" numFmtId="0" xfId="0" applyAlignment="1" applyBorder="1" applyFont="1">
      <alignment horizontal="center"/>
    </xf>
    <xf borderId="11" fillId="3" fontId="6" numFmtId="0" xfId="0" applyBorder="1" applyFont="1"/>
    <xf borderId="10" fillId="4" fontId="6" numFmtId="0" xfId="0" applyAlignment="1" applyBorder="1" applyFill="1" applyFont="1">
      <alignment horizontal="center"/>
    </xf>
    <xf borderId="12" fillId="4" fontId="7" numFmtId="0" xfId="0" applyAlignment="1" applyBorder="1" applyFont="1">
      <alignment horizontal="center" readingOrder="0"/>
    </xf>
    <xf borderId="13" fillId="0" fontId="8" numFmtId="0" xfId="0" applyBorder="1" applyFont="1"/>
    <xf borderId="14" fillId="0" fontId="8" numFmtId="0" xfId="0" applyBorder="1" applyFont="1"/>
    <xf borderId="15" fillId="4" fontId="6" numFmtId="0" xfId="0" applyAlignment="1" applyBorder="1" applyFont="1">
      <alignment horizontal="center"/>
    </xf>
    <xf borderId="16" fillId="4" fontId="6" numFmtId="0" xfId="0" applyAlignment="1" applyBorder="1" applyFont="1">
      <alignment horizontal="center"/>
    </xf>
    <xf borderId="17" fillId="4" fontId="6" numFmtId="0" xfId="0" applyAlignment="1" applyBorder="1" applyFont="1">
      <alignment horizontal="center"/>
    </xf>
    <xf borderId="18" fillId="4" fontId="6" numFmtId="0" xfId="0" applyAlignment="1" applyBorder="1" applyFont="1">
      <alignment horizontal="center"/>
    </xf>
    <xf borderId="0" fillId="0" fontId="4" numFmtId="0" xfId="0" applyAlignment="1" applyFont="1">
      <alignment horizontal="left"/>
    </xf>
    <xf borderId="0" fillId="0" fontId="1" numFmtId="0" xfId="0" applyAlignment="1" applyFont="1">
      <alignment horizontal="right"/>
    </xf>
    <xf borderId="0" fillId="0" fontId="1" numFmtId="0" xfId="0" applyAlignment="1" applyFont="1">
      <alignment horizontal="left"/>
    </xf>
    <xf borderId="0" fillId="0" fontId="1" numFmtId="0" xfId="0" applyAlignment="1" applyFont="1">
      <alignment horizontal="center"/>
    </xf>
    <xf borderId="0" fillId="0" fontId="1" numFmtId="164" xfId="0" applyFont="1" applyNumberFormat="1"/>
    <xf borderId="19" fillId="5" fontId="9" numFmtId="165" xfId="0" applyAlignment="1" applyBorder="1" applyFill="1" applyFont="1" applyNumberFormat="1">
      <alignment horizontal="right" readingOrder="0" shrinkToFit="0" vertical="bottom" wrapText="0"/>
    </xf>
    <xf borderId="20" fillId="5" fontId="9" numFmtId="165" xfId="0" applyAlignment="1" applyBorder="1" applyFont="1" applyNumberFormat="1">
      <alignment horizontal="right" readingOrder="0" shrinkToFit="0" vertical="bottom" wrapText="0"/>
    </xf>
    <xf borderId="21" fillId="5" fontId="9" numFmtId="165" xfId="0" applyAlignment="1" applyBorder="1" applyFont="1" applyNumberFormat="1">
      <alignment horizontal="right" readingOrder="0" shrinkToFit="0" vertical="bottom" wrapText="0"/>
    </xf>
    <xf borderId="21" fillId="5" fontId="10" numFmtId="0" xfId="0" applyAlignment="1" applyBorder="1" applyFont="1">
      <alignment readingOrder="0"/>
    </xf>
    <xf borderId="0" fillId="0" fontId="11" numFmtId="0" xfId="0" applyAlignment="1" applyFont="1">
      <alignment horizontal="left" readingOrder="0"/>
    </xf>
    <xf borderId="0" fillId="0" fontId="11" numFmtId="0" xfId="0" applyAlignment="1" applyFont="1">
      <alignment horizontal="left"/>
    </xf>
    <xf borderId="0" fillId="0" fontId="11" numFmtId="0" xfId="0" applyAlignment="1" applyFont="1">
      <alignment horizontal="center"/>
    </xf>
    <xf borderId="0" fillId="0" fontId="11" numFmtId="166" xfId="0" applyFont="1" applyNumberFormat="1"/>
    <xf borderId="0" fillId="0" fontId="1" numFmtId="166" xfId="0" applyFont="1" applyNumberFormat="1"/>
    <xf borderId="19" fillId="5" fontId="9" numFmtId="1" xfId="0" applyAlignment="1" applyBorder="1" applyFont="1" applyNumberFormat="1">
      <alignment horizontal="right" readingOrder="0" shrinkToFit="0" vertical="bottom" wrapText="0"/>
    </xf>
    <xf borderId="20" fillId="5" fontId="9" numFmtId="1" xfId="0" applyAlignment="1" applyBorder="1" applyFont="1" applyNumberFormat="1">
      <alignment horizontal="right" readingOrder="0" shrinkToFit="0" vertical="bottom" wrapText="0"/>
    </xf>
    <xf borderId="0" fillId="0" fontId="11" numFmtId="164" xfId="0" applyFont="1" applyNumberFormat="1"/>
    <xf borderId="0" fillId="0" fontId="11" numFmtId="167" xfId="0" applyFont="1" applyNumberFormat="1"/>
    <xf borderId="0" fillId="0" fontId="1" numFmtId="167" xfId="0" applyFont="1" applyNumberFormat="1"/>
    <xf borderId="21" fillId="5" fontId="10" numFmtId="167" xfId="0" applyAlignment="1" applyBorder="1" applyFont="1" applyNumberFormat="1">
      <alignment readingOrder="0"/>
    </xf>
    <xf borderId="22" fillId="5" fontId="10" numFmtId="167" xfId="0" applyAlignment="1" applyBorder="1" applyFont="1" applyNumberFormat="1">
      <alignment readingOrder="0"/>
    </xf>
    <xf borderId="0" fillId="0" fontId="1" numFmtId="168" xfId="0" applyFont="1" applyNumberFormat="1"/>
    <xf borderId="0" fillId="0" fontId="1" numFmtId="169" xfId="0" applyFont="1" applyNumberFormat="1"/>
    <xf borderId="21" fillId="5" fontId="10" numFmtId="168" xfId="0" applyAlignment="1" applyBorder="1" applyFont="1" applyNumberFormat="1">
      <alignment readingOrder="0"/>
    </xf>
    <xf borderId="22" fillId="5" fontId="10" numFmtId="168" xfId="0" applyAlignment="1" applyBorder="1" applyFont="1" applyNumberFormat="1">
      <alignment readingOrder="0"/>
    </xf>
    <xf borderId="0" fillId="0" fontId="1" numFmtId="168" xfId="0" applyAlignment="1" applyFont="1" applyNumberFormat="1">
      <alignment readingOrder="0"/>
    </xf>
    <xf borderId="23" fillId="0" fontId="1" numFmtId="164" xfId="0" applyBorder="1" applyFont="1" applyNumberFormat="1"/>
    <xf borderId="23" fillId="0" fontId="1" numFmtId="164" xfId="0" applyAlignment="1" applyBorder="1" applyFont="1" applyNumberFormat="1">
      <alignment horizontal="right" readingOrder="0"/>
    </xf>
    <xf borderId="23" fillId="0" fontId="1" numFmtId="164" xfId="0" applyAlignment="1" applyBorder="1" applyFont="1" applyNumberFormat="1">
      <alignment horizontal="right"/>
    </xf>
    <xf borderId="24" fillId="0" fontId="4" numFmtId="0" xfId="0" applyAlignment="1" applyBorder="1" applyFont="1">
      <alignment horizontal="left"/>
    </xf>
    <xf borderId="24" fillId="0" fontId="4" numFmtId="0" xfId="0" applyAlignment="1" applyBorder="1" applyFont="1">
      <alignment horizontal="center"/>
    </xf>
    <xf borderId="24" fillId="0" fontId="4" numFmtId="170" xfId="0" applyBorder="1" applyFont="1" applyNumberFormat="1"/>
    <xf borderId="24" fillId="0" fontId="4" numFmtId="170" xfId="0" applyAlignment="1" applyBorder="1" applyFont="1" applyNumberFormat="1">
      <alignment readingOrder="0"/>
    </xf>
    <xf borderId="25" fillId="5" fontId="10" numFmtId="168" xfId="0" applyAlignment="1" applyBorder="1" applyFont="1" applyNumberFormat="1">
      <alignment readingOrder="0"/>
    </xf>
    <xf borderId="26" fillId="5" fontId="10" numFmtId="168" xfId="0" applyAlignment="1" applyBorder="1" applyFont="1" applyNumberFormat="1">
      <alignment readingOrder="0"/>
    </xf>
    <xf borderId="27" fillId="5" fontId="10" numFmtId="168" xfId="0" applyAlignment="1" applyBorder="1" applyFont="1" applyNumberFormat="1">
      <alignment readingOrder="0"/>
    </xf>
    <xf borderId="0" fillId="0" fontId="12" numFmtId="0" xfId="0" applyAlignment="1" applyFont="1">
      <alignment horizontal="left"/>
    </xf>
    <xf borderId="0" fillId="0" fontId="1" numFmtId="171" xfId="0" applyFont="1" applyNumberFormat="1"/>
    <xf borderId="0" fillId="0" fontId="12" numFmtId="167" xfId="0" applyFont="1" applyNumberFormat="1"/>
    <xf borderId="0" fillId="0" fontId="12" numFmtId="10" xfId="0" applyAlignment="1" applyFont="1" applyNumberFormat="1">
      <alignment readingOrder="0"/>
    </xf>
    <xf borderId="0" fillId="0" fontId="11" numFmtId="4" xfId="0" applyFont="1" applyNumberFormat="1"/>
    <xf borderId="0" fillId="0" fontId="1" numFmtId="170" xfId="0" applyFont="1" applyNumberFormat="1"/>
    <xf borderId="0" fillId="0" fontId="1" numFmtId="170" xfId="0" applyAlignment="1" applyFont="1" applyNumberFormat="1">
      <alignment readingOrder="0"/>
    </xf>
    <xf borderId="0" fillId="0" fontId="13" numFmtId="0" xfId="0" applyAlignment="1" applyFont="1">
      <alignment readingOrder="0"/>
    </xf>
    <xf borderId="0" fillId="0" fontId="11" numFmtId="172" xfId="0" applyFont="1" applyNumberFormat="1"/>
    <xf borderId="0" fillId="0" fontId="12" numFmtId="167" xfId="0" applyAlignment="1" applyFont="1" applyNumberFormat="1">
      <alignment readingOrder="0"/>
    </xf>
    <xf borderId="5" fillId="0" fontId="11" numFmtId="0" xfId="0" applyAlignment="1" applyBorder="1" applyFont="1">
      <alignment horizontal="left"/>
    </xf>
    <xf borderId="24" fillId="0" fontId="4" numFmtId="0" xfId="0" applyBorder="1" applyFont="1"/>
    <xf borderId="24" fillId="0" fontId="4" numFmtId="173" xfId="0" applyBorder="1" applyFont="1" applyNumberFormat="1"/>
    <xf borderId="0" fillId="0" fontId="1" numFmtId="164" xfId="0" applyAlignment="1" applyFont="1" applyNumberFormat="1">
      <alignment horizontal="right"/>
    </xf>
    <xf borderId="0" fillId="0" fontId="1" numFmtId="174" xfId="0" applyAlignment="1" applyFont="1" applyNumberFormat="1">
      <alignment horizontal="right"/>
    </xf>
    <xf borderId="19" fillId="6" fontId="14" numFmtId="170" xfId="0" applyAlignment="1" applyBorder="1" applyFill="1" applyFont="1" applyNumberFormat="1">
      <alignment readingOrder="0" shrinkToFit="0" vertical="bottom" wrapText="0"/>
    </xf>
    <xf borderId="28" fillId="7" fontId="1" numFmtId="170" xfId="0" applyBorder="1" applyFill="1" applyFont="1" applyNumberFormat="1"/>
    <xf borderId="21" fillId="7" fontId="1" numFmtId="170" xfId="0" applyBorder="1" applyFont="1" applyNumberFormat="1"/>
    <xf borderId="22" fillId="7" fontId="1" numFmtId="170" xfId="0" applyBorder="1" applyFont="1" applyNumberFormat="1"/>
    <xf borderId="0" fillId="0" fontId="1" numFmtId="175" xfId="0" applyAlignment="1" applyFont="1" applyNumberFormat="1">
      <alignment horizontal="center"/>
    </xf>
    <xf borderId="0" fillId="0" fontId="1" numFmtId="175" xfId="0" applyAlignment="1" applyFont="1" applyNumberFormat="1">
      <alignment horizontal="right"/>
    </xf>
    <xf borderId="21" fillId="8" fontId="1" numFmtId="170" xfId="0" applyBorder="1" applyFill="1" applyFont="1" applyNumberFormat="1"/>
    <xf borderId="21" fillId="5" fontId="10" numFmtId="170" xfId="0" applyBorder="1" applyFont="1" applyNumberFormat="1"/>
    <xf borderId="22" fillId="5" fontId="10" numFmtId="170" xfId="0" applyBorder="1" applyFont="1" applyNumberFormat="1"/>
    <xf borderId="22" fillId="5" fontId="10" numFmtId="170" xfId="0" applyAlignment="1" applyBorder="1" applyFont="1" applyNumberFormat="1">
      <alignment readingOrder="0"/>
    </xf>
    <xf borderId="23" fillId="0" fontId="1" numFmtId="0" xfId="0" applyBorder="1" applyFont="1"/>
    <xf borderId="23" fillId="0" fontId="11" numFmtId="167" xfId="0" applyAlignment="1" applyBorder="1" applyFont="1" applyNumberFormat="1">
      <alignment horizontal="center"/>
    </xf>
    <xf borderId="23" fillId="0" fontId="11" numFmtId="165" xfId="0" applyAlignment="1" applyBorder="1" applyFont="1" applyNumberFormat="1">
      <alignment horizontal="center"/>
    </xf>
    <xf borderId="23" fillId="0" fontId="1" numFmtId="175" xfId="0" applyAlignment="1" applyBorder="1" applyFont="1" applyNumberFormat="1">
      <alignment horizontal="right"/>
    </xf>
    <xf borderId="29" fillId="0" fontId="4" numFmtId="0" xfId="0" applyBorder="1" applyFont="1"/>
    <xf borderId="29" fillId="0" fontId="4" numFmtId="170" xfId="0" applyBorder="1" applyFont="1" applyNumberFormat="1"/>
    <xf borderId="0" fillId="0" fontId="4" numFmtId="0" xfId="0" applyFont="1"/>
    <xf borderId="0" fillId="0" fontId="4" numFmtId="170" xfId="0" applyFont="1" applyNumberFormat="1"/>
    <xf borderId="0" fillId="0" fontId="4" numFmtId="170" xfId="0" applyAlignment="1" applyFont="1" applyNumberFormat="1">
      <alignment horizontal="right"/>
    </xf>
    <xf borderId="21" fillId="5" fontId="10" numFmtId="167" xfId="0" applyAlignment="1" applyBorder="1" applyFont="1" applyNumberFormat="1">
      <alignment horizontal="center"/>
    </xf>
    <xf borderId="0" fillId="0" fontId="1" numFmtId="170" xfId="0" applyAlignment="1" applyFont="1" applyNumberFormat="1">
      <alignment horizontal="right"/>
    </xf>
    <xf borderId="23" fillId="0" fontId="1" numFmtId="170" xfId="0" applyAlignment="1" applyBorder="1" applyFont="1" applyNumberFormat="1">
      <alignment horizontal="center"/>
    </xf>
    <xf borderId="23" fillId="0" fontId="1" numFmtId="170" xfId="0" applyAlignment="1" applyBorder="1" applyFont="1" applyNumberFormat="1">
      <alignment horizontal="right"/>
    </xf>
    <xf borderId="30" fillId="0" fontId="1" numFmtId="0" xfId="0" applyBorder="1" applyFont="1"/>
    <xf borderId="29" fillId="0" fontId="4" numFmtId="0" xfId="0" applyAlignment="1" applyBorder="1" applyFont="1">
      <alignment horizontal="center"/>
    </xf>
    <xf borderId="29" fillId="0" fontId="4" numFmtId="176" xfId="0" applyBorder="1" applyFont="1" applyNumberFormat="1"/>
    <xf borderId="31" fillId="0" fontId="1" numFmtId="0" xfId="0" applyBorder="1" applyFont="1"/>
    <xf borderId="0" fillId="0" fontId="4" numFmtId="176" xfId="0" applyFont="1" applyNumberFormat="1"/>
    <xf borderId="29" fillId="0" fontId="1" numFmtId="0" xfId="0" applyBorder="1" applyFont="1"/>
    <xf borderId="0" fillId="0" fontId="1" numFmtId="175" xfId="0" applyFont="1" applyNumberFormat="1"/>
    <xf borderId="5" fillId="0" fontId="6" numFmtId="0" xfId="0" applyAlignment="1" applyBorder="1" applyFont="1">
      <alignment horizontal="center"/>
    </xf>
    <xf borderId="0" fillId="0" fontId="15" numFmtId="0" xfId="0" applyAlignment="1" applyFont="1">
      <alignment readingOrder="0"/>
    </xf>
    <xf borderId="0" fillId="0" fontId="15" numFmtId="0" xfId="0" applyFont="1"/>
    <xf borderId="0" fillId="0" fontId="1" numFmtId="0" xfId="0" applyAlignment="1" applyFont="1">
      <alignment horizontal="center" readingOrder="0"/>
    </xf>
    <xf borderId="0" fillId="0" fontId="6" numFmtId="0" xfId="0" applyFont="1"/>
    <xf borderId="0" fillId="0" fontId="6" numFmtId="0" xfId="0" applyAlignment="1" applyFont="1">
      <alignment horizontal="center"/>
    </xf>
    <xf borderId="0" fillId="0" fontId="4" numFmtId="0" xfId="0" applyAlignment="1" applyFont="1">
      <alignment horizontal="left" vertical="top"/>
    </xf>
    <xf borderId="21" fillId="5" fontId="10" numFmtId="1" xfId="0" applyAlignment="1" applyBorder="1" applyFont="1" applyNumberFormat="1">
      <alignment readingOrder="0"/>
    </xf>
    <xf borderId="21" fillId="5" fontId="10" numFmtId="10" xfId="0" applyAlignment="1" applyBorder="1" applyFont="1" applyNumberFormat="1">
      <alignment horizontal="right" readingOrder="0"/>
    </xf>
    <xf borderId="0" fillId="0" fontId="2" numFmtId="177" xfId="0" applyAlignment="1" applyFont="1" applyNumberFormat="1">
      <alignment horizontal="center"/>
    </xf>
    <xf borderId="5" fillId="0" fontId="16" numFmtId="0" xfId="0" applyBorder="1" applyFont="1"/>
    <xf borderId="0" fillId="0" fontId="10" numFmtId="0" xfId="0" applyAlignment="1" applyFont="1">
      <alignment horizontal="center"/>
    </xf>
    <xf borderId="30" fillId="0" fontId="16" numFmtId="0" xfId="0" applyBorder="1" applyFont="1"/>
    <xf borderId="29" fillId="0" fontId="4" numFmtId="0" xfId="0" applyAlignment="1" applyBorder="1" applyFont="1">
      <alignment readingOrder="0"/>
    </xf>
    <xf borderId="32" fillId="0" fontId="15" numFmtId="165" xfId="0" applyBorder="1" applyFont="1" applyNumberFormat="1"/>
    <xf borderId="29" fillId="0" fontId="1" numFmtId="0" xfId="0" applyAlignment="1" applyBorder="1" applyFont="1">
      <alignment horizontal="center"/>
    </xf>
    <xf borderId="29" fillId="0" fontId="10" numFmtId="1" xfId="0" applyAlignment="1" applyBorder="1" applyFont="1" applyNumberFormat="1">
      <alignment horizontal="center"/>
    </xf>
    <xf borderId="29" fillId="0" fontId="10" numFmtId="10" xfId="0" applyAlignment="1" applyBorder="1" applyFont="1" applyNumberFormat="1">
      <alignment horizontal="center"/>
    </xf>
    <xf borderId="29" fillId="0" fontId="10" numFmtId="0" xfId="0" applyAlignment="1" applyBorder="1" applyFont="1">
      <alignment horizontal="center"/>
    </xf>
    <xf borderId="33" fillId="0" fontId="1" numFmtId="0" xfId="0" applyBorder="1" applyFont="1"/>
    <xf borderId="0" fillId="0" fontId="16" numFmtId="0" xfId="0" applyFont="1"/>
    <xf borderId="0" fillId="0" fontId="10" numFmtId="1" xfId="0" applyAlignment="1" applyFont="1" applyNumberFormat="1">
      <alignment horizontal="center"/>
    </xf>
    <xf borderId="0" fillId="0" fontId="10" numFmtId="10" xfId="0" applyAlignment="1" applyFont="1" applyNumberFormat="1">
      <alignment horizontal="center"/>
    </xf>
    <xf borderId="29" fillId="0" fontId="16" numFmtId="0" xfId="0" applyBorder="1" applyFont="1"/>
    <xf borderId="34" fillId="3" fontId="6" numFmtId="0" xfId="0" applyBorder="1" applyFont="1"/>
    <xf borderId="0" fillId="3" fontId="6" numFmtId="0" xfId="0" applyFont="1"/>
    <xf borderId="35" fillId="4" fontId="6" numFmtId="0" xfId="0" applyAlignment="1" applyBorder="1" applyFont="1">
      <alignment horizontal="center"/>
    </xf>
    <xf borderId="36" fillId="0" fontId="8" numFmtId="0" xfId="0" applyBorder="1" applyFont="1"/>
    <xf borderId="12" fillId="4" fontId="6" numFmtId="0" xfId="0" applyAlignment="1" applyBorder="1" applyFont="1">
      <alignment horizontal="center"/>
    </xf>
    <xf borderId="0" fillId="4" fontId="7" numFmtId="0" xfId="0" applyAlignment="1" applyFont="1">
      <alignment horizontal="center" readingOrder="0"/>
    </xf>
    <xf borderId="6" fillId="0" fontId="8" numFmtId="0" xfId="0" applyBorder="1" applyFont="1"/>
    <xf borderId="34" fillId="4" fontId="6" numFmtId="0" xfId="0" applyAlignment="1" applyBorder="1" applyFont="1">
      <alignment horizontal="center"/>
    </xf>
    <xf borderId="6" fillId="4" fontId="7" numFmtId="0" xfId="0" applyAlignment="1" applyBorder="1" applyFont="1">
      <alignment horizontal="center" readingOrder="0"/>
    </xf>
    <xf borderId="0" fillId="0" fontId="17" numFmtId="0" xfId="0" applyFont="1"/>
    <xf borderId="0" fillId="0" fontId="3" numFmtId="175" xfId="0" applyFont="1" applyNumberFormat="1"/>
    <xf borderId="0" fillId="0" fontId="5" numFmtId="0" xfId="0" applyFont="1"/>
    <xf borderId="0" fillId="0" fontId="1" numFmtId="175" xfId="0" applyAlignment="1" applyFont="1" applyNumberFormat="1">
      <alignment horizontal="right" readingOrder="0"/>
    </xf>
    <xf borderId="0" fillId="0" fontId="18" numFmtId="170" xfId="0" applyAlignment="1" applyFont="1" applyNumberFormat="1">
      <alignment readingOrder="0" shrinkToFit="0" vertical="bottom" wrapText="0"/>
    </xf>
    <xf borderId="0" fillId="0" fontId="14" numFmtId="178" xfId="0" applyAlignment="1" applyFont="1" applyNumberFormat="1">
      <alignment readingOrder="0" shrinkToFit="0" vertical="bottom" wrapText="0"/>
    </xf>
    <xf borderId="0" fillId="0" fontId="14" numFmtId="0" xfId="0" applyAlignment="1" applyFont="1">
      <alignment readingOrder="0" shrinkToFit="0" vertical="bottom" wrapText="0"/>
    </xf>
    <xf borderId="23" fillId="0" fontId="1" numFmtId="0" xfId="0" applyAlignment="1" applyBorder="1" applyFont="1">
      <alignment horizontal="center"/>
    </xf>
    <xf borderId="23" fillId="0" fontId="1" numFmtId="170" xfId="0" applyBorder="1" applyFont="1" applyNumberFormat="1"/>
    <xf borderId="23" fillId="0" fontId="18" numFmtId="170" xfId="0" applyAlignment="1" applyBorder="1" applyFont="1" applyNumberFormat="1">
      <alignment readingOrder="0" shrinkToFit="0" vertical="bottom" wrapText="0"/>
    </xf>
    <xf borderId="23" fillId="0" fontId="14" numFmtId="178" xfId="0" applyAlignment="1" applyBorder="1" applyFont="1" applyNumberFormat="1">
      <alignment readingOrder="0" shrinkToFit="0" vertical="bottom" wrapText="0"/>
    </xf>
    <xf borderId="0" fillId="0" fontId="14" numFmtId="179" xfId="0" applyAlignment="1" applyFont="1" applyNumberFormat="1">
      <alignment readingOrder="0" shrinkToFit="0" vertical="bottom" wrapText="0"/>
    </xf>
    <xf borderId="31" fillId="0" fontId="14" numFmtId="178" xfId="0" applyAlignment="1" applyBorder="1" applyFont="1" applyNumberFormat="1">
      <alignment readingOrder="0" shrinkToFit="0" vertical="bottom" wrapText="0"/>
    </xf>
    <xf borderId="37" fillId="0" fontId="14" numFmtId="178" xfId="0" applyAlignment="1" applyBorder="1" applyFont="1" applyNumberFormat="1">
      <alignment readingOrder="0" shrinkToFit="0" vertical="bottom" wrapText="0"/>
    </xf>
    <xf borderId="38" fillId="0" fontId="4" numFmtId="0" xfId="0" applyBorder="1" applyFont="1"/>
    <xf borderId="38" fillId="0" fontId="4" numFmtId="0" xfId="0" applyAlignment="1" applyBorder="1" applyFont="1">
      <alignment horizontal="center"/>
    </xf>
    <xf borderId="38" fillId="0" fontId="4" numFmtId="170" xfId="0" applyAlignment="1" applyBorder="1" applyFont="1" applyNumberFormat="1">
      <alignment horizontal="right"/>
    </xf>
    <xf borderId="23" fillId="0" fontId="19" numFmtId="178" xfId="0" applyAlignment="1" applyBorder="1" applyFont="1" applyNumberFormat="1">
      <alignment horizontal="right" readingOrder="0" shrinkToFit="0" vertical="bottom" wrapText="0"/>
    </xf>
    <xf borderId="38" fillId="0" fontId="19" numFmtId="179" xfId="0" applyAlignment="1" applyBorder="1" applyFont="1" applyNumberFormat="1">
      <alignment horizontal="right" readingOrder="0" shrinkToFit="0" vertical="bottom" wrapText="0"/>
    </xf>
    <xf borderId="38" fillId="0" fontId="20" numFmtId="179" xfId="0" applyAlignment="1" applyBorder="1" applyFont="1" applyNumberFormat="1">
      <alignment horizontal="right" readingOrder="0" shrinkToFit="0" vertical="bottom" wrapText="0"/>
    </xf>
    <xf borderId="39" fillId="0" fontId="19" numFmtId="179" xfId="0" applyAlignment="1" applyBorder="1" applyFont="1" applyNumberFormat="1">
      <alignment horizontal="right" readingOrder="0" shrinkToFit="0" vertical="bottom" wrapText="0"/>
    </xf>
    <xf borderId="0" fillId="0" fontId="1" numFmtId="10" xfId="0" applyFont="1" applyNumberFormat="1"/>
    <xf borderId="0" fillId="0" fontId="1" numFmtId="4" xfId="0" applyFont="1" applyNumberFormat="1"/>
    <xf borderId="0" fillId="0" fontId="18" numFmtId="10" xfId="0" applyAlignment="1" applyFont="1" applyNumberFormat="1">
      <alignment horizontal="right" shrinkToFit="0" vertical="bottom" wrapText="0"/>
    </xf>
    <xf borderId="0" fillId="0" fontId="18" numFmtId="175" xfId="0" applyAlignment="1" applyFont="1" applyNumberFormat="1">
      <alignment horizontal="right" shrinkToFit="0" vertical="bottom" wrapText="0"/>
    </xf>
    <xf borderId="40" fillId="0" fontId="1" numFmtId="170" xfId="0" applyBorder="1" applyFont="1" applyNumberFormat="1"/>
    <xf borderId="0" fillId="0" fontId="18" numFmtId="170" xfId="0" applyAlignment="1" applyFont="1" applyNumberFormat="1">
      <alignment horizontal="right" readingOrder="0" shrinkToFit="0" vertical="bottom" wrapText="0"/>
    </xf>
    <xf borderId="41" fillId="5" fontId="21" numFmtId="170" xfId="0" applyAlignment="1" applyBorder="1" applyFont="1" applyNumberFormat="1">
      <alignment readingOrder="0" shrinkToFit="0" vertical="bottom" wrapText="0"/>
    </xf>
    <xf borderId="42" fillId="5" fontId="21" numFmtId="170" xfId="0" applyAlignment="1" applyBorder="1" applyFont="1" applyNumberFormat="1">
      <alignment readingOrder="0" shrinkToFit="0" vertical="bottom" wrapText="0"/>
    </xf>
    <xf borderId="0" fillId="0" fontId="14" numFmtId="170" xfId="0" applyAlignment="1" applyFont="1" applyNumberFormat="1">
      <alignment readingOrder="0" shrinkToFit="0" vertical="bottom" wrapText="0"/>
    </xf>
    <xf borderId="41" fillId="5" fontId="9" numFmtId="170" xfId="0" applyAlignment="1" applyBorder="1" applyFont="1" applyNumberFormat="1">
      <alignment readingOrder="0" shrinkToFit="0" vertical="bottom" wrapText="0"/>
    </xf>
    <xf borderId="43" fillId="5" fontId="9" numFmtId="170" xfId="0" applyAlignment="1" applyBorder="1" applyFont="1" applyNumberFormat="1">
      <alignment readingOrder="0" shrinkToFit="0" vertical="bottom" wrapText="0"/>
    </xf>
    <xf borderId="0" fillId="5" fontId="9" numFmtId="170" xfId="0" applyAlignment="1" applyFont="1" applyNumberFormat="1">
      <alignment readingOrder="0" shrinkToFit="0" vertical="bottom" wrapText="0"/>
    </xf>
    <xf borderId="44" fillId="5" fontId="9" numFmtId="170" xfId="0" applyAlignment="1" applyBorder="1" applyFont="1" applyNumberFormat="1">
      <alignment readingOrder="0" shrinkToFit="0" vertical="bottom" wrapText="0"/>
    </xf>
    <xf borderId="29" fillId="0" fontId="1" numFmtId="10" xfId="0" applyBorder="1" applyFont="1" applyNumberFormat="1"/>
    <xf borderId="29" fillId="0" fontId="1" numFmtId="164" xfId="0" applyBorder="1" applyFont="1" applyNumberFormat="1"/>
    <xf borderId="2" fillId="0" fontId="1" numFmtId="180" xfId="0" applyBorder="1" applyFont="1" applyNumberFormat="1"/>
    <xf borderId="2" fillId="0" fontId="1" numFmtId="170" xfId="0" applyBorder="1" applyFont="1" applyNumberFormat="1"/>
    <xf borderId="2" fillId="0" fontId="1" numFmtId="170" xfId="0" applyAlignment="1" applyBorder="1" applyFont="1" applyNumberFormat="1">
      <alignment horizontal="right"/>
    </xf>
    <xf borderId="29" fillId="0" fontId="1" numFmtId="181" xfId="0" applyBorder="1" applyFont="1" applyNumberFormat="1"/>
    <xf borderId="0" fillId="0" fontId="1" numFmtId="178" xfId="0" applyFont="1" applyNumberFormat="1"/>
    <xf borderId="0" fillId="0" fontId="1" numFmtId="171" xfId="0" applyAlignment="1" applyFont="1" applyNumberFormat="1">
      <alignment horizontal="right"/>
    </xf>
    <xf borderId="45" fillId="4" fontId="6" numFmtId="0" xfId="0" applyAlignment="1" applyBorder="1" applyFont="1">
      <alignment horizontal="center"/>
    </xf>
    <xf borderId="46" fillId="4" fontId="6" numFmtId="0" xfId="0" applyAlignment="1" applyBorder="1" applyFont="1">
      <alignment horizontal="center"/>
    </xf>
    <xf borderId="47" fillId="4" fontId="6" numFmtId="0" xfId="0" applyAlignment="1" applyBorder="1" applyFont="1">
      <alignment horizontal="center"/>
    </xf>
    <xf borderId="48" fillId="0" fontId="8" numFmtId="0" xfId="0" applyBorder="1" applyFont="1"/>
    <xf borderId="49" fillId="0" fontId="8" numFmtId="0" xfId="0" applyBorder="1" applyFont="1"/>
    <xf borderId="50" fillId="4" fontId="6" numFmtId="0" xfId="0" applyAlignment="1" applyBorder="1" applyFont="1">
      <alignment horizontal="center"/>
    </xf>
    <xf borderId="51" fillId="0" fontId="8" numFmtId="0" xfId="0" applyBorder="1" applyFont="1"/>
    <xf borderId="50" fillId="4" fontId="7" numFmtId="0" xfId="0" applyAlignment="1" applyBorder="1" applyFont="1">
      <alignment horizontal="center" readingOrder="0"/>
    </xf>
    <xf borderId="52" fillId="4" fontId="7" numFmtId="0" xfId="0" applyAlignment="1" applyBorder="1" applyFont="1">
      <alignment horizontal="center" readingOrder="0"/>
    </xf>
    <xf borderId="52" fillId="0" fontId="8" numFmtId="0" xfId="0" applyBorder="1" applyFont="1"/>
    <xf borderId="53" fillId="0" fontId="8" numFmtId="0" xfId="0" applyBorder="1" applyFont="1"/>
    <xf borderId="54" fillId="4" fontId="6" numFmtId="0" xfId="0" applyAlignment="1" applyBorder="1" applyFont="1">
      <alignment horizontal="center"/>
    </xf>
    <xf borderId="16" fillId="4" fontId="7" numFmtId="0" xfId="0" applyAlignment="1" applyBorder="1" applyFont="1">
      <alignment horizontal="center" readingOrder="0"/>
    </xf>
    <xf borderId="10" fillId="4" fontId="7" numFmtId="0" xfId="0" applyAlignment="1" applyBorder="1" applyFont="1">
      <alignment horizontal="center" readingOrder="0"/>
    </xf>
    <xf borderId="34" fillId="4" fontId="7" numFmtId="0" xfId="0" applyAlignment="1" applyBorder="1" applyFont="1">
      <alignment horizontal="center" readingOrder="0"/>
    </xf>
    <xf borderId="55" fillId="4" fontId="7" numFmtId="0" xfId="0" applyAlignment="1" applyBorder="1" applyFont="1">
      <alignment horizontal="center" readingOrder="0"/>
    </xf>
    <xf borderId="56" fillId="0" fontId="1" numFmtId="0" xfId="0" applyBorder="1" applyFont="1"/>
    <xf borderId="55" fillId="0" fontId="1" numFmtId="0" xfId="0" applyBorder="1" applyFont="1"/>
    <xf borderId="0" fillId="0" fontId="1" numFmtId="182" xfId="0" applyFont="1" applyNumberFormat="1"/>
    <xf borderId="55" fillId="0" fontId="1" numFmtId="170" xfId="0" applyBorder="1" applyFont="1" applyNumberFormat="1"/>
    <xf borderId="55" fillId="0" fontId="1" numFmtId="170" xfId="0" applyAlignment="1" applyBorder="1" applyFont="1" applyNumberFormat="1">
      <alignment horizontal="right"/>
    </xf>
    <xf borderId="57" fillId="0" fontId="4" numFmtId="0" xfId="0" applyBorder="1" applyFont="1"/>
    <xf borderId="24" fillId="0" fontId="4" numFmtId="182" xfId="0" applyBorder="1" applyFont="1" applyNumberFormat="1"/>
    <xf borderId="58" fillId="0" fontId="4" numFmtId="170" xfId="0" applyBorder="1" applyFont="1" applyNumberFormat="1"/>
    <xf borderId="21" fillId="5" fontId="10" numFmtId="10" xfId="0" applyAlignment="1" applyBorder="1" applyFont="1" applyNumberFormat="1">
      <alignment horizontal="center" readingOrder="0"/>
    </xf>
    <xf borderId="0" fillId="0" fontId="1" numFmtId="1" xfId="0" applyFont="1" applyNumberFormat="1"/>
    <xf borderId="0" fillId="0" fontId="4" numFmtId="164" xfId="0" applyAlignment="1" applyFont="1" applyNumberFormat="1">
      <alignment horizontal="left"/>
    </xf>
    <xf borderId="0" fillId="9" fontId="1" numFmtId="170" xfId="0" applyFill="1" applyFont="1" applyNumberFormat="1"/>
    <xf borderId="8" fillId="7" fontId="1" numFmtId="170" xfId="0" applyBorder="1" applyFont="1" applyNumberFormat="1"/>
    <xf borderId="0" fillId="9" fontId="1" numFmtId="0" xfId="0" applyFont="1"/>
    <xf borderId="21" fillId="7" fontId="1" numFmtId="10" xfId="0" applyAlignment="1" applyBorder="1" applyFont="1" applyNumberFormat="1">
      <alignment horizontal="center"/>
    </xf>
    <xf borderId="0" fillId="0" fontId="1" numFmtId="177" xfId="0" applyAlignment="1" applyFont="1" applyNumberFormat="1">
      <alignment horizontal="right"/>
    </xf>
    <xf borderId="0" fillId="0" fontId="1" numFmtId="177" xfId="0" applyAlignment="1" applyFont="1" applyNumberFormat="1">
      <alignment horizontal="right" readingOrder="0"/>
    </xf>
    <xf borderId="55" fillId="0" fontId="1" numFmtId="177" xfId="0" applyAlignment="1" applyBorder="1" applyFont="1" applyNumberFormat="1">
      <alignment horizontal="right" readingOrder="0"/>
    </xf>
    <xf borderId="0" fillId="0" fontId="1" numFmtId="164" xfId="0" applyAlignment="1" applyFont="1" applyNumberFormat="1">
      <alignment readingOrder="0"/>
    </xf>
    <xf borderId="55" fillId="0" fontId="1" numFmtId="164" xfId="0" applyBorder="1" applyFont="1" applyNumberFormat="1"/>
    <xf borderId="24" fillId="0" fontId="1" numFmtId="0" xfId="0" applyBorder="1" applyFont="1"/>
    <xf borderId="59" fillId="0" fontId="4" numFmtId="170" xfId="0" applyBorder="1" applyFont="1" applyNumberFormat="1"/>
    <xf borderId="60" fillId="0" fontId="4" numFmtId="170" xfId="0" applyBorder="1" applyFont="1" applyNumberFormat="1"/>
    <xf borderId="56" fillId="0" fontId="4" numFmtId="0" xfId="0" applyBorder="1" applyFont="1"/>
    <xf borderId="61" fillId="0" fontId="4" numFmtId="176" xfId="0" applyBorder="1" applyFont="1" applyNumberFormat="1"/>
    <xf borderId="0" fillId="0" fontId="1" numFmtId="10" xfId="0" applyAlignment="1" applyFont="1" applyNumberFormat="1">
      <alignment horizontal="center"/>
    </xf>
    <xf borderId="0" fillId="0" fontId="4" numFmtId="0" xfId="0" applyAlignment="1" applyFont="1">
      <alignment readingOrder="0"/>
    </xf>
    <xf borderId="21" fillId="5" fontId="10" numFmtId="1" xfId="0" applyAlignment="1" applyBorder="1" applyFont="1" applyNumberFormat="1">
      <alignment horizontal="right" readingOrder="0"/>
    </xf>
    <xf borderId="62" fillId="0" fontId="1" numFmtId="0" xfId="0" applyBorder="1" applyFont="1"/>
    <xf borderId="63" fillId="5" fontId="10" numFmtId="1" xfId="0" applyAlignment="1" applyBorder="1" applyFont="1" applyNumberFormat="1">
      <alignment horizontal="right" readingOrder="0"/>
    </xf>
    <xf borderId="64" fillId="0" fontId="4" numFmtId="0" xfId="0" applyBorder="1" applyFont="1"/>
    <xf borderId="32" fillId="0" fontId="1" numFmtId="0" xfId="0" applyBorder="1" applyFont="1"/>
    <xf borderId="65" fillId="7" fontId="1" numFmtId="170" xfId="0" applyBorder="1" applyFont="1" applyNumberFormat="1"/>
    <xf borderId="66" fillId="0" fontId="1" numFmtId="0" xfId="0" applyBorder="1" applyFont="1"/>
    <xf borderId="67" fillId="0" fontId="13" numFmtId="0" xfId="0" applyBorder="1" applyFont="1"/>
    <xf borderId="68" fillId="0" fontId="13" numFmtId="0" xfId="0" applyAlignment="1" applyBorder="1" applyFont="1">
      <alignment readingOrder="0"/>
    </xf>
    <xf borderId="69" fillId="0" fontId="13" numFmtId="0" xfId="0" applyAlignment="1" applyBorder="1" applyFont="1">
      <alignment readingOrder="0"/>
    </xf>
    <xf borderId="56" fillId="0" fontId="13" numFmtId="0" xfId="0" applyAlignment="1" applyBorder="1" applyFont="1">
      <alignment readingOrder="0"/>
    </xf>
    <xf borderId="0" fillId="0" fontId="13" numFmtId="0" xfId="0" applyFont="1"/>
    <xf borderId="55" fillId="0" fontId="13" numFmtId="0" xfId="0" applyBorder="1" applyFont="1"/>
    <xf borderId="0" fillId="0" fontId="13" numFmtId="49" xfId="0" applyFont="1" applyNumberFormat="1"/>
    <xf borderId="55" fillId="0" fontId="13" numFmtId="0" xfId="0" applyAlignment="1" applyBorder="1" applyFont="1">
      <alignment readingOrder="0"/>
    </xf>
    <xf borderId="70" fillId="5" fontId="13" numFmtId="0" xfId="0" applyAlignment="1" applyBorder="1" applyFont="1">
      <alignment readingOrder="0"/>
    </xf>
    <xf borderId="38" fillId="5" fontId="13" numFmtId="0" xfId="0" applyBorder="1" applyFont="1"/>
    <xf borderId="71" fillId="5" fontId="13" numFmtId="0" xfId="0" applyBorder="1" applyFont="1"/>
    <xf borderId="72" fillId="5" fontId="13" numFmtId="0" xfId="0" applyAlignment="1" applyBorder="1" applyFont="1">
      <alignment readingOrder="0"/>
    </xf>
    <xf borderId="59" fillId="5" fontId="13" numFmtId="0" xfId="0" applyBorder="1" applyFont="1"/>
    <xf borderId="60" fillId="5" fontId="13" numFmtId="0" xfId="0" applyBorder="1" applyFont="1"/>
    <xf borderId="0" fillId="0" fontId="13" numFmtId="10" xfId="0" applyFont="1" applyNumberFormat="1"/>
    <xf borderId="0" fillId="0" fontId="13" numFmtId="167" xfId="0" applyFont="1" applyNumberFormat="1"/>
    <xf borderId="73" fillId="0" fontId="13" numFmtId="0" xfId="0" applyAlignment="1" applyBorder="1" applyFont="1">
      <alignment readingOrder="0"/>
    </xf>
    <xf borderId="74" fillId="5" fontId="13" numFmtId="0" xfId="0" applyAlignment="1" applyBorder="1" applyFont="1">
      <alignment readingOrder="0"/>
    </xf>
    <xf borderId="75" fillId="5" fontId="13" numFmtId="0" xfId="0" applyAlignment="1" applyBorder="1" applyFont="1">
      <alignment readingOrder="0"/>
    </xf>
    <xf borderId="0" fillId="0" fontId="13" numFmtId="10" xfId="0" applyAlignment="1" applyFont="1" applyNumberFormat="1">
      <alignment readingOrder="0"/>
    </xf>
    <xf borderId="55" fillId="0" fontId="13" numFmtId="10" xfId="0" applyAlignment="1" applyBorder="1" applyFont="1" applyNumberFormat="1">
      <alignment readingOrder="0"/>
    </xf>
    <xf borderId="0" fillId="0" fontId="13" numFmtId="9" xfId="0" applyAlignment="1" applyFont="1" applyNumberFormat="1">
      <alignment readingOrder="0"/>
    </xf>
    <xf borderId="55" fillId="0" fontId="13" numFmtId="9" xfId="0" applyAlignment="1" applyBorder="1" applyFont="1" applyNumberFormat="1">
      <alignment readingOrder="0"/>
    </xf>
    <xf borderId="0" fillId="0" fontId="13" numFmtId="1" xfId="0" applyAlignment="1" applyFont="1" applyNumberFormat="1">
      <alignment readingOrder="0"/>
    </xf>
    <xf borderId="0" fillId="0" fontId="13" numFmtId="170" xfId="0" applyAlignment="1" applyFont="1" applyNumberFormat="1">
      <alignment readingOrder="0"/>
    </xf>
    <xf borderId="0" fillId="0" fontId="13" numFmtId="49" xfId="0" applyAlignment="1" applyFont="1" applyNumberFormat="1">
      <alignment horizontal="right" readingOrder="0"/>
    </xf>
    <xf borderId="56" fillId="0" fontId="13" numFmtId="0" xfId="0" applyBorder="1" applyFont="1"/>
    <xf borderId="76" fillId="0" fontId="13" numFmtId="0" xfId="0" applyAlignment="1" applyBorder="1" applyFont="1">
      <alignment readingOrder="0"/>
    </xf>
    <xf borderId="2" fillId="0" fontId="13" numFmtId="0" xfId="0" applyBorder="1" applyFont="1"/>
    <xf borderId="77" fillId="0" fontId="13" numFmtId="0" xfId="0" applyBorder="1" applyFont="1"/>
    <xf borderId="55" fillId="0" fontId="13" numFmtId="10" xfId="0" applyBorder="1" applyFont="1" applyNumberFormat="1"/>
    <xf borderId="78" fillId="0" fontId="13" numFmtId="0" xfId="0" applyAlignment="1" applyBorder="1" applyFont="1">
      <alignment readingOrder="0"/>
    </xf>
    <xf borderId="32" fillId="5" fontId="22" numFmtId="10" xfId="0" applyBorder="1" applyFont="1" applyNumberFormat="1"/>
    <xf borderId="32" fillId="5" fontId="13" numFmtId="10" xfId="0" applyBorder="1" applyFont="1" applyNumberFormat="1"/>
    <xf borderId="66" fillId="5" fontId="13" numFmtId="10" xfId="0" applyBorder="1" applyFont="1" applyNumberFormat="1"/>
    <xf borderId="0" fillId="0" fontId="22" numFmtId="0" xfId="0" applyAlignment="1" applyFont="1">
      <alignment readingOrder="0"/>
    </xf>
    <xf borderId="0" fillId="0" fontId="22" numFmtId="0" xfId="0" applyFont="1"/>
    <xf borderId="79" fillId="0" fontId="22" numFmtId="0" xfId="0" applyAlignment="1" applyBorder="1" applyFont="1">
      <alignment readingOrder="0"/>
    </xf>
    <xf borderId="79" fillId="10" fontId="13" numFmtId="10" xfId="0" applyBorder="1" applyFill="1" applyFont="1" applyNumberFormat="1"/>
    <xf borderId="8" fillId="0" fontId="13" numFmtId="0" xfId="0" applyBorder="1" applyFont="1"/>
    <xf borderId="8" fillId="0" fontId="23" numFmtId="0" xfId="0" applyAlignment="1" applyBorder="1" applyFont="1">
      <alignment readingOrder="0"/>
    </xf>
    <xf borderId="8" fillId="0" fontId="13" numFmtId="0" xfId="0" applyAlignment="1" applyBorder="1" applyFont="1">
      <alignment readingOrder="0"/>
    </xf>
    <xf borderId="8" fillId="10" fontId="22" numFmtId="183" xfId="0" applyAlignment="1" applyBorder="1" applyFont="1" applyNumberFormat="1">
      <alignment readingOrder="0"/>
    </xf>
    <xf borderId="8" fillId="0" fontId="22" numFmtId="0" xfId="0" applyAlignment="1" applyBorder="1" applyFont="1">
      <alignment readingOrder="0"/>
    </xf>
    <xf borderId="8" fillId="0" fontId="22" numFmtId="0" xfId="0" applyBorder="1" applyFont="1"/>
    <xf borderId="8" fillId="10" fontId="22" numFmtId="172" xfId="0" applyBorder="1" applyFont="1" applyNumberFormat="1"/>
    <xf borderId="8" fillId="0" fontId="22" numFmtId="172" xfId="0" applyBorder="1" applyFont="1" applyNumberFormat="1"/>
    <xf borderId="8" fillId="0" fontId="22" numFmtId="0" xfId="0" applyAlignment="1" applyBorder="1" applyFont="1">
      <alignment readingOrder="0"/>
    </xf>
    <xf borderId="0" fillId="0" fontId="24" numFmtId="0" xfId="0" applyAlignment="1" applyFont="1">
      <alignment readingOrder="0"/>
    </xf>
    <xf borderId="0" fillId="0" fontId="25" numFmtId="0" xfId="0" applyFont="1"/>
    <xf borderId="80" fillId="3" fontId="13" numFmtId="0" xfId="0" applyAlignment="1" applyBorder="1" applyFont="1">
      <alignment horizontal="center" readingOrder="0"/>
    </xf>
    <xf borderId="80" fillId="3" fontId="13" numFmtId="0" xfId="0" applyAlignment="1" applyBorder="1" applyFont="1">
      <alignment readingOrder="0"/>
    </xf>
    <xf borderId="53" fillId="0" fontId="13" numFmtId="0" xfId="0" applyAlignment="1" applyBorder="1" applyFont="1">
      <alignment readingOrder="0"/>
    </xf>
    <xf borderId="56" fillId="3" fontId="13" numFmtId="0" xfId="0" applyAlignment="1" applyBorder="1" applyFont="1">
      <alignment readingOrder="0"/>
    </xf>
    <xf borderId="66" fillId="10" fontId="13" numFmtId="0" xfId="0" applyBorder="1" applyFont="1"/>
    <xf borderId="0" fillId="9" fontId="13" numFmtId="0" xfId="0" applyFont="1"/>
    <xf borderId="0" fillId="9" fontId="26" numFmtId="0" xfId="0" applyAlignment="1" applyFont="1">
      <alignment readingOrder="0"/>
    </xf>
    <xf borderId="0" fillId="9" fontId="13" numFmtId="0" xfId="0" applyAlignment="1" applyFont="1">
      <alignment readingOrder="0"/>
    </xf>
    <xf borderId="0" fillId="9" fontId="22" numFmtId="0" xfId="0" applyFont="1"/>
    <xf borderId="0" fillId="11" fontId="1" numFmtId="0" xfId="0" applyAlignment="1" applyFill="1" applyFont="1">
      <alignment vertical="bottom"/>
    </xf>
    <xf borderId="0" fillId="0" fontId="1" numFmtId="0" xfId="0" applyAlignment="1" applyFont="1">
      <alignment horizontal="right" vertical="bottom"/>
    </xf>
    <xf borderId="0" fillId="11" fontId="1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76200</xdr:colOff>
      <xdr:row>1</xdr:row>
      <xdr:rowOff>152400</xdr:rowOff>
    </xdr:from>
    <xdr:ext cx="2419350" cy="7810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1.22" defaultRowHeight="15.0"/>
  <cols>
    <col customWidth="1" min="1" max="1" width="3.0"/>
    <col customWidth="1" min="2" max="2" width="2.67"/>
    <col customWidth="1" min="3" max="3" width="37.67"/>
    <col customWidth="1" min="4" max="4" width="8.67"/>
    <col customWidth="1" min="5" max="6" width="9.0"/>
    <col customWidth="1" min="7" max="7" width="12.44"/>
    <col customWidth="1" min="8" max="18" width="9.0"/>
    <col customWidth="1" min="19" max="19" width="9.44"/>
    <col customWidth="1" min="20" max="20" width="7.78"/>
    <col customWidth="1" min="21" max="28" width="11.11"/>
  </cols>
  <sheetData>
    <row r="1" ht="15.7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ht="15.75" customHeight="1">
      <c r="A2" s="2"/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5"/>
      <c r="T2" s="4"/>
      <c r="U2" s="4"/>
      <c r="V2" s="4"/>
      <c r="W2" s="4"/>
      <c r="X2" s="4"/>
      <c r="Y2" s="4"/>
      <c r="Z2" s="4"/>
      <c r="AA2" s="4"/>
      <c r="AB2" s="6"/>
    </row>
    <row r="3" ht="15.75" customHeight="1">
      <c r="A3" s="2"/>
      <c r="B3" s="7"/>
      <c r="C3" s="2"/>
      <c r="D3" s="2"/>
      <c r="E3" s="2"/>
      <c r="F3" s="2"/>
      <c r="G3" s="8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9"/>
      <c r="T3" s="2"/>
      <c r="U3" s="2"/>
      <c r="V3" s="2"/>
      <c r="W3" s="2"/>
      <c r="X3" s="2"/>
      <c r="Y3" s="2"/>
      <c r="Z3" s="2"/>
      <c r="AA3" s="2"/>
      <c r="AB3" s="10"/>
    </row>
    <row r="4" ht="15.75" customHeight="1">
      <c r="A4" s="2"/>
      <c r="B4" s="7"/>
      <c r="C4" s="2"/>
      <c r="D4" s="2"/>
      <c r="E4" s="2"/>
      <c r="F4" s="2"/>
      <c r="G4" s="11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9"/>
      <c r="T4" s="2"/>
      <c r="U4" s="2">
        <f>11.2+8.7+9+10.5</f>
        <v>39.4</v>
      </c>
      <c r="V4" s="2"/>
      <c r="W4" s="2"/>
      <c r="X4" s="2"/>
      <c r="Y4" s="2"/>
      <c r="Z4" s="2"/>
      <c r="AA4" s="2"/>
      <c r="AB4" s="10"/>
    </row>
    <row r="5" ht="15.75" customHeight="1">
      <c r="A5" s="2"/>
      <c r="B5" s="7"/>
      <c r="C5" s="2"/>
      <c r="D5" s="2"/>
      <c r="E5" s="2"/>
      <c r="F5" s="2"/>
      <c r="G5" s="11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9"/>
      <c r="T5" s="2"/>
      <c r="U5" s="2">
        <f>U4/4</f>
        <v>9.85</v>
      </c>
      <c r="V5" s="2"/>
      <c r="W5" s="2"/>
      <c r="X5" s="2"/>
      <c r="Y5" s="2"/>
      <c r="Z5" s="2"/>
      <c r="AA5" s="2"/>
      <c r="AB5" s="10"/>
    </row>
    <row r="6" ht="15.75" customHeight="1">
      <c r="A6" s="2"/>
      <c r="B6" s="7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9"/>
      <c r="T6" s="2"/>
      <c r="U6" s="2">
        <f>166.3*U5</f>
        <v>1638.055</v>
      </c>
      <c r="V6" s="2"/>
      <c r="W6" s="2"/>
      <c r="X6" s="2"/>
      <c r="Y6" s="2"/>
      <c r="Z6" s="2"/>
      <c r="AA6" s="2"/>
      <c r="AB6" s="10"/>
    </row>
    <row r="7" ht="15.75" customHeight="1">
      <c r="A7" s="2"/>
      <c r="B7" s="7"/>
      <c r="C7" s="2"/>
      <c r="D7" s="2"/>
      <c r="E7" s="2"/>
      <c r="F7" s="2"/>
      <c r="G7" s="11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9"/>
      <c r="T7" s="2"/>
      <c r="U7" s="2"/>
      <c r="V7" s="2"/>
      <c r="W7" s="2"/>
      <c r="X7" s="2"/>
      <c r="Y7" s="2"/>
      <c r="Z7" s="2"/>
      <c r="AA7" s="2"/>
      <c r="AB7" s="10"/>
    </row>
    <row r="8" ht="15.75" customHeight="1">
      <c r="A8" s="2"/>
      <c r="B8" s="7"/>
      <c r="C8" s="2" t="s">
        <v>1</v>
      </c>
      <c r="D8" s="12">
        <v>2.0</v>
      </c>
      <c r="E8" s="2"/>
      <c r="F8" s="13"/>
      <c r="G8" s="14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9"/>
      <c r="T8" s="2"/>
      <c r="U8" s="2"/>
      <c r="V8" s="2"/>
      <c r="W8" s="2"/>
      <c r="X8" s="2"/>
      <c r="Y8" s="2"/>
      <c r="Z8" s="2"/>
      <c r="AA8" s="2"/>
      <c r="AB8" s="10"/>
    </row>
    <row r="9" ht="15.75" customHeight="1">
      <c r="A9" s="2"/>
      <c r="B9" s="7"/>
      <c r="C9" s="2"/>
      <c r="D9" s="2"/>
      <c r="E9" s="2"/>
      <c r="F9" s="13"/>
      <c r="G9" s="14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9"/>
      <c r="T9" s="2"/>
      <c r="U9" s="2"/>
      <c r="V9" s="2"/>
      <c r="W9" s="2"/>
      <c r="X9" s="2"/>
      <c r="Y9" s="2"/>
      <c r="Z9" s="2"/>
      <c r="AA9" s="2"/>
      <c r="AB9" s="10"/>
    </row>
    <row r="10" ht="15.75" customHeight="1">
      <c r="A10" s="2"/>
      <c r="B10" s="15" t="s">
        <v>2</v>
      </c>
      <c r="C10" s="16"/>
      <c r="D10" s="16"/>
      <c r="E10" s="16"/>
      <c r="F10" s="16"/>
      <c r="G10" s="17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8"/>
      <c r="T10" s="2"/>
      <c r="U10" s="2"/>
      <c r="V10" s="2"/>
      <c r="W10" s="2"/>
      <c r="X10" s="2"/>
      <c r="Y10" s="2"/>
      <c r="Z10" s="2"/>
      <c r="AA10" s="2"/>
      <c r="AB10" s="10"/>
    </row>
    <row r="11" ht="15.75" customHeight="1">
      <c r="A11" s="2"/>
      <c r="B11" s="7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9"/>
      <c r="T11" s="2"/>
      <c r="U11" s="2"/>
      <c r="V11" s="2"/>
      <c r="W11" s="2"/>
      <c r="X11" s="2"/>
      <c r="Y11" s="2"/>
      <c r="Z11" s="2"/>
      <c r="AA11" s="2"/>
      <c r="AB11" s="10"/>
    </row>
    <row r="12" ht="15.75" customHeight="1">
      <c r="A12" s="2"/>
      <c r="B12" s="7"/>
      <c r="C12" s="19"/>
      <c r="D12" s="19"/>
      <c r="E12" s="20" t="s">
        <v>3</v>
      </c>
      <c r="F12" s="21"/>
      <c r="G12" s="21"/>
      <c r="H12" s="21"/>
      <c r="I12" s="21"/>
      <c r="J12" s="21"/>
      <c r="K12" s="21"/>
      <c r="L12" s="21"/>
      <c r="M12" s="22"/>
      <c r="N12" s="20" t="s">
        <v>4</v>
      </c>
      <c r="O12" s="21"/>
      <c r="P12" s="21"/>
      <c r="Q12" s="21"/>
      <c r="R12" s="22"/>
      <c r="S12" s="20" t="s">
        <v>4</v>
      </c>
      <c r="T12" s="21"/>
      <c r="U12" s="21"/>
      <c r="V12" s="21"/>
      <c r="W12" s="22"/>
      <c r="X12" s="20" t="s">
        <v>5</v>
      </c>
      <c r="Y12" s="21"/>
      <c r="Z12" s="21"/>
      <c r="AA12" s="21"/>
      <c r="AB12" s="22"/>
    </row>
    <row r="13" ht="15.75" customHeight="1">
      <c r="A13" s="2"/>
      <c r="B13" s="7"/>
      <c r="C13" s="19"/>
      <c r="D13" s="19"/>
      <c r="E13" s="19" t="s">
        <v>6</v>
      </c>
      <c r="F13" s="19">
        <v>2022.0</v>
      </c>
      <c r="G13" s="19">
        <v>2023.0</v>
      </c>
      <c r="H13" s="23">
        <v>2024.0</v>
      </c>
      <c r="I13" s="24">
        <v>2025.0</v>
      </c>
      <c r="J13" s="19">
        <v>2026.0</v>
      </c>
      <c r="K13" s="19">
        <v>2027.0</v>
      </c>
      <c r="L13" s="19">
        <v>2028.0</v>
      </c>
      <c r="M13" s="19">
        <v>2029.0</v>
      </c>
      <c r="N13" s="25">
        <v>2030.0</v>
      </c>
      <c r="O13" s="19">
        <v>2031.0</v>
      </c>
      <c r="P13" s="19">
        <v>2032.0</v>
      </c>
      <c r="Q13" s="19">
        <v>2033.0</v>
      </c>
      <c r="R13" s="19">
        <v>2034.0</v>
      </c>
      <c r="S13" s="26">
        <f t="shared" ref="S13:AB13" si="1">R13+1</f>
        <v>2035</v>
      </c>
      <c r="T13" s="19">
        <f t="shared" si="1"/>
        <v>2036</v>
      </c>
      <c r="U13" s="19">
        <f t="shared" si="1"/>
        <v>2037</v>
      </c>
      <c r="V13" s="19">
        <f t="shared" si="1"/>
        <v>2038</v>
      </c>
      <c r="W13" s="19">
        <f t="shared" si="1"/>
        <v>2039</v>
      </c>
      <c r="X13" s="19">
        <f t="shared" si="1"/>
        <v>2040</v>
      </c>
      <c r="Y13" s="19">
        <f t="shared" si="1"/>
        <v>2041</v>
      </c>
      <c r="Z13" s="19">
        <f t="shared" si="1"/>
        <v>2042</v>
      </c>
      <c r="AA13" s="19">
        <f t="shared" si="1"/>
        <v>2043</v>
      </c>
      <c r="AB13" s="19">
        <f t="shared" si="1"/>
        <v>2044</v>
      </c>
    </row>
    <row r="14" ht="15.75" customHeight="1">
      <c r="A14" s="2"/>
      <c r="B14" s="7"/>
      <c r="C14" s="27" t="s">
        <v>7</v>
      </c>
      <c r="D14" s="27"/>
      <c r="E14" s="27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"/>
      <c r="T14" s="2"/>
      <c r="U14" s="2"/>
      <c r="V14" s="2"/>
      <c r="W14" s="2"/>
      <c r="X14" s="2"/>
      <c r="Y14" s="2"/>
      <c r="Z14" s="2"/>
      <c r="AA14" s="2"/>
      <c r="AB14" s="10"/>
    </row>
    <row r="15" ht="15.75" customHeight="1">
      <c r="A15" s="2"/>
      <c r="B15" s="7"/>
      <c r="C15" s="29" t="s">
        <v>8</v>
      </c>
      <c r="D15" s="29"/>
      <c r="E15" s="30" t="s">
        <v>9</v>
      </c>
      <c r="F15" s="31">
        <v>210.0</v>
      </c>
      <c r="G15" s="31">
        <v>218.0</v>
      </c>
      <c r="H15" s="31">
        <v>230.0</v>
      </c>
      <c r="I15" s="31">
        <v>250.0</v>
      </c>
      <c r="J15" s="31">
        <v>262.0</v>
      </c>
      <c r="K15" s="31">
        <v>273.0</v>
      </c>
      <c r="L15" s="31">
        <v>284.0</v>
      </c>
      <c r="M15" s="31">
        <v>300.0</v>
      </c>
      <c r="N15" s="32">
        <v>302.0</v>
      </c>
      <c r="O15" s="32">
        <v>306.0</v>
      </c>
      <c r="P15" s="32">
        <v>311.0</v>
      </c>
      <c r="Q15" s="33">
        <v>315.0</v>
      </c>
      <c r="R15" s="34">
        <v>320.0</v>
      </c>
      <c r="S15" s="35">
        <v>320.0</v>
      </c>
      <c r="T15" s="35">
        <v>320.0</v>
      </c>
      <c r="U15" s="35">
        <v>320.0</v>
      </c>
      <c r="V15" s="35">
        <v>320.0</v>
      </c>
      <c r="W15" s="35">
        <v>320.0</v>
      </c>
      <c r="X15" s="35">
        <v>320.0</v>
      </c>
      <c r="Y15" s="35">
        <v>320.0</v>
      </c>
      <c r="Z15" s="35">
        <v>320.0</v>
      </c>
      <c r="AA15" s="35">
        <v>320.0</v>
      </c>
      <c r="AB15" s="35">
        <v>320.0</v>
      </c>
    </row>
    <row r="16" ht="15.75" customHeight="1">
      <c r="A16" s="2"/>
      <c r="B16" s="7"/>
      <c r="C16" s="36"/>
      <c r="D16" s="37"/>
      <c r="E16" s="38"/>
      <c r="F16" s="39"/>
      <c r="G16" s="39"/>
      <c r="H16" s="39"/>
      <c r="I16" s="31"/>
      <c r="J16" s="31"/>
      <c r="K16" s="31"/>
      <c r="L16" s="31"/>
      <c r="M16" s="40"/>
      <c r="N16" s="39"/>
      <c r="O16" s="39"/>
      <c r="P16" s="39"/>
      <c r="Q16" s="39"/>
      <c r="R16" s="39"/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 ht="15.75" customHeight="1">
      <c r="A17" s="2"/>
      <c r="B17" s="7"/>
      <c r="C17" s="29" t="s">
        <v>10</v>
      </c>
      <c r="D17" s="29"/>
      <c r="E17" s="30" t="s">
        <v>9</v>
      </c>
      <c r="F17" s="31">
        <v>120.0</v>
      </c>
      <c r="G17" s="31">
        <v>120.0</v>
      </c>
      <c r="H17" s="31">
        <v>120.0</v>
      </c>
      <c r="I17" s="31">
        <f t="shared" ref="I17:M17" si="2">H17</f>
        <v>120</v>
      </c>
      <c r="J17" s="31">
        <f t="shared" si="2"/>
        <v>120</v>
      </c>
      <c r="K17" s="31">
        <f t="shared" si="2"/>
        <v>120</v>
      </c>
      <c r="L17" s="31">
        <f t="shared" si="2"/>
        <v>120</v>
      </c>
      <c r="M17" s="31">
        <f t="shared" si="2"/>
        <v>120</v>
      </c>
      <c r="N17" s="41">
        <v>120.0</v>
      </c>
      <c r="O17" s="41">
        <v>120.0</v>
      </c>
      <c r="P17" s="41">
        <v>120.0</v>
      </c>
      <c r="Q17" s="41">
        <v>120.0</v>
      </c>
      <c r="R17" s="42">
        <v>120.0</v>
      </c>
      <c r="S17" s="42">
        <v>120.0</v>
      </c>
      <c r="T17" s="42">
        <v>120.0</v>
      </c>
      <c r="U17" s="42">
        <v>120.0</v>
      </c>
      <c r="V17" s="42">
        <v>120.0</v>
      </c>
      <c r="W17" s="42">
        <v>120.0</v>
      </c>
      <c r="X17" s="42">
        <v>120.0</v>
      </c>
      <c r="Y17" s="42">
        <v>120.0</v>
      </c>
      <c r="Z17" s="42">
        <v>120.0</v>
      </c>
      <c r="AA17" s="42">
        <v>120.0</v>
      </c>
      <c r="AB17" s="42">
        <v>120.0</v>
      </c>
    </row>
    <row r="18" ht="15.75" customHeight="1">
      <c r="A18" s="2"/>
      <c r="B18" s="7"/>
      <c r="C18" s="37"/>
      <c r="D18" s="37"/>
      <c r="E18" s="38"/>
      <c r="F18" s="43"/>
      <c r="G18" s="44"/>
      <c r="H18" s="44"/>
      <c r="I18" s="31"/>
      <c r="J18" s="31"/>
      <c r="K18" s="31"/>
      <c r="L18" s="31"/>
      <c r="M18" s="31"/>
      <c r="N18" s="44"/>
      <c r="O18" s="44"/>
      <c r="P18" s="44"/>
      <c r="Q18" s="44"/>
      <c r="R18" s="44"/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 ht="15.75" customHeight="1">
      <c r="A19" s="2"/>
      <c r="B19" s="7"/>
      <c r="C19" s="29" t="s">
        <v>11</v>
      </c>
      <c r="D19" s="29"/>
      <c r="E19" s="30" t="s">
        <v>12</v>
      </c>
      <c r="F19" s="45">
        <v>0.79</v>
      </c>
      <c r="G19" s="45">
        <v>0.78</v>
      </c>
      <c r="H19" s="45">
        <v>0.76</v>
      </c>
      <c r="I19" s="45">
        <f>H19</f>
        <v>0.76</v>
      </c>
      <c r="J19" s="45">
        <v>0.755</v>
      </c>
      <c r="K19" s="45">
        <v>0.75</v>
      </c>
      <c r="L19" s="45">
        <v>0.746</v>
      </c>
      <c r="M19" s="45">
        <v>0.738</v>
      </c>
      <c r="N19" s="46">
        <v>0.734</v>
      </c>
      <c r="O19" s="46">
        <v>0.738</v>
      </c>
      <c r="P19" s="46">
        <v>0.741</v>
      </c>
      <c r="Q19" s="46">
        <v>0.745</v>
      </c>
      <c r="R19" s="47">
        <v>0.749</v>
      </c>
      <c r="S19" s="47">
        <v>0.752</v>
      </c>
      <c r="T19" s="47">
        <v>0.759</v>
      </c>
      <c r="U19" s="47">
        <v>0.763</v>
      </c>
      <c r="V19" s="47">
        <v>0.77</v>
      </c>
      <c r="W19" s="47">
        <v>0.775</v>
      </c>
      <c r="X19" s="47">
        <v>0.775</v>
      </c>
      <c r="Y19" s="47">
        <v>0.775</v>
      </c>
      <c r="Z19" s="47">
        <v>0.775</v>
      </c>
      <c r="AA19" s="47">
        <v>0.775</v>
      </c>
      <c r="AB19" s="47">
        <v>0.775</v>
      </c>
    </row>
    <row r="20" ht="15.75" customHeight="1">
      <c r="A20" s="2"/>
      <c r="B20" s="7"/>
      <c r="C20" s="29" t="s">
        <v>13</v>
      </c>
      <c r="D20" s="29"/>
      <c r="E20" s="30" t="s">
        <v>14</v>
      </c>
      <c r="F20" s="48">
        <v>69.4</v>
      </c>
      <c r="G20" s="48">
        <v>71.0</v>
      </c>
      <c r="H20" s="48">
        <v>73.0</v>
      </c>
      <c r="I20" s="49">
        <v>69.1</v>
      </c>
      <c r="J20" s="49">
        <v>69.1</v>
      </c>
      <c r="K20" s="49">
        <v>69.1</v>
      </c>
      <c r="L20" s="49">
        <v>69.1</v>
      </c>
      <c r="M20" s="49">
        <v>69.1</v>
      </c>
      <c r="N20" s="50">
        <v>70.0</v>
      </c>
      <c r="O20" s="50">
        <v>70.5</v>
      </c>
      <c r="P20" s="50">
        <f t="shared" ref="P20:R20" si="3">O20+0.5</f>
        <v>71</v>
      </c>
      <c r="Q20" s="50">
        <f t="shared" si="3"/>
        <v>71.5</v>
      </c>
      <c r="R20" s="51">
        <f t="shared" si="3"/>
        <v>72</v>
      </c>
      <c r="S20" s="51">
        <v>72.5</v>
      </c>
      <c r="T20" s="51">
        <v>73.3</v>
      </c>
      <c r="U20" s="51">
        <v>74.5</v>
      </c>
      <c r="V20" s="51">
        <v>75.5</v>
      </c>
      <c r="W20" s="51">
        <v>76.8</v>
      </c>
      <c r="X20" s="51">
        <v>76.8</v>
      </c>
      <c r="Y20" s="51">
        <v>77.0</v>
      </c>
      <c r="Z20" s="51">
        <v>77.2</v>
      </c>
      <c r="AA20" s="51">
        <v>76.8</v>
      </c>
      <c r="AB20" s="51">
        <v>76.8</v>
      </c>
    </row>
    <row r="21" ht="15.75" customHeight="1">
      <c r="A21" s="2"/>
      <c r="B21" s="7"/>
      <c r="C21" s="29" t="s">
        <v>15</v>
      </c>
      <c r="D21" s="29"/>
      <c r="E21" s="30" t="s">
        <v>14</v>
      </c>
      <c r="F21" s="48">
        <f t="shared" ref="F21:W21" si="4">+F20*F19</f>
        <v>54.826</v>
      </c>
      <c r="G21" s="48">
        <f t="shared" si="4"/>
        <v>55.38</v>
      </c>
      <c r="H21" s="48">
        <f t="shared" si="4"/>
        <v>55.48</v>
      </c>
      <c r="I21" s="48">
        <f t="shared" si="4"/>
        <v>52.516</v>
      </c>
      <c r="J21" s="48">
        <f t="shared" si="4"/>
        <v>52.1705</v>
      </c>
      <c r="K21" s="48">
        <f t="shared" si="4"/>
        <v>51.825</v>
      </c>
      <c r="L21" s="48">
        <f t="shared" si="4"/>
        <v>51.5486</v>
      </c>
      <c r="M21" s="48">
        <f t="shared" si="4"/>
        <v>50.9958</v>
      </c>
      <c r="N21" s="48">
        <f t="shared" si="4"/>
        <v>51.38</v>
      </c>
      <c r="O21" s="48">
        <f t="shared" si="4"/>
        <v>52.029</v>
      </c>
      <c r="P21" s="48">
        <f t="shared" si="4"/>
        <v>52.611</v>
      </c>
      <c r="Q21" s="48">
        <f t="shared" si="4"/>
        <v>53.2675</v>
      </c>
      <c r="R21" s="48">
        <f t="shared" si="4"/>
        <v>53.928</v>
      </c>
      <c r="S21" s="48">
        <f t="shared" si="4"/>
        <v>54.52</v>
      </c>
      <c r="T21" s="48">
        <f t="shared" si="4"/>
        <v>55.6347</v>
      </c>
      <c r="U21" s="48">
        <f t="shared" si="4"/>
        <v>56.8435</v>
      </c>
      <c r="V21" s="48">
        <f t="shared" si="4"/>
        <v>58.135</v>
      </c>
      <c r="W21" s="48">
        <f t="shared" si="4"/>
        <v>59.52</v>
      </c>
      <c r="X21" s="52">
        <v>61.0</v>
      </c>
      <c r="Y21" s="52">
        <v>62.5</v>
      </c>
      <c r="Z21" s="52">
        <v>64.0</v>
      </c>
      <c r="AA21" s="52">
        <v>65.7</v>
      </c>
      <c r="AB21" s="52">
        <v>67.3</v>
      </c>
    </row>
    <row r="22" ht="15.75" customHeight="1">
      <c r="A22" s="2"/>
      <c r="B22" s="7"/>
      <c r="C22" s="29"/>
      <c r="D22" s="29"/>
      <c r="E22" s="30"/>
      <c r="F22" s="31"/>
      <c r="G22" s="53"/>
      <c r="H22" s="53"/>
      <c r="I22" s="54" t="s">
        <v>16</v>
      </c>
      <c r="J22" s="55"/>
      <c r="K22" s="55"/>
      <c r="L22" s="55"/>
      <c r="M22" s="55"/>
      <c r="N22" s="55"/>
      <c r="O22" s="55"/>
      <c r="P22" s="55"/>
      <c r="Q22" s="55"/>
      <c r="R22" s="55"/>
      <c r="S22" s="2"/>
      <c r="T22" s="31"/>
      <c r="U22" s="1"/>
      <c r="V22" s="2"/>
      <c r="W22" s="2"/>
      <c r="X22" s="2"/>
      <c r="Y22" s="2"/>
      <c r="Z22" s="2"/>
      <c r="AA22" s="2"/>
      <c r="AB22" s="2"/>
    </row>
    <row r="23" ht="15.75" customHeight="1">
      <c r="A23" s="2"/>
      <c r="B23" s="7"/>
      <c r="C23" s="56" t="s">
        <v>17</v>
      </c>
      <c r="D23" s="56"/>
      <c r="E23" s="57" t="s">
        <v>18</v>
      </c>
      <c r="F23" s="58">
        <v>504.3</v>
      </c>
      <c r="G23" s="58">
        <f t="shared" ref="G23:H23" si="5">(AVERAGE(F17:G17)*AVERAGE(F15:G15)*G21*365)/1000000</f>
        <v>519.087816</v>
      </c>
      <c r="H23" s="58">
        <f t="shared" si="5"/>
        <v>544.325376</v>
      </c>
      <c r="I23" s="59">
        <v>552.0</v>
      </c>
      <c r="J23" s="59">
        <v>585.0</v>
      </c>
      <c r="K23" s="59">
        <v>607.2</v>
      </c>
      <c r="L23" s="59">
        <v>628.8</v>
      </c>
      <c r="M23" s="59">
        <v>652.2</v>
      </c>
      <c r="N23" s="60">
        <f t="shared" ref="N23:W23" si="6">(AVERAGE(M17:N17)*AVERAGE(M15:N15)*N21*365)/1000000</f>
        <v>677.383644</v>
      </c>
      <c r="O23" s="61">
        <f t="shared" si="6"/>
        <v>692.7765408</v>
      </c>
      <c r="P23" s="61">
        <f t="shared" si="6"/>
        <v>710.8956153</v>
      </c>
      <c r="Q23" s="61">
        <f t="shared" si="6"/>
        <v>730.2654645</v>
      </c>
      <c r="R23" s="62">
        <f t="shared" si="6"/>
        <v>749.949732</v>
      </c>
      <c r="S23" s="62">
        <f t="shared" si="6"/>
        <v>764.15232</v>
      </c>
      <c r="T23" s="62">
        <f t="shared" si="6"/>
        <v>779.7759552</v>
      </c>
      <c r="U23" s="62">
        <f t="shared" si="6"/>
        <v>796.718496</v>
      </c>
      <c r="V23" s="62">
        <f t="shared" si="6"/>
        <v>814.82016</v>
      </c>
      <c r="W23" s="62">
        <f t="shared" si="6"/>
        <v>834.23232</v>
      </c>
      <c r="X23" s="62">
        <f t="shared" ref="X23:AB23" si="7">W23*(1+X24)</f>
        <v>855.088128</v>
      </c>
      <c r="Y23" s="62">
        <f t="shared" si="7"/>
        <v>876.4653312</v>
      </c>
      <c r="Z23" s="62">
        <f t="shared" si="7"/>
        <v>898.3769645</v>
      </c>
      <c r="AA23" s="62">
        <f t="shared" si="7"/>
        <v>920.8363886</v>
      </c>
      <c r="AB23" s="62">
        <f t="shared" si="7"/>
        <v>943.8572983</v>
      </c>
    </row>
    <row r="24" ht="15.75" customHeight="1">
      <c r="A24" s="2"/>
      <c r="B24" s="7"/>
      <c r="C24" s="63" t="s">
        <v>19</v>
      </c>
      <c r="D24" s="63"/>
      <c r="E24" s="63"/>
      <c r="F24" s="64"/>
      <c r="G24" s="65">
        <f t="shared" ref="G24:W24" si="8">G23/F23-1</f>
        <v>0.02932345033</v>
      </c>
      <c r="H24" s="65">
        <f t="shared" si="8"/>
        <v>0.04861905678</v>
      </c>
      <c r="I24" s="65">
        <f t="shared" si="8"/>
        <v>0.01409933165</v>
      </c>
      <c r="J24" s="65">
        <f t="shared" si="8"/>
        <v>0.0597826087</v>
      </c>
      <c r="K24" s="65">
        <f t="shared" si="8"/>
        <v>0.03794871795</v>
      </c>
      <c r="L24" s="65">
        <f t="shared" si="8"/>
        <v>0.03557312253</v>
      </c>
      <c r="M24" s="65">
        <f t="shared" si="8"/>
        <v>0.03721374046</v>
      </c>
      <c r="N24" s="65">
        <f t="shared" si="8"/>
        <v>0.03861337626</v>
      </c>
      <c r="O24" s="65">
        <f t="shared" si="8"/>
        <v>0.02272404558</v>
      </c>
      <c r="P24" s="65">
        <f t="shared" si="8"/>
        <v>0.02615428415</v>
      </c>
      <c r="Q24" s="65">
        <f t="shared" si="8"/>
        <v>0.02724710743</v>
      </c>
      <c r="R24" s="65">
        <f t="shared" si="8"/>
        <v>0.02695494783</v>
      </c>
      <c r="S24" s="65">
        <f t="shared" si="8"/>
        <v>0.0189380533</v>
      </c>
      <c r="T24" s="65">
        <f t="shared" si="8"/>
        <v>0.020445708</v>
      </c>
      <c r="U24" s="65">
        <f t="shared" si="8"/>
        <v>0.02172744708</v>
      </c>
      <c r="V24" s="65">
        <f t="shared" si="8"/>
        <v>0.02272027585</v>
      </c>
      <c r="W24" s="65">
        <f t="shared" si="8"/>
        <v>0.02382385826</v>
      </c>
      <c r="X24" s="66">
        <v>0.025</v>
      </c>
      <c r="Y24" s="66">
        <v>0.025</v>
      </c>
      <c r="Z24" s="66">
        <v>0.025</v>
      </c>
      <c r="AA24" s="66">
        <v>0.025</v>
      </c>
      <c r="AB24" s="66">
        <v>0.025</v>
      </c>
    </row>
    <row r="25" ht="15.75" customHeight="1">
      <c r="A25" s="2"/>
      <c r="B25" s="7"/>
      <c r="C25" s="37"/>
      <c r="D25" s="37"/>
      <c r="E25" s="37"/>
      <c r="F25" s="64"/>
      <c r="G25" s="44"/>
      <c r="H25" s="67"/>
      <c r="I25" s="67"/>
      <c r="J25" s="67"/>
      <c r="K25" s="67"/>
      <c r="L25" s="67"/>
      <c r="M25" s="67"/>
      <c r="N25" s="67"/>
      <c r="O25" s="67"/>
      <c r="P25" s="67"/>
      <c r="Q25" s="67"/>
      <c r="R25" s="67"/>
      <c r="S25" s="2"/>
      <c r="T25" s="2"/>
      <c r="U25" s="2"/>
      <c r="V25" s="2"/>
      <c r="W25" s="2">
        <f>(W26/S26-1)/5</f>
        <v>0.02116935484</v>
      </c>
      <c r="X25" s="2"/>
      <c r="Y25" s="2"/>
      <c r="Z25" s="2"/>
      <c r="AA25" s="2"/>
      <c r="AB25" s="2"/>
    </row>
    <row r="26" ht="15.75" customHeight="1">
      <c r="A26" s="2"/>
      <c r="B26" s="7"/>
      <c r="C26" s="2" t="s">
        <v>20</v>
      </c>
      <c r="D26" s="2"/>
      <c r="E26" s="30" t="s">
        <v>18</v>
      </c>
      <c r="F26" s="68">
        <v>275.0</v>
      </c>
      <c r="G26" s="68">
        <v>280.220906004</v>
      </c>
      <c r="H26" s="68">
        <v>290.125425408</v>
      </c>
      <c r="I26" s="69">
        <v>299.7</v>
      </c>
      <c r="J26" s="69">
        <v>311.0</v>
      </c>
      <c r="K26" s="70">
        <v>319.9</v>
      </c>
      <c r="L26" s="69">
        <v>326.7</v>
      </c>
      <c r="M26" s="69">
        <v>340.0</v>
      </c>
      <c r="N26" s="50">
        <v>352.3</v>
      </c>
      <c r="O26" s="50">
        <v>365.6</v>
      </c>
      <c r="P26" s="50">
        <v>373.6</v>
      </c>
      <c r="Q26" s="50">
        <v>373.7</v>
      </c>
      <c r="R26" s="51">
        <v>386.4</v>
      </c>
      <c r="S26" s="51">
        <v>396.8</v>
      </c>
      <c r="T26" s="51">
        <v>405.6</v>
      </c>
      <c r="U26" s="51">
        <v>414.5</v>
      </c>
      <c r="V26" s="51">
        <v>426.6</v>
      </c>
      <c r="W26" s="51">
        <v>438.8</v>
      </c>
      <c r="X26" s="51">
        <f t="shared" ref="X26:AB26" si="9">W26*(1+$W$25)</f>
        <v>448.0891129</v>
      </c>
      <c r="Y26" s="51">
        <f t="shared" si="9"/>
        <v>457.5748703</v>
      </c>
      <c r="Z26" s="51">
        <f t="shared" si="9"/>
        <v>467.2614351</v>
      </c>
      <c r="AA26" s="51">
        <f t="shared" si="9"/>
        <v>477.1530583</v>
      </c>
      <c r="AB26" s="51">
        <f t="shared" si="9"/>
        <v>487.2540807</v>
      </c>
    </row>
    <row r="27" ht="15.75" customHeight="1">
      <c r="A27" s="2"/>
      <c r="B27" s="7"/>
      <c r="C27" s="63" t="s">
        <v>21</v>
      </c>
      <c r="D27" s="63"/>
      <c r="E27" s="63"/>
      <c r="F27" s="45">
        <f t="shared" ref="F27:G27" si="10">F26/F23</f>
        <v>0.5453103312</v>
      </c>
      <c r="G27" s="65">
        <f t="shared" si="10"/>
        <v>0.5398333333</v>
      </c>
      <c r="H27" s="65">
        <f t="shared" ref="H27:M27" si="11">+H26/H23</f>
        <v>0.533</v>
      </c>
      <c r="I27" s="65">
        <f t="shared" si="11"/>
        <v>0.5429347826</v>
      </c>
      <c r="J27" s="65">
        <f t="shared" si="11"/>
        <v>0.5316239316</v>
      </c>
      <c r="K27" s="65">
        <f t="shared" si="11"/>
        <v>0.5268445323</v>
      </c>
      <c r="L27" s="65">
        <f t="shared" si="11"/>
        <v>0.5195610687</v>
      </c>
      <c r="M27" s="65">
        <f t="shared" si="11"/>
        <v>0.5213124808</v>
      </c>
      <c r="N27" s="65">
        <f t="shared" ref="N27:W27" si="12">M27-0.5%</f>
        <v>0.5163124808</v>
      </c>
      <c r="O27" s="65">
        <f t="shared" si="12"/>
        <v>0.5113124808</v>
      </c>
      <c r="P27" s="65">
        <f t="shared" si="12"/>
        <v>0.5063124808</v>
      </c>
      <c r="Q27" s="65">
        <f t="shared" si="12"/>
        <v>0.5013124808</v>
      </c>
      <c r="R27" s="65">
        <f t="shared" si="12"/>
        <v>0.4963124808</v>
      </c>
      <c r="S27" s="65">
        <f t="shared" si="12"/>
        <v>0.4913124808</v>
      </c>
      <c r="T27" s="65">
        <f t="shared" si="12"/>
        <v>0.4863124808</v>
      </c>
      <c r="U27" s="65">
        <f t="shared" si="12"/>
        <v>0.4813124808</v>
      </c>
      <c r="V27" s="65">
        <f t="shared" si="12"/>
        <v>0.4763124808</v>
      </c>
      <c r="W27" s="65">
        <f t="shared" si="12"/>
        <v>0.4713124808</v>
      </c>
      <c r="X27" s="65">
        <f t="shared" ref="X27:AB27" si="13">W27</f>
        <v>0.4713124808</v>
      </c>
      <c r="Y27" s="65">
        <f t="shared" si="13"/>
        <v>0.4713124808</v>
      </c>
      <c r="Z27" s="65">
        <f t="shared" si="13"/>
        <v>0.4713124808</v>
      </c>
      <c r="AA27" s="65">
        <f t="shared" si="13"/>
        <v>0.4713124808</v>
      </c>
      <c r="AB27" s="65">
        <f t="shared" si="13"/>
        <v>0.4713124808</v>
      </c>
    </row>
    <row r="28" ht="15.75" customHeight="1">
      <c r="A28" s="2"/>
      <c r="B28" s="7"/>
      <c r="C28" s="36" t="s">
        <v>22</v>
      </c>
      <c r="D28" s="37"/>
      <c r="E28" s="37"/>
      <c r="F28" s="71">
        <f t="shared" ref="F28:AB28" si="14">F23-F26</f>
        <v>229.3</v>
      </c>
      <c r="G28" s="71">
        <f t="shared" si="14"/>
        <v>238.86691</v>
      </c>
      <c r="H28" s="71">
        <f t="shared" si="14"/>
        <v>254.1999506</v>
      </c>
      <c r="I28" s="71">
        <f t="shared" si="14"/>
        <v>252.3</v>
      </c>
      <c r="J28" s="71">
        <f t="shared" si="14"/>
        <v>274</v>
      </c>
      <c r="K28" s="71">
        <f t="shared" si="14"/>
        <v>287.3</v>
      </c>
      <c r="L28" s="71">
        <f t="shared" si="14"/>
        <v>302.1</v>
      </c>
      <c r="M28" s="71">
        <f t="shared" si="14"/>
        <v>312.2</v>
      </c>
      <c r="N28" s="71">
        <f t="shared" si="14"/>
        <v>325.083644</v>
      </c>
      <c r="O28" s="71">
        <f t="shared" si="14"/>
        <v>327.1765408</v>
      </c>
      <c r="P28" s="71">
        <f t="shared" si="14"/>
        <v>337.2956153</v>
      </c>
      <c r="Q28" s="71">
        <f t="shared" si="14"/>
        <v>356.5654645</v>
      </c>
      <c r="R28" s="71">
        <f t="shared" si="14"/>
        <v>363.549732</v>
      </c>
      <c r="S28" s="71">
        <f t="shared" si="14"/>
        <v>367.35232</v>
      </c>
      <c r="T28" s="71">
        <f t="shared" si="14"/>
        <v>374.1759552</v>
      </c>
      <c r="U28" s="71">
        <f t="shared" si="14"/>
        <v>382.218496</v>
      </c>
      <c r="V28" s="71">
        <f t="shared" si="14"/>
        <v>388.22016</v>
      </c>
      <c r="W28" s="71">
        <f t="shared" si="14"/>
        <v>395.43232</v>
      </c>
      <c r="X28" s="71">
        <f t="shared" si="14"/>
        <v>406.9990151</v>
      </c>
      <c r="Y28" s="71">
        <f t="shared" si="14"/>
        <v>418.8904609</v>
      </c>
      <c r="Z28" s="71">
        <f t="shared" si="14"/>
        <v>431.1155294</v>
      </c>
      <c r="AA28" s="71">
        <f t="shared" si="14"/>
        <v>443.6833303</v>
      </c>
      <c r="AB28" s="71">
        <f t="shared" si="14"/>
        <v>456.6032177</v>
      </c>
    </row>
    <row r="29" ht="15.75" customHeight="1">
      <c r="A29" s="2"/>
      <c r="B29" s="7"/>
      <c r="C29" s="2" t="s">
        <v>23</v>
      </c>
      <c r="D29" s="2"/>
      <c r="E29" s="30" t="s">
        <v>18</v>
      </c>
      <c r="F29" s="68">
        <v>136.0</v>
      </c>
      <c r="G29" s="68">
        <v>139.93395106</v>
      </c>
      <c r="H29" s="68">
        <v>147.96785152</v>
      </c>
      <c r="I29" s="69">
        <v>150.0</v>
      </c>
      <c r="J29" s="69">
        <v>157.0</v>
      </c>
      <c r="K29" s="69">
        <v>170.0</v>
      </c>
      <c r="L29" s="69">
        <v>178.0</v>
      </c>
      <c r="M29" s="69">
        <v>228.0</v>
      </c>
      <c r="N29" s="50">
        <v>192.0</v>
      </c>
      <c r="O29" s="50">
        <v>188.1</v>
      </c>
      <c r="P29" s="50">
        <v>187.0</v>
      </c>
      <c r="Q29" s="50">
        <v>196.3</v>
      </c>
      <c r="R29" s="51">
        <v>197.2</v>
      </c>
      <c r="S29" s="51">
        <v>194.0</v>
      </c>
      <c r="T29" s="51">
        <v>193.0</v>
      </c>
      <c r="U29" s="51">
        <v>192.0</v>
      </c>
      <c r="V29" s="51">
        <v>191.0</v>
      </c>
      <c r="W29" s="51">
        <v>190.0</v>
      </c>
      <c r="X29" s="51">
        <f t="shared" ref="X29:AB29" si="15">X30*X23</f>
        <v>194.75</v>
      </c>
      <c r="Y29" s="51">
        <f t="shared" si="15"/>
        <v>199.61875</v>
      </c>
      <c r="Z29" s="51">
        <f t="shared" si="15"/>
        <v>204.6092188</v>
      </c>
      <c r="AA29" s="51">
        <f t="shared" si="15"/>
        <v>209.7244492</v>
      </c>
      <c r="AB29" s="51">
        <f t="shared" si="15"/>
        <v>214.9675604</v>
      </c>
    </row>
    <row r="30" ht="15.75" customHeight="1">
      <c r="A30" s="2"/>
      <c r="B30" s="7"/>
      <c r="C30" s="63" t="s">
        <v>21</v>
      </c>
      <c r="D30" s="63"/>
      <c r="E30" s="63"/>
      <c r="F30" s="65">
        <f t="shared" ref="F30:W30" si="16">F29/F23</f>
        <v>0.2696807456</v>
      </c>
      <c r="G30" s="65">
        <f t="shared" si="16"/>
        <v>0.2695766434</v>
      </c>
      <c r="H30" s="65">
        <f t="shared" si="16"/>
        <v>0.2718371365</v>
      </c>
      <c r="I30" s="65">
        <f t="shared" si="16"/>
        <v>0.2717391304</v>
      </c>
      <c r="J30" s="65">
        <f t="shared" si="16"/>
        <v>0.2683760684</v>
      </c>
      <c r="K30" s="65">
        <f t="shared" si="16"/>
        <v>0.2799736495</v>
      </c>
      <c r="L30" s="65">
        <f t="shared" si="16"/>
        <v>0.2830788804</v>
      </c>
      <c r="M30" s="65">
        <f t="shared" si="16"/>
        <v>0.3495860166</v>
      </c>
      <c r="N30" s="65">
        <f t="shared" si="16"/>
        <v>0.2834435134</v>
      </c>
      <c r="O30" s="65">
        <f t="shared" si="16"/>
        <v>0.2715161223</v>
      </c>
      <c r="P30" s="65">
        <f t="shared" si="16"/>
        <v>0.2630484645</v>
      </c>
      <c r="Q30" s="65">
        <f t="shared" si="16"/>
        <v>0.2688063582</v>
      </c>
      <c r="R30" s="65">
        <f t="shared" si="16"/>
        <v>0.2629509574</v>
      </c>
      <c r="S30" s="65">
        <f t="shared" si="16"/>
        <v>0.2538760859</v>
      </c>
      <c r="T30" s="65">
        <f t="shared" si="16"/>
        <v>0.2475069906</v>
      </c>
      <c r="U30" s="65">
        <f t="shared" si="16"/>
        <v>0.2409885059</v>
      </c>
      <c r="V30" s="65">
        <f t="shared" si="16"/>
        <v>0.2344075532</v>
      </c>
      <c r="W30" s="65">
        <f t="shared" si="16"/>
        <v>0.2277543023</v>
      </c>
      <c r="X30" s="72">
        <f t="shared" ref="X30:AB30" si="17">W30</f>
        <v>0.2277543023</v>
      </c>
      <c r="Y30" s="65">
        <f t="shared" si="17"/>
        <v>0.2277543023</v>
      </c>
      <c r="Z30" s="65">
        <f t="shared" si="17"/>
        <v>0.2277543023</v>
      </c>
      <c r="AA30" s="65">
        <f t="shared" si="17"/>
        <v>0.2277543023</v>
      </c>
      <c r="AB30" s="65">
        <f t="shared" si="17"/>
        <v>0.2277543023</v>
      </c>
    </row>
    <row r="31" ht="15.75" customHeight="1">
      <c r="A31" s="2"/>
      <c r="B31" s="73"/>
      <c r="C31" s="1"/>
      <c r="D31" s="2"/>
      <c r="E31" s="2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 ht="15.75" customHeight="1">
      <c r="A32" s="2"/>
      <c r="B32" s="73"/>
      <c r="C32" s="74" t="s">
        <v>24</v>
      </c>
      <c r="D32" s="74"/>
      <c r="E32" s="57" t="s">
        <v>18</v>
      </c>
      <c r="F32" s="58">
        <f t="shared" ref="F32:H32" si="18">+F23-F29-F26</f>
        <v>93.3</v>
      </c>
      <c r="G32" s="58">
        <f t="shared" si="18"/>
        <v>98.93295894</v>
      </c>
      <c r="H32" s="58">
        <f t="shared" si="18"/>
        <v>106.2320991</v>
      </c>
      <c r="I32" s="59">
        <v>102.4</v>
      </c>
      <c r="J32" s="58">
        <f>+J23-J29-J26</f>
        <v>117</v>
      </c>
      <c r="K32" s="59">
        <v>117.3</v>
      </c>
      <c r="L32" s="58">
        <f t="shared" ref="L32:AB32" si="19">+L23-L29-L26</f>
        <v>124.1</v>
      </c>
      <c r="M32" s="58">
        <f t="shared" si="19"/>
        <v>84.2</v>
      </c>
      <c r="N32" s="58">
        <f t="shared" si="19"/>
        <v>133.083644</v>
      </c>
      <c r="O32" s="58">
        <f t="shared" si="19"/>
        <v>139.0765408</v>
      </c>
      <c r="P32" s="58">
        <f t="shared" si="19"/>
        <v>150.2956153</v>
      </c>
      <c r="Q32" s="58">
        <f t="shared" si="19"/>
        <v>160.2654645</v>
      </c>
      <c r="R32" s="75">
        <f t="shared" si="19"/>
        <v>166.349732</v>
      </c>
      <c r="S32" s="75">
        <f t="shared" si="19"/>
        <v>173.35232</v>
      </c>
      <c r="T32" s="75">
        <f t="shared" si="19"/>
        <v>181.1759552</v>
      </c>
      <c r="U32" s="75">
        <f t="shared" si="19"/>
        <v>190.218496</v>
      </c>
      <c r="V32" s="75">
        <f t="shared" si="19"/>
        <v>197.22016</v>
      </c>
      <c r="W32" s="75">
        <f t="shared" si="19"/>
        <v>205.43232</v>
      </c>
      <c r="X32" s="75">
        <f t="shared" si="19"/>
        <v>212.2490151</v>
      </c>
      <c r="Y32" s="75">
        <f t="shared" si="19"/>
        <v>219.2717109</v>
      </c>
      <c r="Z32" s="75">
        <f t="shared" si="19"/>
        <v>226.5063106</v>
      </c>
      <c r="AA32" s="75">
        <f t="shared" si="19"/>
        <v>233.9588811</v>
      </c>
      <c r="AB32" s="75">
        <f t="shared" si="19"/>
        <v>241.6356572</v>
      </c>
    </row>
    <row r="33" ht="15.75" customHeight="1">
      <c r="A33" s="2"/>
      <c r="B33" s="73"/>
      <c r="C33" s="63" t="s">
        <v>25</v>
      </c>
      <c r="D33" s="63"/>
      <c r="E33" s="63"/>
      <c r="F33" s="45">
        <f t="shared" ref="F33:AB33" si="20">+F32/F23</f>
        <v>0.1850089233</v>
      </c>
      <c r="G33" s="65">
        <f t="shared" si="20"/>
        <v>0.1905900233</v>
      </c>
      <c r="H33" s="65">
        <f t="shared" si="20"/>
        <v>0.1951628635</v>
      </c>
      <c r="I33" s="65">
        <f t="shared" si="20"/>
        <v>0.1855072464</v>
      </c>
      <c r="J33" s="65">
        <f t="shared" si="20"/>
        <v>0.2</v>
      </c>
      <c r="K33" s="65">
        <f t="shared" si="20"/>
        <v>0.1931818182</v>
      </c>
      <c r="L33" s="65">
        <f t="shared" si="20"/>
        <v>0.1973600509</v>
      </c>
      <c r="M33" s="65">
        <f t="shared" si="20"/>
        <v>0.1291015026</v>
      </c>
      <c r="N33" s="65">
        <f t="shared" si="20"/>
        <v>0.1964671648</v>
      </c>
      <c r="O33" s="65">
        <f t="shared" si="20"/>
        <v>0.2007523821</v>
      </c>
      <c r="P33" s="65">
        <f t="shared" si="20"/>
        <v>0.2114172771</v>
      </c>
      <c r="Q33" s="65">
        <f t="shared" si="20"/>
        <v>0.2194619249</v>
      </c>
      <c r="R33" s="65">
        <f t="shared" si="20"/>
        <v>0.2218145096</v>
      </c>
      <c r="S33" s="65">
        <f t="shared" si="20"/>
        <v>0.2268557138</v>
      </c>
      <c r="T33" s="65">
        <f t="shared" si="20"/>
        <v>0.2323436033</v>
      </c>
      <c r="U33" s="65">
        <f t="shared" si="20"/>
        <v>0.2387524539</v>
      </c>
      <c r="V33" s="65">
        <f t="shared" si="20"/>
        <v>0.2420413358</v>
      </c>
      <c r="W33" s="65">
        <f t="shared" si="20"/>
        <v>0.2462531301</v>
      </c>
      <c r="X33" s="65">
        <f t="shared" si="20"/>
        <v>0.2482188773</v>
      </c>
      <c r="Y33" s="65">
        <f t="shared" si="20"/>
        <v>0.2501772781</v>
      </c>
      <c r="Z33" s="65">
        <f t="shared" si="20"/>
        <v>0.2521283599</v>
      </c>
      <c r="AA33" s="65">
        <f t="shared" si="20"/>
        <v>0.2540721501</v>
      </c>
      <c r="AB33" s="65">
        <f t="shared" si="20"/>
        <v>0.2560086759</v>
      </c>
    </row>
    <row r="34" ht="15.75" customHeight="1">
      <c r="A34" s="2"/>
      <c r="B34" s="7"/>
      <c r="C34" s="1" t="s">
        <v>26</v>
      </c>
      <c r="D34" s="2"/>
      <c r="E34" s="2"/>
      <c r="F34" s="11"/>
      <c r="G34" s="31"/>
      <c r="H34" s="31"/>
      <c r="I34" s="76"/>
      <c r="J34" s="76"/>
      <c r="K34" s="76"/>
      <c r="L34" s="76"/>
      <c r="M34" s="77">
        <f>M32+45</f>
        <v>129.2</v>
      </c>
      <c r="N34" s="76">
        <f>M34*5</f>
        <v>646</v>
      </c>
      <c r="O34" s="76"/>
      <c r="P34" s="76"/>
      <c r="Q34" s="76"/>
      <c r="R34" s="76">
        <f>R32+40</f>
        <v>206.349732</v>
      </c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 ht="15.75" customHeight="1">
      <c r="A35" s="2"/>
      <c r="B35" s="7"/>
      <c r="C35" s="2" t="s">
        <v>27</v>
      </c>
      <c r="D35" s="2"/>
      <c r="E35" s="30" t="s">
        <v>18</v>
      </c>
      <c r="F35" s="68">
        <v>28.0</v>
      </c>
      <c r="G35" s="68">
        <v>28.0</v>
      </c>
      <c r="H35" s="68">
        <v>28.0</v>
      </c>
      <c r="I35" s="78">
        <v>40.2</v>
      </c>
      <c r="J35" s="78">
        <v>40.2</v>
      </c>
      <c r="K35" s="78">
        <v>40.2</v>
      </c>
      <c r="L35" s="78">
        <v>40.2</v>
      </c>
      <c r="M35" s="78">
        <v>40.2</v>
      </c>
      <c r="N35" s="79">
        <f t="shared" ref="N35:R35" si="21">$D$50*($D$51+$D$52)</f>
        <v>66.5</v>
      </c>
      <c r="O35" s="80">
        <f t="shared" si="21"/>
        <v>66.5</v>
      </c>
      <c r="P35" s="80">
        <f t="shared" si="21"/>
        <v>66.5</v>
      </c>
      <c r="Q35" s="80">
        <f t="shared" si="21"/>
        <v>66.5</v>
      </c>
      <c r="R35" s="81">
        <f t="shared" si="21"/>
        <v>66.5</v>
      </c>
      <c r="S35" s="81"/>
      <c r="T35" s="81"/>
      <c r="U35" s="81"/>
      <c r="V35" s="81"/>
      <c r="W35" s="81"/>
      <c r="X35" s="81"/>
      <c r="Y35" s="81"/>
      <c r="Z35" s="81"/>
      <c r="AA35" s="81"/>
      <c r="AB35" s="81"/>
    </row>
    <row r="36" ht="15.75" customHeight="1">
      <c r="A36" s="2"/>
      <c r="B36" s="7"/>
      <c r="C36" s="69"/>
      <c r="D36" s="2"/>
      <c r="E36" s="2"/>
      <c r="F36" s="82"/>
      <c r="G36" s="82"/>
      <c r="H36" s="82"/>
      <c r="I36" s="83"/>
      <c r="J36" s="83"/>
      <c r="K36" s="83"/>
      <c r="L36" s="83"/>
      <c r="M36" s="83"/>
      <c r="N36" s="83"/>
      <c r="O36" s="83"/>
      <c r="P36" s="83"/>
      <c r="Q36" s="83"/>
      <c r="R36" s="83"/>
      <c r="S36" s="2"/>
      <c r="T36" s="2"/>
      <c r="U36" s="2"/>
      <c r="V36" s="30"/>
      <c r="W36" s="30"/>
      <c r="X36" s="30"/>
      <c r="Y36" s="30"/>
      <c r="Z36" s="30"/>
      <c r="AA36" s="30"/>
      <c r="AB36" s="30"/>
    </row>
    <row r="37" ht="15.75" customHeight="1">
      <c r="A37" s="2"/>
      <c r="B37" s="7"/>
      <c r="C37" s="2" t="s">
        <v>28</v>
      </c>
      <c r="D37" s="2"/>
      <c r="E37" s="30" t="s">
        <v>18</v>
      </c>
      <c r="F37" s="68">
        <v>40.0</v>
      </c>
      <c r="G37" s="68">
        <v>46.0</v>
      </c>
      <c r="H37" s="68">
        <v>55.0</v>
      </c>
      <c r="I37" s="68">
        <f t="shared" ref="I37:R37" si="22">I65*$H$66</f>
        <v>49.88041854</v>
      </c>
      <c r="J37" s="84">
        <f t="shared" si="22"/>
        <v>61.12107623</v>
      </c>
      <c r="K37" s="84">
        <f t="shared" si="22"/>
        <v>62.52615845</v>
      </c>
      <c r="L37" s="84">
        <f t="shared" si="22"/>
        <v>63.93124066</v>
      </c>
      <c r="M37" s="84">
        <f t="shared" si="22"/>
        <v>65.33632287</v>
      </c>
      <c r="N37" s="85">
        <f t="shared" si="22"/>
        <v>66.03886398</v>
      </c>
      <c r="O37" s="85">
        <f t="shared" si="22"/>
        <v>67.44394619</v>
      </c>
      <c r="P37" s="85">
        <f t="shared" si="22"/>
        <v>68.8490284</v>
      </c>
      <c r="Q37" s="85">
        <f t="shared" si="22"/>
        <v>70.25411061</v>
      </c>
      <c r="R37" s="86">
        <f t="shared" si="22"/>
        <v>71.65919283</v>
      </c>
      <c r="S37" s="87">
        <v>72.5</v>
      </c>
      <c r="T37" s="87">
        <v>73.0</v>
      </c>
      <c r="U37" s="87">
        <v>73.5</v>
      </c>
      <c r="V37" s="87">
        <v>75.0</v>
      </c>
      <c r="W37" s="87">
        <v>75.5</v>
      </c>
      <c r="X37" s="87">
        <v>75.5</v>
      </c>
      <c r="Y37" s="87">
        <v>75.5</v>
      </c>
      <c r="Z37" s="87">
        <v>75.5</v>
      </c>
      <c r="AA37" s="87">
        <v>75.5</v>
      </c>
      <c r="AB37" s="87">
        <v>75.5</v>
      </c>
    </row>
    <row r="38" ht="15.75" customHeight="1">
      <c r="A38" s="2"/>
      <c r="B38" s="7"/>
      <c r="C38" s="88"/>
      <c r="D38" s="88"/>
      <c r="E38" s="88"/>
      <c r="F38" s="89"/>
      <c r="G38" s="89"/>
      <c r="H38" s="89"/>
      <c r="I38" s="90"/>
      <c r="J38" s="89"/>
      <c r="K38" s="89"/>
      <c r="L38" s="89"/>
      <c r="M38" s="89"/>
      <c r="N38" s="89"/>
      <c r="O38" s="89"/>
      <c r="P38" s="89"/>
      <c r="Q38" s="91"/>
      <c r="R38" s="91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 ht="15.75" customHeight="1">
      <c r="A39" s="2"/>
      <c r="B39" s="7"/>
      <c r="C39" s="92" t="s">
        <v>29</v>
      </c>
      <c r="D39" s="92"/>
      <c r="E39" s="57" t="s">
        <v>18</v>
      </c>
      <c r="F39" s="93">
        <f t="shared" ref="F39:H39" si="23">F32-F35-F37</f>
        <v>25.3</v>
      </c>
      <c r="G39" s="93">
        <f t="shared" si="23"/>
        <v>24.93295894</v>
      </c>
      <c r="H39" s="93">
        <f t="shared" si="23"/>
        <v>23.23209907</v>
      </c>
      <c r="I39" s="93">
        <f t="shared" ref="I39:AB39" si="24">+I32-I35-I37</f>
        <v>12.31958146</v>
      </c>
      <c r="J39" s="93">
        <f t="shared" si="24"/>
        <v>15.67892377</v>
      </c>
      <c r="K39" s="93">
        <f t="shared" si="24"/>
        <v>14.57384155</v>
      </c>
      <c r="L39" s="93">
        <f t="shared" si="24"/>
        <v>19.96875934</v>
      </c>
      <c r="M39" s="93">
        <f t="shared" si="24"/>
        <v>-21.33632287</v>
      </c>
      <c r="N39" s="93">
        <f t="shared" si="24"/>
        <v>0.5447800239</v>
      </c>
      <c r="O39" s="93">
        <f t="shared" si="24"/>
        <v>5.132594612</v>
      </c>
      <c r="P39" s="93">
        <f t="shared" si="24"/>
        <v>14.9465869</v>
      </c>
      <c r="Q39" s="93">
        <f t="shared" si="24"/>
        <v>23.51135389</v>
      </c>
      <c r="R39" s="93">
        <f t="shared" si="24"/>
        <v>28.19053917</v>
      </c>
      <c r="S39" s="93">
        <f t="shared" si="24"/>
        <v>100.85232</v>
      </c>
      <c r="T39" s="93">
        <f t="shared" si="24"/>
        <v>108.1759552</v>
      </c>
      <c r="U39" s="93">
        <f t="shared" si="24"/>
        <v>116.718496</v>
      </c>
      <c r="V39" s="93">
        <f t="shared" si="24"/>
        <v>122.22016</v>
      </c>
      <c r="W39" s="93">
        <f t="shared" si="24"/>
        <v>129.93232</v>
      </c>
      <c r="X39" s="93">
        <f t="shared" si="24"/>
        <v>136.7490151</v>
      </c>
      <c r="Y39" s="93">
        <f t="shared" si="24"/>
        <v>143.7717109</v>
      </c>
      <c r="Z39" s="93">
        <f t="shared" si="24"/>
        <v>151.0063106</v>
      </c>
      <c r="AA39" s="93">
        <f t="shared" si="24"/>
        <v>158.4588811</v>
      </c>
      <c r="AB39" s="93">
        <f t="shared" si="24"/>
        <v>166.1356572</v>
      </c>
    </row>
    <row r="40" ht="15.75" customHeight="1">
      <c r="A40" s="2"/>
      <c r="B40" s="7"/>
      <c r="C40" s="94"/>
      <c r="D40" s="94"/>
      <c r="E40" s="94"/>
      <c r="F40" s="95"/>
      <c r="G40" s="95"/>
      <c r="H40" s="95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 ht="15.75" customHeight="1">
      <c r="A41" s="2"/>
      <c r="B41" s="7"/>
      <c r="C41" s="2" t="s">
        <v>30</v>
      </c>
      <c r="D41" s="97">
        <v>0.24</v>
      </c>
      <c r="E41" s="30" t="s">
        <v>18</v>
      </c>
      <c r="F41" s="68">
        <v>4.0</v>
      </c>
      <c r="G41" s="68">
        <v>3.0</v>
      </c>
      <c r="H41" s="68">
        <v>3.0</v>
      </c>
      <c r="I41" s="98">
        <f t="shared" ref="I41:AB41" si="25">I39*$D$41</f>
        <v>2.956699552</v>
      </c>
      <c r="J41" s="98">
        <f t="shared" si="25"/>
        <v>3.762941704</v>
      </c>
      <c r="K41" s="98">
        <f t="shared" si="25"/>
        <v>3.497721973</v>
      </c>
      <c r="L41" s="98">
        <f t="shared" si="25"/>
        <v>4.792502242</v>
      </c>
      <c r="M41" s="98">
        <f t="shared" si="25"/>
        <v>-5.120717489</v>
      </c>
      <c r="N41" s="98">
        <f t="shared" si="25"/>
        <v>0.1307472057</v>
      </c>
      <c r="O41" s="98">
        <f t="shared" si="25"/>
        <v>1.231822707</v>
      </c>
      <c r="P41" s="98">
        <f t="shared" si="25"/>
        <v>3.587180856</v>
      </c>
      <c r="Q41" s="98">
        <f t="shared" si="25"/>
        <v>5.642724933</v>
      </c>
      <c r="R41" s="98">
        <f t="shared" si="25"/>
        <v>6.765729402</v>
      </c>
      <c r="S41" s="98">
        <f t="shared" si="25"/>
        <v>24.2045568</v>
      </c>
      <c r="T41" s="98">
        <f t="shared" si="25"/>
        <v>25.96222925</v>
      </c>
      <c r="U41" s="98">
        <f t="shared" si="25"/>
        <v>28.01243904</v>
      </c>
      <c r="V41" s="98">
        <f t="shared" si="25"/>
        <v>29.3328384</v>
      </c>
      <c r="W41" s="98">
        <f t="shared" si="25"/>
        <v>31.1837568</v>
      </c>
      <c r="X41" s="98">
        <f t="shared" si="25"/>
        <v>32.81976362</v>
      </c>
      <c r="Y41" s="98">
        <f t="shared" si="25"/>
        <v>34.50521061</v>
      </c>
      <c r="Z41" s="98">
        <f t="shared" si="25"/>
        <v>36.24151454</v>
      </c>
      <c r="AA41" s="98">
        <f t="shared" si="25"/>
        <v>38.03013147</v>
      </c>
      <c r="AB41" s="98">
        <f t="shared" si="25"/>
        <v>39.87255773</v>
      </c>
    </row>
    <row r="42" ht="15.75" customHeight="1">
      <c r="A42" s="2"/>
      <c r="B42" s="7"/>
      <c r="C42" s="88"/>
      <c r="D42" s="88"/>
      <c r="E42" s="88"/>
      <c r="F42" s="99"/>
      <c r="G42" s="99"/>
      <c r="H42" s="99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 ht="15.75" customHeight="1">
      <c r="A43" s="2"/>
      <c r="B43" s="7"/>
      <c r="C43" s="92" t="s">
        <v>31</v>
      </c>
      <c r="D43" s="92"/>
      <c r="E43" s="57" t="s">
        <v>18</v>
      </c>
      <c r="F43" s="93">
        <f t="shared" ref="F43:AB43" si="26">F39-F41</f>
        <v>21.3</v>
      </c>
      <c r="G43" s="93">
        <f t="shared" si="26"/>
        <v>21.93295894</v>
      </c>
      <c r="H43" s="93">
        <f t="shared" si="26"/>
        <v>20.23209907</v>
      </c>
      <c r="I43" s="93">
        <f t="shared" si="26"/>
        <v>9.362881913</v>
      </c>
      <c r="J43" s="93">
        <f t="shared" si="26"/>
        <v>11.91598206</v>
      </c>
      <c r="K43" s="93">
        <f t="shared" si="26"/>
        <v>11.07611958</v>
      </c>
      <c r="L43" s="93">
        <f t="shared" si="26"/>
        <v>15.1762571</v>
      </c>
      <c r="M43" s="93">
        <f t="shared" si="26"/>
        <v>-16.21560538</v>
      </c>
      <c r="N43" s="93">
        <f t="shared" si="26"/>
        <v>0.4140328182</v>
      </c>
      <c r="O43" s="93">
        <f t="shared" si="26"/>
        <v>3.900771905</v>
      </c>
      <c r="P43" s="93">
        <f t="shared" si="26"/>
        <v>11.35940604</v>
      </c>
      <c r="Q43" s="93">
        <f t="shared" si="26"/>
        <v>17.86862895</v>
      </c>
      <c r="R43" s="93">
        <f t="shared" si="26"/>
        <v>21.42480977</v>
      </c>
      <c r="S43" s="93">
        <f t="shared" si="26"/>
        <v>76.6477632</v>
      </c>
      <c r="T43" s="93">
        <f t="shared" si="26"/>
        <v>82.21372595</v>
      </c>
      <c r="U43" s="93">
        <f t="shared" si="26"/>
        <v>88.70605696</v>
      </c>
      <c r="V43" s="93">
        <f t="shared" si="26"/>
        <v>92.8873216</v>
      </c>
      <c r="W43" s="93">
        <f t="shared" si="26"/>
        <v>98.7485632</v>
      </c>
      <c r="X43" s="93">
        <f t="shared" si="26"/>
        <v>103.9292515</v>
      </c>
      <c r="Y43" s="93">
        <f t="shared" si="26"/>
        <v>109.2665003</v>
      </c>
      <c r="Z43" s="93">
        <f t="shared" si="26"/>
        <v>114.7647961</v>
      </c>
      <c r="AA43" s="93">
        <f t="shared" si="26"/>
        <v>120.4287497</v>
      </c>
      <c r="AB43" s="93">
        <f t="shared" si="26"/>
        <v>126.2630995</v>
      </c>
    </row>
    <row r="44" ht="15.75" customHeight="1">
      <c r="A44" s="2"/>
      <c r="B44" s="101"/>
      <c r="C44" s="92"/>
      <c r="D44" s="92"/>
      <c r="E44" s="102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  <c r="Q44" s="103"/>
      <c r="R44" s="103"/>
      <c r="S44" s="88"/>
      <c r="T44" s="88"/>
      <c r="U44" s="88"/>
      <c r="V44" s="88"/>
      <c r="W44" s="88"/>
      <c r="X44" s="88"/>
      <c r="Y44" s="88"/>
      <c r="Z44" s="88"/>
      <c r="AA44" s="88"/>
      <c r="AB44" s="104"/>
    </row>
    <row r="45" ht="15.75" customHeight="1">
      <c r="A45" s="2"/>
      <c r="B45" s="2"/>
      <c r="C45" s="94"/>
      <c r="D45" s="94"/>
      <c r="E45" s="13"/>
      <c r="F45" s="105"/>
      <c r="G45" s="105"/>
      <c r="H45" s="105"/>
      <c r="I45" s="105"/>
      <c r="J45" s="105"/>
      <c r="K45" s="105"/>
      <c r="L45" s="105"/>
      <c r="M45" s="105"/>
      <c r="N45" s="105"/>
      <c r="O45" s="105"/>
      <c r="P45" s="105"/>
      <c r="Q45" s="105"/>
      <c r="R45" s="105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 ht="15.75" customHeight="1">
      <c r="A46" s="2"/>
      <c r="B46" s="106"/>
      <c r="C46" s="92"/>
      <c r="D46" s="92"/>
      <c r="E46" s="102"/>
      <c r="F46" s="103"/>
      <c r="G46" s="103"/>
      <c r="H46" s="103"/>
      <c r="I46" s="103"/>
      <c r="J46" s="103"/>
      <c r="K46" s="103"/>
      <c r="L46" s="103"/>
      <c r="M46" s="103"/>
      <c r="N46" s="103"/>
      <c r="O46" s="103"/>
      <c r="P46" s="103"/>
      <c r="Q46" s="103"/>
      <c r="R46" s="103"/>
      <c r="S46" s="106"/>
      <c r="T46" s="2"/>
      <c r="U46" s="2"/>
      <c r="V46" s="2"/>
      <c r="W46" s="2"/>
      <c r="X46" s="2"/>
      <c r="Y46" s="2"/>
      <c r="Z46" s="2"/>
      <c r="AA46" s="2"/>
      <c r="AB46" s="2"/>
    </row>
    <row r="47" ht="15.75" customHeight="1">
      <c r="A47" s="2"/>
      <c r="B47" s="7"/>
      <c r="C47" s="2"/>
      <c r="D47" s="2"/>
      <c r="E47" s="2"/>
      <c r="F47" s="107"/>
      <c r="G47" s="107"/>
      <c r="H47" s="107"/>
      <c r="I47" s="83"/>
      <c r="J47" s="83"/>
      <c r="K47" s="83"/>
      <c r="L47" s="83"/>
      <c r="M47" s="83"/>
      <c r="N47" s="83"/>
      <c r="O47" s="83"/>
      <c r="P47" s="83"/>
      <c r="Q47" s="83"/>
      <c r="R47" s="83"/>
      <c r="S47" s="9"/>
      <c r="T47" s="2"/>
      <c r="U47" s="2"/>
      <c r="V47" s="2"/>
      <c r="W47" s="2"/>
      <c r="X47" s="2"/>
      <c r="Y47" s="2"/>
      <c r="Z47" s="2"/>
      <c r="AA47" s="2"/>
      <c r="AB47" s="2"/>
    </row>
    <row r="48" ht="15.75" customHeight="1">
      <c r="A48" s="2"/>
      <c r="B48" s="15" t="s">
        <v>32</v>
      </c>
      <c r="C48" s="16"/>
      <c r="D48" s="16"/>
      <c r="E48" s="16"/>
      <c r="F48" s="16"/>
      <c r="G48" s="17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8"/>
      <c r="T48" s="2"/>
      <c r="U48" s="2"/>
      <c r="V48" s="2"/>
      <c r="W48" s="2"/>
      <c r="X48" s="2"/>
      <c r="Y48" s="2"/>
      <c r="Z48" s="2"/>
      <c r="AA48" s="2"/>
      <c r="AB48" s="2"/>
    </row>
    <row r="49" ht="15.75" customHeight="1">
      <c r="A49" s="2"/>
      <c r="B49" s="108"/>
      <c r="C49" s="109"/>
      <c r="D49" s="110"/>
      <c r="E49" s="111"/>
      <c r="F49" s="112"/>
      <c r="G49" s="113"/>
      <c r="H49" s="112"/>
      <c r="I49" s="112"/>
      <c r="J49" s="112"/>
      <c r="K49" s="112"/>
      <c r="L49" s="112"/>
      <c r="M49" s="112"/>
      <c r="N49" s="112"/>
      <c r="O49" s="112"/>
      <c r="P49" s="112"/>
      <c r="Q49" s="112"/>
      <c r="R49" s="2"/>
      <c r="S49" s="9"/>
      <c r="T49" s="2"/>
      <c r="U49" s="2"/>
      <c r="V49" s="2"/>
      <c r="W49" s="2"/>
      <c r="X49" s="2"/>
      <c r="Y49" s="2"/>
      <c r="Z49" s="2"/>
      <c r="AA49" s="2"/>
      <c r="AB49" s="2"/>
    </row>
    <row r="50" ht="15.75" customHeight="1">
      <c r="A50" s="2"/>
      <c r="B50" s="108"/>
      <c r="C50" s="114" t="s">
        <v>33</v>
      </c>
      <c r="D50" s="115">
        <v>875.0</v>
      </c>
      <c r="E50" s="30" t="s">
        <v>18</v>
      </c>
      <c r="G50" s="113"/>
      <c r="H50" s="112"/>
      <c r="I50" s="112"/>
      <c r="J50" s="112"/>
      <c r="K50" s="112"/>
      <c r="L50" s="112"/>
      <c r="M50" s="112"/>
      <c r="N50" s="112"/>
      <c r="O50" s="112"/>
      <c r="P50" s="112"/>
      <c r="Q50" s="112"/>
      <c r="R50" s="2"/>
      <c r="S50" s="9"/>
      <c r="T50" s="2"/>
      <c r="U50" s="2"/>
      <c r="V50" s="2"/>
      <c r="W50" s="2"/>
      <c r="X50" s="2"/>
      <c r="Y50" s="2"/>
      <c r="Z50" s="2"/>
      <c r="AA50" s="2"/>
      <c r="AB50" s="2"/>
    </row>
    <row r="51" ht="15.75" customHeight="1">
      <c r="A51" s="2"/>
      <c r="B51" s="7"/>
      <c r="C51" s="114" t="s">
        <v>34</v>
      </c>
      <c r="D51" s="116">
        <v>0.036</v>
      </c>
      <c r="E51" s="30" t="s">
        <v>12</v>
      </c>
      <c r="F51" s="2"/>
      <c r="G51" s="117"/>
      <c r="H51" s="117"/>
      <c r="I51" s="112"/>
      <c r="J51" s="112"/>
      <c r="K51" s="113"/>
      <c r="L51" s="113"/>
      <c r="M51" s="113"/>
      <c r="N51" s="113"/>
      <c r="O51" s="2"/>
      <c r="P51" s="2"/>
      <c r="Q51" s="2"/>
      <c r="R51" s="2"/>
      <c r="S51" s="9"/>
      <c r="T51" s="2"/>
      <c r="U51" s="2"/>
      <c r="V51" s="2"/>
      <c r="W51" s="2"/>
      <c r="X51" s="2"/>
      <c r="Y51" s="2"/>
      <c r="Z51" s="2"/>
      <c r="AA51" s="2"/>
      <c r="AB51" s="2"/>
    </row>
    <row r="52" ht="15.75" customHeight="1">
      <c r="A52" s="2"/>
      <c r="B52" s="118"/>
      <c r="C52" s="114" t="s">
        <v>35</v>
      </c>
      <c r="D52" s="116">
        <v>0.04</v>
      </c>
      <c r="E52" s="30" t="s">
        <v>12</v>
      </c>
      <c r="F52" s="2"/>
      <c r="G52" s="113"/>
      <c r="H52" s="112"/>
      <c r="I52" s="112"/>
      <c r="J52" s="112"/>
      <c r="K52" s="119"/>
      <c r="L52" s="119"/>
      <c r="M52" s="119"/>
      <c r="N52" s="119"/>
      <c r="O52" s="2"/>
      <c r="P52" s="2"/>
      <c r="Q52" s="2"/>
      <c r="R52" s="2"/>
      <c r="S52" s="9"/>
      <c r="T52" s="2"/>
      <c r="U52" s="2"/>
      <c r="V52" s="2"/>
      <c r="W52" s="2"/>
      <c r="X52" s="2"/>
      <c r="Y52" s="2"/>
      <c r="Z52" s="2"/>
      <c r="AA52" s="2"/>
      <c r="AB52" s="2"/>
    </row>
    <row r="53" ht="15.75" customHeight="1">
      <c r="A53" s="2"/>
      <c r="B53" s="120"/>
      <c r="C53" s="121" t="s">
        <v>36</v>
      </c>
      <c r="D53" s="122">
        <f>D50/R34</f>
        <v>4.240373814</v>
      </c>
      <c r="E53" s="106"/>
      <c r="F53" s="106"/>
      <c r="G53" s="123"/>
      <c r="H53" s="106"/>
      <c r="I53" s="124"/>
      <c r="J53" s="125"/>
      <c r="K53" s="126"/>
      <c r="L53" s="126"/>
      <c r="M53" s="126"/>
      <c r="N53" s="126"/>
      <c r="O53" s="106"/>
      <c r="P53" s="106"/>
      <c r="Q53" s="106"/>
      <c r="R53" s="106"/>
      <c r="S53" s="127"/>
      <c r="T53" s="2"/>
      <c r="U53" s="2"/>
      <c r="V53" s="2"/>
      <c r="W53" s="2"/>
      <c r="X53" s="2"/>
      <c r="Y53" s="2"/>
      <c r="Z53" s="2"/>
      <c r="AA53" s="2"/>
      <c r="AB53" s="2"/>
    </row>
    <row r="54" ht="15.75" customHeight="1">
      <c r="A54" s="2"/>
      <c r="B54" s="128"/>
      <c r="C54" s="2"/>
      <c r="D54" s="2"/>
      <c r="E54" s="2"/>
      <c r="F54" s="2"/>
      <c r="G54" s="30"/>
      <c r="H54" s="2"/>
      <c r="I54" s="129"/>
      <c r="J54" s="130"/>
      <c r="K54" s="119"/>
      <c r="L54" s="119"/>
      <c r="M54" s="119"/>
      <c r="N54" s="119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 ht="15.75" customHeight="1">
      <c r="A55" s="2"/>
      <c r="B55" s="131"/>
      <c r="C55" s="106"/>
      <c r="D55" s="106"/>
      <c r="E55" s="106"/>
      <c r="F55" s="106"/>
      <c r="G55" s="123"/>
      <c r="H55" s="106"/>
      <c r="I55" s="124"/>
      <c r="J55" s="125"/>
      <c r="K55" s="126"/>
      <c r="L55" s="126"/>
      <c r="M55" s="126"/>
      <c r="N55" s="126"/>
      <c r="O55" s="106"/>
      <c r="P55" s="106"/>
      <c r="Q55" s="106"/>
      <c r="R55" s="106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 ht="15.75" customHeight="1">
      <c r="A56" s="2"/>
      <c r="B56" s="7"/>
      <c r="C56" s="2"/>
      <c r="D56" s="2"/>
      <c r="E56" s="2"/>
      <c r="F56" s="2"/>
      <c r="G56" s="30"/>
      <c r="H56" s="2"/>
      <c r="I56" s="2"/>
      <c r="J56" s="2"/>
      <c r="K56" s="113"/>
      <c r="L56" s="113"/>
      <c r="M56" s="113"/>
      <c r="N56" s="2"/>
      <c r="O56" s="2"/>
      <c r="P56" s="2"/>
      <c r="Q56" s="2"/>
      <c r="R56" s="2"/>
      <c r="S56" s="4"/>
      <c r="T56" s="4"/>
      <c r="U56" s="4"/>
      <c r="V56" s="4"/>
      <c r="W56" s="4"/>
      <c r="X56" s="4"/>
      <c r="Y56" s="4"/>
      <c r="Z56" s="4"/>
      <c r="AA56" s="4"/>
      <c r="AB56" s="5"/>
    </row>
    <row r="57" ht="15.75" customHeight="1">
      <c r="A57" s="2"/>
      <c r="B57" s="15" t="s">
        <v>37</v>
      </c>
      <c r="C57" s="16"/>
      <c r="D57" s="16"/>
      <c r="E57" s="16"/>
      <c r="F57" s="16"/>
      <c r="G57" s="17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32"/>
      <c r="S57" s="133"/>
      <c r="T57" s="133"/>
      <c r="U57" s="133"/>
      <c r="V57" s="133"/>
      <c r="W57" s="133"/>
      <c r="X57" s="2"/>
      <c r="Y57" s="2"/>
      <c r="Z57" s="2"/>
      <c r="AA57" s="2"/>
      <c r="AB57" s="9"/>
    </row>
    <row r="58" ht="15.75" customHeight="1">
      <c r="A58" s="2"/>
      <c r="B58" s="7"/>
      <c r="C58" s="2"/>
      <c r="D58" s="2"/>
      <c r="E58" s="2"/>
      <c r="F58" s="107"/>
      <c r="G58" s="107"/>
      <c r="H58" s="107"/>
      <c r="I58" s="83"/>
      <c r="J58" s="83"/>
      <c r="K58" s="83"/>
      <c r="L58" s="83"/>
      <c r="M58" s="83"/>
      <c r="N58" s="83"/>
      <c r="O58" s="83"/>
      <c r="P58" s="83"/>
      <c r="Q58" s="83"/>
      <c r="R58" s="83"/>
      <c r="S58" s="2"/>
      <c r="T58" s="2"/>
      <c r="U58" s="2"/>
      <c r="V58" s="2"/>
      <c r="W58" s="2"/>
      <c r="X58" s="2"/>
      <c r="Y58" s="2"/>
      <c r="Z58" s="2"/>
      <c r="AA58" s="2"/>
      <c r="AB58" s="9"/>
    </row>
    <row r="59" ht="15.75" customHeight="1">
      <c r="A59" s="2"/>
      <c r="B59" s="7"/>
      <c r="C59" s="19"/>
      <c r="D59" s="19"/>
      <c r="E59" s="19"/>
      <c r="F59" s="134" t="s">
        <v>4</v>
      </c>
      <c r="G59" s="21"/>
      <c r="H59" s="135"/>
      <c r="I59" s="136" t="s">
        <v>38</v>
      </c>
      <c r="J59" s="21"/>
      <c r="K59" s="21"/>
      <c r="L59" s="21"/>
      <c r="M59" s="22"/>
      <c r="N59" s="20" t="s">
        <v>4</v>
      </c>
      <c r="O59" s="21"/>
      <c r="P59" s="21"/>
      <c r="Q59" s="21"/>
      <c r="R59" s="22"/>
      <c r="S59" s="137"/>
      <c r="X59" s="137"/>
      <c r="AB59" s="138"/>
    </row>
    <row r="60" ht="15.75" customHeight="1">
      <c r="A60" s="2"/>
      <c r="B60" s="7"/>
      <c r="C60" s="19"/>
      <c r="D60" s="19"/>
      <c r="E60" s="19" t="s">
        <v>6</v>
      </c>
      <c r="F60" s="19">
        <v>2022.0</v>
      </c>
      <c r="G60" s="19">
        <v>2023.0</v>
      </c>
      <c r="H60" s="23">
        <v>2024.0</v>
      </c>
      <c r="I60" s="24">
        <v>2025.0</v>
      </c>
      <c r="J60" s="19">
        <v>2026.0</v>
      </c>
      <c r="K60" s="19">
        <v>2027.0</v>
      </c>
      <c r="L60" s="19">
        <v>2028.0</v>
      </c>
      <c r="M60" s="19">
        <v>2029.0</v>
      </c>
      <c r="N60" s="25">
        <v>2030.0</v>
      </c>
      <c r="O60" s="19">
        <v>2031.0</v>
      </c>
      <c r="P60" s="19">
        <v>2032.0</v>
      </c>
      <c r="Q60" s="19">
        <v>2033.0</v>
      </c>
      <c r="R60" s="139">
        <v>2034.0</v>
      </c>
      <c r="S60" s="137">
        <v>2035.0</v>
      </c>
      <c r="T60" s="137">
        <v>2036.0</v>
      </c>
      <c r="U60" s="137">
        <v>2037.0</v>
      </c>
      <c r="V60" s="137">
        <v>2038.0</v>
      </c>
      <c r="W60" s="137">
        <v>2039.0</v>
      </c>
      <c r="X60" s="137">
        <f t="shared" ref="X60:AB60" si="27">W60+1</f>
        <v>2040</v>
      </c>
      <c r="Y60" s="137">
        <f t="shared" si="27"/>
        <v>2041</v>
      </c>
      <c r="Z60" s="137">
        <f t="shared" si="27"/>
        <v>2042</v>
      </c>
      <c r="AA60" s="137">
        <f t="shared" si="27"/>
        <v>2043</v>
      </c>
      <c r="AB60" s="140">
        <f t="shared" si="27"/>
        <v>2044</v>
      </c>
    </row>
    <row r="61" ht="15.75" customHeight="1">
      <c r="A61" s="2"/>
      <c r="B61" s="7"/>
      <c r="C61" s="2"/>
      <c r="D61" s="2"/>
      <c r="E61" s="2"/>
      <c r="F61" s="107"/>
      <c r="G61" s="107"/>
      <c r="H61" s="107"/>
      <c r="I61" s="83"/>
      <c r="J61" s="83"/>
      <c r="K61" s="83"/>
      <c r="L61" s="83"/>
      <c r="M61" s="83"/>
      <c r="N61" s="83"/>
      <c r="O61" s="83"/>
      <c r="P61" s="83"/>
      <c r="Q61" s="83"/>
      <c r="R61" s="83"/>
      <c r="S61" s="2"/>
      <c r="T61" s="2"/>
      <c r="U61" s="2"/>
      <c r="V61" s="2"/>
      <c r="W61" s="2"/>
      <c r="X61" s="2"/>
      <c r="Y61" s="2"/>
      <c r="Z61" s="2"/>
      <c r="AA61" s="2"/>
      <c r="AB61" s="9"/>
    </row>
    <row r="62" ht="15.75" customHeight="1">
      <c r="A62" s="2"/>
      <c r="B62" s="7"/>
      <c r="C62" s="141" t="s">
        <v>39</v>
      </c>
      <c r="D62" s="141"/>
      <c r="E62" s="142"/>
      <c r="F62" s="107"/>
      <c r="G62" s="143">
        <f t="shared" ref="G62:H62" si="28">G64/G15</f>
        <v>-0.1775229358</v>
      </c>
      <c r="H62" s="143">
        <f t="shared" si="28"/>
        <v>-0.1760869565</v>
      </c>
      <c r="I62" s="83"/>
      <c r="J62" s="83"/>
      <c r="K62" s="83"/>
      <c r="L62" s="83"/>
      <c r="M62" s="144"/>
      <c r="N62" s="83"/>
      <c r="O62" s="83"/>
      <c r="P62" s="83"/>
      <c r="Q62" s="83"/>
      <c r="R62" s="83"/>
      <c r="S62" s="2"/>
      <c r="T62" s="2"/>
      <c r="U62" s="2"/>
      <c r="V62" s="2"/>
      <c r="W62" s="2"/>
      <c r="X62" s="2"/>
      <c r="Y62" s="2"/>
      <c r="Z62" s="2"/>
      <c r="AA62" s="2"/>
      <c r="AB62" s="9"/>
    </row>
    <row r="63" ht="15.75" customHeight="1">
      <c r="A63" s="2"/>
      <c r="B63" s="7"/>
      <c r="C63" s="2" t="s">
        <v>40</v>
      </c>
      <c r="D63" s="2"/>
      <c r="E63" s="30" t="s">
        <v>18</v>
      </c>
      <c r="F63" s="68">
        <v>-25.0</v>
      </c>
      <c r="G63" s="68">
        <v>-24.3</v>
      </c>
      <c r="H63" s="68">
        <v>-35.6</v>
      </c>
      <c r="I63" s="145" t="s">
        <v>41</v>
      </c>
      <c r="J63" s="145" t="s">
        <v>42</v>
      </c>
      <c r="K63" s="145" t="s">
        <v>42</v>
      </c>
      <c r="L63" s="145" t="s">
        <v>42</v>
      </c>
      <c r="M63" s="145" t="s">
        <v>42</v>
      </c>
      <c r="N63" s="146">
        <v>-4.4</v>
      </c>
      <c r="O63" s="147">
        <v>-8.8</v>
      </c>
      <c r="P63" s="146">
        <v>-11.5</v>
      </c>
      <c r="Q63" s="146">
        <v>-39.3</v>
      </c>
      <c r="R63" s="146">
        <v>-42.1</v>
      </c>
      <c r="S63" s="146"/>
      <c r="T63" s="146"/>
      <c r="U63" s="146"/>
      <c r="V63" s="146"/>
      <c r="W63" s="146"/>
      <c r="X63" s="2"/>
      <c r="Y63" s="2"/>
      <c r="Z63" s="2"/>
      <c r="AA63" s="2"/>
      <c r="AB63" s="9"/>
    </row>
    <row r="64" ht="15.75" customHeight="1">
      <c r="A64" s="2"/>
      <c r="B64" s="7"/>
      <c r="C64" s="88" t="s">
        <v>43</v>
      </c>
      <c r="D64" s="88"/>
      <c r="E64" s="148" t="s">
        <v>18</v>
      </c>
      <c r="F64" s="149">
        <v>-36.6</v>
      </c>
      <c r="G64" s="149">
        <v>-38.7</v>
      </c>
      <c r="H64" s="149">
        <v>-40.5</v>
      </c>
      <c r="I64" s="150" t="s">
        <v>42</v>
      </c>
      <c r="J64" s="150" t="s">
        <v>44</v>
      </c>
      <c r="K64" s="150" t="s">
        <v>45</v>
      </c>
      <c r="L64" s="150" t="s">
        <v>46</v>
      </c>
      <c r="M64" s="150" t="s">
        <v>47</v>
      </c>
      <c r="N64" s="151">
        <v>-56.9</v>
      </c>
      <c r="O64" s="151">
        <v>-58.2</v>
      </c>
      <c r="P64" s="151">
        <v>-54.0</v>
      </c>
      <c r="Q64" s="151">
        <v>-55.5</v>
      </c>
      <c r="R64" s="151">
        <v>-57.0</v>
      </c>
      <c r="S64" s="152">
        <v>-57.3</v>
      </c>
      <c r="T64" s="146">
        <v>-65.5</v>
      </c>
      <c r="U64" s="146">
        <v>-66.9</v>
      </c>
      <c r="V64" s="146">
        <v>-68.4</v>
      </c>
      <c r="W64" s="146">
        <v>-70.1</v>
      </c>
      <c r="X64" s="153">
        <v>-70.1</v>
      </c>
      <c r="Y64" s="153">
        <v>-70.1</v>
      </c>
      <c r="Z64" s="153">
        <v>-70.1</v>
      </c>
      <c r="AA64" s="153">
        <v>-70.1</v>
      </c>
      <c r="AB64" s="154">
        <v>-70.1</v>
      </c>
    </row>
    <row r="65" ht="15.75" customHeight="1">
      <c r="A65" s="2"/>
      <c r="B65" s="7"/>
      <c r="C65" s="155" t="s">
        <v>48</v>
      </c>
      <c r="D65" s="155"/>
      <c r="E65" s="156" t="s">
        <v>18</v>
      </c>
      <c r="F65" s="157">
        <f t="shared" ref="F65:H65" si="29">F63+F64</f>
        <v>-61.6</v>
      </c>
      <c r="G65" s="157">
        <f t="shared" si="29"/>
        <v>-63</v>
      </c>
      <c r="H65" s="157">
        <f t="shared" si="29"/>
        <v>-76.1</v>
      </c>
      <c r="I65" s="158">
        <v>-71.0</v>
      </c>
      <c r="J65" s="158">
        <v>-87.0</v>
      </c>
      <c r="K65" s="158">
        <v>-89.0</v>
      </c>
      <c r="L65" s="158">
        <v>-91.0</v>
      </c>
      <c r="M65" s="158">
        <v>-93.0</v>
      </c>
      <c r="N65" s="158">
        <v>-94.0</v>
      </c>
      <c r="O65" s="158">
        <v>-96.0</v>
      </c>
      <c r="P65" s="158">
        <v>-98.0</v>
      </c>
      <c r="Q65" s="158">
        <v>-100.0</v>
      </c>
      <c r="R65" s="158">
        <v>-102.0</v>
      </c>
      <c r="S65" s="159">
        <f>-9.9</f>
        <v>-9.9</v>
      </c>
      <c r="T65" s="160">
        <v>-10.1</v>
      </c>
      <c r="U65" s="159">
        <f>-10.4</f>
        <v>-10.4</v>
      </c>
      <c r="V65" s="159">
        <f>-10.6</f>
        <v>-10.6</v>
      </c>
      <c r="W65" s="159">
        <f>-10.8</f>
        <v>-10.8</v>
      </c>
      <c r="X65" s="161">
        <f t="shared" ref="X65:AB65" si="30">W65*(1+V69)</f>
        <v>-10.94970297</v>
      </c>
      <c r="Y65" s="161">
        <f t="shared" si="30"/>
        <v>-10.94970297</v>
      </c>
      <c r="Z65" s="161">
        <f t="shared" si="30"/>
        <v>-10.94970297</v>
      </c>
      <c r="AA65" s="161">
        <f t="shared" si="30"/>
        <v>-10.94970297</v>
      </c>
      <c r="AB65" s="161">
        <f t="shared" si="30"/>
        <v>-10.94970297</v>
      </c>
    </row>
    <row r="66" ht="15.75" customHeight="1">
      <c r="A66" s="2"/>
      <c r="B66" s="7"/>
      <c r="C66" s="2"/>
      <c r="D66" s="2"/>
      <c r="E66" s="2"/>
      <c r="F66" s="162"/>
      <c r="G66" s="162"/>
      <c r="H66" s="163">
        <f>AVERAGE(F37:H37)/AVERAGE(F65:H65)</f>
        <v>-0.7025411061</v>
      </c>
      <c r="I66" s="162"/>
      <c r="J66" s="162"/>
      <c r="K66" s="162"/>
      <c r="L66" s="162"/>
      <c r="M66" s="162"/>
      <c r="N66" s="164"/>
      <c r="O66" s="165"/>
      <c r="P66" s="165"/>
      <c r="Q66" s="165"/>
      <c r="R66" s="165"/>
      <c r="S66" s="165"/>
      <c r="T66" s="165"/>
      <c r="U66" s="165"/>
      <c r="V66" s="165"/>
      <c r="X66" s="2"/>
      <c r="Y66" s="2"/>
      <c r="Z66" s="2"/>
      <c r="AA66" s="2"/>
      <c r="AB66" s="9"/>
    </row>
    <row r="67" ht="15.75" customHeight="1">
      <c r="A67" s="2"/>
      <c r="B67" s="7"/>
      <c r="C67" s="2" t="s">
        <v>49</v>
      </c>
      <c r="D67" s="2"/>
      <c r="E67" s="30" t="s">
        <v>18</v>
      </c>
      <c r="F67" s="166">
        <v>-2.2</v>
      </c>
      <c r="G67" s="166">
        <v>-3.2</v>
      </c>
      <c r="H67" s="166">
        <v>-4.8</v>
      </c>
      <c r="I67" s="167" t="s">
        <v>50</v>
      </c>
      <c r="J67" s="168" t="s">
        <v>51</v>
      </c>
      <c r="K67" s="169" t="s">
        <v>52</v>
      </c>
      <c r="L67" s="169" t="s">
        <v>53</v>
      </c>
      <c r="M67" s="169" t="s">
        <v>54</v>
      </c>
      <c r="N67" s="170">
        <v>-8.1</v>
      </c>
      <c r="O67" s="170">
        <v>-12.1</v>
      </c>
      <c r="P67" s="170">
        <v>-9.2</v>
      </c>
      <c r="Q67" s="171">
        <v>-10.4</v>
      </c>
      <c r="R67" s="172" t="s">
        <v>55</v>
      </c>
      <c r="S67" s="173" t="s">
        <v>56</v>
      </c>
      <c r="T67" s="173" t="s">
        <v>57</v>
      </c>
      <c r="U67" s="173" t="s">
        <v>58</v>
      </c>
      <c r="V67" s="173" t="s">
        <v>59</v>
      </c>
      <c r="W67" s="173" t="s">
        <v>60</v>
      </c>
      <c r="X67" s="172" t="s">
        <v>61</v>
      </c>
      <c r="Y67" s="172" t="s">
        <v>62</v>
      </c>
      <c r="Z67" s="172" t="s">
        <v>63</v>
      </c>
      <c r="AA67" s="172" t="s">
        <v>64</v>
      </c>
      <c r="AB67" s="174" t="s">
        <v>65</v>
      </c>
    </row>
    <row r="68" ht="15.75" customHeight="1">
      <c r="A68" s="2"/>
      <c r="B68" s="101"/>
      <c r="C68" s="63"/>
      <c r="D68" s="106"/>
      <c r="E68" s="106"/>
      <c r="F68" s="175"/>
      <c r="G68" s="176"/>
      <c r="H68" s="176"/>
      <c r="I68" s="176"/>
      <c r="J68" s="176"/>
      <c r="K68" s="176"/>
      <c r="L68" s="176"/>
      <c r="M68" s="176"/>
      <c r="N68" s="176"/>
      <c r="O68" s="176"/>
      <c r="P68" s="176"/>
      <c r="Q68" s="176"/>
      <c r="R68" s="176"/>
      <c r="S68" s="106"/>
      <c r="T68" s="106"/>
      <c r="U68" s="106"/>
      <c r="V68" s="106"/>
      <c r="W68" s="106"/>
      <c r="X68" s="106"/>
      <c r="Y68" s="106"/>
      <c r="Z68" s="106"/>
      <c r="AA68" s="106"/>
      <c r="AB68" s="127"/>
    </row>
    <row r="69" ht="15.75" customHeight="1">
      <c r="A69" s="2"/>
      <c r="B69" s="4"/>
      <c r="C69" s="4"/>
      <c r="D69" s="4"/>
      <c r="E69" s="4"/>
      <c r="F69" s="177"/>
      <c r="G69" s="178"/>
      <c r="H69" s="178"/>
      <c r="I69" s="179"/>
      <c r="J69" s="179"/>
      <c r="K69" s="179"/>
      <c r="L69" s="179"/>
      <c r="M69" s="179"/>
      <c r="N69" s="179"/>
      <c r="O69" s="179"/>
      <c r="P69" s="179"/>
      <c r="Q69" s="179"/>
      <c r="R69" s="179"/>
      <c r="S69" s="2"/>
      <c r="T69" s="2"/>
      <c r="U69" s="2"/>
      <c r="V69" s="162">
        <f>(10.8/10.1-1)/5</f>
        <v>0.01386138614</v>
      </c>
      <c r="W69" s="165"/>
      <c r="X69" s="2"/>
      <c r="Y69" s="2"/>
      <c r="Z69" s="2"/>
      <c r="AA69" s="2"/>
      <c r="AB69" s="2"/>
    </row>
    <row r="70" ht="15.75" customHeight="1">
      <c r="A70" s="2"/>
      <c r="B70" s="106"/>
      <c r="C70" s="106"/>
      <c r="D70" s="106"/>
      <c r="E70" s="106"/>
      <c r="F70" s="175"/>
      <c r="G70" s="180"/>
      <c r="H70" s="180"/>
      <c r="I70" s="180"/>
      <c r="J70" s="180"/>
      <c r="K70" s="180"/>
      <c r="L70" s="180"/>
      <c r="M70" s="180"/>
      <c r="N70" s="180"/>
      <c r="O70" s="180"/>
      <c r="P70" s="180"/>
      <c r="Q70" s="180"/>
      <c r="R70" s="180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 ht="15.75" customHeight="1">
      <c r="A71" s="2"/>
      <c r="B71" s="7"/>
      <c r="C71" s="2"/>
      <c r="D71" s="2"/>
      <c r="E71" s="2"/>
      <c r="F71" s="162"/>
      <c r="G71" s="181"/>
      <c r="H71" s="181"/>
      <c r="I71" s="181"/>
      <c r="J71" s="181"/>
      <c r="K71" s="181"/>
      <c r="L71" s="181"/>
      <c r="M71" s="181"/>
      <c r="N71" s="181"/>
      <c r="O71" s="181"/>
      <c r="P71" s="181"/>
      <c r="Q71" s="181"/>
      <c r="R71" s="181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 ht="15.75" customHeight="1">
      <c r="A72" s="2"/>
      <c r="B72" s="7"/>
      <c r="C72" s="2"/>
      <c r="D72" s="2"/>
      <c r="E72" s="2"/>
      <c r="F72" s="162"/>
      <c r="G72" s="181"/>
      <c r="H72" s="181"/>
      <c r="I72" s="181"/>
      <c r="J72" s="181"/>
      <c r="K72" s="181"/>
      <c r="L72" s="181"/>
      <c r="M72" s="181"/>
      <c r="N72" s="181"/>
      <c r="O72" s="181"/>
      <c r="P72" s="181"/>
      <c r="Q72" s="181"/>
      <c r="R72" s="181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 ht="15.75" customHeight="1">
      <c r="A73" s="2"/>
      <c r="B73" s="15" t="s">
        <v>66</v>
      </c>
      <c r="C73" s="16"/>
      <c r="D73" s="16"/>
      <c r="E73" s="16"/>
      <c r="F73" s="16"/>
      <c r="G73" s="17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32"/>
      <c r="S73" s="133"/>
      <c r="T73" s="133"/>
      <c r="U73" s="133"/>
      <c r="V73" s="133"/>
      <c r="W73" s="133"/>
      <c r="X73" s="2"/>
      <c r="Y73" s="2"/>
      <c r="Z73" s="2"/>
      <c r="AA73" s="2"/>
      <c r="AB73" s="2"/>
    </row>
    <row r="74" ht="15.75" customHeight="1">
      <c r="A74" s="2"/>
      <c r="B74" s="7"/>
      <c r="C74" s="2"/>
      <c r="D74" s="2"/>
      <c r="E74" s="2"/>
      <c r="F74" s="162"/>
      <c r="G74" s="181"/>
      <c r="H74" s="181"/>
      <c r="I74" s="182"/>
      <c r="J74" s="182"/>
      <c r="K74" s="182"/>
      <c r="L74" s="182"/>
      <c r="M74" s="182"/>
      <c r="N74" s="182"/>
      <c r="O74" s="182"/>
      <c r="P74" s="182"/>
      <c r="Q74" s="182"/>
      <c r="R74" s="18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 ht="15.75" customHeight="1">
      <c r="A75" s="2"/>
      <c r="B75" s="7"/>
      <c r="C75" s="183"/>
      <c r="D75" s="184"/>
      <c r="E75" s="184"/>
      <c r="F75" s="185"/>
      <c r="G75" s="186"/>
      <c r="H75" s="187"/>
      <c r="I75" s="188" t="s">
        <v>38</v>
      </c>
      <c r="J75" s="186"/>
      <c r="K75" s="186"/>
      <c r="L75" s="186"/>
      <c r="M75" s="189"/>
      <c r="N75" s="190" t="s">
        <v>4</v>
      </c>
      <c r="O75" s="186"/>
      <c r="P75" s="186"/>
      <c r="Q75" s="186"/>
      <c r="R75" s="189"/>
      <c r="S75" s="191"/>
      <c r="T75" s="192"/>
      <c r="U75" s="192"/>
      <c r="V75" s="192"/>
      <c r="W75" s="192"/>
      <c r="X75" s="191"/>
      <c r="Y75" s="192"/>
      <c r="Z75" s="192"/>
      <c r="AA75" s="192"/>
      <c r="AB75" s="193"/>
    </row>
    <row r="76" ht="15.75" customHeight="1">
      <c r="A76" s="2"/>
      <c r="B76" s="7"/>
      <c r="C76" s="194"/>
      <c r="D76" s="19"/>
      <c r="E76" s="19"/>
      <c r="F76" s="19"/>
      <c r="G76" s="19"/>
      <c r="H76" s="19" t="s">
        <v>6</v>
      </c>
      <c r="I76" s="195">
        <v>2025.0</v>
      </c>
      <c r="J76" s="196">
        <v>2026.0</v>
      </c>
      <c r="K76" s="195">
        <v>2027.0</v>
      </c>
      <c r="L76" s="196">
        <v>2028.0</v>
      </c>
      <c r="M76" s="195">
        <v>2029.0</v>
      </c>
      <c r="N76" s="196">
        <v>2030.0</v>
      </c>
      <c r="O76" s="195">
        <v>2031.0</v>
      </c>
      <c r="P76" s="196">
        <v>2032.0</v>
      </c>
      <c r="Q76" s="195">
        <v>2033.0</v>
      </c>
      <c r="R76" s="197">
        <v>2034.0</v>
      </c>
      <c r="S76" s="137">
        <v>2035.0</v>
      </c>
      <c r="T76" s="137">
        <v>2036.0</v>
      </c>
      <c r="U76" s="137">
        <v>2037.0</v>
      </c>
      <c r="V76" s="137">
        <v>2038.0</v>
      </c>
      <c r="W76" s="137">
        <v>2039.0</v>
      </c>
      <c r="X76" s="137">
        <f t="shared" ref="X76:AB76" si="31">W76+1</f>
        <v>2040</v>
      </c>
      <c r="Y76" s="137">
        <f t="shared" si="31"/>
        <v>2041</v>
      </c>
      <c r="Z76" s="137">
        <f t="shared" si="31"/>
        <v>2042</v>
      </c>
      <c r="AA76" s="137">
        <f t="shared" si="31"/>
        <v>2043</v>
      </c>
      <c r="AB76" s="198">
        <f t="shared" si="31"/>
        <v>2044</v>
      </c>
    </row>
    <row r="77" ht="15.75" customHeight="1">
      <c r="A77" s="2"/>
      <c r="B77" s="7"/>
      <c r="C77" s="199"/>
      <c r="D77" s="2"/>
      <c r="E77" s="2"/>
      <c r="F77" s="162"/>
      <c r="G77" s="162"/>
      <c r="H77" s="2"/>
      <c r="I77" s="182"/>
      <c r="J77" s="182"/>
      <c r="K77" s="182"/>
      <c r="L77" s="182"/>
      <c r="M77" s="182"/>
      <c r="N77" s="182"/>
      <c r="O77" s="182"/>
      <c r="P77" s="182"/>
      <c r="Q77" s="182"/>
      <c r="R77" s="182"/>
      <c r="S77" s="2"/>
      <c r="T77" s="2"/>
      <c r="U77" s="2"/>
      <c r="V77" s="2"/>
      <c r="W77" s="2"/>
      <c r="X77" s="2"/>
      <c r="Y77" s="2"/>
      <c r="Z77" s="2"/>
      <c r="AA77" s="2"/>
      <c r="AB77" s="200"/>
    </row>
    <row r="78" ht="15.75" customHeight="1">
      <c r="A78" s="2"/>
      <c r="B78" s="7"/>
      <c r="C78" s="199" t="s">
        <v>24</v>
      </c>
      <c r="D78" s="2"/>
      <c r="E78" s="30"/>
      <c r="F78" s="201"/>
      <c r="G78" s="201"/>
      <c r="H78" s="30" t="s">
        <v>18</v>
      </c>
      <c r="I78" s="68">
        <f t="shared" ref="I78:AB78" si="32">I32</f>
        <v>102.4</v>
      </c>
      <c r="J78" s="68">
        <f t="shared" si="32"/>
        <v>117</v>
      </c>
      <c r="K78" s="68">
        <f t="shared" si="32"/>
        <v>117.3</v>
      </c>
      <c r="L78" s="68">
        <f t="shared" si="32"/>
        <v>124.1</v>
      </c>
      <c r="M78" s="68">
        <f t="shared" si="32"/>
        <v>84.2</v>
      </c>
      <c r="N78" s="68">
        <f t="shared" si="32"/>
        <v>133.083644</v>
      </c>
      <c r="O78" s="68">
        <f t="shared" si="32"/>
        <v>139.0765408</v>
      </c>
      <c r="P78" s="68">
        <f t="shared" si="32"/>
        <v>150.2956153</v>
      </c>
      <c r="Q78" s="68">
        <f t="shared" si="32"/>
        <v>160.2654645</v>
      </c>
      <c r="R78" s="68">
        <f t="shared" si="32"/>
        <v>166.349732</v>
      </c>
      <c r="S78" s="68">
        <f t="shared" si="32"/>
        <v>173.35232</v>
      </c>
      <c r="T78" s="68">
        <f t="shared" si="32"/>
        <v>181.1759552</v>
      </c>
      <c r="U78" s="68">
        <f t="shared" si="32"/>
        <v>190.218496</v>
      </c>
      <c r="V78" s="68">
        <f t="shared" si="32"/>
        <v>197.22016</v>
      </c>
      <c r="W78" s="68">
        <f t="shared" si="32"/>
        <v>205.43232</v>
      </c>
      <c r="X78" s="68">
        <f t="shared" si="32"/>
        <v>212.2490151</v>
      </c>
      <c r="Y78" s="68">
        <f t="shared" si="32"/>
        <v>219.2717109</v>
      </c>
      <c r="Z78" s="68">
        <f t="shared" si="32"/>
        <v>226.5063106</v>
      </c>
      <c r="AA78" s="68">
        <f t="shared" si="32"/>
        <v>233.9588811</v>
      </c>
      <c r="AB78" s="202">
        <f t="shared" si="32"/>
        <v>241.6356572</v>
      </c>
    </row>
    <row r="79" ht="15.75" customHeight="1">
      <c r="A79" s="2"/>
      <c r="B79" s="7"/>
      <c r="C79" s="199" t="s">
        <v>27</v>
      </c>
      <c r="D79" s="2"/>
      <c r="E79" s="30"/>
      <c r="F79" s="201"/>
      <c r="G79" s="201"/>
      <c r="H79" s="30" t="s">
        <v>18</v>
      </c>
      <c r="I79" s="68">
        <f t="shared" ref="I79:AB79" si="33">-I35</f>
        <v>-40.2</v>
      </c>
      <c r="J79" s="68">
        <f t="shared" si="33"/>
        <v>-40.2</v>
      </c>
      <c r="K79" s="68">
        <f t="shared" si="33"/>
        <v>-40.2</v>
      </c>
      <c r="L79" s="68">
        <f t="shared" si="33"/>
        <v>-40.2</v>
      </c>
      <c r="M79" s="68">
        <f t="shared" si="33"/>
        <v>-40.2</v>
      </c>
      <c r="N79" s="68">
        <f t="shared" si="33"/>
        <v>-66.5</v>
      </c>
      <c r="O79" s="68">
        <f t="shared" si="33"/>
        <v>-66.5</v>
      </c>
      <c r="P79" s="68">
        <f t="shared" si="33"/>
        <v>-66.5</v>
      </c>
      <c r="Q79" s="68">
        <f t="shared" si="33"/>
        <v>-66.5</v>
      </c>
      <c r="R79" s="68">
        <f t="shared" si="33"/>
        <v>-66.5</v>
      </c>
      <c r="S79" s="68">
        <f t="shared" si="33"/>
        <v>0</v>
      </c>
      <c r="T79" s="68">
        <f t="shared" si="33"/>
        <v>0</v>
      </c>
      <c r="U79" s="68">
        <f t="shared" si="33"/>
        <v>0</v>
      </c>
      <c r="V79" s="68">
        <f t="shared" si="33"/>
        <v>0</v>
      </c>
      <c r="W79" s="68">
        <f t="shared" si="33"/>
        <v>0</v>
      </c>
      <c r="X79" s="68">
        <f t="shared" si="33"/>
        <v>0</v>
      </c>
      <c r="Y79" s="68">
        <f t="shared" si="33"/>
        <v>0</v>
      </c>
      <c r="Z79" s="68">
        <f t="shared" si="33"/>
        <v>0</v>
      </c>
      <c r="AA79" s="68">
        <f t="shared" si="33"/>
        <v>0</v>
      </c>
      <c r="AB79" s="202">
        <f t="shared" si="33"/>
        <v>0</v>
      </c>
    </row>
    <row r="80" ht="15.75" customHeight="1">
      <c r="A80" s="2"/>
      <c r="B80" s="7"/>
      <c r="C80" s="199" t="s">
        <v>67</v>
      </c>
      <c r="D80" s="2"/>
      <c r="E80" s="30"/>
      <c r="F80" s="201"/>
      <c r="G80" s="201"/>
      <c r="H80" s="30" t="s">
        <v>18</v>
      </c>
      <c r="I80" s="68">
        <f t="shared" ref="I80:L80" si="34">-I41</f>
        <v>-2.956699552</v>
      </c>
      <c r="J80" s="68">
        <f t="shared" si="34"/>
        <v>-3.762941704</v>
      </c>
      <c r="K80" s="68">
        <f t="shared" si="34"/>
        <v>-3.497721973</v>
      </c>
      <c r="L80" s="68">
        <f t="shared" si="34"/>
        <v>-4.792502242</v>
      </c>
      <c r="M80" s="68">
        <f>M41</f>
        <v>-5.120717489</v>
      </c>
      <c r="N80" s="68">
        <f t="shared" ref="N80:AB80" si="35">-N41</f>
        <v>-0.1307472057</v>
      </c>
      <c r="O80" s="68">
        <f t="shared" si="35"/>
        <v>-1.231822707</v>
      </c>
      <c r="P80" s="68">
        <f t="shared" si="35"/>
        <v>-3.587180856</v>
      </c>
      <c r="Q80" s="68">
        <f t="shared" si="35"/>
        <v>-5.642724933</v>
      </c>
      <c r="R80" s="68">
        <f t="shared" si="35"/>
        <v>-6.765729402</v>
      </c>
      <c r="S80" s="68">
        <f t="shared" si="35"/>
        <v>-24.2045568</v>
      </c>
      <c r="T80" s="68">
        <f t="shared" si="35"/>
        <v>-25.96222925</v>
      </c>
      <c r="U80" s="68">
        <f t="shared" si="35"/>
        <v>-28.01243904</v>
      </c>
      <c r="V80" s="68">
        <f t="shared" si="35"/>
        <v>-29.3328384</v>
      </c>
      <c r="W80" s="68">
        <f t="shared" si="35"/>
        <v>-31.1837568</v>
      </c>
      <c r="X80" s="68">
        <f t="shared" si="35"/>
        <v>-32.81976362</v>
      </c>
      <c r="Y80" s="68">
        <f t="shared" si="35"/>
        <v>-34.50521061</v>
      </c>
      <c r="Z80" s="68">
        <f t="shared" si="35"/>
        <v>-36.24151454</v>
      </c>
      <c r="AA80" s="68">
        <f t="shared" si="35"/>
        <v>-38.03013147</v>
      </c>
      <c r="AB80" s="202">
        <f t="shared" si="35"/>
        <v>-39.87255773</v>
      </c>
    </row>
    <row r="81" ht="15.75" customHeight="1">
      <c r="A81" s="2"/>
      <c r="B81" s="7"/>
      <c r="C81" s="199" t="s">
        <v>49</v>
      </c>
      <c r="D81" s="2"/>
      <c r="E81" s="30"/>
      <c r="F81" s="201"/>
      <c r="G81" s="201"/>
      <c r="H81" s="30" t="s">
        <v>18</v>
      </c>
      <c r="I81" s="98" t="str">
        <f t="shared" ref="I81:AB81" si="36">I67</f>
        <v>(4.8)</v>
      </c>
      <c r="J81" s="98" t="str">
        <f t="shared" si="36"/>
        <v>(6.0)</v>
      </c>
      <c r="K81" s="98" t="str">
        <f t="shared" si="36"/>
        <v>(6.5)</v>
      </c>
      <c r="L81" s="98" t="str">
        <f t="shared" si="36"/>
        <v>(7.0)</v>
      </c>
      <c r="M81" s="98" t="str">
        <f t="shared" si="36"/>
        <v>(7.5)</v>
      </c>
      <c r="N81" s="98">
        <f t="shared" si="36"/>
        <v>-8.1</v>
      </c>
      <c r="O81" s="98">
        <f t="shared" si="36"/>
        <v>-12.1</v>
      </c>
      <c r="P81" s="98">
        <f t="shared" si="36"/>
        <v>-9.2</v>
      </c>
      <c r="Q81" s="98">
        <f t="shared" si="36"/>
        <v>-10.4</v>
      </c>
      <c r="R81" s="98" t="str">
        <f t="shared" si="36"/>
        <v>-13.6</v>
      </c>
      <c r="S81" s="98" t="str">
        <f t="shared" si="36"/>
        <v>-9.9</v>
      </c>
      <c r="T81" s="98" t="str">
        <f t="shared" si="36"/>
        <v>-10.1</v>
      </c>
      <c r="U81" s="98" t="str">
        <f t="shared" si="36"/>
        <v>-10.4</v>
      </c>
      <c r="V81" s="98" t="str">
        <f t="shared" si="36"/>
        <v>-10.6</v>
      </c>
      <c r="W81" s="98" t="str">
        <f t="shared" si="36"/>
        <v>-10.8</v>
      </c>
      <c r="X81" s="98" t="str">
        <f t="shared" si="36"/>
        <v>-10.9</v>
      </c>
      <c r="Y81" s="98" t="str">
        <f t="shared" si="36"/>
        <v>-10.10</v>
      </c>
      <c r="Z81" s="98" t="str">
        <f t="shared" si="36"/>
        <v>-10.11</v>
      </c>
      <c r="AA81" s="98" t="str">
        <f t="shared" si="36"/>
        <v>-10.12</v>
      </c>
      <c r="AB81" s="203" t="str">
        <f t="shared" si="36"/>
        <v>-10.13</v>
      </c>
    </row>
    <row r="82" ht="15.75" customHeight="1">
      <c r="A82" s="2"/>
      <c r="B82" s="7"/>
      <c r="C82" s="199" t="s">
        <v>68</v>
      </c>
      <c r="D82" s="2"/>
      <c r="E82" s="30"/>
      <c r="F82" s="201"/>
      <c r="G82" s="201"/>
      <c r="H82" s="30" t="s">
        <v>18</v>
      </c>
      <c r="I82" s="68">
        <f t="shared" ref="I82:AB82" si="37">I65</f>
        <v>-71</v>
      </c>
      <c r="J82" s="68">
        <f t="shared" si="37"/>
        <v>-87</v>
      </c>
      <c r="K82" s="68">
        <f t="shared" si="37"/>
        <v>-89</v>
      </c>
      <c r="L82" s="68">
        <f t="shared" si="37"/>
        <v>-91</v>
      </c>
      <c r="M82" s="68">
        <f t="shared" si="37"/>
        <v>-93</v>
      </c>
      <c r="N82" s="68">
        <f t="shared" si="37"/>
        <v>-94</v>
      </c>
      <c r="O82" s="68">
        <f t="shared" si="37"/>
        <v>-96</v>
      </c>
      <c r="P82" s="68">
        <f t="shared" si="37"/>
        <v>-98</v>
      </c>
      <c r="Q82" s="68">
        <f t="shared" si="37"/>
        <v>-100</v>
      </c>
      <c r="R82" s="68">
        <f t="shared" si="37"/>
        <v>-102</v>
      </c>
      <c r="S82" s="68">
        <f t="shared" si="37"/>
        <v>-9.9</v>
      </c>
      <c r="T82" s="68">
        <f t="shared" si="37"/>
        <v>-10.1</v>
      </c>
      <c r="U82" s="68">
        <f t="shared" si="37"/>
        <v>-10.4</v>
      </c>
      <c r="V82" s="68">
        <f t="shared" si="37"/>
        <v>-10.6</v>
      </c>
      <c r="W82" s="68">
        <f t="shared" si="37"/>
        <v>-10.8</v>
      </c>
      <c r="X82" s="68">
        <f t="shared" si="37"/>
        <v>-10.94970297</v>
      </c>
      <c r="Y82" s="68">
        <f t="shared" si="37"/>
        <v>-10.94970297</v>
      </c>
      <c r="Z82" s="68">
        <f t="shared" si="37"/>
        <v>-10.94970297</v>
      </c>
      <c r="AA82" s="68">
        <f t="shared" si="37"/>
        <v>-10.94970297</v>
      </c>
      <c r="AB82" s="202">
        <f t="shared" si="37"/>
        <v>-10.94970297</v>
      </c>
    </row>
    <row r="83" ht="15.75" customHeight="1">
      <c r="A83" s="2"/>
      <c r="B83" s="7"/>
      <c r="C83" s="204" t="s">
        <v>69</v>
      </c>
      <c r="D83" s="74"/>
      <c r="E83" s="57"/>
      <c r="F83" s="205"/>
      <c r="G83" s="205"/>
      <c r="H83" s="57" t="s">
        <v>18</v>
      </c>
      <c r="I83" s="58">
        <f t="shared" ref="I83:AB83" si="38">SUM(I78:I82)</f>
        <v>-11.75669955</v>
      </c>
      <c r="J83" s="58">
        <f t="shared" si="38"/>
        <v>-13.9629417</v>
      </c>
      <c r="K83" s="58">
        <f t="shared" si="38"/>
        <v>-15.39772197</v>
      </c>
      <c r="L83" s="58">
        <f t="shared" si="38"/>
        <v>-11.89250224</v>
      </c>
      <c r="M83" s="58">
        <f t="shared" si="38"/>
        <v>-54.12071749</v>
      </c>
      <c r="N83" s="58">
        <f t="shared" si="38"/>
        <v>-35.64710321</v>
      </c>
      <c r="O83" s="58">
        <f t="shared" si="38"/>
        <v>-36.75528191</v>
      </c>
      <c r="P83" s="58">
        <f t="shared" si="38"/>
        <v>-26.99156556</v>
      </c>
      <c r="Q83" s="58">
        <f t="shared" si="38"/>
        <v>-22.27726043</v>
      </c>
      <c r="R83" s="58">
        <f t="shared" si="38"/>
        <v>-8.915997402</v>
      </c>
      <c r="S83" s="58">
        <f t="shared" si="38"/>
        <v>139.2477632</v>
      </c>
      <c r="T83" s="58">
        <f t="shared" si="38"/>
        <v>145.113726</v>
      </c>
      <c r="U83" s="58">
        <f t="shared" si="38"/>
        <v>151.806057</v>
      </c>
      <c r="V83" s="58">
        <f t="shared" si="38"/>
        <v>157.2873216</v>
      </c>
      <c r="W83" s="58">
        <f t="shared" si="38"/>
        <v>163.4485632</v>
      </c>
      <c r="X83" s="58">
        <f t="shared" si="38"/>
        <v>168.4795485</v>
      </c>
      <c r="Y83" s="58">
        <f t="shared" si="38"/>
        <v>173.8167973</v>
      </c>
      <c r="Z83" s="58">
        <f t="shared" si="38"/>
        <v>179.3150931</v>
      </c>
      <c r="AA83" s="58">
        <f t="shared" si="38"/>
        <v>184.9790467</v>
      </c>
      <c r="AB83" s="206">
        <f t="shared" si="38"/>
        <v>190.8133965</v>
      </c>
    </row>
    <row r="84" ht="15.75" customHeight="1">
      <c r="A84" s="2"/>
      <c r="B84" s="7"/>
      <c r="C84" s="199"/>
      <c r="D84" s="2"/>
      <c r="E84" s="30"/>
      <c r="F84" s="201"/>
      <c r="G84" s="201"/>
      <c r="H84" s="201"/>
      <c r="I84" s="201"/>
      <c r="J84" s="201"/>
      <c r="K84" s="201"/>
      <c r="L84" s="201"/>
      <c r="M84" s="201"/>
      <c r="N84" s="201"/>
      <c r="O84" s="201"/>
      <c r="P84" s="201"/>
      <c r="Q84" s="11"/>
      <c r="R84" s="201"/>
      <c r="S84" s="2"/>
      <c r="T84" s="2"/>
      <c r="U84" s="2"/>
      <c r="V84" s="2"/>
      <c r="W84" s="2"/>
      <c r="X84" s="2"/>
      <c r="Y84" s="2"/>
      <c r="Z84" s="2"/>
      <c r="AA84" s="2"/>
      <c r="AB84" s="200"/>
    </row>
    <row r="85" ht="15.75" customHeight="1">
      <c r="A85" s="2"/>
      <c r="B85" s="7"/>
      <c r="C85" s="199" t="s">
        <v>70</v>
      </c>
      <c r="D85" s="2"/>
      <c r="E85" s="207">
        <f>WACC!B16</f>
        <v>0.0753930552</v>
      </c>
      <c r="F85" s="2"/>
      <c r="G85" s="2"/>
      <c r="H85" s="208"/>
      <c r="I85" s="76"/>
      <c r="J85" s="209"/>
      <c r="K85" s="2"/>
      <c r="L85" s="2"/>
      <c r="M85" s="2"/>
      <c r="N85" s="2"/>
      <c r="O85" s="27"/>
      <c r="P85" s="2"/>
      <c r="Q85" s="76"/>
      <c r="R85" s="210"/>
      <c r="S85" s="210"/>
      <c r="T85" s="210"/>
      <c r="U85" s="27" t="s">
        <v>71</v>
      </c>
      <c r="V85" s="27"/>
      <c r="W85" s="211">
        <f>AB83*(1+E86)/(E85-E86)</f>
        <v>3881.164392</v>
      </c>
      <c r="X85" s="2"/>
      <c r="Y85" s="2"/>
      <c r="Z85" s="2"/>
      <c r="AA85" s="2"/>
      <c r="AB85" s="200"/>
    </row>
    <row r="86" ht="15.75" customHeight="1">
      <c r="A86" s="2"/>
      <c r="B86" s="7"/>
      <c r="C86" s="199" t="s">
        <v>72</v>
      </c>
      <c r="D86" s="2"/>
      <c r="E86" s="207">
        <v>0.025</v>
      </c>
      <c r="F86" s="2"/>
      <c r="G86" s="2"/>
      <c r="H86" s="208"/>
      <c r="I86" s="76"/>
      <c r="J86" s="209"/>
      <c r="K86" s="2"/>
      <c r="L86" s="2"/>
      <c r="M86" s="2"/>
      <c r="N86" s="2"/>
      <c r="O86" s="94"/>
      <c r="P86" s="2"/>
      <c r="Q86" s="76"/>
      <c r="R86" s="210"/>
      <c r="S86" s="212"/>
      <c r="T86" s="212"/>
      <c r="U86" s="212"/>
      <c r="V86" s="212"/>
      <c r="W86" s="2"/>
      <c r="X86" s="2"/>
      <c r="Y86" s="2"/>
      <c r="Z86" s="2"/>
      <c r="AA86" s="2"/>
      <c r="AB86" s="200"/>
    </row>
    <row r="87" ht="15.75" customHeight="1">
      <c r="A87" s="2"/>
      <c r="B87" s="7"/>
      <c r="C87" s="199" t="s">
        <v>73</v>
      </c>
      <c r="D87" s="2"/>
      <c r="E87" s="213">
        <f>D41</f>
        <v>0.24</v>
      </c>
      <c r="F87" s="2"/>
      <c r="G87" s="2"/>
      <c r="H87" s="2"/>
      <c r="I87" s="76"/>
      <c r="J87" s="76"/>
      <c r="K87" s="76"/>
      <c r="L87" s="76"/>
      <c r="M87" s="76"/>
      <c r="N87" s="76"/>
      <c r="O87" s="27"/>
      <c r="P87" s="2"/>
      <c r="Q87" s="76"/>
      <c r="R87" s="210"/>
      <c r="S87" s="210"/>
      <c r="T87" s="210"/>
      <c r="U87" s="27" t="s">
        <v>74</v>
      </c>
      <c r="V87" s="210"/>
      <c r="W87" s="211">
        <f>W85*AB89</f>
        <v>2698.521613</v>
      </c>
      <c r="X87" s="2"/>
      <c r="Y87" s="2"/>
      <c r="Z87" s="2"/>
      <c r="AA87" s="2"/>
      <c r="AB87" s="200"/>
    </row>
    <row r="88" ht="15.75" customHeight="1">
      <c r="A88" s="2"/>
      <c r="B88" s="7"/>
      <c r="C88" s="199"/>
      <c r="D88" s="2"/>
      <c r="E88" s="2"/>
      <c r="F88" s="45"/>
      <c r="G88" s="2"/>
      <c r="H88" s="2"/>
      <c r="I88" s="76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00"/>
    </row>
    <row r="89" ht="15.75" customHeight="1">
      <c r="A89" s="2"/>
      <c r="B89" s="7"/>
      <c r="C89" s="199" t="s">
        <v>75</v>
      </c>
      <c r="D89" s="2"/>
      <c r="E89" s="2"/>
      <c r="F89" s="45"/>
      <c r="G89" s="2"/>
      <c r="H89" s="2"/>
      <c r="I89" s="214"/>
      <c r="J89" s="214"/>
      <c r="K89" s="214"/>
      <c r="L89" s="214"/>
      <c r="M89" s="214"/>
      <c r="N89" s="214"/>
      <c r="O89" s="214"/>
      <c r="P89" s="214"/>
      <c r="Q89" s="214"/>
      <c r="R89" s="214"/>
      <c r="S89" s="214"/>
      <c r="T89" s="214"/>
      <c r="U89" s="215"/>
      <c r="V89" s="215"/>
      <c r="W89" s="215"/>
      <c r="X89" s="215">
        <f t="shared" ref="X89:AB89" si="39">1/(1+$E$85)^X90</f>
        <v>0.929892559</v>
      </c>
      <c r="Y89" s="215">
        <f t="shared" si="39"/>
        <v>0.8647001712</v>
      </c>
      <c r="Z89" s="215">
        <f t="shared" si="39"/>
        <v>0.804078255</v>
      </c>
      <c r="AA89" s="215">
        <f t="shared" si="39"/>
        <v>0.7477063861</v>
      </c>
      <c r="AB89" s="216">
        <f t="shared" si="39"/>
        <v>0.6952866048</v>
      </c>
    </row>
    <row r="90" ht="15.75" customHeight="1">
      <c r="A90" s="2"/>
      <c r="B90" s="7"/>
      <c r="C90" s="199" t="s">
        <v>76</v>
      </c>
      <c r="D90" s="2"/>
      <c r="E90" s="2"/>
      <c r="F90" s="2"/>
      <c r="G90" s="2"/>
      <c r="H90" s="2"/>
      <c r="I90" s="217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217">
        <v>1.0</v>
      </c>
      <c r="Y90" s="31">
        <f t="shared" ref="Y90:AB90" si="40">X90+1</f>
        <v>2</v>
      </c>
      <c r="Z90" s="31">
        <f t="shared" si="40"/>
        <v>3</v>
      </c>
      <c r="AA90" s="31">
        <f t="shared" si="40"/>
        <v>4</v>
      </c>
      <c r="AB90" s="218">
        <f t="shared" si="40"/>
        <v>5</v>
      </c>
    </row>
    <row r="91" ht="15.75" customHeight="1">
      <c r="A91" s="2"/>
      <c r="B91" s="7"/>
      <c r="C91" s="204" t="s">
        <v>77</v>
      </c>
      <c r="D91" s="74"/>
      <c r="E91" s="74"/>
      <c r="F91" s="219"/>
      <c r="G91" s="219"/>
      <c r="H91" s="219"/>
      <c r="I91" s="58"/>
      <c r="J91" s="58"/>
      <c r="K91" s="58"/>
      <c r="L91" s="58"/>
      <c r="M91" s="58"/>
      <c r="N91" s="58"/>
      <c r="O91" s="58"/>
      <c r="P91" s="58"/>
      <c r="Q91" s="58"/>
      <c r="R91" s="58"/>
      <c r="S91" s="220"/>
      <c r="T91" s="220"/>
      <c r="U91" s="220"/>
      <c r="V91" s="220"/>
      <c r="W91" s="220"/>
      <c r="X91" s="220">
        <f t="shared" ref="X91:AB91" si="41">X83*X89</f>
        <v>156.6678785</v>
      </c>
      <c r="Y91" s="220">
        <f t="shared" si="41"/>
        <v>150.2994144</v>
      </c>
      <c r="Z91" s="220">
        <f t="shared" si="41"/>
        <v>144.1833671</v>
      </c>
      <c r="AA91" s="220">
        <f t="shared" si="41"/>
        <v>138.3100145</v>
      </c>
      <c r="AB91" s="221">
        <f t="shared" si="41"/>
        <v>132.6699986</v>
      </c>
    </row>
    <row r="92" ht="15.75" customHeight="1">
      <c r="A92" s="2"/>
      <c r="B92" s="7"/>
      <c r="C92" s="222"/>
      <c r="D92" s="94"/>
      <c r="E92" s="94"/>
      <c r="F92" s="30"/>
      <c r="G92" s="2"/>
      <c r="H92" s="2"/>
      <c r="I92" s="105"/>
      <c r="J92" s="105"/>
      <c r="K92" s="105"/>
      <c r="L92" s="105"/>
      <c r="M92" s="105"/>
      <c r="N92" s="105"/>
      <c r="O92" s="105"/>
      <c r="P92" s="105"/>
      <c r="Q92" s="105"/>
      <c r="R92" s="223"/>
      <c r="S92" s="2"/>
      <c r="T92" s="2"/>
      <c r="U92" s="2"/>
      <c r="V92" s="2"/>
      <c r="W92" s="2"/>
      <c r="X92" s="2"/>
      <c r="Y92" s="2"/>
      <c r="Z92" s="2"/>
      <c r="AA92" s="2"/>
      <c r="AB92" s="200"/>
    </row>
    <row r="93" ht="15.75" customHeight="1">
      <c r="A93" s="2"/>
      <c r="B93" s="7"/>
      <c r="C93" s="222" t="s">
        <v>78</v>
      </c>
      <c r="D93" s="2"/>
      <c r="E93" s="80">
        <f>SUM(X91:AB91,W87)</f>
        <v>3420.652286</v>
      </c>
      <c r="F93" s="224"/>
      <c r="G93" s="225"/>
      <c r="H93" s="1"/>
      <c r="I93" s="2"/>
      <c r="J93" s="31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00"/>
    </row>
    <row r="94" ht="15.75" customHeight="1">
      <c r="A94" s="2"/>
      <c r="B94" s="7"/>
      <c r="C94" s="222" t="s">
        <v>79</v>
      </c>
      <c r="D94" s="2"/>
      <c r="E94" s="226">
        <v>0.0</v>
      </c>
      <c r="F94" s="30"/>
      <c r="G94" s="1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00"/>
    </row>
    <row r="95" ht="15.75" customHeight="1">
      <c r="A95" s="2"/>
      <c r="B95" s="7"/>
      <c r="C95" s="222" t="s">
        <v>80</v>
      </c>
      <c r="D95" s="227"/>
      <c r="E95" s="228">
        <v>0.0</v>
      </c>
      <c r="F95" s="30"/>
      <c r="G95" s="1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112"/>
      <c r="T95" s="2"/>
      <c r="U95" s="2"/>
      <c r="V95" s="2"/>
      <c r="W95" s="2"/>
      <c r="X95" s="2"/>
      <c r="Y95" s="2"/>
      <c r="Z95" s="2"/>
      <c r="AA95" s="2"/>
      <c r="AB95" s="200"/>
    </row>
    <row r="96" ht="15.75" customHeight="1">
      <c r="A96" s="2"/>
      <c r="B96" s="101"/>
      <c r="C96" s="229" t="s">
        <v>81</v>
      </c>
      <c r="D96" s="230"/>
      <c r="E96" s="231">
        <f>E93+E94-E95</f>
        <v>3420.652286</v>
      </c>
      <c r="F96" s="230"/>
      <c r="G96" s="230"/>
      <c r="H96" s="230"/>
      <c r="I96" s="230"/>
      <c r="J96" s="230"/>
      <c r="K96" s="230"/>
      <c r="L96" s="230"/>
      <c r="M96" s="230"/>
      <c r="N96" s="230"/>
      <c r="O96" s="230"/>
      <c r="P96" s="230"/>
      <c r="Q96" s="230"/>
      <c r="R96" s="230"/>
      <c r="S96" s="230"/>
      <c r="T96" s="230"/>
      <c r="U96" s="230"/>
      <c r="V96" s="230"/>
      <c r="W96" s="230"/>
      <c r="X96" s="230"/>
      <c r="Y96" s="230"/>
      <c r="Z96" s="230"/>
      <c r="AA96" s="230"/>
      <c r="AB96" s="232"/>
    </row>
    <row r="97" ht="15.75" customHeight="1">
      <c r="A97" s="2"/>
      <c r="B97" s="2"/>
      <c r="C97" s="1" t="s">
        <v>82</v>
      </c>
      <c r="D97" s="2"/>
      <c r="E97" s="2">
        <f>E96/R32</f>
        <v>20.56301651</v>
      </c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>
        <f>1/(1+E85)^5</f>
        <v>0.6952866048</v>
      </c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 ht="15.75" customHeight="1">
      <c r="A100" s="2"/>
      <c r="B100" s="2"/>
      <c r="C100" s="1" t="s">
        <v>83</v>
      </c>
      <c r="D100" s="2"/>
      <c r="E100" s="2">
        <f>E93/AB32</f>
        <v>14.15623971</v>
      </c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</row>
  </sheetData>
  <mergeCells count="14">
    <mergeCell ref="F75:H75"/>
    <mergeCell ref="I75:M75"/>
    <mergeCell ref="N75:R75"/>
    <mergeCell ref="S75:W75"/>
    <mergeCell ref="X75:AB75"/>
    <mergeCell ref="S59:W59"/>
    <mergeCell ref="X59:AB59"/>
    <mergeCell ref="E12:M12"/>
    <mergeCell ref="N12:R12"/>
    <mergeCell ref="S12:W12"/>
    <mergeCell ref="F59:H59"/>
    <mergeCell ref="I59:M59"/>
    <mergeCell ref="N59:R59"/>
    <mergeCell ref="X12:AB12"/>
  </mergeCells>
  <printOptions/>
  <pageMargins bottom="0.75" footer="0.0" header="0.0" left="0.7" right="0.7" top="0.75"/>
  <pageSetup orientation="landscape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2" max="2" width="12.78"/>
  </cols>
  <sheetData>
    <row r="1">
      <c r="A1" s="70" t="s">
        <v>84</v>
      </c>
    </row>
    <row r="2">
      <c r="A2" s="233"/>
      <c r="B2" s="234" t="s">
        <v>85</v>
      </c>
      <c r="C2" s="234" t="s">
        <v>86</v>
      </c>
      <c r="D2" s="234" t="s">
        <v>87</v>
      </c>
      <c r="E2" s="235" t="s">
        <v>88</v>
      </c>
    </row>
    <row r="3">
      <c r="A3" s="236" t="s">
        <v>89</v>
      </c>
      <c r="B3" s="237">
        <f>WACC!C7</f>
        <v>2315</v>
      </c>
      <c r="C3" s="237">
        <f>WACC!D7</f>
        <v>3183</v>
      </c>
      <c r="D3" s="237">
        <f>WACC!E7</f>
        <v>1164</v>
      </c>
      <c r="E3" s="238">
        <f>WACC!F7</f>
        <v>518</v>
      </c>
    </row>
    <row r="4">
      <c r="A4" s="236" t="s">
        <v>90</v>
      </c>
      <c r="B4" s="239" t="str">
        <f>WACC!C8</f>
        <v>19830</v>
      </c>
      <c r="C4" s="237">
        <f>WACC!D8</f>
        <v>14160</v>
      </c>
      <c r="D4" s="237">
        <f>WACC!E8</f>
        <v>2556</v>
      </c>
      <c r="E4" s="238">
        <f>WACC!F8</f>
        <v>1620</v>
      </c>
    </row>
    <row r="5">
      <c r="A5" s="236" t="s">
        <v>91</v>
      </c>
      <c r="B5" s="70">
        <v>435.0</v>
      </c>
      <c r="C5" s="70">
        <v>239.0</v>
      </c>
      <c r="D5" s="70">
        <v>226.0</v>
      </c>
      <c r="E5" s="240">
        <v>182.0</v>
      </c>
    </row>
    <row r="6">
      <c r="A6" s="236" t="s">
        <v>92</v>
      </c>
      <c r="B6" s="239">
        <f t="shared" ref="B6:E6" si="1">B3+B4-B5</f>
        <v>21710</v>
      </c>
      <c r="C6" s="237">
        <f t="shared" si="1"/>
        <v>17104</v>
      </c>
      <c r="D6" s="237">
        <f t="shared" si="1"/>
        <v>3494</v>
      </c>
      <c r="E6" s="238">
        <f t="shared" si="1"/>
        <v>1956</v>
      </c>
    </row>
    <row r="7">
      <c r="A7" s="236" t="s">
        <v>24</v>
      </c>
      <c r="B7" s="70">
        <v>2032.0</v>
      </c>
      <c r="C7" s="70">
        <v>1927.0</v>
      </c>
      <c r="D7" s="70">
        <v>291.0</v>
      </c>
      <c r="E7" s="240">
        <v>202.0</v>
      </c>
    </row>
    <row r="8">
      <c r="A8" s="241" t="s">
        <v>93</v>
      </c>
      <c r="B8" s="242">
        <f t="shared" ref="B8:E8" si="2">B6/B7</f>
        <v>10.68405512</v>
      </c>
      <c r="C8" s="242">
        <f t="shared" si="2"/>
        <v>8.875973015</v>
      </c>
      <c r="D8" s="242">
        <f t="shared" si="2"/>
        <v>12.00687285</v>
      </c>
      <c r="E8" s="243">
        <f t="shared" si="2"/>
        <v>9.683168317</v>
      </c>
    </row>
    <row r="9">
      <c r="A9" s="236" t="s">
        <v>94</v>
      </c>
      <c r="B9" s="70">
        <v>9444.0</v>
      </c>
      <c r="C9" s="70">
        <v>12120.0</v>
      </c>
      <c r="D9" s="70">
        <v>2274.0</v>
      </c>
      <c r="E9" s="240">
        <v>1776.0</v>
      </c>
    </row>
    <row r="10">
      <c r="A10" s="244" t="s">
        <v>95</v>
      </c>
      <c r="B10" s="245">
        <f t="shared" ref="B10:E10" si="3">B6/B9</f>
        <v>2.298814062</v>
      </c>
      <c r="C10" s="245">
        <f t="shared" si="3"/>
        <v>1.411221122</v>
      </c>
      <c r="D10" s="245">
        <f t="shared" si="3"/>
        <v>1.53649956</v>
      </c>
      <c r="E10" s="246">
        <f t="shared" si="3"/>
        <v>1.101351351</v>
      </c>
    </row>
    <row r="11">
      <c r="A11" s="70" t="s">
        <v>96</v>
      </c>
      <c r="B11" s="247">
        <f t="shared" ref="B11:E11" si="4">B7/B9</f>
        <v>0.2151630665</v>
      </c>
      <c r="C11" s="247">
        <f t="shared" si="4"/>
        <v>0.1589933993</v>
      </c>
      <c r="D11" s="247">
        <f t="shared" si="4"/>
        <v>0.1279683377</v>
      </c>
      <c r="E11" s="247">
        <f t="shared" si="4"/>
        <v>0.1137387387</v>
      </c>
    </row>
    <row r="12">
      <c r="A12" s="70" t="s">
        <v>97</v>
      </c>
      <c r="B12" s="248">
        <f>'Star Hotel'!W33</f>
        <v>0.2462531301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24.67"/>
    <col customWidth="1" min="2" max="2" width="13.67"/>
    <col customWidth="1" min="3" max="3" width="16.78"/>
    <col customWidth="1" min="4" max="4" width="16.11"/>
    <col customWidth="1" min="5" max="5" width="12.11"/>
    <col customWidth="1" min="6" max="6" width="18.44"/>
  </cols>
  <sheetData>
    <row r="1">
      <c r="A1" s="249"/>
      <c r="B1" s="250" t="s">
        <v>98</v>
      </c>
      <c r="C1" s="250" t="s">
        <v>85</v>
      </c>
      <c r="D1" s="250" t="s">
        <v>86</v>
      </c>
      <c r="E1" s="250" t="s">
        <v>87</v>
      </c>
      <c r="F1" s="251" t="s">
        <v>88</v>
      </c>
    </row>
    <row r="2">
      <c r="A2" s="236" t="s">
        <v>99</v>
      </c>
      <c r="B2" s="252">
        <v>0.035</v>
      </c>
      <c r="C2" s="252">
        <v>0.035</v>
      </c>
      <c r="D2" s="252">
        <v>0.035</v>
      </c>
      <c r="E2" s="252">
        <v>0.035</v>
      </c>
      <c r="F2" s="253">
        <v>0.035</v>
      </c>
    </row>
    <row r="3">
      <c r="A3" s="236" t="s">
        <v>100</v>
      </c>
      <c r="B3" s="70">
        <v>0.97</v>
      </c>
      <c r="C3" s="70">
        <v>0.97</v>
      </c>
      <c r="D3" s="70">
        <v>0.97</v>
      </c>
      <c r="E3" s="70">
        <v>0.97</v>
      </c>
      <c r="F3" s="240">
        <v>0.97</v>
      </c>
    </row>
    <row r="4">
      <c r="A4" s="236" t="s">
        <v>101</v>
      </c>
      <c r="B4" s="254">
        <v>0.24</v>
      </c>
      <c r="C4" s="254">
        <v>0.24</v>
      </c>
      <c r="D4" s="254">
        <v>0.24</v>
      </c>
      <c r="E4" s="254">
        <v>0.24</v>
      </c>
      <c r="F4" s="255">
        <v>0.24</v>
      </c>
    </row>
    <row r="5">
      <c r="A5" s="236" t="s">
        <v>102</v>
      </c>
      <c r="B5" s="252">
        <v>0.078</v>
      </c>
      <c r="C5" s="252">
        <v>0.078</v>
      </c>
      <c r="D5" s="252">
        <v>0.078</v>
      </c>
      <c r="E5" s="252">
        <v>0.078</v>
      </c>
      <c r="F5" s="253">
        <v>0.078</v>
      </c>
    </row>
    <row r="6">
      <c r="A6" s="236" t="s">
        <v>103</v>
      </c>
      <c r="B6" s="252">
        <v>0.055</v>
      </c>
      <c r="C6" s="252">
        <v>0.055</v>
      </c>
      <c r="D6" s="252">
        <v>0.055</v>
      </c>
      <c r="E6" s="252">
        <v>0.055</v>
      </c>
      <c r="F6" s="253">
        <v>0.055</v>
      </c>
    </row>
    <row r="7">
      <c r="A7" s="236" t="s">
        <v>104</v>
      </c>
      <c r="B7" s="256">
        <f>'Star Hotel'!E94</f>
        <v>0</v>
      </c>
      <c r="C7" s="70">
        <f>2750-435</f>
        <v>2315</v>
      </c>
      <c r="D7" s="70">
        <f>3422-239</f>
        <v>3183</v>
      </c>
      <c r="E7" s="70">
        <f>1390-226</f>
        <v>1164</v>
      </c>
      <c r="F7" s="240">
        <f>700-182</f>
        <v>518</v>
      </c>
    </row>
    <row r="8">
      <c r="A8" s="236" t="s">
        <v>105</v>
      </c>
      <c r="B8" s="257">
        <f>'Star Hotel'!E93</f>
        <v>3420.652286</v>
      </c>
      <c r="C8" s="258" t="s">
        <v>106</v>
      </c>
      <c r="D8" s="70">
        <v>14160.0</v>
      </c>
      <c r="E8" s="70">
        <v>2556.0</v>
      </c>
      <c r="F8" s="240">
        <v>1620.0</v>
      </c>
    </row>
    <row r="9">
      <c r="A9" s="236" t="s">
        <v>107</v>
      </c>
      <c r="B9" s="254">
        <v>0.04</v>
      </c>
      <c r="C9" s="254">
        <v>0.04</v>
      </c>
      <c r="D9" s="254">
        <v>0.04</v>
      </c>
      <c r="E9" s="254">
        <v>0.04</v>
      </c>
      <c r="F9" s="255">
        <v>0.04</v>
      </c>
    </row>
    <row r="10">
      <c r="A10" s="259"/>
      <c r="F10" s="238"/>
    </row>
    <row r="11">
      <c r="A11" s="259"/>
      <c r="F11" s="238"/>
    </row>
    <row r="12">
      <c r="A12" s="260" t="s">
        <v>108</v>
      </c>
      <c r="B12" s="261">
        <f t="shared" ref="B12:F12" si="1">B3*(1 + (1-B4)*(B7/B8))</f>
        <v>0.97</v>
      </c>
      <c r="C12" s="261">
        <f t="shared" si="1"/>
        <v>1.056062431</v>
      </c>
      <c r="D12" s="261">
        <f t="shared" si="1"/>
        <v>1.135713814</v>
      </c>
      <c r="E12" s="261">
        <f t="shared" si="1"/>
        <v>1.305720188</v>
      </c>
      <c r="F12" s="262">
        <f t="shared" si="1"/>
        <v>1.205721975</v>
      </c>
    </row>
    <row r="13">
      <c r="A13" s="236" t="s">
        <v>109</v>
      </c>
      <c r="B13" s="247">
        <f>B2 + C12*(B5 - B2)</f>
        <v>0.08041068452</v>
      </c>
      <c r="C13" s="247">
        <f t="shared" ref="C13:F13" si="2">C2 + C12*(C5 - C2)</f>
        <v>0.08041068452</v>
      </c>
      <c r="D13" s="247">
        <f t="shared" si="2"/>
        <v>0.08383569398</v>
      </c>
      <c r="E13" s="247">
        <f t="shared" si="2"/>
        <v>0.09114596808</v>
      </c>
      <c r="F13" s="263">
        <f t="shared" si="2"/>
        <v>0.08684604494</v>
      </c>
    </row>
    <row r="14">
      <c r="A14" s="236" t="s">
        <v>110</v>
      </c>
      <c r="B14" s="237">
        <f>C7 /C8</f>
        <v>0.1167423096</v>
      </c>
      <c r="C14" s="237">
        <f t="shared" ref="C14:F14" si="3">C7 /C8</f>
        <v>0.1167423096</v>
      </c>
      <c r="D14" s="237">
        <f t="shared" si="3"/>
        <v>0.2247881356</v>
      </c>
      <c r="E14" s="237">
        <f t="shared" si="3"/>
        <v>0.455399061</v>
      </c>
      <c r="F14" s="237">
        <f t="shared" si="3"/>
        <v>0.3197530864</v>
      </c>
    </row>
    <row r="15">
      <c r="A15" s="236" t="s">
        <v>111</v>
      </c>
      <c r="B15" s="237">
        <f>1-B14</f>
        <v>0.8832576904</v>
      </c>
      <c r="C15" s="237">
        <f t="shared" ref="C15:F15" si="4">C8 / (C7 + C8)</f>
        <v>0.8954617295</v>
      </c>
      <c r="D15" s="237">
        <f t="shared" si="4"/>
        <v>0.8164677391</v>
      </c>
      <c r="E15" s="237">
        <f t="shared" si="4"/>
        <v>0.6870967742</v>
      </c>
      <c r="F15" s="238">
        <f t="shared" si="4"/>
        <v>0.757717493</v>
      </c>
    </row>
    <row r="16">
      <c r="A16" s="264" t="s">
        <v>112</v>
      </c>
      <c r="B16" s="265">
        <f>(B6 * (1 - B4) * C7/(C7+C8)) + (B13 * B15)</f>
        <v>0.0753930552</v>
      </c>
      <c r="C16" s="266">
        <f t="shared" ref="C16:F16" si="5">(C6 * (1 - C4) * C14) + (C13 * C15)</f>
        <v>0.07688451917</v>
      </c>
      <c r="D16" s="266">
        <f t="shared" si="5"/>
        <v>0.07784528359</v>
      </c>
      <c r="E16" s="266">
        <f t="shared" si="5"/>
        <v>0.0816617814</v>
      </c>
      <c r="F16" s="267">
        <f t="shared" si="5"/>
        <v>0.07917044646</v>
      </c>
    </row>
    <row r="18">
      <c r="A18" s="268" t="s">
        <v>113</v>
      </c>
      <c r="B18" s="269">
        <f>(C14+D14+E14+F14)/4</f>
        <v>0.2791706482</v>
      </c>
      <c r="F18" s="268"/>
    </row>
    <row r="19">
      <c r="A19" s="270" t="s">
        <v>114</v>
      </c>
      <c r="B19" s="271">
        <f>(C16+D16+E16+F16+B16)/5</f>
        <v>0.07819101716</v>
      </c>
    </row>
    <row r="22">
      <c r="A22" s="268" t="s">
        <v>115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>
    <row r="1">
      <c r="A1" s="70" t="s">
        <v>116</v>
      </c>
    </row>
    <row r="2">
      <c r="A2" s="70" t="s">
        <v>117</v>
      </c>
    </row>
    <row r="3">
      <c r="A3" s="70" t="s">
        <v>118</v>
      </c>
    </row>
    <row r="4">
      <c r="A4" s="70" t="s">
        <v>68</v>
      </c>
    </row>
    <row r="5">
      <c r="A5" s="70" t="s">
        <v>119</v>
      </c>
    </row>
    <row r="6">
      <c r="A6" s="70" t="s">
        <v>120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26.67"/>
    <col customWidth="1" min="2" max="2" width="18.89"/>
    <col customWidth="1" min="3" max="3" width="18.22"/>
    <col customWidth="1" min="4" max="4" width="24.44"/>
    <col customWidth="1" min="5" max="5" width="24.56"/>
  </cols>
  <sheetData>
    <row r="1">
      <c r="A1" s="272"/>
      <c r="B1" s="272"/>
      <c r="C1" s="273" t="s">
        <v>121</v>
      </c>
      <c r="D1" s="273" t="s">
        <v>122</v>
      </c>
      <c r="E1" s="273" t="s">
        <v>123</v>
      </c>
    </row>
    <row r="2">
      <c r="A2" s="274" t="s">
        <v>124</v>
      </c>
      <c r="B2" s="273" t="s">
        <v>125</v>
      </c>
      <c r="C2" s="272"/>
      <c r="D2" s="272"/>
      <c r="E2" s="272"/>
    </row>
    <row r="3">
      <c r="A3" s="275">
        <v>4.0E7</v>
      </c>
      <c r="B3" s="276">
        <v>0.825</v>
      </c>
      <c r="C3" s="277">
        <f>B3-B7+B9</f>
        <v>0.821</v>
      </c>
      <c r="D3" s="278">
        <f>A3*C3*80%</f>
        <v>26272000</v>
      </c>
      <c r="E3" s="272"/>
    </row>
    <row r="4">
      <c r="A4" s="279"/>
      <c r="B4" s="273" t="s">
        <v>126</v>
      </c>
      <c r="C4" s="272"/>
      <c r="D4" s="272"/>
      <c r="E4" s="272"/>
    </row>
    <row r="5">
      <c r="A5" s="279"/>
      <c r="B5" s="276">
        <v>0.776</v>
      </c>
      <c r="C5" s="277">
        <f>B5-B7+B9</f>
        <v>0.772</v>
      </c>
      <c r="D5" s="272"/>
      <c r="E5" s="278">
        <f>A3*C5*80%</f>
        <v>24704000</v>
      </c>
    </row>
    <row r="6">
      <c r="A6" s="272"/>
      <c r="B6" s="273" t="s">
        <v>127</v>
      </c>
      <c r="C6" s="272"/>
      <c r="D6" s="272"/>
      <c r="E6" s="272"/>
    </row>
    <row r="7">
      <c r="A7" s="272"/>
      <c r="B7" s="276">
        <v>0.004</v>
      </c>
      <c r="C7" s="272"/>
      <c r="D7" s="272"/>
      <c r="E7" s="272"/>
    </row>
    <row r="8">
      <c r="A8" s="272"/>
      <c r="B8" s="273" t="s">
        <v>128</v>
      </c>
      <c r="C8" s="272"/>
      <c r="D8" s="272"/>
      <c r="E8" s="272"/>
    </row>
    <row r="9">
      <c r="A9" s="272"/>
      <c r="B9" s="280">
        <v>0.0</v>
      </c>
      <c r="C9" s="272"/>
      <c r="D9" s="272"/>
      <c r="E9" s="272"/>
    </row>
    <row r="12">
      <c r="C12" s="70">
        <f>0.802+0.04</f>
        <v>0.842</v>
      </c>
    </row>
    <row r="13">
      <c r="B13" s="70">
        <v>0.753</v>
      </c>
      <c r="C13" s="70">
        <v>0.76</v>
      </c>
      <c r="D13" s="237">
        <f>C13*40000000*0.8</f>
        <v>24320000</v>
      </c>
    </row>
    <row r="16">
      <c r="B16" s="237">
        <f>30000000/B13</f>
        <v>39840637.45</v>
      </c>
      <c r="C16" s="237">
        <f>23000000/C13</f>
        <v>30263157.89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19.78"/>
    <col customWidth="1" min="4" max="4" width="13.44"/>
    <col customWidth="1" min="5" max="5" width="17.0"/>
  </cols>
  <sheetData>
    <row r="1">
      <c r="A1" s="281" t="s">
        <v>129</v>
      </c>
      <c r="B1" s="282"/>
      <c r="D1" s="281" t="s">
        <v>130</v>
      </c>
    </row>
    <row r="3">
      <c r="A3" s="283" t="s">
        <v>131</v>
      </c>
      <c r="B3" s="193"/>
      <c r="D3" s="284" t="s">
        <v>132</v>
      </c>
      <c r="E3" s="285">
        <v>166.4</v>
      </c>
    </row>
    <row r="4">
      <c r="A4" s="236" t="s">
        <v>133</v>
      </c>
      <c r="B4" s="240">
        <v>1000.0</v>
      </c>
      <c r="D4" s="286" t="s">
        <v>134</v>
      </c>
      <c r="E4" s="238">
        <f>77</f>
        <v>77</v>
      </c>
    </row>
    <row r="5">
      <c r="A5" s="236" t="s">
        <v>135</v>
      </c>
      <c r="B5" s="255">
        <v>0.15</v>
      </c>
      <c r="D5" s="264" t="s">
        <v>136</v>
      </c>
      <c r="E5" s="287">
        <f>E3+E4</f>
        <v>243.4</v>
      </c>
    </row>
    <row r="6">
      <c r="A6" s="264" t="s">
        <v>137</v>
      </c>
      <c r="B6" s="287">
        <f>B4*(1+B5)</f>
        <v>1150</v>
      </c>
    </row>
    <row r="8">
      <c r="A8" s="288"/>
      <c r="B8" s="288"/>
    </row>
    <row r="9">
      <c r="A9" s="289" t="s">
        <v>138</v>
      </c>
      <c r="B9" s="288"/>
    </row>
    <row r="10">
      <c r="A10" s="289"/>
      <c r="B10" s="288"/>
    </row>
    <row r="11">
      <c r="A11" s="290" t="s">
        <v>139</v>
      </c>
      <c r="B11" s="291">
        <f>749.9*3%</f>
        <v>22.497</v>
      </c>
    </row>
    <row r="12">
      <c r="A12" s="290"/>
      <c r="D12" s="70" t="s">
        <v>140</v>
      </c>
      <c r="E12" s="70" t="s">
        <v>141</v>
      </c>
    </row>
    <row r="13">
      <c r="A13" s="292" t="s">
        <v>142</v>
      </c>
      <c r="B13" s="293">
        <f>5%*197.2</f>
        <v>9.86</v>
      </c>
    </row>
    <row r="14">
      <c r="A14" s="292" t="s">
        <v>143</v>
      </c>
      <c r="B14" s="294">
        <f>5%*50</f>
        <v>2.5</v>
      </c>
    </row>
    <row r="15">
      <c r="A15" s="290" t="s">
        <v>144</v>
      </c>
      <c r="B15" s="288">
        <f>B13+B14</f>
        <v>12.36</v>
      </c>
    </row>
    <row r="16">
      <c r="A16" s="289"/>
      <c r="B16" s="288"/>
    </row>
    <row r="17">
      <c r="A17" s="290" t="s">
        <v>145</v>
      </c>
      <c r="B17" s="288">
        <f>B11+B15</f>
        <v>34.857</v>
      </c>
    </row>
    <row r="18">
      <c r="A18" s="288"/>
      <c r="B18" s="288"/>
    </row>
  </sheetData>
  <mergeCells count="1">
    <mergeCell ref="A3:B3"/>
  </mergeCells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2023-11-04T14:07:56Z</dcterms:created>
  <dc:creator>Aatmay Upponi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0x010100DB3155073D5EFA4EAF949B06A2D25F86</vt:lpwstr>
  </property>
  <property fmtid="{D5CDD505-2E9C-101B-9397-08002B2CF9AE}" pid="3" name="MediaServiceImageTags">
    <vt:lpwstr/>
  </property>
</Properties>
</file>