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codeName="ThisWorkbook"/>
  <mc:AlternateContent xmlns:mc="http://schemas.openxmlformats.org/markup-compatibility/2006">
    <mc:Choice Requires="x15">
      <x15ac:absPath xmlns:x15ac="http://schemas.microsoft.com/office/spreadsheetml/2010/11/ac" url="C:\Users\maria.ruiz\OneDrive - NEOMA Business School\Documents\0 PRO\Dossier partagé Financial Modeling and Valuation\2.ASYNCHRONOUS\"/>
    </mc:Choice>
  </mc:AlternateContent>
  <xr:revisionPtr revIDLastSave="6" documentId="8_{DA494340-EAE9-4C4E-AD2A-A7221BCC0A69}" xr6:coauthVersionLast="36" xr6:coauthVersionMax="47" xr10:uidLastSave="{09AF4415-BB82-4E00-8515-EE48DB2483D7}"/>
  <bookViews>
    <workbookView xWindow="20" yWindow="500" windowWidth="28800" windowHeight="16280" tabRatio="713" activeTab="3" xr2:uid="{00000000-000D-0000-FFFF-FFFF00000000}"/>
  </bookViews>
  <sheets>
    <sheet name="CASE" sheetId="27" r:id="rId1"/>
    <sheet name="A-INSTRUCTIONS" sheetId="21" r:id="rId2"/>
    <sheet name="B-CAPITAL BUDGETING CASE" sheetId="22" r:id="rId3"/>
    <sheet name="C-SCENARIOS" sheetId="31" r:id="rId4"/>
    <sheet name="D-SCENARIO INSTRUCTIONS" sheetId="26" r:id="rId5"/>
    <sheet name="Appendix - definitions" sheetId="28" r:id="rId6"/>
  </sheets>
  <definedNames>
    <definedName name="ANALYSIS" localSheetId="3">'C-SCENARIOS'!$C$254</definedName>
    <definedName name="ANALYSIS">'B-CAPITAL BUDGETING CASE'!$C$250</definedName>
    <definedName name="Comment" localSheetId="2">#REF!</definedName>
    <definedName name="Comment" localSheetId="3">#REF!</definedName>
    <definedName name="Comment" localSheetId="4">#REF!</definedName>
    <definedName name="Comment">#REF!</definedName>
    <definedName name="EIRR" localSheetId="3">'C-SCENARIOS'!$E$227</definedName>
    <definedName name="EIRR">'B-CAPITAL BUDGETING CASE'!$E$223</definedName>
    <definedName name="FCFEDEF">'Appendix - definitions'!$B$4</definedName>
    <definedName name="FINANCING" localSheetId="3">'C-SCENARIOS'!$C$174</definedName>
    <definedName name="FINANCING">'B-CAPITAL BUDGETING CASE'!$C$170</definedName>
    <definedName name="INVESTING" localSheetId="3">'C-SCENARIOS'!$C$5</definedName>
    <definedName name="INVESTING">'B-CAPITAL BUDGETING CASE'!$C$5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"06/18/2021 15:56:39"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RR" localSheetId="3">'C-SCENARIOS'!$E$156</definedName>
    <definedName name="IRR">'B-CAPITAL BUDGETING CASE'!$E$152</definedName>
    <definedName name="NPV" localSheetId="3">'C-SCENARIOS'!$E$128</definedName>
    <definedName name="NPV">'B-CAPITAL BUDGETING CASE'!$E$124</definedName>
    <definedName name="SCENARIOS">'D-SCENARIO INSTRUCTIONS'!$C$4</definedName>
    <definedName name="SENSITIVITY" localSheetId="3">'C-SCENARIOS'!$C$305</definedName>
    <definedName name="SENSITIVITY">'B-CAPITAL BUDGETING CASE'!$C$301</definedName>
    <definedName name="solver_adj" localSheetId="2" hidden="1">'B-CAPITAL BUDGETING CASE'!$I$174,'B-CAPITAL BUDGETING CASE'!#REF!,'B-CAPITAL BUDGETING CASE'!#REF!,'B-CAPITAL BUDGETING CASE'!#REF!,'B-CAPITAL BUDGETING CASE'!#REF!,'B-CAPITAL BUDGETING CASE'!#REF!,'B-CAPITAL BUDGETING CASE'!$G$25</definedName>
    <definedName name="solver_adj" localSheetId="3" hidden="1">'C-SCENARIOS'!$I$178,'C-SCENARIOS'!#REF!,'C-SCENARIOS'!#REF!,'C-SCENARIOS'!#REF!,'C-SCENARIOS'!#REF!,'C-SCENARIOS'!#REF!,'C-SCENARIOS'!$G$25</definedName>
    <definedName name="solver_adj" localSheetId="4" hidden="1">'D-SCENARIO INSTRUCTIONS'!#REF!,'D-SCENARIO INSTRUCTIONS'!#REF!,'D-SCENARIO INSTRUCTIONS'!#REF!,'D-SCENARIO INSTRUCTIONS'!#REF!,'D-SCENARIO INSTRUCTIONS'!#REF!,'D-SCENARIO INSTRUCTIONS'!#REF!,'D-SCENARIO INSTRUCTIONS'!#REF!</definedName>
    <definedName name="solver_cvg" localSheetId="2" hidden="1">0.0001</definedName>
    <definedName name="solver_cvg" localSheetId="3" hidden="1">0.0001</definedName>
    <definedName name="solver_cvg" localSheetId="4" hidden="1">0.0001</definedName>
    <definedName name="solver_drv" localSheetId="2" hidden="1">1</definedName>
    <definedName name="solver_drv" localSheetId="3" hidden="1">1</definedName>
    <definedName name="solver_drv" localSheetId="4" hidden="1">1</definedName>
    <definedName name="solver_eng" localSheetId="2" hidden="1">1</definedName>
    <definedName name="solver_eng" localSheetId="3" hidden="1">1</definedName>
    <definedName name="solver_eng" localSheetId="4" hidden="1">1</definedName>
    <definedName name="solver_est" localSheetId="2" hidden="1">1</definedName>
    <definedName name="solver_est" localSheetId="3" hidden="1">1</definedName>
    <definedName name="solver_est" localSheetId="4" hidden="1">1</definedName>
    <definedName name="solver_itr" localSheetId="2" hidden="1">2147483647</definedName>
    <definedName name="solver_itr" localSheetId="3" hidden="1">2147483647</definedName>
    <definedName name="solver_itr" localSheetId="4" hidden="1">2147483647</definedName>
    <definedName name="solver_lhs1" localSheetId="2" hidden="1">'B-CAPITAL BUDGETING CASE'!#REF!</definedName>
    <definedName name="solver_lhs1" localSheetId="3" hidden="1">'C-SCENARIOS'!#REF!</definedName>
    <definedName name="solver_lhs1" localSheetId="4" hidden="1">'D-SCENARIO INSTRUCTIONS'!#REF!</definedName>
    <definedName name="solver_lhs10" localSheetId="2" hidden="1">'B-CAPITAL BUDGETING CASE'!#REF!</definedName>
    <definedName name="solver_lhs10" localSheetId="3" hidden="1">'C-SCENARIOS'!#REF!</definedName>
    <definedName name="solver_lhs10" localSheetId="4" hidden="1">'D-SCENARIO INSTRUCTIONS'!#REF!</definedName>
    <definedName name="solver_lhs11" localSheetId="2" hidden="1">'B-CAPITAL BUDGETING CASE'!$I$174</definedName>
    <definedName name="solver_lhs11" localSheetId="3" hidden="1">'C-SCENARIOS'!$I$178</definedName>
    <definedName name="solver_lhs11" localSheetId="4" hidden="1">'D-SCENARIO INSTRUCTIONS'!#REF!</definedName>
    <definedName name="solver_lhs12" localSheetId="2" hidden="1">'B-CAPITAL BUDGETING CASE'!$I$174</definedName>
    <definedName name="solver_lhs12" localSheetId="3" hidden="1">'C-SCENARIOS'!$I$178</definedName>
    <definedName name="solver_lhs12" localSheetId="4" hidden="1">'D-SCENARIO INSTRUCTIONS'!#REF!</definedName>
    <definedName name="solver_lhs13" localSheetId="2" hidden="1">'B-CAPITAL BUDGETING CASE'!#REF!</definedName>
    <definedName name="solver_lhs13" localSheetId="3" hidden="1">'C-SCENARIOS'!#REF!</definedName>
    <definedName name="solver_lhs13" localSheetId="4" hidden="1">'D-SCENARIO INSTRUCTIONS'!#REF!</definedName>
    <definedName name="solver_lhs14" localSheetId="2" hidden="1">'B-CAPITAL BUDGETING CASE'!#REF!</definedName>
    <definedName name="solver_lhs14" localSheetId="3" hidden="1">'C-SCENARIOS'!#REF!</definedName>
    <definedName name="solver_lhs14" localSheetId="4" hidden="1">'D-SCENARIO INSTRUCTIONS'!#REF!</definedName>
    <definedName name="solver_lhs2" localSheetId="2" hidden="1">'B-CAPITAL BUDGETING CASE'!#REF!</definedName>
    <definedName name="solver_lhs2" localSheetId="3" hidden="1">'C-SCENARIOS'!#REF!</definedName>
    <definedName name="solver_lhs2" localSheetId="4" hidden="1">'D-SCENARIO INSTRUCTIONS'!#REF!</definedName>
    <definedName name="solver_lhs3" localSheetId="2" hidden="1">'B-CAPITAL BUDGETING CASE'!#REF!</definedName>
    <definedName name="solver_lhs3" localSheetId="3" hidden="1">'C-SCENARIOS'!#REF!</definedName>
    <definedName name="solver_lhs3" localSheetId="4" hidden="1">'D-SCENARIO INSTRUCTIONS'!#REF!</definedName>
    <definedName name="solver_lhs4" localSheetId="2" hidden="1">'B-CAPITAL BUDGETING CASE'!#REF!</definedName>
    <definedName name="solver_lhs4" localSheetId="3" hidden="1">'C-SCENARIOS'!#REF!</definedName>
    <definedName name="solver_lhs4" localSheetId="4" hidden="1">'D-SCENARIO INSTRUCTIONS'!#REF!</definedName>
    <definedName name="solver_lhs5" localSheetId="2" hidden="1">'B-CAPITAL BUDGETING CASE'!$G$25</definedName>
    <definedName name="solver_lhs5" localSheetId="3" hidden="1">'C-SCENARIOS'!$G$25</definedName>
    <definedName name="solver_lhs5" localSheetId="4" hidden="1">'D-SCENARIO INSTRUCTIONS'!#REF!</definedName>
    <definedName name="solver_lhs6" localSheetId="2" hidden="1">'B-CAPITAL BUDGETING CASE'!$G$25</definedName>
    <definedName name="solver_lhs6" localSheetId="3" hidden="1">'C-SCENARIOS'!$G$25</definedName>
    <definedName name="solver_lhs6" localSheetId="4" hidden="1">'D-SCENARIO INSTRUCTIONS'!#REF!</definedName>
    <definedName name="solver_lhs7" localSheetId="2" hidden="1">'B-CAPITAL BUDGETING CASE'!#REF!</definedName>
    <definedName name="solver_lhs7" localSheetId="3" hidden="1">'C-SCENARIOS'!#REF!</definedName>
    <definedName name="solver_lhs7" localSheetId="4" hidden="1">'D-SCENARIO INSTRUCTIONS'!#REF!</definedName>
    <definedName name="solver_lhs8" localSheetId="2" hidden="1">'B-CAPITAL BUDGETING CASE'!#REF!</definedName>
    <definedName name="solver_lhs8" localSheetId="3" hidden="1">'C-SCENARIOS'!#REF!</definedName>
    <definedName name="solver_lhs8" localSheetId="4" hidden="1">'D-SCENARIO INSTRUCTIONS'!#REF!</definedName>
    <definedName name="solver_lhs9" localSheetId="2" hidden="1">'B-CAPITAL BUDGETING CASE'!#REF!</definedName>
    <definedName name="solver_lhs9" localSheetId="3" hidden="1">'C-SCENARIOS'!#REF!</definedName>
    <definedName name="solver_lhs9" localSheetId="4" hidden="1">'D-SCENARIO INSTRUCTIONS'!#REF!</definedName>
    <definedName name="solver_mip" localSheetId="2" hidden="1">2147483647</definedName>
    <definedName name="solver_mip" localSheetId="3" hidden="1">2147483647</definedName>
    <definedName name="solver_mip" localSheetId="4" hidden="1">2147483647</definedName>
    <definedName name="solver_mni" localSheetId="2" hidden="1">30</definedName>
    <definedName name="solver_mni" localSheetId="3" hidden="1">30</definedName>
    <definedName name="solver_mni" localSheetId="4" hidden="1">30</definedName>
    <definedName name="solver_mrt" localSheetId="2" hidden="1">0.075</definedName>
    <definedName name="solver_mrt" localSheetId="3" hidden="1">0.075</definedName>
    <definedName name="solver_mrt" localSheetId="4" hidden="1">0.075</definedName>
    <definedName name="solver_msl" localSheetId="2" hidden="1">2</definedName>
    <definedName name="solver_msl" localSheetId="3" hidden="1">2</definedName>
    <definedName name="solver_msl" localSheetId="4" hidden="1">2</definedName>
    <definedName name="solver_neg" localSheetId="2" hidden="1">1</definedName>
    <definedName name="solver_neg" localSheetId="3" hidden="1">1</definedName>
    <definedName name="solver_neg" localSheetId="4" hidden="1">1</definedName>
    <definedName name="solver_nod" localSheetId="2" hidden="1">2147483647</definedName>
    <definedName name="solver_nod" localSheetId="3" hidden="1">2147483647</definedName>
    <definedName name="solver_nod" localSheetId="4" hidden="1">2147483647</definedName>
    <definedName name="solver_num" localSheetId="2" hidden="1">14</definedName>
    <definedName name="solver_num" localSheetId="3" hidden="1">14</definedName>
    <definedName name="solver_num" localSheetId="4" hidden="1">14</definedName>
    <definedName name="solver_nwt" localSheetId="2" hidden="1">1</definedName>
    <definedName name="solver_nwt" localSheetId="3" hidden="1">1</definedName>
    <definedName name="solver_nwt" localSheetId="4" hidden="1">1</definedName>
    <definedName name="solver_opt" localSheetId="2" hidden="1">'B-CAPITAL BUDGETING CASE'!$E$223</definedName>
    <definedName name="solver_opt" localSheetId="3" hidden="1">'C-SCENARIOS'!$E$227</definedName>
    <definedName name="solver_opt" localSheetId="4" hidden="1">'D-SCENARIO INSTRUCTIONS'!#REF!</definedName>
    <definedName name="solver_pre" localSheetId="2" hidden="1">0.000001</definedName>
    <definedName name="solver_pre" localSheetId="3" hidden="1">0.000001</definedName>
    <definedName name="solver_pre" localSheetId="4" hidden="1">0.000001</definedName>
    <definedName name="solver_rbv" localSheetId="2" hidden="1">1</definedName>
    <definedName name="solver_rbv" localSheetId="3" hidden="1">1</definedName>
    <definedName name="solver_rbv" localSheetId="4" hidden="1">1</definedName>
    <definedName name="solver_rel1" localSheetId="2" hidden="1">1</definedName>
    <definedName name="solver_rel1" localSheetId="3" hidden="1">1</definedName>
    <definedName name="solver_rel1" localSheetId="4" hidden="1">1</definedName>
    <definedName name="solver_rel10" localSheetId="2" hidden="1">3</definedName>
    <definedName name="solver_rel10" localSheetId="3" hidden="1">3</definedName>
    <definedName name="solver_rel10" localSheetId="4" hidden="1">3</definedName>
    <definedName name="solver_rel11" localSheetId="2" hidden="1">1</definedName>
    <definedName name="solver_rel11" localSheetId="3" hidden="1">1</definedName>
    <definedName name="solver_rel11" localSheetId="4" hidden="1">1</definedName>
    <definedName name="solver_rel12" localSheetId="2" hidden="1">3</definedName>
    <definedName name="solver_rel12" localSheetId="3" hidden="1">3</definedName>
    <definedName name="solver_rel12" localSheetId="4" hidden="1">3</definedName>
    <definedName name="solver_rel13" localSheetId="2" hidden="1">1</definedName>
    <definedName name="solver_rel13" localSheetId="3" hidden="1">1</definedName>
    <definedName name="solver_rel13" localSheetId="4" hidden="1">1</definedName>
    <definedName name="solver_rel14" localSheetId="2" hidden="1">3</definedName>
    <definedName name="solver_rel14" localSheetId="3" hidden="1">3</definedName>
    <definedName name="solver_rel14" localSheetId="4" hidden="1">3</definedName>
    <definedName name="solver_rel2" localSheetId="2" hidden="1">3</definedName>
    <definedName name="solver_rel2" localSheetId="3" hidden="1">3</definedName>
    <definedName name="solver_rel2" localSheetId="4" hidden="1">3</definedName>
    <definedName name="solver_rel3" localSheetId="2" hidden="1">1</definedName>
    <definedName name="solver_rel3" localSheetId="3" hidden="1">1</definedName>
    <definedName name="solver_rel3" localSheetId="4" hidden="1">1</definedName>
    <definedName name="solver_rel4" localSheetId="2" hidden="1">3</definedName>
    <definedName name="solver_rel4" localSheetId="3" hidden="1">3</definedName>
    <definedName name="solver_rel4" localSheetId="4" hidden="1">3</definedName>
    <definedName name="solver_rel5" localSheetId="2" hidden="1">1</definedName>
    <definedName name="solver_rel5" localSheetId="3" hidden="1">1</definedName>
    <definedName name="solver_rel5" localSheetId="4" hidden="1">1</definedName>
    <definedName name="solver_rel6" localSheetId="2" hidden="1">3</definedName>
    <definedName name="solver_rel6" localSheetId="3" hidden="1">3</definedName>
    <definedName name="solver_rel6" localSheetId="4" hidden="1">3</definedName>
    <definedName name="solver_rel7" localSheetId="2" hidden="1">1</definedName>
    <definedName name="solver_rel7" localSheetId="3" hidden="1">1</definedName>
    <definedName name="solver_rel7" localSheetId="4" hidden="1">1</definedName>
    <definedName name="solver_rel8" localSheetId="2" hidden="1">3</definedName>
    <definedName name="solver_rel8" localSheetId="3" hidden="1">3</definedName>
    <definedName name="solver_rel8" localSheetId="4" hidden="1">3</definedName>
    <definedName name="solver_rel9" localSheetId="2" hidden="1">1</definedName>
    <definedName name="solver_rel9" localSheetId="3" hidden="1">1</definedName>
    <definedName name="solver_rel9" localSheetId="4" hidden="1">1</definedName>
    <definedName name="solver_rhs1" localSheetId="2" hidden="1">100%</definedName>
    <definedName name="solver_rhs1" localSheetId="3" hidden="1">100%</definedName>
    <definedName name="solver_rhs1" localSheetId="4" hidden="1">100%</definedName>
    <definedName name="solver_rhs10" localSheetId="2" hidden="1">70%</definedName>
    <definedName name="solver_rhs10" localSheetId="3" hidden="1">70%</definedName>
    <definedName name="solver_rhs10" localSheetId="4" hidden="1">70%</definedName>
    <definedName name="solver_rhs11" localSheetId="2" hidden="1">55%</definedName>
    <definedName name="solver_rhs11" localSheetId="3" hidden="1">55%</definedName>
    <definedName name="solver_rhs11" localSheetId="4" hidden="1">55%</definedName>
    <definedName name="solver_rhs12" localSheetId="2" hidden="1">35%</definedName>
    <definedName name="solver_rhs12" localSheetId="3" hidden="1">35%</definedName>
    <definedName name="solver_rhs12" localSheetId="4" hidden="1">35%</definedName>
    <definedName name="solver_rhs13" localSheetId="2" hidden="1">100%</definedName>
    <definedName name="solver_rhs13" localSheetId="3" hidden="1">100%</definedName>
    <definedName name="solver_rhs13" localSheetId="4" hidden="1">100%</definedName>
    <definedName name="solver_rhs14" localSheetId="2" hidden="1">70%</definedName>
    <definedName name="solver_rhs14" localSheetId="3" hidden="1">70%</definedName>
    <definedName name="solver_rhs14" localSheetId="4" hidden="1">70%</definedName>
    <definedName name="solver_rhs2" localSheetId="2" hidden="1">70%</definedName>
    <definedName name="solver_rhs2" localSheetId="3" hidden="1">70%</definedName>
    <definedName name="solver_rhs2" localSheetId="4" hidden="1">70%</definedName>
    <definedName name="solver_rhs3" localSheetId="2" hidden="1">100%</definedName>
    <definedName name="solver_rhs3" localSheetId="3" hidden="1">100%</definedName>
    <definedName name="solver_rhs3" localSheetId="4" hidden="1">100%</definedName>
    <definedName name="solver_rhs4" localSheetId="2" hidden="1">70%</definedName>
    <definedName name="solver_rhs4" localSheetId="3" hidden="1">70%</definedName>
    <definedName name="solver_rhs4" localSheetId="4" hidden="1">70%</definedName>
    <definedName name="solver_rhs5" localSheetId="2" hidden="1">5%</definedName>
    <definedName name="solver_rhs5" localSheetId="3" hidden="1">5%</definedName>
    <definedName name="solver_rhs5" localSheetId="4" hidden="1">5%</definedName>
    <definedName name="solver_rhs6" localSheetId="2" hidden="1">3%</definedName>
    <definedName name="solver_rhs6" localSheetId="3" hidden="1">3%</definedName>
    <definedName name="solver_rhs6" localSheetId="4" hidden="1">3%</definedName>
    <definedName name="solver_rhs7" localSheetId="2" hidden="1">100%</definedName>
    <definedName name="solver_rhs7" localSheetId="3" hidden="1">100%</definedName>
    <definedName name="solver_rhs7" localSheetId="4" hidden="1">100%</definedName>
    <definedName name="solver_rhs8" localSheetId="2" hidden="1">70%</definedName>
    <definedName name="solver_rhs8" localSheetId="3" hidden="1">70%</definedName>
    <definedName name="solver_rhs8" localSheetId="4" hidden="1">70%</definedName>
    <definedName name="solver_rhs9" localSheetId="2" hidden="1">100%</definedName>
    <definedName name="solver_rhs9" localSheetId="3" hidden="1">100%</definedName>
    <definedName name="solver_rhs9" localSheetId="4" hidden="1">100%</definedName>
    <definedName name="solver_rlx" localSheetId="2" hidden="1">2</definedName>
    <definedName name="solver_rlx" localSheetId="3" hidden="1">2</definedName>
    <definedName name="solver_rlx" localSheetId="4" hidden="1">2</definedName>
    <definedName name="solver_rsd" localSheetId="2" hidden="1">0</definedName>
    <definedName name="solver_rsd" localSheetId="3" hidden="1">0</definedName>
    <definedName name="solver_rsd" localSheetId="4" hidden="1">0</definedName>
    <definedName name="solver_scl" localSheetId="2" hidden="1">1</definedName>
    <definedName name="solver_scl" localSheetId="3" hidden="1">1</definedName>
    <definedName name="solver_scl" localSheetId="4" hidden="1">1</definedName>
    <definedName name="solver_sho" localSheetId="2" hidden="1">2</definedName>
    <definedName name="solver_sho" localSheetId="3" hidden="1">2</definedName>
    <definedName name="solver_sho" localSheetId="4" hidden="1">2</definedName>
    <definedName name="solver_ssz" localSheetId="2" hidden="1">100</definedName>
    <definedName name="solver_ssz" localSheetId="3" hidden="1">100</definedName>
    <definedName name="solver_ssz" localSheetId="4" hidden="1">100</definedName>
    <definedName name="solver_tim" localSheetId="2" hidden="1">2147483647</definedName>
    <definedName name="solver_tim" localSheetId="3" hidden="1">2147483647</definedName>
    <definedName name="solver_tim" localSheetId="4" hidden="1">2147483647</definedName>
    <definedName name="solver_tol" localSheetId="2" hidden="1">0.01</definedName>
    <definedName name="solver_tol" localSheetId="3" hidden="1">0.01</definedName>
    <definedName name="solver_tol" localSheetId="4" hidden="1">0.01</definedName>
    <definedName name="solver_typ" localSheetId="2" hidden="1">3</definedName>
    <definedName name="solver_typ" localSheetId="3" hidden="1">3</definedName>
    <definedName name="solver_typ" localSheetId="4" hidden="1">3</definedName>
    <definedName name="solver_val" localSheetId="2" hidden="1">0.25</definedName>
    <definedName name="solver_val" localSheetId="3" hidden="1">0.25</definedName>
    <definedName name="solver_val" localSheetId="4" hidden="1">0.25</definedName>
    <definedName name="solver_ver" localSheetId="2" hidden="1">3</definedName>
    <definedName name="solver_ver" localSheetId="3" hidden="1">3</definedName>
    <definedName name="solver_ver" localSheetId="4" hidden="1">3</definedName>
    <definedName name="tax" localSheetId="3">'C-SCENARIOS'!$E$40</definedName>
    <definedName name="tax">'B-CAPITAL BUDGETING CASE'!$E$40</definedName>
    <definedName name="TORNADO">'D-SCENARIO INSTRUCTIONS'!$C$29</definedName>
    <definedName name="waterfall_graph_data1" localSheetId="1">#REF!</definedName>
    <definedName name="waterfall_graph_data1" localSheetId="3">#REF!</definedName>
    <definedName name="waterfall_graph_data1" localSheetId="4">#REF!</definedName>
    <definedName name="waterfall_graph_data1">#REF!</definedName>
  </definedNames>
  <calcPr calcId="191029" calcMode="autoNoTable"/>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3" i="31" l="1"/>
  <c r="J51" i="31"/>
  <c r="F32" i="31" l="1"/>
  <c r="F32" i="22"/>
  <c r="F26" i="22"/>
  <c r="F24" i="22"/>
  <c r="E9" i="22" l="1"/>
  <c r="E10" i="22"/>
  <c r="E12" i="22"/>
  <c r="E13" i="22"/>
  <c r="E252" i="22"/>
  <c r="F252" i="22"/>
  <c r="F30" i="22"/>
  <c r="F31" i="22"/>
  <c r="F29" i="22"/>
  <c r="F25" i="22"/>
  <c r="E11" i="22" l="1"/>
  <c r="E337" i="22"/>
  <c r="E345" i="22"/>
  <c r="N26" i="31"/>
  <c r="N28" i="31"/>
  <c r="N29" i="31" s="1"/>
  <c r="T17" i="31"/>
  <c r="S17" i="31"/>
  <c r="F25" i="31" s="1"/>
  <c r="S26" i="31" s="1"/>
  <c r="R17" i="31"/>
  <c r="F24" i="31" s="1"/>
  <c r="Q17" i="31"/>
  <c r="F26" i="31" s="1"/>
  <c r="P17" i="31"/>
  <c r="N18" i="31"/>
  <c r="E351" i="31"/>
  <c r="E352" i="31" s="1"/>
  <c r="E353" i="31" s="1"/>
  <c r="E343" i="31"/>
  <c r="E344" i="31" s="1"/>
  <c r="E333" i="31"/>
  <c r="E334" i="31" s="1"/>
  <c r="E335" i="31" s="1"/>
  <c r="E336" i="31" s="1"/>
  <c r="J256" i="31"/>
  <c r="J262" i="31" s="1"/>
  <c r="I256" i="31"/>
  <c r="I262" i="31" s="1"/>
  <c r="H256" i="31"/>
  <c r="H262" i="31" s="1"/>
  <c r="G256" i="31"/>
  <c r="G262" i="31" s="1"/>
  <c r="F256" i="31"/>
  <c r="F262" i="31" s="1"/>
  <c r="E256" i="31"/>
  <c r="E262" i="31" s="1"/>
  <c r="E235" i="31"/>
  <c r="E234" i="31"/>
  <c r="E233" i="31"/>
  <c r="C212" i="31"/>
  <c r="E197" i="31"/>
  <c r="E196" i="31"/>
  <c r="E195" i="31"/>
  <c r="E194" i="31"/>
  <c r="B191" i="31"/>
  <c r="C191" i="31" s="1"/>
  <c r="F207" i="31" s="1"/>
  <c r="C190" i="31"/>
  <c r="E207" i="31" s="1"/>
  <c r="E186" i="31"/>
  <c r="G190" i="31" s="1"/>
  <c r="I179" i="31"/>
  <c r="I181" i="31" s="1"/>
  <c r="C142" i="31"/>
  <c r="E75" i="31"/>
  <c r="E76" i="31" s="1"/>
  <c r="E93" i="31" s="1"/>
  <c r="E40" i="31"/>
  <c r="F33" i="31"/>
  <c r="F27" i="31"/>
  <c r="E12" i="31"/>
  <c r="J101" i="31" s="1"/>
  <c r="F2" i="31"/>
  <c r="G2" i="31" s="1"/>
  <c r="H2" i="31" s="1"/>
  <c r="I2" i="31" s="1"/>
  <c r="J2" i="31" s="1"/>
  <c r="E1" i="31"/>
  <c r="E140" i="31" s="1"/>
  <c r="E347" i="22"/>
  <c r="E348" i="22" s="1"/>
  <c r="E349" i="22" s="1"/>
  <c r="K347" i="22" s="1"/>
  <c r="E339" i="22"/>
  <c r="E340" i="22" s="1"/>
  <c r="E341" i="22" s="1"/>
  <c r="F2" i="22"/>
  <c r="G2" i="22" s="1"/>
  <c r="H2" i="22" s="1"/>
  <c r="I2" i="22" s="1"/>
  <c r="J2" i="22" s="1"/>
  <c r="E1" i="22"/>
  <c r="F1" i="22" s="1"/>
  <c r="G1" i="22" s="1"/>
  <c r="H1" i="22" s="1"/>
  <c r="I1" i="22" s="1"/>
  <c r="J1" i="22" s="1"/>
  <c r="K150" i="31"/>
  <c r="R26" i="31" l="1"/>
  <c r="E349" i="31"/>
  <c r="I347" i="22"/>
  <c r="K346" i="22"/>
  <c r="K309" i="22" s="1"/>
  <c r="N19" i="31"/>
  <c r="I346" i="22"/>
  <c r="G309" i="22" s="1"/>
  <c r="I338" i="22"/>
  <c r="G308" i="22" s="1"/>
  <c r="K338" i="22"/>
  <c r="K308" i="22" s="1"/>
  <c r="E236" i="31"/>
  <c r="E41" i="31"/>
  <c r="J124" i="31" s="1"/>
  <c r="B192" i="31"/>
  <c r="B193" i="31" s="1"/>
  <c r="F1" i="31"/>
  <c r="G1" i="31" s="1"/>
  <c r="H1" i="31" s="1"/>
  <c r="H140" i="31" s="1"/>
  <c r="O9" i="31"/>
  <c r="O26" i="31" s="1"/>
  <c r="E9" i="31"/>
  <c r="K332" i="31"/>
  <c r="K317" i="31" s="1"/>
  <c r="E337" i="31"/>
  <c r="I332" i="31"/>
  <c r="G317" i="31" s="1"/>
  <c r="K351" i="31"/>
  <c r="I351" i="31"/>
  <c r="E179" i="31"/>
  <c r="J48" i="31"/>
  <c r="J87" i="31" s="1"/>
  <c r="I48" i="31"/>
  <c r="I87" i="31" s="1"/>
  <c r="G48" i="31"/>
  <c r="G87" i="31" s="1"/>
  <c r="F48" i="31"/>
  <c r="F87" i="31" s="1"/>
  <c r="E345" i="31"/>
  <c r="K342" i="31"/>
  <c r="K312" i="31" s="1"/>
  <c r="I342" i="31"/>
  <c r="G312" i="31" s="1"/>
  <c r="H48" i="31"/>
  <c r="H87" i="31" s="1"/>
  <c r="E198" i="31"/>
  <c r="K350" i="31"/>
  <c r="K313" i="31" s="1"/>
  <c r="I350" i="31"/>
  <c r="G313" i="31" s="1"/>
  <c r="F33" i="22"/>
  <c r="G48" i="22" s="1"/>
  <c r="G84" i="22" s="1"/>
  <c r="G24" i="22"/>
  <c r="H24" i="22" s="1"/>
  <c r="I24" i="22" s="1"/>
  <c r="J24" i="22" s="1"/>
  <c r="E329" i="22"/>
  <c r="E330" i="22" s="1"/>
  <c r="E331" i="22" s="1"/>
  <c r="E332" i="22" s="1"/>
  <c r="E333" i="22" s="1"/>
  <c r="C192" i="31" l="1"/>
  <c r="G207" i="31" s="1"/>
  <c r="Q26" i="31"/>
  <c r="E341" i="31"/>
  <c r="F284" i="31"/>
  <c r="K329" i="22"/>
  <c r="I329" i="22"/>
  <c r="G140" i="31"/>
  <c r="I1" i="31"/>
  <c r="I140" i="31" s="1"/>
  <c r="G124" i="31"/>
  <c r="I124" i="31"/>
  <c r="F124" i="31"/>
  <c r="E95" i="31"/>
  <c r="E178" i="31" s="1"/>
  <c r="E181" i="31" s="1"/>
  <c r="H179" i="31" s="1"/>
  <c r="E185" i="31" s="1"/>
  <c r="P26" i="31"/>
  <c r="E124" i="31"/>
  <c r="T26" i="31"/>
  <c r="H124" i="31"/>
  <c r="F140" i="31"/>
  <c r="F285" i="31"/>
  <c r="E157" i="31"/>
  <c r="F286" i="31"/>
  <c r="E11" i="31"/>
  <c r="F14" i="31" s="1"/>
  <c r="G49" i="31" s="1"/>
  <c r="G92" i="31" s="1"/>
  <c r="F84" i="31"/>
  <c r="F264" i="31" s="1"/>
  <c r="F45" i="31"/>
  <c r="G24" i="31"/>
  <c r="H24" i="31" s="1"/>
  <c r="G26" i="31"/>
  <c r="H26" i="31" s="1"/>
  <c r="I333" i="31"/>
  <c r="K333" i="31"/>
  <c r="B194" i="31"/>
  <c r="C193" i="31"/>
  <c r="H207" i="31" s="1"/>
  <c r="F48" i="22"/>
  <c r="F84" i="22" s="1"/>
  <c r="J48" i="22"/>
  <c r="J84" i="22" s="1"/>
  <c r="I48" i="22"/>
  <c r="I84" i="22" s="1"/>
  <c r="H48" i="22"/>
  <c r="H84" i="22" s="1"/>
  <c r="K328" i="22"/>
  <c r="K313" i="22" s="1"/>
  <c r="I328" i="22"/>
  <c r="G313" i="22" s="1"/>
  <c r="J1" i="31" l="1"/>
  <c r="J140" i="31" s="1"/>
  <c r="F67" i="31"/>
  <c r="F70" i="31"/>
  <c r="F63" i="31"/>
  <c r="E97" i="31"/>
  <c r="E212" i="31" s="1"/>
  <c r="I49" i="31"/>
  <c r="I92" i="31" s="1"/>
  <c r="H88" i="31"/>
  <c r="H266" i="31" s="1"/>
  <c r="H287" i="31" s="1"/>
  <c r="H178" i="31"/>
  <c r="H181" i="31" s="1"/>
  <c r="F15" i="31"/>
  <c r="F16" i="31" s="1"/>
  <c r="J49" i="31"/>
  <c r="J92" i="31" s="1"/>
  <c r="F88" i="31"/>
  <c r="F266" i="31" s="1"/>
  <c r="F287" i="31" s="1"/>
  <c r="J88" i="31"/>
  <c r="J266" i="31" s="1"/>
  <c r="J287" i="31" s="1"/>
  <c r="F85" i="31"/>
  <c r="F265" i="31" s="1"/>
  <c r="F267" i="31" s="1"/>
  <c r="F46" i="31"/>
  <c r="F47" i="31" s="1"/>
  <c r="G284" i="31"/>
  <c r="G84" i="31"/>
  <c r="G264" i="31" s="1"/>
  <c r="G45" i="31"/>
  <c r="G286" i="31"/>
  <c r="I88" i="31"/>
  <c r="I266" i="31" s="1"/>
  <c r="I287" i="31" s="1"/>
  <c r="F49" i="31"/>
  <c r="F92" i="31" s="1"/>
  <c r="G285" i="31"/>
  <c r="H49" i="31"/>
  <c r="H92" i="31" s="1"/>
  <c r="G88" i="31"/>
  <c r="G266" i="31" s="1"/>
  <c r="G287" i="31" s="1"/>
  <c r="C194" i="31"/>
  <c r="I207" i="31" s="1"/>
  <c r="B195" i="31"/>
  <c r="H190" i="31"/>
  <c r="H192" i="31"/>
  <c r="H191" i="31"/>
  <c r="H193" i="31"/>
  <c r="H194" i="31"/>
  <c r="H195" i="31"/>
  <c r="H196" i="31"/>
  <c r="H197" i="31"/>
  <c r="H286" i="31"/>
  <c r="H285" i="31"/>
  <c r="I26" i="31"/>
  <c r="I24" i="31"/>
  <c r="H45" i="31"/>
  <c r="H284" i="31"/>
  <c r="H84" i="31"/>
  <c r="J97" i="22"/>
  <c r="E40" i="22"/>
  <c r="E41" i="22"/>
  <c r="E153" i="22" s="1"/>
  <c r="G70" i="31" l="1"/>
  <c r="G67" i="31"/>
  <c r="G63" i="31"/>
  <c r="H63" i="31"/>
  <c r="H67" i="31"/>
  <c r="H70" i="31"/>
  <c r="E123" i="31"/>
  <c r="E125" i="31" s="1"/>
  <c r="G15" i="31"/>
  <c r="H15" i="31" s="1"/>
  <c r="E224" i="31"/>
  <c r="E226" i="31" s="1"/>
  <c r="F75" i="31"/>
  <c r="F76" i="31" s="1"/>
  <c r="F93" i="31" s="1"/>
  <c r="G46" i="31"/>
  <c r="G47" i="31" s="1"/>
  <c r="G50" i="31" s="1"/>
  <c r="G53" i="31" s="1"/>
  <c r="F268" i="31"/>
  <c r="F269" i="31" s="1"/>
  <c r="F86" i="31"/>
  <c r="G85" i="31"/>
  <c r="G265" i="31" s="1"/>
  <c r="G268" i="31" s="1"/>
  <c r="F50" i="31"/>
  <c r="C195" i="31"/>
  <c r="J207" i="31" s="1"/>
  <c r="B196" i="31"/>
  <c r="I284" i="31"/>
  <c r="I45" i="31"/>
  <c r="I84" i="31"/>
  <c r="J24" i="31"/>
  <c r="J26" i="31"/>
  <c r="I285" i="31"/>
  <c r="I286" i="31"/>
  <c r="H46" i="31"/>
  <c r="H47" i="31" s="1"/>
  <c r="H50" i="31" s="1"/>
  <c r="H264" i="31"/>
  <c r="H85" i="31"/>
  <c r="H265" i="31" s="1"/>
  <c r="H198" i="31"/>
  <c r="E216" i="31" a="1"/>
  <c r="J190" i="31"/>
  <c r="I190" i="31"/>
  <c r="F191" i="31" s="1"/>
  <c r="E120" i="22"/>
  <c r="F120" i="22"/>
  <c r="H120" i="22"/>
  <c r="I120" i="22"/>
  <c r="J120" i="22"/>
  <c r="G120" i="22"/>
  <c r="F81" i="22"/>
  <c r="F82" i="22" s="1"/>
  <c r="I63" i="31" l="1"/>
  <c r="I67" i="31"/>
  <c r="I70" i="31"/>
  <c r="G16" i="31"/>
  <c r="E142" i="31"/>
  <c r="E154" i="31" s="1"/>
  <c r="G75" i="31"/>
  <c r="G76" i="31" s="1"/>
  <c r="G93" i="31" s="1"/>
  <c r="G89" i="31"/>
  <c r="G90" i="31" s="1"/>
  <c r="G91" i="31" s="1"/>
  <c r="G86" i="31"/>
  <c r="G267" i="31"/>
  <c r="G269" i="31" s="1"/>
  <c r="F54" i="31"/>
  <c r="F55" i="31" s="1"/>
  <c r="F89" i="31"/>
  <c r="H86" i="31"/>
  <c r="H89" i="31"/>
  <c r="H53" i="31"/>
  <c r="J284" i="31"/>
  <c r="J45" i="31"/>
  <c r="J84" i="31"/>
  <c r="J216" i="31"/>
  <c r="G216" i="31"/>
  <c r="I216" i="31"/>
  <c r="H216" i="31"/>
  <c r="F216" i="31"/>
  <c r="E216" i="31"/>
  <c r="E218" i="31" s="1"/>
  <c r="G54" i="31"/>
  <c r="G55" i="31" s="1"/>
  <c r="E131" i="31"/>
  <c r="E133" i="31"/>
  <c r="E148" i="31"/>
  <c r="I264" i="31"/>
  <c r="I85" i="31"/>
  <c r="I265" i="31" s="1"/>
  <c r="I46" i="31"/>
  <c r="I47" i="31" s="1"/>
  <c r="I50" i="31" s="1"/>
  <c r="H268" i="31"/>
  <c r="H267" i="31"/>
  <c r="C196" i="31"/>
  <c r="B197" i="31"/>
  <c r="C197" i="31" s="1"/>
  <c r="J285" i="31"/>
  <c r="J286" i="31"/>
  <c r="H75" i="31"/>
  <c r="G191" i="31"/>
  <c r="I191" i="31"/>
  <c r="F192" i="31" s="1"/>
  <c r="I15" i="31"/>
  <c r="H16" i="31"/>
  <c r="F83" i="22"/>
  <c r="F45" i="22"/>
  <c r="J67" i="31" l="1"/>
  <c r="J63" i="31"/>
  <c r="J70" i="31"/>
  <c r="F67" i="22"/>
  <c r="F64" i="22"/>
  <c r="F61" i="22"/>
  <c r="H76" i="31"/>
  <c r="H93" i="31" s="1"/>
  <c r="G97" i="31"/>
  <c r="G212" i="31" s="1"/>
  <c r="G258" i="31"/>
  <c r="G271" i="31"/>
  <c r="F271" i="31"/>
  <c r="F258" i="31"/>
  <c r="F90" i="31"/>
  <c r="F91" i="31" s="1"/>
  <c r="F97" i="31" s="1"/>
  <c r="H269" i="31"/>
  <c r="I86" i="31"/>
  <c r="I75" i="31"/>
  <c r="J15" i="31"/>
  <c r="J16" i="31" s="1"/>
  <c r="J99" i="31" s="1"/>
  <c r="J102" i="31" s="1"/>
  <c r="J103" i="31" s="1"/>
  <c r="J104" i="31" s="1"/>
  <c r="J96" i="31" s="1"/>
  <c r="I16" i="31"/>
  <c r="I267" i="31"/>
  <c r="I268" i="31"/>
  <c r="I192" i="31"/>
  <c r="F193" i="31" s="1"/>
  <c r="G192" i="31"/>
  <c r="J192" i="31" s="1"/>
  <c r="J191" i="31"/>
  <c r="J264" i="31"/>
  <c r="J85" i="31"/>
  <c r="J265" i="31" s="1"/>
  <c r="J46" i="31"/>
  <c r="J47" i="31" s="1"/>
  <c r="J50" i="31" s="1"/>
  <c r="H54" i="31"/>
  <c r="H55" i="31" s="1"/>
  <c r="H258" i="31"/>
  <c r="H271" i="31"/>
  <c r="H90" i="31"/>
  <c r="H91" i="31" s="1"/>
  <c r="I89" i="31"/>
  <c r="I53" i="31"/>
  <c r="F46" i="22"/>
  <c r="H97" i="31" l="1"/>
  <c r="H212" i="31" s="1"/>
  <c r="G123" i="31"/>
  <c r="G142" i="31" s="1"/>
  <c r="G154" i="31" s="1"/>
  <c r="F212" i="31"/>
  <c r="F123" i="31"/>
  <c r="J86" i="31"/>
  <c r="I269" i="31"/>
  <c r="J89" i="31"/>
  <c r="J53" i="31"/>
  <c r="I258" i="31"/>
  <c r="I90" i="31"/>
  <c r="I91" i="31" s="1"/>
  <c r="I271" i="31"/>
  <c r="I193" i="31"/>
  <c r="F194" i="31" s="1"/>
  <c r="G193" i="31"/>
  <c r="J193" i="31" s="1"/>
  <c r="J267" i="31"/>
  <c r="J268" i="31"/>
  <c r="I76" i="31"/>
  <c r="I93" i="31" s="1"/>
  <c r="J76" i="31"/>
  <c r="J93" i="31" s="1"/>
  <c r="I54" i="31"/>
  <c r="I55" i="31" s="1"/>
  <c r="F72" i="22"/>
  <c r="F47" i="22"/>
  <c r="G65" i="21"/>
  <c r="G66" i="21" s="1"/>
  <c r="G125" i="31" l="1"/>
  <c r="G148" i="31" s="1"/>
  <c r="H123" i="31"/>
  <c r="H142" i="31" s="1"/>
  <c r="H154" i="31" s="1"/>
  <c r="F142" i="31"/>
  <c r="F125" i="31"/>
  <c r="I97" i="31"/>
  <c r="I123" i="31" s="1"/>
  <c r="J54" i="31"/>
  <c r="J55" i="31" s="1"/>
  <c r="I194" i="31"/>
  <c r="F195" i="31" s="1"/>
  <c r="G194" i="31"/>
  <c r="J271" i="31"/>
  <c r="J90" i="31"/>
  <c r="J91" i="31" s="1"/>
  <c r="J97" i="31" s="1"/>
  <c r="J258" i="31"/>
  <c r="J269" i="31"/>
  <c r="E92" i="22"/>
  <c r="G131" i="31" l="1"/>
  <c r="H125" i="31"/>
  <c r="H148" i="31" s="1"/>
  <c r="F131" i="31"/>
  <c r="F148" i="31"/>
  <c r="F149" i="31" s="1"/>
  <c r="F150" i="31" s="1"/>
  <c r="F151" i="31" s="1"/>
  <c r="F154" i="31"/>
  <c r="F143" i="31"/>
  <c r="I212" i="31"/>
  <c r="J194" i="31"/>
  <c r="I195" i="31"/>
  <c r="G195" i="31"/>
  <c r="J195" i="31" s="1"/>
  <c r="J123" i="31"/>
  <c r="J212" i="31"/>
  <c r="I142" i="31"/>
  <c r="I154" i="31" s="1"/>
  <c r="I125" i="31"/>
  <c r="H131" i="31" l="1"/>
  <c r="G143" i="31"/>
  <c r="F144" i="31"/>
  <c r="F145" i="31" s="1"/>
  <c r="E214" i="31" a="1"/>
  <c r="J214" i="31" s="1"/>
  <c r="G149" i="31"/>
  <c r="G150" i="31" s="1"/>
  <c r="G151" i="31" s="1"/>
  <c r="I131" i="31"/>
  <c r="I148" i="31"/>
  <c r="J142" i="31"/>
  <c r="J154" i="31" s="1"/>
  <c r="E156" i="31" s="1"/>
  <c r="V26" i="31" s="1"/>
  <c r="J125" i="31"/>
  <c r="E128" i="31"/>
  <c r="F196" i="31"/>
  <c r="J217" i="31"/>
  <c r="G73" i="21"/>
  <c r="G74" i="21" s="1"/>
  <c r="G75" i="21" s="1"/>
  <c r="E214" i="31" l="1"/>
  <c r="F214" i="31"/>
  <c r="F288" i="31" s="1"/>
  <c r="F289" i="31" s="1"/>
  <c r="F290" i="31" s="1"/>
  <c r="G214" i="31"/>
  <c r="G215" i="31" s="1"/>
  <c r="G218" i="31" s="1"/>
  <c r="I214" i="31"/>
  <c r="I259" i="31" s="1"/>
  <c r="H214" i="31"/>
  <c r="H259" i="31" s="1"/>
  <c r="H143" i="31"/>
  <c r="G144" i="31"/>
  <c r="G145" i="31" s="1"/>
  <c r="H149" i="31"/>
  <c r="H150" i="31" s="1"/>
  <c r="H151" i="31" s="1"/>
  <c r="J131" i="31"/>
  <c r="E132" i="31" s="1"/>
  <c r="E134" i="31" s="1"/>
  <c r="W26" i="31" s="1"/>
  <c r="J148" i="31"/>
  <c r="E126" i="31"/>
  <c r="U26" i="31" s="1"/>
  <c r="G331" i="31"/>
  <c r="G341" i="31"/>
  <c r="G349" i="31"/>
  <c r="J288" i="31"/>
  <c r="J289" i="31" s="1"/>
  <c r="J290" i="31" s="1"/>
  <c r="J215" i="31"/>
  <c r="J218" i="31" s="1"/>
  <c r="J272" i="31"/>
  <c r="J273" i="31" s="1"/>
  <c r="J275" i="31" s="1"/>
  <c r="J259" i="31"/>
  <c r="I196" i="31"/>
  <c r="F197" i="31" s="1"/>
  <c r="G196" i="31"/>
  <c r="J196" i="31" s="1"/>
  <c r="G67" i="21"/>
  <c r="G68" i="21" s="1"/>
  <c r="A26" i="21"/>
  <c r="A25" i="21"/>
  <c r="G259" i="31" l="1"/>
  <c r="I288" i="31"/>
  <c r="I289" i="31" s="1"/>
  <c r="I290" i="31" s="1"/>
  <c r="H272" i="31"/>
  <c r="H273" i="31" s="1"/>
  <c r="H275" i="31" s="1"/>
  <c r="G272" i="31"/>
  <c r="G273" i="31" s="1"/>
  <c r="G275" i="31" s="1"/>
  <c r="G288" i="31"/>
  <c r="G289" i="31" s="1"/>
  <c r="G290" i="31" s="1"/>
  <c r="I215" i="31"/>
  <c r="I218" i="31" s="1"/>
  <c r="I260" i="31" s="1"/>
  <c r="F215" i="31"/>
  <c r="F218" i="31" s="1"/>
  <c r="F220" i="31" s="1"/>
  <c r="F225" i="31" s="1"/>
  <c r="F226" i="31" s="1"/>
  <c r="I272" i="31"/>
  <c r="I273" i="31" s="1"/>
  <c r="I275" i="31" s="1"/>
  <c r="H288" i="31"/>
  <c r="H289" i="31" s="1"/>
  <c r="H290" i="31" s="1"/>
  <c r="I149" i="31"/>
  <c r="I150" i="31" s="1"/>
  <c r="I151" i="31" s="1"/>
  <c r="H215" i="31"/>
  <c r="H218" i="31" s="1"/>
  <c r="H220" i="31" s="1"/>
  <c r="H225" i="31" s="1"/>
  <c r="H226" i="31" s="1"/>
  <c r="F259" i="31"/>
  <c r="F272" i="31"/>
  <c r="F273" i="31" s="1"/>
  <c r="F275" i="31" s="1"/>
  <c r="I143" i="31"/>
  <c r="H144" i="31"/>
  <c r="H145" i="31" s="1"/>
  <c r="J220" i="31"/>
  <c r="J225" i="31" s="1"/>
  <c r="J226" i="31" s="1"/>
  <c r="J260" i="31"/>
  <c r="F331" i="31"/>
  <c r="F349" i="31"/>
  <c r="F341" i="31"/>
  <c r="G220" i="31"/>
  <c r="G225" i="31" s="1"/>
  <c r="G226" i="31" s="1"/>
  <c r="G260" i="31"/>
  <c r="I197" i="31"/>
  <c r="G197" i="31"/>
  <c r="J197" i="31" s="1"/>
  <c r="B21" i="21"/>
  <c r="C21" i="21"/>
  <c r="B22" i="21"/>
  <c r="C22" i="21"/>
  <c r="B23" i="21"/>
  <c r="C23" i="21"/>
  <c r="B24" i="21"/>
  <c r="C24" i="21"/>
  <c r="A24" i="21"/>
  <c r="A23" i="21"/>
  <c r="A22" i="21"/>
  <c r="A21" i="21"/>
  <c r="H260" i="31" l="1"/>
  <c r="F260" i="31"/>
  <c r="I220" i="31"/>
  <c r="I225" i="31" s="1"/>
  <c r="I226" i="31" s="1"/>
  <c r="E227" i="31" s="1"/>
  <c r="E231" i="31" s="1"/>
  <c r="J149" i="31"/>
  <c r="J150" i="31" s="1"/>
  <c r="J151" i="31" s="1"/>
  <c r="I144" i="31"/>
  <c r="I145" i="31" s="1"/>
  <c r="J143" i="31"/>
  <c r="J144" i="31" s="1"/>
  <c r="J145" i="31" s="1"/>
  <c r="J146" i="31"/>
  <c r="F14" i="22" l="1"/>
  <c r="F27" i="22"/>
  <c r="G26" i="22" s="1"/>
  <c r="E72" i="22"/>
  <c r="E73" i="22" s="1"/>
  <c r="E90" i="22" s="1"/>
  <c r="C138" i="22"/>
  <c r="E94" i="22" l="1"/>
  <c r="E175" i="22"/>
  <c r="H49" i="22"/>
  <c r="I49" i="22"/>
  <c r="F49" i="22"/>
  <c r="G49" i="22"/>
  <c r="J49" i="22"/>
  <c r="H26" i="22"/>
  <c r="F15" i="22"/>
  <c r="F85" i="22"/>
  <c r="I85" i="22"/>
  <c r="J85" i="22"/>
  <c r="G85" i="22"/>
  <c r="H85" i="22"/>
  <c r="G81" i="22"/>
  <c r="G82" i="22" s="1"/>
  <c r="G45" i="22"/>
  <c r="K146" i="22"/>
  <c r="G67" i="22" l="1"/>
  <c r="G64" i="22"/>
  <c r="G61" i="22"/>
  <c r="E119" i="22"/>
  <c r="E138" i="22" s="1"/>
  <c r="E208" i="22"/>
  <c r="I26" i="22"/>
  <c r="I81" i="22" s="1"/>
  <c r="G46" i="22"/>
  <c r="G15" i="22"/>
  <c r="F16" i="22"/>
  <c r="H81" i="22"/>
  <c r="G83" i="22"/>
  <c r="F262" i="22"/>
  <c r="F283" i="22" s="1"/>
  <c r="G89" i="22"/>
  <c r="H45" i="22"/>
  <c r="E121" i="22"/>
  <c r="E144" i="22" s="1"/>
  <c r="F73" i="22"/>
  <c r="E150" i="22"/>
  <c r="E174" i="22"/>
  <c r="E182" i="22"/>
  <c r="C186" i="22"/>
  <c r="E203" i="22" s="1"/>
  <c r="B187" i="22"/>
  <c r="C187" i="22" s="1"/>
  <c r="F203" i="22" s="1"/>
  <c r="E190" i="22"/>
  <c r="E191" i="22"/>
  <c r="E192" i="22"/>
  <c r="E193" i="22"/>
  <c r="C208" i="22"/>
  <c r="E229" i="22"/>
  <c r="E230" i="22"/>
  <c r="E231" i="22"/>
  <c r="E258" i="22"/>
  <c r="F258" i="22"/>
  <c r="G252" i="22"/>
  <c r="G258" i="22" s="1"/>
  <c r="H252" i="22"/>
  <c r="H258" i="22" s="1"/>
  <c r="I252" i="22"/>
  <c r="I258" i="22" s="1"/>
  <c r="J252" i="22"/>
  <c r="J258" i="22" s="1"/>
  <c r="F260" i="22"/>
  <c r="G260" i="22"/>
  <c r="F261" i="22"/>
  <c r="F280" i="22"/>
  <c r="G280" i="22"/>
  <c r="H280" i="22"/>
  <c r="F281" i="22"/>
  <c r="F282" i="22" s="1"/>
  <c r="G281" i="22"/>
  <c r="G282" i="22" s="1"/>
  <c r="H281" i="22"/>
  <c r="H282" i="22" s="1"/>
  <c r="H67" i="22" l="1"/>
  <c r="H61" i="22"/>
  <c r="H64" i="22"/>
  <c r="I281" i="22"/>
  <c r="I282" i="22" s="1"/>
  <c r="H82" i="22"/>
  <c r="H83" i="22" s="1"/>
  <c r="I82" i="22"/>
  <c r="I83" i="22" s="1"/>
  <c r="J26" i="22"/>
  <c r="J81" i="22" s="1"/>
  <c r="G72" i="22"/>
  <c r="G73" i="22" s="1"/>
  <c r="H46" i="22"/>
  <c r="H15" i="22"/>
  <c r="G16" i="22"/>
  <c r="G47" i="22"/>
  <c r="G50" i="22" s="1"/>
  <c r="I45" i="22"/>
  <c r="F264" i="22"/>
  <c r="F263" i="22"/>
  <c r="G261" i="22"/>
  <c r="G263" i="22" s="1"/>
  <c r="F90" i="22"/>
  <c r="E129" i="22"/>
  <c r="E232" i="22"/>
  <c r="E177" i="22"/>
  <c r="H174" i="22" s="1"/>
  <c r="E220" i="22" s="1"/>
  <c r="E222" i="22" s="1"/>
  <c r="B188" i="22"/>
  <c r="C188" i="22" s="1"/>
  <c r="G203" i="22" s="1"/>
  <c r="E194" i="22"/>
  <c r="H260" i="22"/>
  <c r="I280" i="22"/>
  <c r="I175" i="22"/>
  <c r="I67" i="22" l="1"/>
  <c r="I61" i="22"/>
  <c r="I64" i="22"/>
  <c r="J281" i="22"/>
  <c r="J282" i="22" s="1"/>
  <c r="J82" i="22"/>
  <c r="J83" i="22" s="1"/>
  <c r="H72" i="22"/>
  <c r="H73" i="22" s="1"/>
  <c r="H90" i="22" s="1"/>
  <c r="I46" i="22"/>
  <c r="I15" i="22"/>
  <c r="H16" i="22"/>
  <c r="F50" i="22"/>
  <c r="F52" i="22" s="1"/>
  <c r="F53" i="22" s="1"/>
  <c r="F54" i="22" s="1"/>
  <c r="F89" i="22"/>
  <c r="G52" i="22"/>
  <c r="G53" i="22" s="1"/>
  <c r="G54" i="22" s="1"/>
  <c r="G86" i="22"/>
  <c r="G254" i="22" s="1"/>
  <c r="H47" i="22"/>
  <c r="H89" i="22"/>
  <c r="G262" i="22"/>
  <c r="G283" i="22" s="1"/>
  <c r="J45" i="22"/>
  <c r="H261" i="22"/>
  <c r="G90" i="22"/>
  <c r="H175" i="22"/>
  <c r="H177" i="22" s="1"/>
  <c r="B189" i="22"/>
  <c r="C189" i="22" s="1"/>
  <c r="H203" i="22" s="1"/>
  <c r="F265" i="22"/>
  <c r="J280" i="22"/>
  <c r="I260" i="22"/>
  <c r="I177" i="22"/>
  <c r="J67" i="22" l="1"/>
  <c r="J64" i="22"/>
  <c r="J61" i="22"/>
  <c r="I72" i="22"/>
  <c r="I73" i="22" s="1"/>
  <c r="I90" i="22" s="1"/>
  <c r="J46" i="22"/>
  <c r="J15" i="22"/>
  <c r="J16" i="22" s="1"/>
  <c r="I16" i="22"/>
  <c r="F86" i="22"/>
  <c r="F267" i="22" s="1"/>
  <c r="G87" i="22"/>
  <c r="G88" i="22" s="1"/>
  <c r="G94" i="22" s="1"/>
  <c r="G208" i="22" s="1"/>
  <c r="H50" i="22"/>
  <c r="I47" i="22"/>
  <c r="G264" i="22"/>
  <c r="G265" i="22" s="1"/>
  <c r="I89" i="22"/>
  <c r="G267" i="22"/>
  <c r="H262" i="22"/>
  <c r="H283" i="22" s="1"/>
  <c r="I261" i="22"/>
  <c r="H263" i="22"/>
  <c r="B190" i="22"/>
  <c r="C190" i="22" s="1"/>
  <c r="I203" i="22" s="1"/>
  <c r="E181" i="22"/>
  <c r="J260" i="22"/>
  <c r="H188" i="22" l="1"/>
  <c r="H193" i="22"/>
  <c r="H190" i="22"/>
  <c r="H192" i="22"/>
  <c r="H191" i="22"/>
  <c r="F254" i="22"/>
  <c r="F87" i="22"/>
  <c r="F88" i="22" s="1"/>
  <c r="F94" i="22" s="1"/>
  <c r="F208" i="22" s="1"/>
  <c r="H52" i="22"/>
  <c r="H53" i="22" s="1"/>
  <c r="H54" i="22" s="1"/>
  <c r="H86" i="22"/>
  <c r="J261" i="22"/>
  <c r="J263" i="22" s="1"/>
  <c r="I50" i="22"/>
  <c r="J47" i="22"/>
  <c r="H264" i="22"/>
  <c r="H265" i="22" s="1"/>
  <c r="I262" i="22"/>
  <c r="I283" i="22" s="1"/>
  <c r="J89" i="22"/>
  <c r="I263" i="22"/>
  <c r="G119" i="22"/>
  <c r="G121" i="22" s="1"/>
  <c r="G144" i="22" s="1"/>
  <c r="B191" i="22"/>
  <c r="B192" i="22" s="1"/>
  <c r="H189" i="22"/>
  <c r="H186" i="22"/>
  <c r="H187" i="22"/>
  <c r="G186" i="22"/>
  <c r="J96" i="22"/>
  <c r="J98" i="22" s="1"/>
  <c r="J73" i="22"/>
  <c r="F119" i="22" l="1"/>
  <c r="F138" i="22" s="1"/>
  <c r="F139" i="22" s="1"/>
  <c r="J99" i="22"/>
  <c r="J100" i="22" s="1"/>
  <c r="J93" i="22" s="1"/>
  <c r="I52" i="22"/>
  <c r="I53" i="22" s="1"/>
  <c r="I54" i="22" s="1"/>
  <c r="I86" i="22"/>
  <c r="H87" i="22"/>
  <c r="H88" i="22" s="1"/>
  <c r="H94" i="22" s="1"/>
  <c r="H208" i="22" s="1"/>
  <c r="H267" i="22"/>
  <c r="H254" i="22"/>
  <c r="J50" i="22"/>
  <c r="J262" i="22"/>
  <c r="I264" i="22"/>
  <c r="I265" i="22" s="1"/>
  <c r="G127" i="22"/>
  <c r="G138" i="22"/>
  <c r="G150" i="22" s="1"/>
  <c r="J90" i="22"/>
  <c r="C191" i="22"/>
  <c r="J203" i="22" s="1"/>
  <c r="I186" i="22"/>
  <c r="E212" i="22" a="1"/>
  <c r="J186" i="22"/>
  <c r="H194" i="22"/>
  <c r="B193" i="22"/>
  <c r="C193" i="22" s="1"/>
  <c r="C192" i="22"/>
  <c r="F187" i="22" l="1"/>
  <c r="G187" i="22" s="1"/>
  <c r="J187" i="22" s="1"/>
  <c r="F140" i="22"/>
  <c r="F141" i="22"/>
  <c r="F150" i="22"/>
  <c r="F121" i="22"/>
  <c r="F127" i="22" s="1"/>
  <c r="H119" i="22"/>
  <c r="I87" i="22"/>
  <c r="I88" i="22" s="1"/>
  <c r="I94" i="22" s="1"/>
  <c r="I208" i="22" s="1"/>
  <c r="I254" i="22"/>
  <c r="I267" i="22"/>
  <c r="J52" i="22"/>
  <c r="J53" i="22" s="1"/>
  <c r="J54" i="22" s="1"/>
  <c r="J86" i="22"/>
  <c r="J283" i="22"/>
  <c r="J264" i="22"/>
  <c r="J265" i="22" s="1"/>
  <c r="G139" i="22"/>
  <c r="E212" i="22"/>
  <c r="E214" i="22" s="1"/>
  <c r="J212" i="22"/>
  <c r="F212" i="22"/>
  <c r="I212" i="22"/>
  <c r="G212" i="22"/>
  <c r="H212" i="22"/>
  <c r="I187" i="22" l="1"/>
  <c r="G141" i="22"/>
  <c r="G140" i="22"/>
  <c r="F144" i="22"/>
  <c r="F145" i="22" s="1"/>
  <c r="I119" i="22"/>
  <c r="H121" i="22"/>
  <c r="H138" i="22"/>
  <c r="H150" i="22" s="1"/>
  <c r="J87" i="22"/>
  <c r="J88" i="22" s="1"/>
  <c r="J94" i="22" s="1"/>
  <c r="J208" i="22" s="1"/>
  <c r="J254" i="22"/>
  <c r="J267" i="22"/>
  <c r="F188" i="22" l="1"/>
  <c r="I188" i="22" s="1"/>
  <c r="F189" i="22" s="1"/>
  <c r="F146" i="22"/>
  <c r="F147" i="22"/>
  <c r="G145" i="22"/>
  <c r="J119" i="22"/>
  <c r="E124" i="22" s="1"/>
  <c r="H127" i="22"/>
  <c r="H144" i="22"/>
  <c r="H139" i="22"/>
  <c r="I121" i="22"/>
  <c r="I138" i="22"/>
  <c r="I150" i="22" s="1"/>
  <c r="G189" i="22" l="1"/>
  <c r="J189" i="22" s="1"/>
  <c r="I189" i="22"/>
  <c r="G188" i="22"/>
  <c r="J188" i="22" s="1"/>
  <c r="F190" i="22"/>
  <c r="G190" i="22" s="1"/>
  <c r="J190" i="22" s="1"/>
  <c r="H141" i="22"/>
  <c r="H140" i="22"/>
  <c r="G147" i="22"/>
  <c r="G146" i="22"/>
  <c r="H145" i="22"/>
  <c r="J121" i="22"/>
  <c r="J144" i="22" s="1"/>
  <c r="I144" i="22"/>
  <c r="I127" i="22"/>
  <c r="I139" i="22"/>
  <c r="J138" i="22"/>
  <c r="J150" i="22" s="1"/>
  <c r="E152" i="22" s="1"/>
  <c r="I190" i="22" l="1"/>
  <c r="F191" i="22" s="1"/>
  <c r="G191" i="22" s="1"/>
  <c r="G337" i="22"/>
  <c r="G345" i="22"/>
  <c r="H147" i="22"/>
  <c r="H146" i="22"/>
  <c r="I140" i="22"/>
  <c r="I141" i="22"/>
  <c r="G327" i="22"/>
  <c r="I145" i="22"/>
  <c r="E122" i="22"/>
  <c r="F345" i="22" s="1"/>
  <c r="J127" i="22"/>
  <c r="E128" i="22" s="1"/>
  <c r="J142" i="22"/>
  <c r="J139" i="22"/>
  <c r="J140" i="22" l="1"/>
  <c r="J141" i="22" s="1"/>
  <c r="I191" i="22"/>
  <c r="J191" i="22"/>
  <c r="E210" i="22" a="1"/>
  <c r="F210" i="22" s="1"/>
  <c r="F284" i="22" s="1"/>
  <c r="F285" i="22" s="1"/>
  <c r="F286" i="22" s="1"/>
  <c r="J213" i="22"/>
  <c r="F192" i="22"/>
  <c r="G192" i="22" s="1"/>
  <c r="J192" i="22" s="1"/>
  <c r="F327" i="22"/>
  <c r="F337" i="22"/>
  <c r="I146" i="22"/>
  <c r="I147" i="22"/>
  <c r="E130" i="22"/>
  <c r="J145" i="22"/>
  <c r="J146" i="22" s="1"/>
  <c r="F268" i="22" l="1"/>
  <c r="F269" i="22" s="1"/>
  <c r="F271" i="22" s="1"/>
  <c r="I210" i="22"/>
  <c r="I211" i="22" s="1"/>
  <c r="G210" i="22"/>
  <c r="G211" i="22" s="1"/>
  <c r="H210" i="22"/>
  <c r="H211" i="22" s="1"/>
  <c r="J210" i="22"/>
  <c r="J211" i="22" s="1"/>
  <c r="F255" i="22"/>
  <c r="F211" i="22"/>
  <c r="F214" i="22" s="1"/>
  <c r="F256" i="22" s="1"/>
  <c r="E210" i="22"/>
  <c r="J147" i="22"/>
  <c r="I284" i="22"/>
  <c r="I285" i="22" s="1"/>
  <c r="I286" i="22" s="1"/>
  <c r="I214" i="22"/>
  <c r="I216" i="22" s="1"/>
  <c r="I221" i="22" s="1"/>
  <c r="I222" i="22" s="1"/>
  <c r="G255" i="22"/>
  <c r="G214" i="22"/>
  <c r="G216" i="22" s="1"/>
  <c r="G221" i="22" s="1"/>
  <c r="G222" i="22" s="1"/>
  <c r="H268" i="22"/>
  <c r="H269" i="22" s="1"/>
  <c r="H271" i="22" s="1"/>
  <c r="G268" i="22"/>
  <c r="G269" i="22" s="1"/>
  <c r="G271" i="22" s="1"/>
  <c r="I192" i="22"/>
  <c r="I255" i="22" l="1"/>
  <c r="I268" i="22"/>
  <c r="I269" i="22" s="1"/>
  <c r="I271" i="22" s="1"/>
  <c r="H284" i="22"/>
  <c r="H285" i="22" s="1"/>
  <c r="H286" i="22" s="1"/>
  <c r="J268" i="22"/>
  <c r="J269" i="22" s="1"/>
  <c r="J271" i="22" s="1"/>
  <c r="G284" i="22"/>
  <c r="G285" i="22" s="1"/>
  <c r="G286" i="22" s="1"/>
  <c r="J255" i="22"/>
  <c r="H255" i="22"/>
  <c r="F216" i="22"/>
  <c r="F221" i="22" s="1"/>
  <c r="F222" i="22" s="1"/>
  <c r="J214" i="22"/>
  <c r="J216" i="22" s="1"/>
  <c r="J221" i="22" s="1"/>
  <c r="J222" i="22" s="1"/>
  <c r="J284" i="22"/>
  <c r="J285" i="22" s="1"/>
  <c r="J286" i="22" s="1"/>
  <c r="H214" i="22"/>
  <c r="H216" i="22" s="1"/>
  <c r="H221" i="22" s="1"/>
  <c r="H222" i="22" s="1"/>
  <c r="F193" i="22"/>
  <c r="I193" i="22" s="1"/>
  <c r="G256" i="22"/>
  <c r="I256" i="22"/>
  <c r="H256" i="22" l="1"/>
  <c r="J256" i="22"/>
  <c r="G193" i="22"/>
  <c r="J193" i="22" s="1"/>
  <c r="E223" i="22"/>
  <c r="E227"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NEOMA-BS</author>
  </authors>
  <commentList>
    <comment ref="B67" authorId="0" shapeId="0" xr:uid="{DCB73E4E-1F1D-4E19-AAC5-07B51721827F}">
      <text>
        <r>
          <rPr>
            <b/>
            <sz val="9"/>
            <color indexed="81"/>
            <rFont val="Tahoma"/>
            <family val="2"/>
          </rPr>
          <t>MRG: Accounts payable should be in days of Raw Materials &amp; Overhead costs, but for simplification we calculate if as a function of sales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NEOMA-BS</author>
  </authors>
  <commentList>
    <comment ref="C66" authorId="0" shapeId="0" xr:uid="{D2ED33DA-02C9-41C4-897D-A64981D71079}">
      <text>
        <r>
          <rPr>
            <b/>
            <sz val="9"/>
            <color rgb="FF000000"/>
            <rFont val="Tahoma"/>
            <family val="2"/>
          </rPr>
          <t>MRG: Accounts payable should be in days of Raw Materials &amp; Overhead costs, but for simplification we calculate if as a function of sales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NEOMA-BS</author>
  </authors>
  <commentList>
    <comment ref="C69" authorId="0" shapeId="0" xr:uid="{251A2235-D8E4-416B-A472-92E233BC24AE}">
      <text>
        <r>
          <rPr>
            <b/>
            <sz val="9"/>
            <color indexed="81"/>
            <rFont val="Tahoma"/>
            <family val="2"/>
          </rPr>
          <t>MRG: Accounts payable is should be in days of Raw Materials &amp; Overhead costs, but for simplification we calculate if as a function of sales</t>
        </r>
      </text>
    </comment>
  </commentList>
</comments>
</file>

<file path=xl/sharedStrings.xml><?xml version="1.0" encoding="utf-8"?>
<sst xmlns="http://schemas.openxmlformats.org/spreadsheetml/2006/main" count="731" uniqueCount="310">
  <si>
    <t>AGENDA</t>
  </si>
  <si>
    <t>All projects need scenarios</t>
  </si>
  <si>
    <t>Sensitivity and tornado charts</t>
  </si>
  <si>
    <t>Learning objectives:</t>
  </si>
  <si>
    <t>Assumptions</t>
  </si>
  <si>
    <t>INVESTMENT PROJECT : FACTORY</t>
  </si>
  <si>
    <t>units</t>
  </si>
  <si>
    <t xml:space="preserve">METRICS </t>
  </si>
  <si>
    <t xml:space="preserve">COMMENTS </t>
  </si>
  <si>
    <t xml:space="preserve">Factory </t>
  </si>
  <si>
    <t>€</t>
  </si>
  <si>
    <t xml:space="preserve">Salvage Value </t>
  </si>
  <si>
    <t>%</t>
  </si>
  <si>
    <t xml:space="preserve">% of initial </t>
  </si>
  <si>
    <t xml:space="preserve">Depreciation Charge </t>
  </si>
  <si>
    <t>years</t>
  </si>
  <si>
    <t>Factory selling price after 5 years</t>
  </si>
  <si>
    <t xml:space="preserve">#units sold year 1 </t>
  </si>
  <si>
    <t>units of inventory sold</t>
  </si>
  <si>
    <t>Growth Rate applied to the number of units sold per year</t>
  </si>
  <si>
    <t>growth is constant, starts year 2</t>
  </si>
  <si>
    <t>Selling price per unit</t>
  </si>
  <si>
    <t>year 1</t>
  </si>
  <si>
    <t>Selling price change per year</t>
  </si>
  <si>
    <t>per year from year 2</t>
  </si>
  <si>
    <t>% Turnover , may change through the years</t>
  </si>
  <si>
    <t xml:space="preserve">Fixed Costs </t>
  </si>
  <si>
    <t xml:space="preserve">Corporate Tax rate </t>
  </si>
  <si>
    <t xml:space="preserve">For all years </t>
  </si>
  <si>
    <t>For drop-down lists: Data-Data validation-allow to list</t>
  </si>
  <si>
    <t xml:space="preserve">WACC </t>
  </si>
  <si>
    <t>Specific WACC for the project</t>
  </si>
  <si>
    <t>Working Capital Requirements end of year 0</t>
  </si>
  <si>
    <t>Possible Equity components percentages</t>
  </si>
  <si>
    <t>days</t>
  </si>
  <si>
    <t xml:space="preserve">Equity </t>
  </si>
  <si>
    <t xml:space="preserve">% equity in cap structure </t>
  </si>
  <si>
    <t xml:space="preserve">Annual Int rate </t>
  </si>
  <si>
    <t xml:space="preserve">Debt interest </t>
  </si>
  <si>
    <t xml:space="preserve">% Debt Repayment Y4 </t>
  </si>
  <si>
    <t xml:space="preserve">% subject to adjustment </t>
  </si>
  <si>
    <t>% Debt Repayment Y5</t>
  </si>
  <si>
    <t>% Debt Repayment Y6</t>
  </si>
  <si>
    <t>% Debt Repayment Y7</t>
  </si>
  <si>
    <t xml:space="preserve">Payout Ratio </t>
  </si>
  <si>
    <t>Possible Payout ratios</t>
  </si>
  <si>
    <t>Risk Free Rate (10y Gvt Bond)</t>
  </si>
  <si>
    <t xml:space="preserve">Equity Risk Premium </t>
  </si>
  <si>
    <t xml:space="preserve">Project Beta </t>
  </si>
  <si>
    <t>5 year Project</t>
  </si>
  <si>
    <t>QINGDAO - CAPITAL BUDJETING SPREADSHEET</t>
  </si>
  <si>
    <t>Blue cells are to be filled by students</t>
  </si>
  <si>
    <t>INVESTING</t>
  </si>
  <si>
    <t>Should QINGDAO undertake the project?</t>
  </si>
  <si>
    <t>Investment assumptions (CAPEX)</t>
  </si>
  <si>
    <t>FACTORY  - Purchase price</t>
  </si>
  <si>
    <t xml:space="preserve"> </t>
  </si>
  <si>
    <t>Salvage/Residual value (% Investment)</t>
  </si>
  <si>
    <t>Salvage/Residual value (€)</t>
  </si>
  <si>
    <t>Selling price after 5 years</t>
  </si>
  <si>
    <t>Useful life in years</t>
  </si>
  <si>
    <t>Depreciation expense</t>
  </si>
  <si>
    <t>Accumulated depreciation</t>
  </si>
  <si>
    <t xml:space="preserve">Net book Value </t>
  </si>
  <si>
    <t>Operating assumptions (P&amp;L)</t>
  </si>
  <si>
    <t>number of units sold</t>
  </si>
  <si>
    <t>#</t>
  </si>
  <si>
    <t>Growth rate -volume</t>
  </si>
  <si>
    <t>Selling unit price in €</t>
  </si>
  <si>
    <t>Unit price chg</t>
  </si>
  <si>
    <t>Variable Charges (as % of Turnover)</t>
  </si>
  <si>
    <t>Raw Materials</t>
  </si>
  <si>
    <t>Salaries</t>
  </si>
  <si>
    <t>Overhead</t>
  </si>
  <si>
    <t>Total Variable Charges (as % of Turnover)</t>
  </si>
  <si>
    <t>Fixed Costs</t>
  </si>
  <si>
    <t>Other Assumptions</t>
  </si>
  <si>
    <t>Corporate Tax Rate</t>
  </si>
  <si>
    <t>Weighted Average Cost of Capital (WACC)</t>
  </si>
  <si>
    <t>P&amp;L</t>
  </si>
  <si>
    <t>TURNOVER</t>
  </si>
  <si>
    <t>VARIABLE CHARGES</t>
  </si>
  <si>
    <t>GROSS MARGIN</t>
  </si>
  <si>
    <t>FIXED COSTS</t>
  </si>
  <si>
    <t>DEPRECIATION</t>
  </si>
  <si>
    <t>OPERATING INCOME (EBIT)</t>
  </si>
  <si>
    <t>Cost of debt</t>
  </si>
  <si>
    <t>Pretax earnings</t>
  </si>
  <si>
    <t>Taxes</t>
  </si>
  <si>
    <t>Net earnings</t>
  </si>
  <si>
    <t>Preparing cash flow calculation: Working Capital Requirements</t>
  </si>
  <si>
    <t>Accounts Receivable</t>
  </si>
  <si>
    <t>Days Sales Outstanding (DSO) - in days of Sales</t>
  </si>
  <si>
    <t>Accounts Receivable Turnover</t>
  </si>
  <si>
    <t>Accounts Receivable in €</t>
  </si>
  <si>
    <t>Inventories</t>
  </si>
  <si>
    <t>Days of Inventory - in days of Sales</t>
  </si>
  <si>
    <t>Inventory Turnover</t>
  </si>
  <si>
    <t>Inventories in €</t>
  </si>
  <si>
    <t>Accounts Payable</t>
  </si>
  <si>
    <t>Days of Payables - in days of Sales</t>
  </si>
  <si>
    <t>Accounts Payables in €</t>
  </si>
  <si>
    <t>WORKING CAPITAL REQUIREMENTS in €</t>
  </si>
  <si>
    <t>CHANGE IN WCR</t>
  </si>
  <si>
    <t>FREE CASH FLOW CALCULATION</t>
  </si>
  <si>
    <t>CORPORATE TAX</t>
  </si>
  <si>
    <t>NOPAT : Net Op Prof after Tax = EBIT * (1-T)</t>
  </si>
  <si>
    <t xml:space="preserve">ADD BACK DEPRECIATION </t>
  </si>
  <si>
    <t>CHGE in WORKING CAPITAL REQUIREMENTS</t>
  </si>
  <si>
    <t>INVESTMENT CASH OUTFLOWS: CAPEX</t>
  </si>
  <si>
    <t>INVESTMENT CASH OUTFLOWS: FACTORY SALE</t>
  </si>
  <si>
    <t>Unlevered Free Cash Flows (Free Cash Flow to the Firm)</t>
  </si>
  <si>
    <t>net book value @end of year 5</t>
  </si>
  <si>
    <t>Selling price</t>
  </si>
  <si>
    <t>profit on the sale</t>
  </si>
  <si>
    <t>Taxes on profit</t>
  </si>
  <si>
    <t xml:space="preserve">Cash Flow from the sale </t>
  </si>
  <si>
    <t>QUIZ 1: check your P&amp;L &amp; FCFF</t>
  </si>
  <si>
    <t>ANALYSIS OF THE PROJECT</t>
  </si>
  <si>
    <t>NET PRESENT VALUE METHOD</t>
  </si>
  <si>
    <t>CASH FLOWS</t>
  </si>
  <si>
    <t>DISCOUNT FACTOR (as 1/(1+WACC)^n)</t>
  </si>
  <si>
    <t>DISCOUNTED CASH FLOWS</t>
  </si>
  <si>
    <t xml:space="preserve">NET PRESENT VALUE : </t>
  </si>
  <si>
    <t xml:space="preserve">Or else NET PRESENT VALUE (use Excel formula): </t>
  </si>
  <si>
    <t>PROFITABILITY INDEX</t>
  </si>
  <si>
    <t>SUM OF ALL DISCOUNTED CASH FLOWS</t>
  </si>
  <si>
    <t>INVESTED CAPITAL</t>
  </si>
  <si>
    <t>YEARS</t>
  </si>
  <si>
    <t>UNDISCOUNTED PAYBACK</t>
  </si>
  <si>
    <t>CUMULATIVE CFS</t>
  </si>
  <si>
    <t>DISCOUNTED PAYBACK</t>
  </si>
  <si>
    <t>CUMULATIVE  DISC CFS</t>
  </si>
  <si>
    <t>Internal rate of return</t>
  </si>
  <si>
    <t>Cash Flows</t>
  </si>
  <si>
    <t>PROJECT IRR</t>
  </si>
  <si>
    <t>COST OF CAPITAL</t>
  </si>
  <si>
    <t>QUIZ 2: check your Capital Budgeting decision indicators</t>
  </si>
  <si>
    <t>FINANCING</t>
  </si>
  <si>
    <t>If undertaken, how is the project to be financed ?</t>
  </si>
  <si>
    <t>INVESTING AND FINANCING STRUCTURE</t>
  </si>
  <si>
    <t>Assets</t>
  </si>
  <si>
    <t>Liabilities &amp; Sh Equity</t>
  </si>
  <si>
    <t>Factory</t>
  </si>
  <si>
    <t>Equity</t>
  </si>
  <si>
    <t>Working Capital Requirements</t>
  </si>
  <si>
    <t>Debt</t>
  </si>
  <si>
    <t>TOTAL</t>
  </si>
  <si>
    <t>Debt Features</t>
  </si>
  <si>
    <t>Debt Size</t>
  </si>
  <si>
    <t xml:space="preserve">Annual Interest rate </t>
  </si>
  <si>
    <t>Date</t>
  </si>
  <si>
    <t>Debt amort. schedule</t>
  </si>
  <si>
    <t>Begining of the period debt</t>
  </si>
  <si>
    <t>Interest</t>
  </si>
  <si>
    <t>Amortization / Principal</t>
  </si>
  <si>
    <t>End of period outstanding debt</t>
  </si>
  <si>
    <t>TOTAL DEBT SERVICE</t>
  </si>
  <si>
    <t>IMPACT OF FINANCING DECISIONS ON PROJECT CASH FLOWS</t>
  </si>
  <si>
    <t xml:space="preserve"> Project Cash Flows</t>
  </si>
  <si>
    <t>Debt Service</t>
  </si>
  <si>
    <t>Interest Charge</t>
  </si>
  <si>
    <t>Taxes on interest</t>
  </si>
  <si>
    <t>Principal Repayment (amortisation)</t>
  </si>
  <si>
    <t>Debt Extinction (if necesary)</t>
  </si>
  <si>
    <t>Free Cash Flows to Equity - available for Equity shareholders</t>
  </si>
  <si>
    <t>Equity Holders Return on Investment</t>
  </si>
  <si>
    <t xml:space="preserve">   Invested Equity (from the Balance Sheet)</t>
  </si>
  <si>
    <t>Free cash flows to equity</t>
  </si>
  <si>
    <t xml:space="preserve">Net Cash Flows to Equity </t>
  </si>
  <si>
    <t>Equity holder's return on investment (IRR)</t>
  </si>
  <si>
    <t>COMPARE RETURN ON EQUITY WITH COST OF EQUITY</t>
  </si>
  <si>
    <t>Equity holder's return on investment</t>
  </si>
  <si>
    <t>Cost of Equity (Minimum Return expected by investors)</t>
  </si>
  <si>
    <t>Equity Risk Premium (ERP)</t>
  </si>
  <si>
    <t>Project Beta</t>
  </si>
  <si>
    <t>Min Required Rate of Return on Equity</t>
  </si>
  <si>
    <t>ANALYSIS OF PROJECT FEATURES</t>
  </si>
  <si>
    <t>Conclusions ?</t>
  </si>
  <si>
    <t>Profitability Analysis</t>
  </si>
  <si>
    <t>Operating profit margin (EBIT)/Turnover</t>
  </si>
  <si>
    <t>Interest coverage (EBIT /Interest expense)</t>
  </si>
  <si>
    <t>Unlevered Free Cash Flows/Total Debt Service</t>
  </si>
  <si>
    <t>Leverage Analysis</t>
  </si>
  <si>
    <t>Degree of Operational leverage (DOL)</t>
  </si>
  <si>
    <t>Turnover</t>
  </si>
  <si>
    <t>Total Variable Costs</t>
  </si>
  <si>
    <t>Total Fixed Costs</t>
  </si>
  <si>
    <t>Sales minus Total Variable Costs</t>
  </si>
  <si>
    <t>a</t>
  </si>
  <si>
    <t>Sales minus Total Variable Costs and Fixed Costs</t>
  </si>
  <si>
    <t>b</t>
  </si>
  <si>
    <t>DOL (b/a)</t>
  </si>
  <si>
    <t>X</t>
  </si>
  <si>
    <t>Degree of Financial leverage (DFL)</t>
  </si>
  <si>
    <t>Operating Income (EBIT)</t>
  </si>
  <si>
    <t>c</t>
  </si>
  <si>
    <t>EBIT minus Interest Charge</t>
  </si>
  <si>
    <t>d</t>
  </si>
  <si>
    <t>DFL (d/c)</t>
  </si>
  <si>
    <t>Y</t>
  </si>
  <si>
    <t>Degree of Total Leverage : DOL * DFL</t>
  </si>
  <si>
    <t>X*Y</t>
  </si>
  <si>
    <t>Breakeven Analysis</t>
  </si>
  <si>
    <t>Quantity sold</t>
  </si>
  <si>
    <t>Price per unit sold</t>
  </si>
  <si>
    <t>Variable cost per unit sold</t>
  </si>
  <si>
    <t>Interest Charges</t>
  </si>
  <si>
    <t xml:space="preserve">BREAKEVEN POINT </t>
  </si>
  <si>
    <t>Distance to B/E point</t>
  </si>
  <si>
    <t>OPTIONAL</t>
  </si>
  <si>
    <t>SENSITIVITY ANALYSIS</t>
  </si>
  <si>
    <t>What if?</t>
  </si>
  <si>
    <t>NPV sensitivity to several variables - Summary</t>
  </si>
  <si>
    <t>IRR sensitivity to several variables - Summary</t>
  </si>
  <si>
    <t>Sensitivity to #units</t>
  </si>
  <si>
    <t>Sensitivity to selling price:</t>
  </si>
  <si>
    <t>Sensitivity to discount rate</t>
  </si>
  <si>
    <t>Sensitivity to fixed costs</t>
  </si>
  <si>
    <t>Sensitivity to growth rate (units):</t>
  </si>
  <si>
    <t>Sensitivity to Variable costs:</t>
  </si>
  <si>
    <t>Example</t>
  </si>
  <si>
    <t>Step:</t>
  </si>
  <si>
    <t>Variable costs</t>
  </si>
  <si>
    <t>NPV</t>
  </si>
  <si>
    <t>IRR</t>
  </si>
  <si>
    <t>NPV sensitivity to VR</t>
  </si>
  <si>
    <t>IRR sensitivity to VR</t>
  </si>
  <si>
    <t xml:space="preserve">Sensitivity analysis shows that the NPV of this project are most vulnerable to the change in the sales price and #units sold, less vulnerable to the change in variable costs and discount rate, and almost no vulnerability to fixed costs </t>
  </si>
  <si>
    <t>Warning: the Goal Seek Window has 3 parameters:</t>
  </si>
  <si>
    <t xml:space="preserve">Set cell : </t>
  </si>
  <si>
    <t xml:space="preserve">To value: </t>
  </si>
  <si>
    <t>By changing cell:</t>
  </si>
  <si>
    <t>this cell must contain a number, not a reference. Hence in our case we will have to go to the ASSUMPTIONS tab</t>
  </si>
  <si>
    <t>Solution:</t>
  </si>
  <si>
    <t>BUILDING SCENARIOS</t>
  </si>
  <si>
    <t xml:space="preserve">Active scenario : </t>
  </si>
  <si>
    <t>Scenarios source table</t>
  </si>
  <si>
    <t>Changing variables in scenarios</t>
  </si>
  <si>
    <t>Scenario number</t>
  </si>
  <si>
    <t>Scenario name</t>
  </si>
  <si>
    <t>Factory  price</t>
  </si>
  <si>
    <t>unit price</t>
  </si>
  <si>
    <t>#units sold</t>
  </si>
  <si>
    <t>% units  growth rate</t>
  </si>
  <si>
    <t>WACC / discount rate</t>
  </si>
  <si>
    <t>Base scenario</t>
  </si>
  <si>
    <t>Optimistic scenario</t>
  </si>
  <si>
    <t>Pessimistic scenario</t>
  </si>
  <si>
    <t>OUTPUTS</t>
  </si>
  <si>
    <t>TORNADO CHARTS FOR SENSITIVITY ANALYSIS</t>
  </si>
  <si>
    <t>TRANSPOSe function: select empty cells, write =TRANSPOSE(cell range) and press CTRL+ALT+ENTER</t>
  </si>
  <si>
    <r>
      <rPr>
        <b/>
        <u/>
        <sz val="10"/>
        <rFont val="Arial"/>
        <family val="2"/>
      </rPr>
      <t>Working Capital Requirements (WCR)</t>
    </r>
    <r>
      <rPr>
        <sz val="10"/>
        <rFont val="Arial"/>
        <family val="2"/>
      </rPr>
      <t xml:space="preserve">
WCR = Current assets - current liabilities
In the context of calculating cash flows, we will calculate WCR as follows:
</t>
    </r>
    <r>
      <rPr>
        <b/>
        <sz val="10"/>
        <color rgb="FFC00000"/>
        <rFont val="Arial"/>
        <family val="2"/>
      </rPr>
      <t>WCR = Inventories + Accounts Receivable – Accounts Payable</t>
    </r>
    <r>
      <rPr>
        <sz val="10"/>
        <rFont val="Arial"/>
        <family val="2"/>
      </rPr>
      <t xml:space="preserve">
Note that we have eliminated Cash as a current asset from this equation because we aim to calculate cash flows.
WRC is the cash advance made by the company to cover the period between the date the company pays for its purchases and the date the sales are turned into cash
WCR is the amount invested in (funding) the operating cycle.
•	linked to production constraints (manufacturing period, storage period, etc), 
•	linked to trade and payment practices that characterize an industry (customer’s payment delay, supplier’s payment delay, etc). 
•	Linked to the activity level: sales and costs</t>
    </r>
  </si>
  <si>
    <r>
      <rPr>
        <b/>
        <u/>
        <sz val="10"/>
        <rFont val="Arial"/>
        <family val="2"/>
      </rPr>
      <t>Free Cash Flows to Equity - FCFE</t>
    </r>
    <r>
      <rPr>
        <b/>
        <sz val="10"/>
        <rFont val="Arial"/>
        <family val="2"/>
      </rPr>
      <t xml:space="preserve">        </t>
    </r>
    <r>
      <rPr>
        <b/>
        <u/>
        <sz val="10"/>
        <color rgb="FFC00000"/>
        <rFont val="Arial"/>
        <family val="2"/>
      </rPr>
      <t xml:space="preserve">FCFE = FCFF - debt service </t>
    </r>
    <r>
      <rPr>
        <sz val="10"/>
        <rFont val="Arial"/>
        <family val="2"/>
      </rPr>
      <t xml:space="preserve">
</t>
    </r>
    <r>
      <rPr>
        <b/>
        <sz val="10"/>
        <color rgb="FFC00000"/>
        <rFont val="Arial"/>
        <family val="2"/>
      </rPr>
      <t>Debt service = amortisation + interest expenses + debt extinction (if necessary)</t>
    </r>
    <r>
      <rPr>
        <sz val="10"/>
        <rFont val="Arial"/>
        <family val="2"/>
      </rPr>
      <t xml:space="preserve">. In this case, you should consider debt extinction in year five as we are analysing a project with a five-year useful life. The goal is to measure the value the project can create for the shareholders over the next five years without any obligations beyond this scope.
The Free cash flow to equity is a metric of how much cash can be distributed to the equity shareholders of the company as dividends or stock buybacks—after all expenses, reinvestments (CAPEX) and debt repayments are taken care of. They are also called </t>
    </r>
    <r>
      <rPr>
        <b/>
        <sz val="10"/>
        <rFont val="Arial"/>
        <family val="2"/>
      </rPr>
      <t>Levered Free Cash Flows</t>
    </r>
    <r>
      <rPr>
        <sz val="10"/>
        <rFont val="Arial"/>
        <family val="2"/>
      </rPr>
      <t xml:space="preserve">
</t>
    </r>
    <r>
      <rPr>
        <b/>
        <sz val="10"/>
        <rFont val="Arial"/>
        <family val="2"/>
      </rPr>
      <t>Hint</t>
    </r>
    <r>
      <rPr>
        <sz val="10"/>
        <rFont val="Arial"/>
        <family val="2"/>
      </rPr>
      <t xml:space="preserve">: The debt extinction (last year) is the amount of debt that remains to be paid at the end of year 5. </t>
    </r>
  </si>
  <si>
    <r>
      <rPr>
        <b/>
        <u/>
        <sz val="10"/>
        <rFont val="Arial"/>
        <family val="2"/>
      </rPr>
      <t>Equity Return on Investment or Equity IRR</t>
    </r>
    <r>
      <rPr>
        <sz val="10"/>
        <rFont val="Arial"/>
        <family val="2"/>
      </rPr>
      <t xml:space="preserve">
Calculate the internal rate of return for the equity holders or return on investment for the shareholders. Use the Excel formula IRR with invested equity as the initial cash flow (negative) and the FCFE for subsequent cash flows
To calculate the equity IRR, we must act as if the company had made one last payment to extinguish the debt.</t>
    </r>
  </si>
  <si>
    <t>Cost of Equity calculation</t>
  </si>
  <si>
    <t>Cost of equity (ke) = Risk free rate + beta * market premium</t>
  </si>
  <si>
    <t>Sensitivity calculation</t>
  </si>
  <si>
    <t>QUIZ 3: check financing features and equity sharehorder's rate of return</t>
  </si>
  <si>
    <t>Current year</t>
  </si>
  <si>
    <t>Total debt service (net of taxes)</t>
  </si>
  <si>
    <t>initial #units</t>
  </si>
  <si>
    <t>NPV sensitivity to #units</t>
  </si>
  <si>
    <t>IRR sensitivity to #units</t>
  </si>
  <si>
    <t>initial unit price</t>
  </si>
  <si>
    <t>NPV sensitivity to price</t>
  </si>
  <si>
    <t>IRR sensitivity to price</t>
  </si>
  <si>
    <t xml:space="preserve">Active cell: </t>
  </si>
  <si>
    <t>Scenarios outputs table</t>
  </si>
  <si>
    <t>PI</t>
  </si>
  <si>
    <t>QUIZ 4: sensitivity analysis</t>
  </si>
  <si>
    <t xml:space="preserve">Blue cells (such as these) </t>
  </si>
  <si>
    <t>are to be filled by students</t>
  </si>
  <si>
    <t>TORNADO CHARTS</t>
  </si>
  <si>
    <t>SCENARIOS ANALYSIS</t>
  </si>
  <si>
    <t>Apply financial modelling techniques &amp; capital budgeting theory to a case- calculate free cash flows</t>
  </si>
  <si>
    <t>Solve problems as they come along on your own</t>
  </si>
  <si>
    <t>Create a model to assess the project</t>
  </si>
  <si>
    <t>Determine the investment decision and recommend a course of action</t>
  </si>
  <si>
    <t>Evaluate the feasibility of the project</t>
  </si>
  <si>
    <t>Calculate capital budget metrics: NPV, IRR, PI Payback</t>
  </si>
  <si>
    <t>Analyse capital budgeting metrics and issue an opinion</t>
  </si>
  <si>
    <t>Perform sensitivity analysis on capital budgeting metrics</t>
  </si>
  <si>
    <t>Use advanced Excel techniques</t>
  </si>
  <si>
    <t>Variable Charges (as % of Turnover):</t>
  </si>
  <si>
    <t>Initial WCR for end of year 0, drops to zero in year 5</t>
  </si>
  <si>
    <t>Depreciation expense per year</t>
  </si>
  <si>
    <t>Working Capital Requirements components:</t>
  </si>
  <si>
    <t>MARGIN ON VARIABLE COSTS</t>
  </si>
  <si>
    <t>Profit on the sale</t>
  </si>
  <si>
    <t>1/ NET PRESENT VALUE METHOD</t>
  </si>
  <si>
    <t>2/ PROFITABILITY INDEX</t>
  </si>
  <si>
    <t>3.1/ UNDISCOUNTED PAYBACK</t>
  </si>
  <si>
    <t>3.2/ DISCOUNTED PAYBACK</t>
  </si>
  <si>
    <t>4/ INTERNAL RATE OF RETURN</t>
  </si>
  <si>
    <t>x</t>
  </si>
  <si>
    <t>Number of units sold</t>
  </si>
  <si>
    <t xml:space="preserve">       Growth rate -volume</t>
  </si>
  <si>
    <t>Unit</t>
  </si>
  <si>
    <t>Total Variable Costs (as % of Turnover)</t>
  </si>
  <si>
    <t>VARIABLE COSTS</t>
  </si>
  <si>
    <t>CHANGE in WORKING CAPITAL REQUIREMENTS</t>
  </si>
  <si>
    <t>NOPAT : Net Op Prof after Tax = EBIT x (1-Tax)</t>
  </si>
  <si>
    <t>UNLEVERED FREE CASH FLOW</t>
  </si>
  <si>
    <t>Net book value @end of year 5</t>
  </si>
  <si>
    <t>A</t>
  </si>
  <si>
    <t>B</t>
  </si>
  <si>
    <t>AxB</t>
  </si>
  <si>
    <t>INVESTMENT CASH INFLOWS: FACTORY SALE</t>
  </si>
  <si>
    <t>Other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</si>
</sst>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0\ &quot;€&quot;;[Red]\-#,##0\ &quot;€&quot;"/>
    <numFmt numFmtId="8" formatCode="#,##0.00\ &quot;€&quot;;[Red]\-#,##0.00\ &quot;€&quot;"/>
    <numFmt numFmtId="44" formatCode="_-* #,##0.00\ &quot;€&quot;_-;\-* #,##0.00\ &quot;€&quot;_-;_-* &quot;-&quot;??\ &quot;€&quot;_-;_-@_-"/>
    <numFmt numFmtId="43" formatCode="_-* #,##0.00\ _€_-;\-* #,##0.00\ _€_-;_-* &quot;-&quot;??\ _€_-;_-@_-"/>
    <numFmt numFmtId="164" formatCode="_-* #,##0\ _€_-;\-* #,##0\ _€_-;_-* &quot;-&quot;??\ _€_-;_-@_-"/>
    <numFmt numFmtId="165" formatCode="0.0%"/>
    <numFmt numFmtId="166" formatCode="_-* #,##0.0\ &quot;€&quot;_-;\-* #,##0.0\ &quot;€&quot;_-;_-* &quot;-&quot;??\ &quot;€&quot;_-;_-@_-"/>
    <numFmt numFmtId="167" formatCode="_-* #,##0\ &quot;€&quot;_-;\-* #,##0\ &quot;€&quot;_-;_-* &quot;-&quot;??\ &quot;€&quot;_-;_-@_-"/>
    <numFmt numFmtId="168" formatCode="_-* #,##0.00\ [$€-40C]_-;\-* #,##0.00\ [$€-40C]_-;_-* &quot;-&quot;??\ [$€-40C]_-;_-@_-"/>
    <numFmt numFmtId="169" formatCode="_-* #,##0\ [$€-40C]_-;\-* #,##0\ [$€-40C]_-;_-* &quot;-&quot;??\ [$€-40C]_-;_-@_-"/>
    <numFmt numFmtId="170" formatCode="0.00\x"/>
    <numFmt numFmtId="171" formatCode="0.0\x"/>
    <numFmt numFmtId="172" formatCode="_-* #,##0.00000\ _€_-;\-* #,##0.00000\ _€_-;_-* &quot;-&quot;??\ _€_-;_-@_-"/>
    <numFmt numFmtId="173" formatCode="#,##0_ ;\-#,##0\ "/>
    <numFmt numFmtId="174" formatCode="#,##0.00_ ;\-#,##0.00\ "/>
    <numFmt numFmtId="175" formatCode="#,##0.00000_ ;\-#,##0.00000\ "/>
    <numFmt numFmtId="176" formatCode="#,##0.0"/>
    <numFmt numFmtId="177" formatCode="_-* #,##0.0\ _€_-;\-* #,##0.0\ _€_-;_-* &quot;-&quot;??\ _€_-;_-@_-"/>
    <numFmt numFmtId="178" formatCode="#,##0.000"/>
  </numFmts>
  <fonts count="85" x14ac:knownFonts="1">
    <font>
      <sz val="10"/>
      <name val="Arial"/>
    </font>
    <font>
      <sz val="10"/>
      <name val="Arial"/>
      <family val="2"/>
    </font>
    <font>
      <sz val="12"/>
      <name val="Calibri"/>
      <family val="2"/>
    </font>
    <font>
      <b/>
      <sz val="12"/>
      <name val="Calibri"/>
      <family val="2"/>
    </font>
    <font>
      <sz val="12"/>
      <name val="Trebuchet MS"/>
      <family val="2"/>
    </font>
    <font>
      <sz val="10"/>
      <name val="Arial"/>
      <family val="2"/>
    </font>
    <font>
      <sz val="12"/>
      <name val="Arial"/>
      <family val="2"/>
    </font>
    <font>
      <b/>
      <sz val="12"/>
      <name val="Arial"/>
      <family val="2"/>
    </font>
    <font>
      <b/>
      <sz val="10"/>
      <name val="Arial"/>
      <family val="2"/>
    </font>
    <font>
      <b/>
      <sz val="11"/>
      <name val="Arial"/>
      <family val="2"/>
    </font>
    <font>
      <i/>
      <sz val="12"/>
      <name val="Arial"/>
      <family val="2"/>
    </font>
    <font>
      <i/>
      <sz val="11"/>
      <name val="Arial"/>
      <family val="2"/>
    </font>
    <font>
      <sz val="11"/>
      <name val="Arial"/>
      <family val="2"/>
    </font>
    <font>
      <b/>
      <sz val="12"/>
      <name val="Trebuchet MS"/>
      <family val="2"/>
    </font>
    <font>
      <u/>
      <sz val="10"/>
      <name val="Arial"/>
      <family val="2"/>
    </font>
    <font>
      <u val="singleAccounting"/>
      <sz val="11"/>
      <name val="Arial"/>
      <family val="2"/>
    </font>
    <font>
      <u/>
      <sz val="11"/>
      <name val="Arial"/>
      <family val="2"/>
    </font>
    <font>
      <b/>
      <sz val="16"/>
      <name val="Calibri"/>
      <family val="2"/>
    </font>
    <font>
      <i/>
      <sz val="10"/>
      <name val="Arial"/>
      <family val="2"/>
    </font>
    <font>
      <i/>
      <sz val="12"/>
      <name val="Trebuchet MS"/>
      <family val="2"/>
    </font>
    <font>
      <b/>
      <sz val="9"/>
      <color indexed="81"/>
      <name val="Tahoma"/>
      <family val="2"/>
    </font>
    <font>
      <b/>
      <i/>
      <sz val="12"/>
      <name val="Arial"/>
      <family val="2"/>
    </font>
    <font>
      <sz val="12"/>
      <name val="Calibri"/>
      <family val="2"/>
      <scheme val="minor"/>
    </font>
    <font>
      <b/>
      <sz val="12"/>
      <name val="Calibri"/>
      <family val="2"/>
      <scheme val="minor"/>
    </font>
    <font>
      <i/>
      <sz val="12"/>
      <name val="Calibri"/>
      <family val="2"/>
      <scheme val="minor"/>
    </font>
    <font>
      <u val="singleAccounting"/>
      <sz val="12"/>
      <name val="Calibri"/>
      <family val="2"/>
      <scheme val="minor"/>
    </font>
    <font>
      <sz val="11"/>
      <name val="Calibri"/>
      <family val="2"/>
      <scheme val="minor"/>
    </font>
    <font>
      <sz val="10"/>
      <name val="Calibri"/>
      <family val="2"/>
      <scheme val="minor"/>
    </font>
    <font>
      <b/>
      <sz val="16"/>
      <name val="Trebuchet MS"/>
      <family val="2"/>
    </font>
    <font>
      <i/>
      <sz val="12"/>
      <name val="Calibri"/>
      <family val="2"/>
    </font>
    <font>
      <b/>
      <sz val="12"/>
      <color theme="0"/>
      <name val="Calibri"/>
      <family val="2"/>
      <scheme val="minor"/>
    </font>
    <font>
      <sz val="16"/>
      <name val="Trebuchet MS"/>
      <family val="2"/>
    </font>
    <font>
      <sz val="12"/>
      <color rgb="FFFF0000"/>
      <name val="Arial"/>
      <family val="2"/>
    </font>
    <font>
      <b/>
      <sz val="12"/>
      <color rgb="FFFF0000"/>
      <name val="Arial"/>
      <family val="2"/>
    </font>
    <font>
      <b/>
      <sz val="1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sz val="10"/>
      <name val="Arial Narrow"/>
      <family val="2"/>
    </font>
    <font>
      <sz val="16"/>
      <name val="Arial"/>
      <family val="2"/>
    </font>
    <font>
      <sz val="16"/>
      <name val="Calibri"/>
      <family val="2"/>
      <scheme val="minor"/>
    </font>
    <font>
      <b/>
      <sz val="16"/>
      <name val="Calibri"/>
      <family val="2"/>
      <scheme val="minor"/>
    </font>
    <font>
      <sz val="12"/>
      <color rgb="FFFF0000"/>
      <name val="Calibri"/>
      <family val="2"/>
      <scheme val="minor"/>
    </font>
    <font>
      <b/>
      <sz val="10"/>
      <color theme="0"/>
      <name val="Calibri"/>
      <family val="2"/>
      <scheme val="minor"/>
    </font>
    <font>
      <sz val="9"/>
      <name val="Calibri"/>
      <family val="2"/>
      <scheme val="minor"/>
    </font>
    <font>
      <b/>
      <sz val="12"/>
      <color theme="1"/>
      <name val="Calibri"/>
      <family val="2"/>
      <scheme val="minor"/>
    </font>
    <font>
      <b/>
      <sz val="9"/>
      <name val="Calibri"/>
      <family val="2"/>
      <scheme val="minor"/>
    </font>
    <font>
      <sz val="12"/>
      <name val="Arial Narrow"/>
      <family val="2"/>
    </font>
    <font>
      <u/>
      <sz val="12"/>
      <name val="Arial Narrow"/>
      <family val="2"/>
    </font>
    <font>
      <b/>
      <sz val="11"/>
      <name val="Calibri"/>
      <family val="2"/>
      <scheme val="minor"/>
    </font>
    <font>
      <u/>
      <sz val="10"/>
      <color theme="10"/>
      <name val="Arial"/>
      <family val="2"/>
    </font>
    <font>
      <u/>
      <sz val="11"/>
      <color theme="10"/>
      <name val="Arial"/>
      <family val="2"/>
    </font>
    <font>
      <sz val="10"/>
      <name val="Arial"/>
      <family val="2"/>
    </font>
    <font>
      <sz val="10"/>
      <color rgb="FFFF0000"/>
      <name val="Calibri"/>
      <family val="2"/>
      <scheme val="minor"/>
    </font>
    <font>
      <b/>
      <sz val="10.5"/>
      <color rgb="FF000000"/>
      <name val="Calibri"/>
      <family val="2"/>
    </font>
    <font>
      <b/>
      <sz val="10.5"/>
      <color rgb="FFC00000"/>
      <name val="Calibri"/>
      <family val="2"/>
    </font>
    <font>
      <i/>
      <sz val="11"/>
      <color rgb="FF000000"/>
      <name val="Calibri"/>
      <family val="2"/>
    </font>
    <font>
      <i/>
      <sz val="9"/>
      <color rgb="FF000000"/>
      <name val="Calibri"/>
      <family val="2"/>
    </font>
    <font>
      <b/>
      <sz val="18"/>
      <color theme="0"/>
      <name val="Calibri"/>
      <family val="2"/>
    </font>
    <font>
      <b/>
      <sz val="18"/>
      <color theme="0"/>
      <name val="Arial"/>
      <family val="2"/>
    </font>
    <font>
      <sz val="18"/>
      <color theme="0"/>
      <name val="Arial"/>
      <family val="2"/>
    </font>
    <font>
      <b/>
      <sz val="16"/>
      <color theme="0"/>
      <name val="Arial"/>
      <family val="2"/>
    </font>
    <font>
      <u/>
      <sz val="12"/>
      <name val="Arial"/>
      <family val="2"/>
    </font>
    <font>
      <u val="singleAccounting"/>
      <sz val="12"/>
      <name val="Arial"/>
      <family val="2"/>
    </font>
    <font>
      <b/>
      <u val="singleAccounting"/>
      <sz val="12"/>
      <name val="Arial"/>
      <family val="2"/>
    </font>
    <font>
      <b/>
      <u/>
      <sz val="11"/>
      <color theme="1"/>
      <name val="Arial"/>
      <family val="2"/>
    </font>
    <font>
      <b/>
      <u/>
      <sz val="10"/>
      <name val="Arial"/>
      <family val="2"/>
    </font>
    <font>
      <b/>
      <sz val="10"/>
      <color rgb="FFC00000"/>
      <name val="Arial"/>
      <family val="2"/>
    </font>
    <font>
      <b/>
      <u/>
      <sz val="10"/>
      <color rgb="FFC00000"/>
      <name val="Arial"/>
      <family val="2"/>
    </font>
    <font>
      <b/>
      <sz val="11"/>
      <color rgb="FFC00000"/>
      <name val="Arial"/>
      <family val="2"/>
    </font>
    <font>
      <b/>
      <sz val="18"/>
      <color rgb="FFC00000"/>
      <name val="Arial"/>
      <family val="2"/>
    </font>
    <font>
      <b/>
      <u/>
      <sz val="11"/>
      <color theme="7" tint="-0.249977111117893"/>
      <name val="Arial"/>
      <family val="2"/>
    </font>
    <font>
      <b/>
      <sz val="11"/>
      <color theme="0"/>
      <name val="Arial"/>
      <family val="2"/>
    </font>
    <font>
      <b/>
      <sz val="18"/>
      <color rgb="FF009999"/>
      <name val="Arial"/>
      <family val="2"/>
    </font>
    <font>
      <b/>
      <sz val="9"/>
      <color theme="0"/>
      <name val="Calibri"/>
      <family val="2"/>
      <scheme val="minor"/>
    </font>
    <font>
      <sz val="12"/>
      <color theme="0"/>
      <name val="Arial"/>
      <family val="2"/>
    </font>
    <font>
      <b/>
      <sz val="10"/>
      <color theme="7" tint="-0.249977111117893"/>
      <name val="Arial"/>
      <family val="2"/>
    </font>
    <font>
      <sz val="10"/>
      <name val="Calibri"/>
      <family val="2"/>
    </font>
    <font>
      <u/>
      <sz val="10"/>
      <name val="Calibri"/>
      <family val="2"/>
    </font>
    <font>
      <u/>
      <sz val="10"/>
      <color rgb="FF000000"/>
      <name val="Calibri"/>
      <family val="2"/>
      <scheme val="minor"/>
    </font>
    <font>
      <sz val="8"/>
      <name val="Arial"/>
      <family val="2"/>
    </font>
    <font>
      <b/>
      <sz val="9"/>
      <color rgb="FF000000"/>
      <name val="Tahoma"/>
      <family val="2"/>
    </font>
    <font>
      <b/>
      <sz val="14"/>
      <name val="Calibri"/>
      <family val="2"/>
    </font>
    <font>
      <b/>
      <sz val="14"/>
      <name val="Arial"/>
      <family val="2"/>
    </font>
    <font>
      <b/>
      <sz val="12"/>
      <name val="Arial Narrow"/>
      <family val="2"/>
    </font>
  </fonts>
  <fills count="19">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rgb="FFC00000"/>
        <bgColor indexed="64"/>
      </patternFill>
    </fill>
    <fill>
      <patternFill patternType="solid">
        <fgColor theme="2" tint="-9.9978637043366805E-2"/>
        <bgColor indexed="64"/>
      </patternFill>
    </fill>
    <fill>
      <patternFill patternType="solid">
        <fgColor theme="8" tint="-0.499984740745262"/>
        <bgColor indexed="64"/>
      </patternFill>
    </fill>
    <fill>
      <patternFill patternType="solid">
        <fgColor theme="6" tint="0.59999389629810485"/>
        <bgColor indexed="64"/>
      </patternFill>
    </fill>
    <fill>
      <patternFill patternType="solid">
        <fgColor theme="7" tint="0.59999389629810485"/>
        <bgColor indexed="64"/>
      </patternFill>
    </fill>
  </fills>
  <borders count="2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top style="medium">
        <color indexed="64"/>
      </top>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00000"/>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diagonal/>
    </border>
    <border>
      <left/>
      <right style="medium">
        <color rgb="FFC00000"/>
      </right>
      <top/>
      <bottom/>
      <diagonal/>
    </border>
    <border>
      <left style="medium">
        <color rgb="FFC00000"/>
      </left>
      <right style="medium">
        <color rgb="FFC00000"/>
      </right>
      <top/>
      <bottom style="medium">
        <color rgb="FFC00000"/>
      </bottom>
      <diagonal/>
    </border>
  </borders>
  <cellStyleXfs count="8">
    <xf numFmtId="0" fontId="0" fillId="0" borderId="0"/>
    <xf numFmtId="43" fontId="1" fillId="0" borderId="0" applyFont="0" applyFill="0" applyBorder="0" applyAlignment="0" applyProtection="0"/>
    <xf numFmtId="44" fontId="1" fillId="0" borderId="0" applyFont="0" applyFill="0" applyBorder="0" applyAlignment="0" applyProtection="0"/>
    <xf numFmtId="0" fontId="5" fillId="0" borderId="0"/>
    <xf numFmtId="9" fontId="1" fillId="0" borderId="0" applyFont="0" applyFill="0" applyBorder="0" applyAlignment="0" applyProtection="0"/>
    <xf numFmtId="0" fontId="1" fillId="0" borderId="0"/>
    <xf numFmtId="0" fontId="50" fillId="0" borderId="0" applyNumberFormat="0" applyFill="0" applyBorder="0" applyAlignment="0" applyProtection="0"/>
    <xf numFmtId="44" fontId="52" fillId="0" borderId="0" applyFont="0" applyFill="0" applyBorder="0" applyAlignment="0" applyProtection="0"/>
  </cellStyleXfs>
  <cellXfs count="568">
    <xf numFmtId="0" fontId="0" fillId="0" borderId="0" xfId="0"/>
    <xf numFmtId="164" fontId="2" fillId="0" borderId="0" xfId="1" applyNumberFormat="1" applyFont="1" applyFill="1" applyBorder="1"/>
    <xf numFmtId="167" fontId="2" fillId="0" borderId="0" xfId="2" applyNumberFormat="1" applyFont="1" applyFill="1" applyBorder="1"/>
    <xf numFmtId="44" fontId="2" fillId="0" borderId="0" xfId="2" applyFont="1" applyFill="1" applyBorder="1"/>
    <xf numFmtId="167" fontId="22" fillId="0" borderId="0" xfId="2" applyNumberFormat="1" applyFont="1" applyFill="1" applyBorder="1"/>
    <xf numFmtId="167" fontId="22" fillId="0" borderId="0" xfId="2" applyNumberFormat="1" applyFont="1" applyFill="1"/>
    <xf numFmtId="43" fontId="2" fillId="0" borderId="0" xfId="1" applyFont="1" applyFill="1" applyBorder="1"/>
    <xf numFmtId="9" fontId="2" fillId="0" borderId="0" xfId="4" applyFont="1" applyFill="1" applyBorder="1"/>
    <xf numFmtId="43" fontId="24" fillId="0" borderId="0" xfId="1" applyFont="1" applyFill="1"/>
    <xf numFmtId="164" fontId="22" fillId="0" borderId="0" xfId="1" applyNumberFormat="1" applyFont="1" applyFill="1"/>
    <xf numFmtId="165" fontId="6" fillId="0" borderId="0" xfId="4" applyNumberFormat="1" applyFont="1" applyFill="1"/>
    <xf numFmtId="170" fontId="7" fillId="0" borderId="8" xfId="1" applyNumberFormat="1" applyFont="1" applyFill="1" applyBorder="1"/>
    <xf numFmtId="167" fontId="23" fillId="0" borderId="0" xfId="2" applyNumberFormat="1" applyFont="1" applyFill="1"/>
    <xf numFmtId="167" fontId="23" fillId="0" borderId="0" xfId="2" applyNumberFormat="1" applyFont="1" applyFill="1" applyBorder="1"/>
    <xf numFmtId="9" fontId="3" fillId="0" borderId="0" xfId="4" applyFont="1" applyFill="1" applyBorder="1" applyAlignment="1">
      <alignment horizontal="center" vertical="center"/>
    </xf>
    <xf numFmtId="9" fontId="9" fillId="0" borderId="0" xfId="4" applyFont="1" applyFill="1" applyAlignment="1">
      <alignment horizontal="center" vertical="center"/>
    </xf>
    <xf numFmtId="0" fontId="6" fillId="0" borderId="0" xfId="5" applyFont="1" applyAlignment="1">
      <alignment horizontal="left" vertical="center"/>
    </xf>
    <xf numFmtId="0" fontId="17" fillId="0" borderId="0" xfId="5" applyFont="1"/>
    <xf numFmtId="0" fontId="3" fillId="0" borderId="0" xfId="5" applyFont="1" applyAlignment="1">
      <alignment horizontal="center" vertical="center"/>
    </xf>
    <xf numFmtId="0" fontId="3" fillId="0" borderId="0" xfId="5" applyFont="1"/>
    <xf numFmtId="0" fontId="3" fillId="0" borderId="0" xfId="5" applyFont="1" applyAlignment="1">
      <alignment horizontal="center"/>
    </xf>
    <xf numFmtId="0" fontId="4" fillId="0" borderId="0" xfId="5" applyFont="1"/>
    <xf numFmtId="0" fontId="6" fillId="0" borderId="0" xfId="5" applyFont="1"/>
    <xf numFmtId="0" fontId="29" fillId="0" borderId="0" xfId="5" applyFont="1"/>
    <xf numFmtId="0" fontId="3" fillId="0" borderId="1" xfId="5" applyFont="1" applyBorder="1" applyAlignment="1">
      <alignment horizontal="center" vertical="center"/>
    </xf>
    <xf numFmtId="0" fontId="2" fillId="0" borderId="0" xfId="5" applyFont="1"/>
    <xf numFmtId="0" fontId="2" fillId="0" borderId="0" xfId="5" applyFont="1" applyAlignment="1">
      <alignment horizontal="left" indent="1"/>
    </xf>
    <xf numFmtId="0" fontId="22" fillId="0" borderId="0" xfId="5" applyFont="1" applyAlignment="1">
      <alignment horizontal="left" indent="1"/>
    </xf>
    <xf numFmtId="167" fontId="6" fillId="0" borderId="0" xfId="5" applyNumberFormat="1" applyFont="1"/>
    <xf numFmtId="9" fontId="22" fillId="0" borderId="0" xfId="5" applyNumberFormat="1" applyFont="1"/>
    <xf numFmtId="0" fontId="7" fillId="0" borderId="0" xfId="5" applyFont="1"/>
    <xf numFmtId="0" fontId="13" fillId="0" borderId="0" xfId="5" applyFont="1"/>
    <xf numFmtId="0" fontId="2" fillId="0" borderId="0" xfId="5" applyFont="1" applyAlignment="1">
      <alignment horizontal="left" indent="2"/>
    </xf>
    <xf numFmtId="0" fontId="19" fillId="0" borderId="0" xfId="5" applyFont="1"/>
    <xf numFmtId="168" fontId="2" fillId="0" borderId="0" xfId="5" applyNumberFormat="1" applyFont="1"/>
    <xf numFmtId="0" fontId="10" fillId="0" borderId="0" xfId="5" applyFont="1" applyAlignment="1">
      <alignment vertical="center"/>
    </xf>
    <xf numFmtId="0" fontId="3" fillId="0" borderId="0" xfId="5" applyFont="1" applyAlignment="1">
      <alignment horizontal="left" indent="1"/>
    </xf>
    <xf numFmtId="3" fontId="3" fillId="0" borderId="0" xfId="5" applyNumberFormat="1" applyFont="1" applyAlignment="1">
      <alignment horizontal="center"/>
    </xf>
    <xf numFmtId="0" fontId="3" fillId="0" borderId="1" xfId="5" applyFont="1" applyBorder="1" applyAlignment="1">
      <alignment horizontal="center"/>
    </xf>
    <xf numFmtId="0" fontId="7" fillId="0" borderId="0" xfId="5" applyFont="1" applyAlignment="1">
      <alignment horizontal="left" vertical="center"/>
    </xf>
    <xf numFmtId="9" fontId="4" fillId="0" borderId="0" xfId="5" applyNumberFormat="1" applyFont="1"/>
    <xf numFmtId="0" fontId="12" fillId="0" borderId="0" xfId="5" applyFont="1"/>
    <xf numFmtId="0" fontId="22" fillId="0" borderId="0" xfId="5" applyFont="1" applyAlignment="1">
      <alignment horizontal="left" vertical="center"/>
    </xf>
    <xf numFmtId="0" fontId="22" fillId="0" borderId="0" xfId="5" applyFont="1"/>
    <xf numFmtId="0" fontId="23" fillId="0" borderId="0" xfId="5" applyFont="1"/>
    <xf numFmtId="0" fontId="22" fillId="0" borderId="0" xfId="5" applyFont="1" applyAlignment="1">
      <alignment horizontal="center" vertical="center"/>
    </xf>
    <xf numFmtId="0" fontId="23" fillId="0" borderId="0" xfId="5" applyFont="1" applyAlignment="1">
      <alignment horizontal="left" vertical="center"/>
    </xf>
    <xf numFmtId="0" fontId="26" fillId="0" borderId="0" xfId="5" applyFont="1" applyAlignment="1">
      <alignment horizontal="left" vertical="center"/>
    </xf>
    <xf numFmtId="0" fontId="26" fillId="0" borderId="0" xfId="5" applyFont="1"/>
    <xf numFmtId="0" fontId="23" fillId="0" borderId="0" xfId="5" applyFont="1" applyAlignment="1">
      <alignment vertical="center"/>
    </xf>
    <xf numFmtId="0" fontId="7" fillId="0" borderId="1" xfId="5" applyFont="1" applyBorder="1"/>
    <xf numFmtId="0" fontId="14" fillId="0" borderId="0" xfId="5" applyFont="1" applyAlignment="1">
      <alignment horizontal="center"/>
    </xf>
    <xf numFmtId="0" fontId="12" fillId="0" borderId="0" xfId="5" applyFont="1" applyAlignment="1">
      <alignment horizontal="left"/>
    </xf>
    <xf numFmtId="0" fontId="10" fillId="0" borderId="0" xfId="5" applyFont="1" applyAlignment="1">
      <alignment horizontal="left" vertical="center"/>
    </xf>
    <xf numFmtId="0" fontId="10" fillId="0" borderId="0" xfId="5" applyFont="1"/>
    <xf numFmtId="0" fontId="10" fillId="0" borderId="0" xfId="5" applyFont="1" applyAlignment="1">
      <alignment horizontal="left" indent="1"/>
    </xf>
    <xf numFmtId="0" fontId="9" fillId="0" borderId="0" xfId="5" applyFont="1" applyAlignment="1">
      <alignment horizontal="left" vertical="center"/>
    </xf>
    <xf numFmtId="0" fontId="9" fillId="0" borderId="0" xfId="5" applyFont="1"/>
    <xf numFmtId="0" fontId="8" fillId="0" borderId="0" xfId="5" applyFont="1" applyAlignment="1">
      <alignment horizontal="left" vertical="center"/>
    </xf>
    <xf numFmtId="0" fontId="6" fillId="0" borderId="0" xfId="5" applyFont="1" applyAlignment="1">
      <alignment horizontal="left" indent="1"/>
    </xf>
    <xf numFmtId="0" fontId="8" fillId="0" borderId="0" xfId="5" applyFont="1"/>
    <xf numFmtId="0" fontId="18" fillId="0" borderId="0" xfId="5" applyFont="1"/>
    <xf numFmtId="0" fontId="11" fillId="0" borderId="0" xfId="5" applyFont="1"/>
    <xf numFmtId="0" fontId="21" fillId="0" borderId="0" xfId="5" applyFont="1"/>
    <xf numFmtId="10" fontId="7" fillId="0" borderId="3" xfId="5" applyNumberFormat="1" applyFont="1" applyBorder="1"/>
    <xf numFmtId="0" fontId="7" fillId="0" borderId="5" xfId="5" applyFont="1" applyBorder="1"/>
    <xf numFmtId="3" fontId="6" fillId="0" borderId="0" xfId="5" applyNumberFormat="1" applyFont="1"/>
    <xf numFmtId="0" fontId="10" fillId="0" borderId="0" xfId="5" applyFont="1" applyAlignment="1">
      <alignment horizontal="center"/>
    </xf>
    <xf numFmtId="0" fontId="7" fillId="0" borderId="7" xfId="5" applyFont="1" applyBorder="1"/>
    <xf numFmtId="0" fontId="7" fillId="0" borderId="8" xfId="5" quotePrefix="1" applyFont="1" applyBorder="1"/>
    <xf numFmtId="0" fontId="1" fillId="0" borderId="0" xfId="5"/>
    <xf numFmtId="10" fontId="1" fillId="0" borderId="0" xfId="4" applyNumberFormat="1" applyFont="1" applyFill="1"/>
    <xf numFmtId="0" fontId="34" fillId="0" borderId="0" xfId="5" applyFont="1"/>
    <xf numFmtId="0" fontId="27" fillId="0" borderId="0" xfId="5" applyFont="1"/>
    <xf numFmtId="0" fontId="36" fillId="0" borderId="0" xfId="5" applyFont="1"/>
    <xf numFmtId="0" fontId="36" fillId="2" borderId="0" xfId="5" applyFont="1" applyFill="1"/>
    <xf numFmtId="10" fontId="27" fillId="2" borderId="0" xfId="4" applyNumberFormat="1" applyFont="1" applyFill="1"/>
    <xf numFmtId="9" fontId="2" fillId="0" borderId="0" xfId="4" applyFont="1" applyFill="1" applyBorder="1" applyAlignment="1">
      <alignment horizontal="right" vertical="center"/>
    </xf>
    <xf numFmtId="10" fontId="2" fillId="0" borderId="0" xfId="4" applyNumberFormat="1" applyFont="1" applyFill="1" applyBorder="1"/>
    <xf numFmtId="43" fontId="2" fillId="0" borderId="0" xfId="1" applyFont="1" applyFill="1" applyBorder="1" applyAlignment="1">
      <alignment horizontal="center"/>
    </xf>
    <xf numFmtId="10" fontId="12" fillId="0" borderId="0" xfId="4" applyNumberFormat="1" applyFont="1" applyFill="1" applyAlignment="1">
      <alignment horizontal="center" vertical="center"/>
    </xf>
    <xf numFmtId="0" fontId="6" fillId="6" borderId="0" xfId="5" applyFont="1" applyFill="1"/>
    <xf numFmtId="167" fontId="12" fillId="0" borderId="11" xfId="2" applyNumberFormat="1" applyFont="1" applyFill="1" applyBorder="1" applyAlignment="1">
      <alignment horizontal="center" vertical="center"/>
    </xf>
    <xf numFmtId="43" fontId="7" fillId="0" borderId="0" xfId="1" applyFont="1" applyFill="1"/>
    <xf numFmtId="0" fontId="32" fillId="0" borderId="0" xfId="5" applyFont="1" applyAlignment="1">
      <alignment horizontal="center" vertical="center"/>
    </xf>
    <xf numFmtId="10" fontId="32" fillId="0" borderId="0" xfId="5" applyNumberFormat="1" applyFont="1" applyAlignment="1">
      <alignment horizontal="center" vertical="center"/>
    </xf>
    <xf numFmtId="43" fontId="4" fillId="0" borderId="0" xfId="1" applyFont="1" applyFill="1" applyBorder="1"/>
    <xf numFmtId="0" fontId="4" fillId="0" borderId="0" xfId="5" applyFont="1" applyAlignment="1">
      <alignment horizontal="center" vertical="center"/>
    </xf>
    <xf numFmtId="0" fontId="8" fillId="2" borderId="0" xfId="5" applyFont="1" applyFill="1"/>
    <xf numFmtId="167" fontId="22" fillId="3" borderId="0" xfId="2" applyNumberFormat="1" applyFont="1" applyFill="1" applyBorder="1"/>
    <xf numFmtId="167" fontId="22" fillId="3" borderId="0" xfId="2" applyNumberFormat="1" applyFont="1" applyFill="1"/>
    <xf numFmtId="164" fontId="2" fillId="3" borderId="0" xfId="1" applyNumberFormat="1" applyFont="1" applyFill="1" applyBorder="1"/>
    <xf numFmtId="0" fontId="2" fillId="0" borderId="0" xfId="5" applyFont="1" applyAlignment="1">
      <alignment horizontal="left" indent="4"/>
    </xf>
    <xf numFmtId="3" fontId="2" fillId="3" borderId="0" xfId="5" applyNumberFormat="1" applyFont="1" applyFill="1" applyAlignment="1">
      <alignment horizontal="center"/>
    </xf>
    <xf numFmtId="3" fontId="3" fillId="3" borderId="0" xfId="5" applyNumberFormat="1" applyFont="1" applyFill="1" applyAlignment="1">
      <alignment horizontal="center"/>
    </xf>
    <xf numFmtId="0" fontId="3" fillId="2" borderId="0" xfId="5" quotePrefix="1" applyFont="1" applyFill="1"/>
    <xf numFmtId="0" fontId="3" fillId="2" borderId="0" xfId="5" applyFont="1" applyFill="1"/>
    <xf numFmtId="167" fontId="23" fillId="3" borderId="3" xfId="2" applyNumberFormat="1" applyFont="1" applyFill="1" applyBorder="1" applyAlignment="1">
      <alignment horizontal="center" vertical="center"/>
    </xf>
    <xf numFmtId="0" fontId="3" fillId="0" borderId="16" xfId="5" applyFont="1" applyBorder="1" applyAlignment="1">
      <alignment horizontal="left" vertical="center"/>
    </xf>
    <xf numFmtId="0" fontId="7" fillId="0" borderId="16" xfId="5" applyFont="1" applyBorder="1"/>
    <xf numFmtId="0" fontId="3" fillId="0" borderId="16" xfId="5" applyFont="1" applyBorder="1"/>
    <xf numFmtId="0" fontId="6" fillId="0" borderId="16" xfId="5" applyFont="1" applyBorder="1"/>
    <xf numFmtId="0" fontId="2" fillId="0" borderId="16" xfId="5" applyFont="1" applyBorder="1"/>
    <xf numFmtId="0" fontId="3" fillId="0" borderId="16" xfId="5" applyFont="1" applyBorder="1" applyAlignment="1">
      <alignment horizontal="center"/>
    </xf>
    <xf numFmtId="167" fontId="23" fillId="3" borderId="3" xfId="2" applyNumberFormat="1" applyFont="1" applyFill="1" applyBorder="1"/>
    <xf numFmtId="172" fontId="23" fillId="0" borderId="0" xfId="1" applyNumberFormat="1" applyFont="1" applyFill="1" applyBorder="1"/>
    <xf numFmtId="0" fontId="22" fillId="3" borderId="0" xfId="5" applyFont="1" applyFill="1"/>
    <xf numFmtId="0" fontId="23" fillId="0" borderId="0" xfId="5" applyFont="1" applyAlignment="1">
      <alignment horizontal="center"/>
    </xf>
    <xf numFmtId="0" fontId="22" fillId="2" borderId="0" xfId="5" applyFont="1" applyFill="1"/>
    <xf numFmtId="10" fontId="23" fillId="0" borderId="0" xfId="5" applyNumberFormat="1" applyFont="1" applyAlignment="1">
      <alignment horizontal="center" vertical="center"/>
    </xf>
    <xf numFmtId="10" fontId="23" fillId="3" borderId="3" xfId="5" applyNumberFormat="1" applyFont="1" applyFill="1" applyBorder="1" applyAlignment="1">
      <alignment horizontal="center" vertical="center"/>
    </xf>
    <xf numFmtId="10" fontId="23" fillId="2" borderId="0" xfId="5" applyNumberFormat="1" applyFont="1" applyFill="1" applyAlignment="1">
      <alignment horizontal="center" vertical="center"/>
    </xf>
    <xf numFmtId="0" fontId="31" fillId="0" borderId="0" xfId="5" applyFont="1"/>
    <xf numFmtId="0" fontId="39" fillId="0" borderId="0" xfId="5" applyFont="1"/>
    <xf numFmtId="0" fontId="40" fillId="0" borderId="0" xfId="5" applyFont="1"/>
    <xf numFmtId="43" fontId="23" fillId="2" borderId="0" xfId="1" applyFont="1" applyFill="1" applyBorder="1"/>
    <xf numFmtId="43" fontId="23" fillId="3" borderId="0" xfId="1" applyFont="1" applyFill="1" applyBorder="1"/>
    <xf numFmtId="0" fontId="7" fillId="6" borderId="0" xfId="5" applyFont="1" applyFill="1"/>
    <xf numFmtId="0" fontId="16" fillId="0" borderId="11" xfId="5" applyFont="1" applyBorder="1" applyAlignment="1">
      <alignment horizontal="right"/>
    </xf>
    <xf numFmtId="0" fontId="12" fillId="0" borderId="13" xfId="5" applyFont="1" applyBorder="1" applyAlignment="1">
      <alignment horizontal="left"/>
    </xf>
    <xf numFmtId="0" fontId="12" fillId="0" borderId="16" xfId="5" applyFont="1" applyBorder="1"/>
    <xf numFmtId="0" fontId="6" fillId="0" borderId="12" xfId="5" applyFont="1" applyBorder="1"/>
    <xf numFmtId="9" fontId="12" fillId="0" borderId="0" xfId="5" applyNumberFormat="1" applyFont="1" applyAlignment="1">
      <alignment horizontal="center" vertical="center"/>
    </xf>
    <xf numFmtId="9" fontId="9" fillId="0" borderId="16" xfId="4" applyFont="1" applyFill="1" applyBorder="1" applyAlignment="1">
      <alignment horizontal="center" vertical="center"/>
    </xf>
    <xf numFmtId="167" fontId="9" fillId="2" borderId="0" xfId="5" applyNumberFormat="1" applyFont="1" applyFill="1"/>
    <xf numFmtId="0" fontId="22" fillId="6" borderId="0" xfId="5" applyFont="1" applyFill="1" applyAlignment="1">
      <alignment horizontal="left" vertical="center"/>
    </xf>
    <xf numFmtId="0" fontId="18" fillId="2" borderId="0" xfId="5" applyFont="1" applyFill="1"/>
    <xf numFmtId="10" fontId="7" fillId="3" borderId="3" xfId="4" applyNumberFormat="1" applyFont="1" applyFill="1" applyBorder="1"/>
    <xf numFmtId="10" fontId="6" fillId="2" borderId="0" xfId="0" applyNumberFormat="1" applyFont="1" applyFill="1"/>
    <xf numFmtId="43" fontId="6" fillId="2" borderId="0" xfId="1" applyFont="1" applyFill="1"/>
    <xf numFmtId="10" fontId="7" fillId="2" borderId="0" xfId="4" applyNumberFormat="1" applyFont="1" applyFill="1" applyBorder="1"/>
    <xf numFmtId="0" fontId="12" fillId="0" borderId="0" xfId="5" applyFont="1" applyAlignment="1">
      <alignment horizontal="left" vertical="center"/>
    </xf>
    <xf numFmtId="0" fontId="12" fillId="0" borderId="0" xfId="5" applyFont="1" applyAlignment="1">
      <alignment horizontal="right"/>
    </xf>
    <xf numFmtId="9" fontId="12" fillId="0" borderId="0" xfId="4" applyFont="1" applyFill="1" applyBorder="1" applyAlignment="1">
      <alignment horizontal="center"/>
    </xf>
    <xf numFmtId="9" fontId="9" fillId="0" borderId="0" xfId="4" applyFont="1" applyFill="1" applyAlignment="1">
      <alignment horizontal="center"/>
    </xf>
    <xf numFmtId="164" fontId="12" fillId="0" borderId="0" xfId="1" applyNumberFormat="1" applyFont="1" applyFill="1" applyBorder="1"/>
    <xf numFmtId="0" fontId="34" fillId="0" borderId="0" xfId="5" applyFont="1" applyAlignment="1">
      <alignment horizontal="center"/>
    </xf>
    <xf numFmtId="0" fontId="35" fillId="5" borderId="2" xfId="5" applyFont="1" applyFill="1" applyBorder="1" applyAlignment="1">
      <alignment horizontal="left" vertical="center" wrapText="1"/>
    </xf>
    <xf numFmtId="0" fontId="35" fillId="5" borderId="2" xfId="5" applyFont="1" applyFill="1" applyBorder="1" applyAlignment="1">
      <alignment horizontal="center" vertical="center" wrapText="1"/>
    </xf>
    <xf numFmtId="0" fontId="35" fillId="5" borderId="2" xfId="5" applyFont="1" applyFill="1" applyBorder="1" applyAlignment="1">
      <alignment vertical="center" wrapText="1"/>
    </xf>
    <xf numFmtId="0" fontId="28" fillId="0" borderId="0" xfId="5" applyFont="1"/>
    <xf numFmtId="43" fontId="42" fillId="0" borderId="0" xfId="1" applyFont="1" applyFill="1" applyBorder="1"/>
    <xf numFmtId="10" fontId="27" fillId="0" borderId="0" xfId="4" applyNumberFormat="1" applyFont="1" applyFill="1" applyBorder="1"/>
    <xf numFmtId="3" fontId="28" fillId="0" borderId="18" xfId="5" applyNumberFormat="1" applyFont="1" applyBorder="1"/>
    <xf numFmtId="3" fontId="22" fillId="0" borderId="18" xfId="4" applyNumberFormat="1" applyFont="1" applyFill="1" applyBorder="1"/>
    <xf numFmtId="165" fontId="42" fillId="0" borderId="18" xfId="5" applyNumberFormat="1" applyFont="1" applyBorder="1"/>
    <xf numFmtId="165" fontId="22" fillId="0" borderId="18" xfId="5" applyNumberFormat="1" applyFont="1" applyBorder="1"/>
    <xf numFmtId="0" fontId="41" fillId="0" borderId="0" xfId="5" applyFont="1"/>
    <xf numFmtId="169" fontId="12" fillId="3" borderId="0" xfId="5" applyNumberFormat="1" applyFont="1" applyFill="1" applyAlignment="1">
      <alignment horizontal="center" vertical="center"/>
    </xf>
    <xf numFmtId="167" fontId="12" fillId="3" borderId="0" xfId="2" applyNumberFormat="1" applyFont="1" applyFill="1" applyBorder="1" applyAlignment="1">
      <alignment horizontal="center" vertical="center"/>
    </xf>
    <xf numFmtId="167" fontId="12" fillId="3" borderId="0" xfId="5" applyNumberFormat="1" applyFont="1" applyFill="1" applyAlignment="1">
      <alignment horizontal="center" vertical="center"/>
    </xf>
    <xf numFmtId="167" fontId="15" fillId="3" borderId="0" xfId="2" applyNumberFormat="1" applyFont="1" applyFill="1" applyBorder="1" applyAlignment="1">
      <alignment horizontal="center" vertical="center"/>
    </xf>
    <xf numFmtId="0" fontId="39" fillId="2" borderId="0" xfId="5" applyFont="1" applyFill="1"/>
    <xf numFmtId="169" fontId="38" fillId="2" borderId="0" xfId="0" applyNumberFormat="1" applyFont="1" applyFill="1" applyAlignment="1">
      <alignment horizontal="left" indent="1"/>
    </xf>
    <xf numFmtId="0" fontId="23" fillId="6" borderId="0" xfId="5" applyFont="1" applyFill="1" applyAlignment="1">
      <alignment horizontal="left"/>
    </xf>
    <xf numFmtId="0" fontId="42" fillId="0" borderId="0" xfId="5" applyFont="1"/>
    <xf numFmtId="10" fontId="34" fillId="2" borderId="0" xfId="4" applyNumberFormat="1" applyFont="1" applyFill="1" applyBorder="1" applyAlignment="1">
      <alignment horizontal="center"/>
    </xf>
    <xf numFmtId="9" fontId="12" fillId="0" borderId="0" xfId="4" applyFont="1" applyFill="1" applyBorder="1" applyAlignment="1">
      <alignment horizontal="center" vertical="center"/>
    </xf>
    <xf numFmtId="9" fontId="16" fillId="0" borderId="0" xfId="4" applyFont="1" applyFill="1" applyBorder="1" applyAlignment="1">
      <alignment horizontal="center" vertical="center"/>
    </xf>
    <xf numFmtId="0" fontId="22" fillId="0" borderId="0" xfId="5" applyFont="1" applyAlignment="1">
      <alignment wrapText="1"/>
    </xf>
    <xf numFmtId="0" fontId="33" fillId="0" borderId="0" xfId="5" applyFont="1"/>
    <xf numFmtId="3" fontId="9" fillId="2" borderId="0" xfId="4" applyNumberFormat="1" applyFont="1" applyFill="1" applyBorder="1" applyAlignment="1">
      <alignment horizontal="center"/>
    </xf>
    <xf numFmtId="0" fontId="6" fillId="2" borderId="0" xfId="5" applyFont="1" applyFill="1"/>
    <xf numFmtId="165" fontId="27" fillId="6" borderId="0" xfId="4" applyNumberFormat="1" applyFont="1" applyFill="1" applyBorder="1" applyAlignment="1">
      <alignment horizontal="center"/>
    </xf>
    <xf numFmtId="0" fontId="1" fillId="6" borderId="0" xfId="5" applyFill="1" applyAlignment="1">
      <alignment horizontal="center"/>
    </xf>
    <xf numFmtId="0" fontId="27" fillId="6" borderId="0" xfId="5" applyFont="1" applyFill="1" applyAlignment="1">
      <alignment horizontal="left" vertical="center"/>
    </xf>
    <xf numFmtId="0" fontId="27" fillId="6" borderId="0" xfId="5" applyFont="1" applyFill="1" applyAlignment="1">
      <alignment horizontal="center"/>
    </xf>
    <xf numFmtId="0" fontId="27" fillId="6" borderId="0" xfId="1" applyNumberFormat="1" applyFont="1" applyFill="1" applyBorder="1" applyAlignment="1">
      <alignment horizontal="left" vertical="center"/>
    </xf>
    <xf numFmtId="0" fontId="3" fillId="3" borderId="0" xfId="5" applyFont="1" applyFill="1"/>
    <xf numFmtId="3" fontId="22" fillId="3" borderId="0" xfId="5" applyNumberFormat="1" applyFont="1" applyFill="1"/>
    <xf numFmtId="0" fontId="13" fillId="0" borderId="16" xfId="5" applyFont="1" applyBorder="1"/>
    <xf numFmtId="0" fontId="47" fillId="0" borderId="14" xfId="5" applyFont="1" applyBorder="1"/>
    <xf numFmtId="43" fontId="23" fillId="6" borderId="0" xfId="1" applyFont="1" applyFill="1" applyBorder="1" applyAlignment="1">
      <alignment horizontal="left"/>
    </xf>
    <xf numFmtId="10" fontId="27" fillId="6" borderId="0" xfId="4" applyNumberFormat="1" applyFont="1" applyFill="1" applyBorder="1" applyAlignment="1">
      <alignment horizontal="center"/>
    </xf>
    <xf numFmtId="167" fontId="44" fillId="2" borderId="0" xfId="5" applyNumberFormat="1" applyFont="1" applyFill="1" applyAlignment="1">
      <alignment horizontal="center"/>
    </xf>
    <xf numFmtId="10" fontId="44" fillId="2" borderId="0" xfId="5" applyNumberFormat="1" applyFont="1" applyFill="1" applyAlignment="1">
      <alignment horizontal="center"/>
    </xf>
    <xf numFmtId="165" fontId="6" fillId="3" borderId="0" xfId="4" applyNumberFormat="1" applyFont="1" applyFill="1" applyBorder="1"/>
    <xf numFmtId="165" fontId="6" fillId="3" borderId="0" xfId="4" applyNumberFormat="1" applyFont="1" applyFill="1"/>
    <xf numFmtId="171" fontId="6" fillId="3" borderId="0" xfId="1" applyNumberFormat="1" applyFont="1" applyFill="1" applyBorder="1"/>
    <xf numFmtId="171" fontId="6" fillId="3" borderId="0" xfId="1" applyNumberFormat="1" applyFont="1" applyFill="1"/>
    <xf numFmtId="167" fontId="6" fillId="3" borderId="0" xfId="2" applyNumberFormat="1" applyFont="1" applyFill="1" applyBorder="1"/>
    <xf numFmtId="167" fontId="6" fillId="3" borderId="0" xfId="2" applyNumberFormat="1" applyFont="1" applyFill="1"/>
    <xf numFmtId="167" fontId="10" fillId="3" borderId="0" xfId="2" applyNumberFormat="1" applyFont="1" applyFill="1" applyBorder="1"/>
    <xf numFmtId="170" fontId="7" fillId="3" borderId="4" xfId="1" applyNumberFormat="1" applyFont="1" applyFill="1" applyBorder="1"/>
    <xf numFmtId="170" fontId="7" fillId="3" borderId="5" xfId="1" applyNumberFormat="1" applyFont="1" applyFill="1" applyBorder="1"/>
    <xf numFmtId="170" fontId="7" fillId="3" borderId="6" xfId="1" applyNumberFormat="1" applyFont="1" applyFill="1" applyBorder="1"/>
    <xf numFmtId="169" fontId="10" fillId="3" borderId="0" xfId="5" applyNumberFormat="1" applyFont="1" applyFill="1"/>
    <xf numFmtId="170" fontId="7" fillId="3" borderId="8" xfId="1" applyNumberFormat="1" applyFont="1" applyFill="1" applyBorder="1"/>
    <xf numFmtId="170" fontId="7" fillId="3" borderId="9" xfId="1" applyNumberFormat="1" applyFont="1" applyFill="1" applyBorder="1"/>
    <xf numFmtId="164" fontId="7" fillId="3" borderId="0" xfId="5" applyNumberFormat="1" applyFont="1" applyFill="1"/>
    <xf numFmtId="168" fontId="6" fillId="3" borderId="0" xfId="5" applyNumberFormat="1" applyFont="1" applyFill="1"/>
    <xf numFmtId="167" fontId="6" fillId="3" borderId="0" xfId="5" applyNumberFormat="1" applyFont="1" applyFill="1"/>
    <xf numFmtId="164" fontId="7" fillId="3" borderId="0" xfId="1" applyNumberFormat="1" applyFont="1" applyFill="1" applyBorder="1"/>
    <xf numFmtId="164" fontId="7" fillId="3" borderId="0" xfId="1" applyNumberFormat="1" applyFont="1" applyFill="1"/>
    <xf numFmtId="165" fontId="7" fillId="3" borderId="0" xfId="4" applyNumberFormat="1" applyFont="1" applyFill="1" applyBorder="1" applyAlignment="1">
      <alignment horizontal="center"/>
    </xf>
    <xf numFmtId="43" fontId="22" fillId="3" borderId="0" xfId="1" applyFont="1" applyFill="1" applyBorder="1" applyAlignment="1">
      <alignment horizontal="center"/>
    </xf>
    <xf numFmtId="0" fontId="49" fillId="3" borderId="0" xfId="5" applyFont="1" applyFill="1"/>
    <xf numFmtId="0" fontId="26" fillId="3" borderId="0" xfId="5" applyFont="1" applyFill="1"/>
    <xf numFmtId="3" fontId="49" fillId="3" borderId="0" xfId="5" applyNumberFormat="1" applyFont="1" applyFill="1"/>
    <xf numFmtId="3" fontId="51" fillId="3" borderId="0" xfId="6" applyNumberFormat="1" applyFont="1" applyFill="1"/>
    <xf numFmtId="0" fontId="50" fillId="3" borderId="0" xfId="6" applyFill="1"/>
    <xf numFmtId="0" fontId="23" fillId="3" borderId="0" xfId="5" applyFont="1" applyFill="1"/>
    <xf numFmtId="3" fontId="50" fillId="3" borderId="0" xfId="6" applyNumberFormat="1" applyFill="1"/>
    <xf numFmtId="3" fontId="49" fillId="2" borderId="0" xfId="5" applyNumberFormat="1" applyFont="1" applyFill="1"/>
    <xf numFmtId="3" fontId="51" fillId="2" borderId="0" xfId="6" applyNumberFormat="1" applyFont="1" applyFill="1"/>
    <xf numFmtId="0" fontId="26" fillId="2" borderId="0" xfId="5" applyFont="1" applyFill="1"/>
    <xf numFmtId="0" fontId="27" fillId="2" borderId="0" xfId="5" applyFont="1" applyFill="1"/>
    <xf numFmtId="9" fontId="22" fillId="0" borderId="0" xfId="5" applyNumberFormat="1" applyFont="1" applyAlignment="1">
      <alignment horizontal="center"/>
    </xf>
    <xf numFmtId="9" fontId="22" fillId="0" borderId="0" xfId="4" applyFont="1" applyFill="1" applyBorder="1" applyAlignment="1">
      <alignment horizontal="left" vertical="center"/>
    </xf>
    <xf numFmtId="9" fontId="22" fillId="0" borderId="0" xfId="4" applyFont="1" applyFill="1" applyBorder="1" applyAlignment="1">
      <alignment horizontal="right" vertical="center"/>
    </xf>
    <xf numFmtId="44" fontId="22" fillId="0" borderId="0" xfId="2" applyFont="1" applyFill="1" applyBorder="1" applyAlignment="1">
      <alignment horizontal="right" vertical="center"/>
    </xf>
    <xf numFmtId="9" fontId="22" fillId="0" borderId="0" xfId="5" applyNumberFormat="1" applyFont="1" applyAlignment="1">
      <alignment horizontal="left" vertical="center"/>
    </xf>
    <xf numFmtId="9" fontId="30" fillId="8" borderId="0" xfId="4" applyFont="1" applyFill="1" applyBorder="1" applyAlignment="1">
      <alignment horizontal="center" vertical="center"/>
    </xf>
    <xf numFmtId="0" fontId="53" fillId="0" borderId="0" xfId="5" applyFont="1"/>
    <xf numFmtId="0" fontId="27" fillId="3" borderId="0" xfId="5" applyFont="1" applyFill="1"/>
    <xf numFmtId="0" fontId="34" fillId="3" borderId="0" xfId="5" applyFont="1" applyFill="1"/>
    <xf numFmtId="3" fontId="34" fillId="3" borderId="0" xfId="5" applyNumberFormat="1" applyFont="1" applyFill="1"/>
    <xf numFmtId="0" fontId="7" fillId="2" borderId="0" xfId="5" applyFont="1" applyFill="1"/>
    <xf numFmtId="0" fontId="34" fillId="9" borderId="0" xfId="5" applyFont="1" applyFill="1"/>
    <xf numFmtId="0" fontId="36" fillId="9" borderId="0" xfId="5" applyFont="1" applyFill="1"/>
    <xf numFmtId="0" fontId="44" fillId="9" borderId="0" xfId="5" applyFont="1" applyFill="1"/>
    <xf numFmtId="0" fontId="27" fillId="9" borderId="0" xfId="5" applyFont="1" applyFill="1"/>
    <xf numFmtId="167" fontId="6" fillId="2" borderId="0" xfId="5" applyNumberFormat="1" applyFont="1" applyFill="1"/>
    <xf numFmtId="43" fontId="23" fillId="3" borderId="3" xfId="1" applyFont="1" applyFill="1" applyBorder="1"/>
    <xf numFmtId="0" fontId="54" fillId="0" borderId="0" xfId="0" applyFont="1"/>
    <xf numFmtId="0" fontId="55" fillId="0" borderId="0" xfId="0" applyFont="1"/>
    <xf numFmtId="0" fontId="56" fillId="0" borderId="0" xfId="0" applyFont="1"/>
    <xf numFmtId="0" fontId="57" fillId="0" borderId="0" xfId="0" applyFont="1"/>
    <xf numFmtId="0" fontId="58" fillId="8" borderId="0" xfId="5" applyFont="1" applyFill="1"/>
    <xf numFmtId="0" fontId="59" fillId="8" borderId="0" xfId="5" applyFont="1" applyFill="1" applyAlignment="1">
      <alignment horizontal="left" indent="1"/>
    </xf>
    <xf numFmtId="0" fontId="60" fillId="8" borderId="0" xfId="5" applyFont="1" applyFill="1"/>
    <xf numFmtId="0" fontId="61" fillId="8" borderId="0" xfId="5" applyFont="1" applyFill="1" applyAlignment="1">
      <alignment horizontal="center" vertical="center"/>
    </xf>
    <xf numFmtId="0" fontId="61" fillId="8" borderId="0" xfId="5" applyFont="1" applyFill="1" applyAlignment="1">
      <alignment horizontal="left" vertical="center"/>
    </xf>
    <xf numFmtId="14" fontId="62" fillId="0" borderId="0" xfId="5" applyNumberFormat="1" applyFont="1" applyAlignment="1">
      <alignment horizontal="center" vertical="center"/>
    </xf>
    <xf numFmtId="169" fontId="6" fillId="0" borderId="0" xfId="5" applyNumberFormat="1" applyFont="1"/>
    <xf numFmtId="167" fontId="10" fillId="3" borderId="0" xfId="5" applyNumberFormat="1" applyFont="1" applyFill="1"/>
    <xf numFmtId="166" fontId="63" fillId="3" borderId="0" xfId="2" applyNumberFormat="1" applyFont="1" applyFill="1"/>
    <xf numFmtId="166" fontId="63" fillId="3" borderId="0" xfId="2" applyNumberFormat="1" applyFont="1" applyFill="1" applyBorder="1"/>
    <xf numFmtId="167" fontId="64" fillId="3" borderId="0" xfId="5" applyNumberFormat="1" applyFont="1" applyFill="1"/>
    <xf numFmtId="167" fontId="7" fillId="3" borderId="0" xfId="5" applyNumberFormat="1" applyFont="1" applyFill="1"/>
    <xf numFmtId="169" fontId="7" fillId="3" borderId="0" xfId="5" applyNumberFormat="1" applyFont="1" applyFill="1"/>
    <xf numFmtId="167" fontId="7" fillId="3" borderId="0" xfId="2" applyNumberFormat="1" applyFont="1" applyFill="1"/>
    <xf numFmtId="169" fontId="10" fillId="0" borderId="0" xfId="0" applyNumberFormat="1" applyFont="1" applyAlignment="1">
      <alignment horizontal="center"/>
    </xf>
    <xf numFmtId="169" fontId="10" fillId="0" borderId="0" xfId="0" applyNumberFormat="1" applyFont="1"/>
    <xf numFmtId="169" fontId="6" fillId="3" borderId="0" xfId="5" applyNumberFormat="1" applyFont="1" applyFill="1"/>
    <xf numFmtId="44" fontId="6" fillId="3" borderId="0" xfId="2" applyFont="1" applyFill="1" applyBorder="1"/>
    <xf numFmtId="44" fontId="6" fillId="3" borderId="0" xfId="2" applyFont="1" applyFill="1"/>
    <xf numFmtId="166" fontId="6" fillId="3" borderId="0" xfId="2" applyNumberFormat="1" applyFont="1" applyFill="1"/>
    <xf numFmtId="3" fontId="65" fillId="2" borderId="0" xfId="6" applyNumberFormat="1" applyFont="1" applyFill="1"/>
    <xf numFmtId="8" fontId="13" fillId="0" borderId="0" xfId="5" applyNumberFormat="1" applyFont="1"/>
    <xf numFmtId="0" fontId="61" fillId="2" borderId="0" xfId="5" applyFont="1" applyFill="1" applyAlignment="1">
      <alignment horizontal="center" vertical="center"/>
    </xf>
    <xf numFmtId="0" fontId="58" fillId="2" borderId="0" xfId="5" applyFont="1" applyFill="1"/>
    <xf numFmtId="0" fontId="59" fillId="2" borderId="0" xfId="5" applyFont="1" applyFill="1" applyAlignment="1">
      <alignment horizontal="left" indent="1"/>
    </xf>
    <xf numFmtId="0" fontId="60" fillId="2" borderId="0" xfId="5" applyFont="1" applyFill="1"/>
    <xf numFmtId="0" fontId="31" fillId="2" borderId="0" xfId="5" applyFont="1" applyFill="1"/>
    <xf numFmtId="9" fontId="2" fillId="0" borderId="0" xfId="5" applyNumberFormat="1" applyFont="1"/>
    <xf numFmtId="0" fontId="9" fillId="0" borderId="0" xfId="5" applyFont="1" applyAlignment="1">
      <alignment horizontal="center"/>
    </xf>
    <xf numFmtId="9" fontId="44" fillId="9" borderId="0" xfId="4" applyFont="1" applyFill="1" applyBorder="1" applyAlignment="1">
      <alignment horizontal="center" vertical="center"/>
    </xf>
    <xf numFmtId="9" fontId="44" fillId="9" borderId="0" xfId="5" applyNumberFormat="1" applyFont="1" applyFill="1" applyAlignment="1">
      <alignment horizontal="center"/>
    </xf>
    <xf numFmtId="3" fontId="22" fillId="2" borderId="0" xfId="5" applyNumberFormat="1" applyFont="1" applyFill="1"/>
    <xf numFmtId="4" fontId="22" fillId="3" borderId="0" xfId="5" applyNumberFormat="1" applyFont="1" applyFill="1"/>
    <xf numFmtId="0" fontId="6" fillId="2" borderId="0" xfId="5" applyFont="1" applyFill="1" applyAlignment="1">
      <alignment horizontal="left" vertical="center"/>
    </xf>
    <xf numFmtId="0" fontId="2" fillId="0" borderId="1" xfId="5" applyFont="1" applyBorder="1" applyAlignment="1">
      <alignment horizontal="left" indent="2"/>
    </xf>
    <xf numFmtId="9" fontId="2" fillId="0" borderId="0" xfId="4" applyFont="1"/>
    <xf numFmtId="0" fontId="3" fillId="0" borderId="0" xfId="5" applyFont="1" applyAlignment="1">
      <alignment horizontal="left" indent="2"/>
    </xf>
    <xf numFmtId="9" fontId="23" fillId="0" borderId="0" xfId="5" applyNumberFormat="1" applyFont="1"/>
    <xf numFmtId="173" fontId="2" fillId="0" borderId="0" xfId="1" applyNumberFormat="1" applyFont="1" applyFill="1" applyBorder="1" applyAlignment="1">
      <alignment horizontal="center"/>
    </xf>
    <xf numFmtId="173" fontId="2" fillId="3" borderId="0" xfId="1" applyNumberFormat="1" applyFont="1" applyFill="1" applyBorder="1" applyAlignment="1">
      <alignment horizontal="center"/>
    </xf>
    <xf numFmtId="0" fontId="2" fillId="0" borderId="19" xfId="5" applyFont="1" applyBorder="1" applyAlignment="1">
      <alignment horizontal="left" indent="2"/>
    </xf>
    <xf numFmtId="173" fontId="2" fillId="3" borderId="0" xfId="5" applyNumberFormat="1" applyFont="1" applyFill="1" applyAlignment="1">
      <alignment horizontal="center"/>
    </xf>
    <xf numFmtId="173" fontId="3" fillId="3" borderId="0" xfId="5" applyNumberFormat="1" applyFont="1" applyFill="1" applyAlignment="1">
      <alignment horizontal="center"/>
    </xf>
    <xf numFmtId="173" fontId="3" fillId="3" borderId="0" xfId="1" applyNumberFormat="1" applyFont="1" applyFill="1" applyBorder="1" applyAlignment="1">
      <alignment horizontal="center"/>
    </xf>
    <xf numFmtId="173" fontId="2" fillId="3" borderId="0" xfId="2" applyNumberFormat="1" applyFont="1" applyFill="1" applyBorder="1" applyAlignment="1">
      <alignment horizontal="center"/>
    </xf>
    <xf numFmtId="173" fontId="3" fillId="3" borderId="0" xfId="2" applyNumberFormat="1" applyFont="1" applyFill="1" applyBorder="1" applyAlignment="1">
      <alignment horizontal="center"/>
    </xf>
    <xf numFmtId="0" fontId="22" fillId="2" borderId="0" xfId="5" applyFont="1" applyFill="1" applyAlignment="1">
      <alignment horizontal="left" vertical="center"/>
    </xf>
    <xf numFmtId="0" fontId="66" fillId="0" borderId="0" xfId="0" applyFont="1"/>
    <xf numFmtId="0" fontId="67" fillId="0" borderId="0" xfId="0" applyFont="1"/>
    <xf numFmtId="0" fontId="70" fillId="0" borderId="0" xfId="5" applyFont="1"/>
    <xf numFmtId="9" fontId="12" fillId="0" borderId="0" xfId="5" applyNumberFormat="1" applyFont="1" applyAlignment="1">
      <alignment horizontal="center"/>
    </xf>
    <xf numFmtId="0" fontId="12" fillId="0" borderId="0" xfId="5" applyFont="1" applyAlignment="1">
      <alignment horizontal="center"/>
    </xf>
    <xf numFmtId="9" fontId="12" fillId="0" borderId="0" xfId="4" applyFont="1" applyAlignment="1">
      <alignment horizontal="center"/>
    </xf>
    <xf numFmtId="173" fontId="12" fillId="2" borderId="0" xfId="5" applyNumberFormat="1" applyFont="1" applyFill="1" applyAlignment="1">
      <alignment horizontal="center"/>
    </xf>
    <xf numFmtId="0" fontId="38" fillId="3" borderId="0" xfId="0" applyFont="1" applyFill="1" applyAlignment="1">
      <alignment horizontal="left" indent="1"/>
    </xf>
    <xf numFmtId="169" fontId="38" fillId="3" borderId="0" xfId="0" applyNumberFormat="1" applyFont="1" applyFill="1" applyAlignment="1">
      <alignment horizontal="left" indent="1"/>
    </xf>
    <xf numFmtId="0" fontId="38" fillId="3" borderId="0" xfId="0" quotePrefix="1" applyFont="1" applyFill="1" applyAlignment="1">
      <alignment horizontal="left" indent="1"/>
    </xf>
    <xf numFmtId="3" fontId="27" fillId="6" borderId="0" xfId="2" applyNumberFormat="1" applyFont="1" applyFill="1" applyBorder="1" applyAlignment="1">
      <alignment horizontal="center"/>
    </xf>
    <xf numFmtId="3" fontId="27" fillId="6" borderId="0" xfId="1" applyNumberFormat="1" applyFont="1" applyFill="1" applyBorder="1" applyAlignment="1">
      <alignment horizontal="center"/>
    </xf>
    <xf numFmtId="4" fontId="27" fillId="6" borderId="0" xfId="2" applyNumberFormat="1" applyFont="1" applyFill="1" applyBorder="1" applyAlignment="1">
      <alignment horizontal="center"/>
    </xf>
    <xf numFmtId="173" fontId="2" fillId="0" borderId="0" xfId="2" applyNumberFormat="1" applyFont="1" applyFill="1" applyBorder="1"/>
    <xf numFmtId="10" fontId="23" fillId="2" borderId="0" xfId="4" applyNumberFormat="1" applyFont="1" applyFill="1" applyBorder="1" applyAlignment="1"/>
    <xf numFmtId="165" fontId="27" fillId="2" borderId="0" xfId="5" applyNumberFormat="1" applyFont="1" applyFill="1" applyAlignment="1">
      <alignment horizontal="center"/>
    </xf>
    <xf numFmtId="1" fontId="27" fillId="2" borderId="0" xfId="5" applyNumberFormat="1" applyFont="1" applyFill="1" applyAlignment="1">
      <alignment horizontal="center"/>
    </xf>
    <xf numFmtId="10" fontId="46" fillId="12" borderId="0" xfId="4" applyNumberFormat="1" applyFont="1" applyFill="1" applyBorder="1" applyAlignment="1">
      <alignment horizontal="center" vertical="center" wrapText="1"/>
    </xf>
    <xf numFmtId="0" fontId="46" fillId="12" borderId="0" xfId="5" applyFont="1" applyFill="1" applyAlignment="1">
      <alignment horizontal="center" vertical="center" wrapText="1"/>
    </xf>
    <xf numFmtId="0" fontId="23" fillId="12" borderId="0" xfId="5" applyFont="1" applyFill="1" applyAlignment="1">
      <alignment horizontal="center" vertical="center" wrapText="1"/>
    </xf>
    <xf numFmtId="43" fontId="23" fillId="12" borderId="0" xfId="1" applyFont="1" applyFill="1" applyBorder="1" applyAlignment="1">
      <alignment horizontal="center" vertical="center" wrapText="1"/>
    </xf>
    <xf numFmtId="3" fontId="34" fillId="12" borderId="0" xfId="2" applyNumberFormat="1" applyFont="1" applyFill="1" applyBorder="1" applyAlignment="1">
      <alignment horizontal="center" vertical="center" wrapText="1"/>
    </xf>
    <xf numFmtId="0" fontId="48" fillId="0" borderId="10" xfId="5" applyFont="1" applyBorder="1" applyAlignment="1">
      <alignment horizontal="center"/>
    </xf>
    <xf numFmtId="14" fontId="12" fillId="0" borderId="10" xfId="5" applyNumberFormat="1" applyFont="1" applyBorder="1" applyAlignment="1">
      <alignment horizontal="center"/>
    </xf>
    <xf numFmtId="0" fontId="47" fillId="0" borderId="17" xfId="5" applyFont="1" applyBorder="1" applyAlignment="1">
      <alignment vertical="center" wrapText="1"/>
    </xf>
    <xf numFmtId="0" fontId="48" fillId="0" borderId="17" xfId="5" applyFont="1" applyBorder="1" applyAlignment="1">
      <alignment vertical="center" wrapText="1"/>
    </xf>
    <xf numFmtId="0" fontId="48" fillId="0" borderId="17" xfId="5" applyFont="1" applyBorder="1" applyAlignment="1">
      <alignment horizontal="right" vertical="center" wrapText="1"/>
    </xf>
    <xf numFmtId="0" fontId="48" fillId="0" borderId="15" xfId="5" applyFont="1" applyBorder="1" applyAlignment="1">
      <alignment horizontal="center" vertical="center" wrapText="1"/>
    </xf>
    <xf numFmtId="0" fontId="48" fillId="0" borderId="0" xfId="5" applyFont="1" applyAlignment="1">
      <alignment vertical="center" wrapText="1"/>
    </xf>
    <xf numFmtId="0" fontId="48" fillId="0" borderId="0" xfId="5" applyFont="1" applyAlignment="1">
      <alignment horizontal="right" vertical="center" wrapText="1"/>
    </xf>
    <xf numFmtId="0" fontId="48" fillId="0" borderId="11" xfId="5" applyFont="1" applyBorder="1" applyAlignment="1">
      <alignment horizontal="center" vertical="center" wrapText="1"/>
    </xf>
    <xf numFmtId="0" fontId="9" fillId="10" borderId="0" xfId="5" applyFont="1" applyFill="1"/>
    <xf numFmtId="0" fontId="12" fillId="10" borderId="0" xfId="5" applyFont="1" applyFill="1"/>
    <xf numFmtId="2" fontId="69" fillId="10" borderId="0" xfId="5" applyNumberFormat="1" applyFont="1" applyFill="1" applyAlignment="1">
      <alignment horizontal="center"/>
    </xf>
    <xf numFmtId="9" fontId="9" fillId="11" borderId="0" xfId="5" applyNumberFormat="1" applyFont="1" applyFill="1" applyAlignment="1">
      <alignment horizontal="center"/>
    </xf>
    <xf numFmtId="173" fontId="9" fillId="10" borderId="0" xfId="5" applyNumberFormat="1" applyFont="1" applyFill="1" applyAlignment="1">
      <alignment horizontal="center"/>
    </xf>
    <xf numFmtId="165" fontId="9" fillId="10" borderId="0" xfId="4" applyNumberFormat="1" applyFont="1" applyFill="1" applyAlignment="1">
      <alignment horizontal="center"/>
    </xf>
    <xf numFmtId="4" fontId="9" fillId="13" borderId="0" xfId="5" applyNumberFormat="1" applyFont="1" applyFill="1" applyAlignment="1">
      <alignment horizontal="left"/>
    </xf>
    <xf numFmtId="175" fontId="12" fillId="13" borderId="0" xfId="1" applyNumberFormat="1" applyFont="1" applyFill="1" applyBorder="1" applyAlignment="1">
      <alignment horizontal="center"/>
    </xf>
    <xf numFmtId="9" fontId="12" fillId="13" borderId="0" xfId="4" applyFont="1" applyFill="1" applyBorder="1" applyAlignment="1">
      <alignment horizontal="center"/>
    </xf>
    <xf numFmtId="4" fontId="12" fillId="13" borderId="0" xfId="4" applyNumberFormat="1" applyFont="1" applyFill="1" applyBorder="1" applyAlignment="1">
      <alignment horizontal="left"/>
    </xf>
    <xf numFmtId="3" fontId="12" fillId="13" borderId="0" xfId="5" applyNumberFormat="1" applyFont="1" applyFill="1" applyAlignment="1">
      <alignment horizontal="center"/>
    </xf>
    <xf numFmtId="174" fontId="12" fillId="13" borderId="0" xfId="1" applyNumberFormat="1" applyFont="1" applyFill="1" applyBorder="1" applyAlignment="1">
      <alignment horizontal="center"/>
    </xf>
    <xf numFmtId="3" fontId="12" fillId="13" borderId="0" xfId="4" applyNumberFormat="1" applyFont="1" applyFill="1" applyBorder="1" applyAlignment="1">
      <alignment horizontal="center"/>
    </xf>
    <xf numFmtId="3" fontId="12" fillId="13" borderId="0" xfId="1" applyNumberFormat="1" applyFont="1" applyFill="1" applyBorder="1" applyAlignment="1">
      <alignment horizontal="center"/>
    </xf>
    <xf numFmtId="3" fontId="71" fillId="2" borderId="0" xfId="6" applyNumberFormat="1" applyFont="1" applyFill="1"/>
    <xf numFmtId="0" fontId="23" fillId="7" borderId="0" xfId="5" applyFont="1" applyFill="1" applyAlignment="1">
      <alignment vertical="center"/>
    </xf>
    <xf numFmtId="0" fontId="23" fillId="7" borderId="0" xfId="5" applyFont="1" applyFill="1"/>
    <xf numFmtId="0" fontId="23" fillId="7" borderId="1" xfId="5" applyFont="1" applyFill="1" applyBorder="1"/>
    <xf numFmtId="3" fontId="23" fillId="7" borderId="1" xfId="5" applyNumberFormat="1" applyFont="1" applyFill="1" applyBorder="1"/>
    <xf numFmtId="3" fontId="23" fillId="7" borderId="1" xfId="5" applyNumberFormat="1" applyFont="1" applyFill="1" applyBorder="1" applyAlignment="1">
      <alignment horizontal="center" vertical="center"/>
    </xf>
    <xf numFmtId="0" fontId="22" fillId="7" borderId="0" xfId="5" applyFont="1" applyFill="1" applyAlignment="1">
      <alignment horizontal="left"/>
    </xf>
    <xf numFmtId="169" fontId="22" fillId="7" borderId="0" xfId="5" applyNumberFormat="1" applyFont="1" applyFill="1"/>
    <xf numFmtId="0" fontId="22" fillId="7" borderId="0" xfId="5" applyFont="1" applyFill="1"/>
    <xf numFmtId="164" fontId="22" fillId="7" borderId="0" xfId="5" applyNumberFormat="1" applyFont="1" applyFill="1"/>
    <xf numFmtId="0" fontId="22" fillId="7" borderId="0" xfId="5" applyFont="1" applyFill="1" applyAlignment="1">
      <alignment horizontal="left" indent="1"/>
    </xf>
    <xf numFmtId="164" fontId="25" fillId="7" borderId="0" xfId="5" applyNumberFormat="1" applyFont="1" applyFill="1"/>
    <xf numFmtId="0" fontId="22" fillId="7" borderId="0" xfId="5" applyFont="1" applyFill="1" applyAlignment="1">
      <alignment horizontal="center" vertical="center"/>
    </xf>
    <xf numFmtId="0" fontId="23" fillId="7" borderId="5" xfId="5" applyFont="1" applyFill="1" applyBorder="1" applyAlignment="1">
      <alignment horizontal="left"/>
    </xf>
    <xf numFmtId="169" fontId="23" fillId="7" borderId="5" xfId="5" applyNumberFormat="1" applyFont="1" applyFill="1" applyBorder="1"/>
    <xf numFmtId="164" fontId="23" fillId="7" borderId="5" xfId="5" applyNumberFormat="1" applyFont="1" applyFill="1" applyBorder="1"/>
    <xf numFmtId="0" fontId="23" fillId="7" borderId="5" xfId="5" applyFont="1" applyFill="1" applyBorder="1"/>
    <xf numFmtId="9" fontId="23" fillId="7" borderId="5" xfId="4" applyFont="1" applyFill="1" applyBorder="1" applyAlignment="1">
      <alignment horizontal="center" vertical="center"/>
    </xf>
    <xf numFmtId="169" fontId="22" fillId="5" borderId="0" xfId="5" applyNumberFormat="1" applyFont="1" applyFill="1"/>
    <xf numFmtId="169" fontId="23" fillId="5" borderId="0" xfId="5" applyNumberFormat="1" applyFont="1" applyFill="1"/>
    <xf numFmtId="9" fontId="22" fillId="5" borderId="0" xfId="4" applyFont="1" applyFill="1" applyBorder="1" applyAlignment="1">
      <alignment horizontal="center" vertical="center"/>
    </xf>
    <xf numFmtId="167" fontId="72" fillId="8" borderId="16" xfId="5" applyNumberFormat="1" applyFont="1" applyFill="1" applyBorder="1"/>
    <xf numFmtId="169" fontId="72" fillId="8" borderId="0" xfId="5" applyNumberFormat="1" applyFont="1" applyFill="1"/>
    <xf numFmtId="173" fontId="2" fillId="3" borderId="0" xfId="2" applyNumberFormat="1" applyFont="1" applyFill="1" applyBorder="1"/>
    <xf numFmtId="0" fontId="6" fillId="0" borderId="0" xfId="5" applyFont="1" applyAlignment="1">
      <alignment horizontal="center"/>
    </xf>
    <xf numFmtId="0" fontId="7" fillId="6" borderId="0" xfId="5" applyFont="1" applyFill="1" applyAlignment="1">
      <alignment horizontal="center"/>
    </xf>
    <xf numFmtId="0" fontId="73" fillId="0" borderId="0" xfId="5" applyFont="1" applyAlignment="1">
      <alignment horizontal="left" vertical="center"/>
    </xf>
    <xf numFmtId="0" fontId="48" fillId="0" borderId="0" xfId="5" applyFont="1" applyAlignment="1">
      <alignment horizontal="center"/>
    </xf>
    <xf numFmtId="14" fontId="12" fillId="0" borderId="0" xfId="5" applyNumberFormat="1" applyFont="1" applyAlignment="1">
      <alignment horizontal="center"/>
    </xf>
    <xf numFmtId="0" fontId="58" fillId="8" borderId="0" xfId="5" applyFont="1" applyFill="1" applyAlignment="1">
      <alignment horizontal="center"/>
    </xf>
    <xf numFmtId="0" fontId="58" fillId="2" borderId="0" xfId="5" applyFont="1" applyFill="1" applyAlignment="1">
      <alignment horizontal="center"/>
    </xf>
    <xf numFmtId="0" fontId="29" fillId="0" borderId="0" xfId="5" applyFont="1" applyAlignment="1">
      <alignment horizontal="center"/>
    </xf>
    <xf numFmtId="0" fontId="6" fillId="0" borderId="16" xfId="5" applyFont="1" applyBorder="1" applyAlignment="1">
      <alignment horizontal="center"/>
    </xf>
    <xf numFmtId="0" fontId="2" fillId="0" borderId="0" xfId="5" applyFont="1" applyAlignment="1">
      <alignment horizontal="center"/>
    </xf>
    <xf numFmtId="0" fontId="22" fillId="0" borderId="0" xfId="5" applyFont="1" applyAlignment="1">
      <alignment horizontal="center"/>
    </xf>
    <xf numFmtId="0" fontId="7" fillId="0" borderId="16" xfId="5" applyFont="1" applyBorder="1" applyAlignment="1">
      <alignment horizontal="center"/>
    </xf>
    <xf numFmtId="0" fontId="7" fillId="0" borderId="0" xfId="5" applyFont="1" applyAlignment="1">
      <alignment horizontal="center"/>
    </xf>
    <xf numFmtId="0" fontId="23" fillId="0" borderId="0" xfId="5" applyFont="1" applyAlignment="1">
      <alignment horizontal="center" vertical="center"/>
    </xf>
    <xf numFmtId="0" fontId="23" fillId="7" borderId="0" xfId="5" applyFont="1" applyFill="1" applyAlignment="1">
      <alignment horizontal="center" vertical="center"/>
    </xf>
    <xf numFmtId="0" fontId="23" fillId="7" borderId="1" xfId="5" applyFont="1" applyFill="1" applyBorder="1" applyAlignment="1">
      <alignment horizontal="center"/>
    </xf>
    <xf numFmtId="0" fontId="22" fillId="7" borderId="0" xfId="5" applyFont="1" applyFill="1" applyAlignment="1">
      <alignment horizontal="center"/>
    </xf>
    <xf numFmtId="0" fontId="23" fillId="7" borderId="5" xfId="5" applyFont="1" applyFill="1" applyBorder="1" applyAlignment="1">
      <alignment horizontal="center"/>
    </xf>
    <xf numFmtId="0" fontId="47" fillId="0" borderId="17" xfId="5" applyFont="1" applyBorder="1" applyAlignment="1">
      <alignment horizontal="center"/>
    </xf>
    <xf numFmtId="0" fontId="12" fillId="0" borderId="16" xfId="5" applyFont="1" applyBorder="1" applyAlignment="1">
      <alignment horizontal="center"/>
    </xf>
    <xf numFmtId="0" fontId="7" fillId="0" borderId="1" xfId="5" applyFont="1" applyBorder="1" applyAlignment="1">
      <alignment horizontal="center"/>
    </xf>
    <xf numFmtId="0" fontId="7" fillId="0" borderId="8" xfId="5" applyFont="1" applyBorder="1" applyAlignment="1">
      <alignment horizontal="center"/>
    </xf>
    <xf numFmtId="10" fontId="23" fillId="4" borderId="0" xfId="4" applyNumberFormat="1" applyFont="1" applyFill="1" applyBorder="1" applyAlignment="1">
      <alignment horizontal="center"/>
    </xf>
    <xf numFmtId="0" fontId="7" fillId="2" borderId="0" xfId="5" applyFont="1" applyFill="1" applyAlignment="1">
      <alignment horizontal="center"/>
    </xf>
    <xf numFmtId="0" fontId="1" fillId="0" borderId="0" xfId="0" applyFont="1" applyAlignment="1">
      <alignment vertical="center" wrapText="1"/>
    </xf>
    <xf numFmtId="164" fontId="9" fillId="11" borderId="0" xfId="5" applyNumberFormat="1" applyFont="1" applyFill="1" applyAlignment="1">
      <alignment horizontal="center"/>
    </xf>
    <xf numFmtId="44" fontId="9" fillId="11" borderId="0" xfId="2" applyFont="1" applyFill="1" applyAlignment="1">
      <alignment horizontal="center"/>
    </xf>
    <xf numFmtId="44" fontId="12" fillId="2" borderId="0" xfId="2" applyFont="1" applyFill="1" applyAlignment="1">
      <alignment horizontal="center"/>
    </xf>
    <xf numFmtId="0" fontId="30" fillId="14" borderId="0" xfId="5" applyFont="1" applyFill="1"/>
    <xf numFmtId="0" fontId="6" fillId="14" borderId="0" xfId="5" applyFont="1" applyFill="1"/>
    <xf numFmtId="0" fontId="45" fillId="15" borderId="0" xfId="5" applyFont="1" applyFill="1" applyAlignment="1">
      <alignment horizontal="center"/>
    </xf>
    <xf numFmtId="0" fontId="6" fillId="15" borderId="0" xfId="5" applyFont="1" applyFill="1"/>
    <xf numFmtId="0" fontId="30" fillId="14" borderId="0" xfId="1" applyNumberFormat="1" applyFont="1" applyFill="1" applyBorder="1" applyAlignment="1">
      <alignment horizontal="right"/>
    </xf>
    <xf numFmtId="0" fontId="7" fillId="15" borderId="0" xfId="5" applyFont="1" applyFill="1" applyAlignment="1">
      <alignment horizontal="right"/>
    </xf>
    <xf numFmtId="165" fontId="22" fillId="0" borderId="0" xfId="5" applyNumberFormat="1" applyFont="1"/>
    <xf numFmtId="0" fontId="6" fillId="2" borderId="0" xfId="5" applyFont="1" applyFill="1" applyAlignment="1">
      <alignment wrapText="1"/>
    </xf>
    <xf numFmtId="0" fontId="46" fillId="2" borderId="0" xfId="5" applyFont="1" applyFill="1" applyAlignment="1">
      <alignment horizontal="center" vertical="center" wrapText="1"/>
    </xf>
    <xf numFmtId="0" fontId="6" fillId="0" borderId="0" xfId="5" applyFont="1" applyAlignment="1">
      <alignment wrapText="1"/>
    </xf>
    <xf numFmtId="10" fontId="23" fillId="4" borderId="0" xfId="4" applyNumberFormat="1" applyFont="1" applyFill="1" applyBorder="1" applyAlignment="1">
      <alignment horizontal="left"/>
    </xf>
    <xf numFmtId="173" fontId="2" fillId="15" borderId="0" xfId="2" applyNumberFormat="1" applyFont="1" applyFill="1" applyBorder="1"/>
    <xf numFmtId="174" fontId="2" fillId="15" borderId="0" xfId="2" applyNumberFormat="1" applyFont="1" applyFill="1" applyBorder="1"/>
    <xf numFmtId="9" fontId="2" fillId="15" borderId="0" xfId="4" applyFont="1" applyFill="1" applyBorder="1"/>
    <xf numFmtId="165" fontId="2" fillId="15" borderId="0" xfId="4" applyNumberFormat="1" applyFont="1" applyFill="1" applyBorder="1"/>
    <xf numFmtId="0" fontId="30" fillId="16" borderId="0" xfId="5" applyFont="1" applyFill="1" applyAlignment="1">
      <alignment horizontal="center" vertical="center" wrapText="1"/>
    </xf>
    <xf numFmtId="43" fontId="30" fillId="16" borderId="0" xfId="1" applyFont="1" applyFill="1" applyBorder="1" applyAlignment="1">
      <alignment horizontal="center" vertical="center" wrapText="1"/>
    </xf>
    <xf numFmtId="3" fontId="43" fillId="16" borderId="0" xfId="2" applyNumberFormat="1" applyFont="1" applyFill="1" applyBorder="1" applyAlignment="1">
      <alignment horizontal="center" vertical="center" wrapText="1"/>
    </xf>
    <xf numFmtId="10" fontId="74" fillId="16" borderId="0" xfId="4" applyNumberFormat="1" applyFont="1" applyFill="1" applyBorder="1" applyAlignment="1">
      <alignment horizontal="center" vertical="center" wrapText="1"/>
    </xf>
    <xf numFmtId="4" fontId="43" fillId="16" borderId="0" xfId="2" applyNumberFormat="1" applyFont="1" applyFill="1" applyBorder="1" applyAlignment="1">
      <alignment horizontal="center" vertical="center" wrapText="1"/>
    </xf>
    <xf numFmtId="165" fontId="74" fillId="16" borderId="0" xfId="5" applyNumberFormat="1" applyFont="1" applyFill="1" applyAlignment="1">
      <alignment horizontal="center" vertical="center" wrapText="1"/>
    </xf>
    <xf numFmtId="0" fontId="75" fillId="6" borderId="0" xfId="5" applyFont="1" applyFill="1"/>
    <xf numFmtId="4" fontId="27" fillId="6" borderId="0" xfId="1" applyNumberFormat="1" applyFont="1" applyFill="1" applyBorder="1" applyAlignment="1">
      <alignment horizontal="center"/>
    </xf>
    <xf numFmtId="0" fontId="6" fillId="3" borderId="0" xfId="5" applyFont="1" applyFill="1"/>
    <xf numFmtId="0" fontId="3" fillId="3" borderId="0" xfId="5" applyFont="1" applyFill="1" applyAlignment="1">
      <alignment horizontal="center"/>
    </xf>
    <xf numFmtId="0" fontId="76" fillId="0" borderId="0" xfId="0" applyFont="1" applyAlignment="1">
      <alignment horizontal="left" vertical="center" indent="1"/>
    </xf>
    <xf numFmtId="9" fontId="2" fillId="3" borderId="0" xfId="4" applyFont="1" applyFill="1" applyBorder="1" applyAlignment="1">
      <alignment horizontal="right" vertical="center"/>
    </xf>
    <xf numFmtId="165" fontId="2" fillId="3" borderId="0" xfId="4" applyNumberFormat="1" applyFont="1" applyFill="1" applyBorder="1"/>
    <xf numFmtId="0" fontId="34" fillId="0" borderId="0" xfId="5" applyFont="1" applyAlignment="1">
      <alignment vertical="center"/>
    </xf>
    <xf numFmtId="0" fontId="27" fillId="0" borderId="0" xfId="5" applyFont="1" applyAlignment="1">
      <alignment vertical="center"/>
    </xf>
    <xf numFmtId="9" fontId="2" fillId="3" borderId="0" xfId="4" applyFont="1" applyFill="1"/>
    <xf numFmtId="9" fontId="23" fillId="3" borderId="0" xfId="5" applyNumberFormat="1" applyFont="1" applyFill="1"/>
    <xf numFmtId="10" fontId="2" fillId="3" borderId="0" xfId="4" applyNumberFormat="1" applyFont="1" applyFill="1" applyBorder="1"/>
    <xf numFmtId="0" fontId="37" fillId="0" borderId="20" xfId="5" applyFont="1" applyBorder="1" applyAlignment="1">
      <alignment horizontal="left" vertical="center" wrapText="1"/>
    </xf>
    <xf numFmtId="0" fontId="37" fillId="0" borderId="20" xfId="5" applyFont="1" applyBorder="1" applyAlignment="1">
      <alignment horizontal="center" vertical="center" wrapText="1"/>
    </xf>
    <xf numFmtId="173" fontId="27" fillId="0" borderId="20" xfId="2" applyNumberFormat="1" applyFont="1" applyBorder="1" applyAlignment="1">
      <alignment horizontal="center" vertical="center" wrapText="1"/>
    </xf>
    <xf numFmtId="0" fontId="37" fillId="0" borderId="20" xfId="5" applyFont="1" applyBorder="1" applyAlignment="1">
      <alignment vertical="center" wrapText="1"/>
    </xf>
    <xf numFmtId="0" fontId="37" fillId="0" borderId="21" xfId="5" applyFont="1" applyBorder="1" applyAlignment="1">
      <alignment horizontal="left" vertical="center" wrapText="1"/>
    </xf>
    <xf numFmtId="9" fontId="37" fillId="0" borderId="21" xfId="5" applyNumberFormat="1" applyFont="1" applyBorder="1" applyAlignment="1">
      <alignment horizontal="center" vertical="center" wrapText="1"/>
    </xf>
    <xf numFmtId="9" fontId="27" fillId="0" borderId="21" xfId="5" applyNumberFormat="1" applyFont="1" applyBorder="1" applyAlignment="1">
      <alignment horizontal="center" vertical="center" wrapText="1"/>
    </xf>
    <xf numFmtId="0" fontId="37" fillId="0" borderId="21" xfId="5" applyFont="1" applyBorder="1" applyAlignment="1">
      <alignment vertical="center" wrapText="1"/>
    </xf>
    <xf numFmtId="0" fontId="37" fillId="0" borderId="21" xfId="5" applyFont="1" applyBorder="1" applyAlignment="1">
      <alignment horizontal="center" vertical="center" wrapText="1"/>
    </xf>
    <xf numFmtId="0" fontId="27" fillId="0" borderId="21" xfId="5" applyFont="1" applyBorder="1" applyAlignment="1">
      <alignment horizontal="center" vertical="center" wrapText="1"/>
    </xf>
    <xf numFmtId="173" fontId="27" fillId="0" borderId="21" xfId="2" applyNumberFormat="1" applyFont="1" applyBorder="1" applyAlignment="1">
      <alignment horizontal="center" vertical="center" wrapText="1"/>
    </xf>
    <xf numFmtId="3" fontId="37" fillId="0" borderId="21" xfId="5" applyNumberFormat="1" applyFont="1" applyBorder="1" applyAlignment="1">
      <alignment horizontal="center" vertical="center" wrapText="1"/>
    </xf>
    <xf numFmtId="3" fontId="27" fillId="0" borderId="21" xfId="5" applyNumberFormat="1" applyFont="1" applyBorder="1" applyAlignment="1">
      <alignment horizontal="center" vertical="center" wrapText="1"/>
    </xf>
    <xf numFmtId="3" fontId="37" fillId="0" borderId="21" xfId="5" applyNumberFormat="1" applyFont="1" applyBorder="1" applyAlignment="1">
      <alignment vertical="center" wrapText="1"/>
    </xf>
    <xf numFmtId="9" fontId="37" fillId="0" borderId="21" xfId="5" applyNumberFormat="1" applyFont="1" applyBorder="1" applyAlignment="1">
      <alignment vertical="center" wrapText="1"/>
    </xf>
    <xf numFmtId="8" fontId="37" fillId="0" borderId="21" xfId="5" applyNumberFormat="1" applyFont="1" applyBorder="1" applyAlignment="1">
      <alignment horizontal="center" vertical="center" wrapText="1"/>
    </xf>
    <xf numFmtId="8" fontId="27" fillId="0" borderId="21" xfId="5" applyNumberFormat="1" applyFont="1" applyBorder="1" applyAlignment="1">
      <alignment horizontal="center" vertical="center" wrapText="1"/>
    </xf>
    <xf numFmtId="0" fontId="36" fillId="0" borderId="21" xfId="5" applyFont="1" applyBorder="1" applyAlignment="1">
      <alignment vertical="center"/>
    </xf>
    <xf numFmtId="0" fontId="77" fillId="0" borderId="21" xfId="5" applyFont="1" applyBorder="1" applyAlignment="1">
      <alignment horizontal="left" vertical="center" indent="1"/>
    </xf>
    <xf numFmtId="6" fontId="37" fillId="0" borderId="21" xfId="5" applyNumberFormat="1" applyFont="1" applyBorder="1" applyAlignment="1">
      <alignment horizontal="center" vertical="center" wrapText="1"/>
    </xf>
    <xf numFmtId="10" fontId="37" fillId="0" borderId="21" xfId="5" applyNumberFormat="1" applyFont="1" applyBorder="1" applyAlignment="1">
      <alignment horizontal="center" vertical="center" wrapText="1"/>
    </xf>
    <xf numFmtId="10" fontId="27" fillId="0" borderId="21" xfId="5" applyNumberFormat="1" applyFont="1" applyBorder="1" applyAlignment="1">
      <alignment horizontal="center" vertical="center" wrapText="1"/>
    </xf>
    <xf numFmtId="10" fontId="37" fillId="0" borderId="21" xfId="5" applyNumberFormat="1" applyFont="1" applyBorder="1" applyAlignment="1">
      <alignment vertical="center" wrapText="1"/>
    </xf>
    <xf numFmtId="165" fontId="27" fillId="0" borderId="21" xfId="5" applyNumberFormat="1" applyFont="1" applyBorder="1" applyAlignment="1">
      <alignment horizontal="center" vertical="center" wrapText="1"/>
    </xf>
    <xf numFmtId="0" fontId="37" fillId="0" borderId="22" xfId="5" applyFont="1" applyBorder="1" applyAlignment="1">
      <alignment horizontal="left" vertical="center" wrapText="1"/>
    </xf>
    <xf numFmtId="9" fontId="37" fillId="0" borderId="22" xfId="5" applyNumberFormat="1" applyFont="1" applyBorder="1" applyAlignment="1">
      <alignment horizontal="center" vertical="center" wrapText="1"/>
    </xf>
    <xf numFmtId="174" fontId="27" fillId="0" borderId="22" xfId="1" applyNumberFormat="1" applyFont="1" applyBorder="1" applyAlignment="1">
      <alignment horizontal="center" vertical="center" wrapText="1"/>
    </xf>
    <xf numFmtId="0" fontId="37" fillId="0" borderId="22" xfId="5" applyFont="1" applyBorder="1" applyAlignment="1">
      <alignment vertical="center" wrapText="1"/>
    </xf>
    <xf numFmtId="10" fontId="7" fillId="3" borderId="3" xfId="5" applyNumberFormat="1" applyFont="1" applyFill="1" applyBorder="1"/>
    <xf numFmtId="0" fontId="78" fillId="0" borderId="21" xfId="5" applyFont="1" applyBorder="1" applyAlignment="1">
      <alignment horizontal="left" vertical="center"/>
    </xf>
    <xf numFmtId="0" fontId="79" fillId="0" borderId="21" xfId="5" applyFont="1" applyBorder="1" applyAlignment="1">
      <alignment horizontal="left" vertical="center" wrapText="1"/>
    </xf>
    <xf numFmtId="0" fontId="37" fillId="0" borderId="21" xfId="5" applyFont="1" applyBorder="1" applyAlignment="1">
      <alignment horizontal="left" vertical="center" wrapText="1" indent="1"/>
    </xf>
    <xf numFmtId="0" fontId="3" fillId="10" borderId="0" xfId="5" applyFont="1" applyFill="1" applyAlignment="1">
      <alignment horizontal="center" vertical="center"/>
    </xf>
    <xf numFmtId="9" fontId="2" fillId="17" borderId="0" xfId="5" applyNumberFormat="1" applyFont="1" applyFill="1"/>
    <xf numFmtId="3" fontId="22" fillId="17" borderId="0" xfId="5" applyNumberFormat="1" applyFont="1" applyFill="1"/>
    <xf numFmtId="0" fontId="6" fillId="0" borderId="24" xfId="5" applyFont="1" applyBorder="1"/>
    <xf numFmtId="0" fontId="6" fillId="0" borderId="25" xfId="5" applyFont="1" applyBorder="1"/>
    <xf numFmtId="0" fontId="6" fillId="0" borderId="26" xfId="5" applyFont="1" applyBorder="1"/>
    <xf numFmtId="0" fontId="23" fillId="18" borderId="0" xfId="5" applyFont="1" applyFill="1"/>
    <xf numFmtId="0" fontId="23" fillId="10" borderId="0" xfId="5" applyFont="1" applyFill="1" applyAlignment="1">
      <alignment horizontal="center"/>
    </xf>
    <xf numFmtId="43" fontId="23" fillId="17" borderId="0" xfId="1" applyFont="1" applyFill="1" applyBorder="1"/>
    <xf numFmtId="0" fontId="22" fillId="17" borderId="0" xfId="5" applyFont="1" applyFill="1"/>
    <xf numFmtId="0" fontId="23" fillId="17" borderId="0" xfId="5" applyFont="1" applyFill="1"/>
    <xf numFmtId="3" fontId="6" fillId="3" borderId="0" xfId="5" applyNumberFormat="1" applyFont="1" applyFill="1"/>
    <xf numFmtId="3" fontId="10" fillId="3" borderId="0" xfId="5" applyNumberFormat="1" applyFont="1" applyFill="1"/>
    <xf numFmtId="3" fontId="10" fillId="17" borderId="0" xfId="5" applyNumberFormat="1" applyFont="1" applyFill="1"/>
    <xf numFmtId="3" fontId="6" fillId="3" borderId="0" xfId="2" applyNumberFormat="1" applyFont="1" applyFill="1"/>
    <xf numFmtId="3" fontId="63" fillId="3" borderId="0" xfId="2" applyNumberFormat="1" applyFont="1" applyFill="1"/>
    <xf numFmtId="3" fontId="64" fillId="3" borderId="0" xfId="5" applyNumberFormat="1" applyFont="1" applyFill="1"/>
    <xf numFmtId="3" fontId="7" fillId="3" borderId="0" xfId="5" applyNumberFormat="1" applyFont="1" applyFill="1"/>
    <xf numFmtId="3" fontId="7" fillId="3" borderId="0" xfId="2" applyNumberFormat="1" applyFont="1" applyFill="1"/>
    <xf numFmtId="3" fontId="10" fillId="0" borderId="0" xfId="5" applyNumberFormat="1" applyFont="1"/>
    <xf numFmtId="3" fontId="10" fillId="0" borderId="0" xfId="0" applyNumberFormat="1" applyFont="1" applyAlignment="1">
      <alignment horizontal="center"/>
    </xf>
    <xf numFmtId="3" fontId="10" fillId="0" borderId="0" xfId="0" applyNumberFormat="1" applyFont="1"/>
    <xf numFmtId="3" fontId="6" fillId="3" borderId="0" xfId="2" applyNumberFormat="1" applyFont="1" applyFill="1" applyBorder="1"/>
    <xf numFmtId="176" fontId="6" fillId="3" borderId="0" xfId="1" applyNumberFormat="1" applyFont="1" applyFill="1" applyBorder="1"/>
    <xf numFmtId="176" fontId="6" fillId="3" borderId="0" xfId="1" applyNumberFormat="1" applyFont="1" applyFill="1"/>
    <xf numFmtId="3" fontId="10" fillId="3" borderId="0" xfId="2" applyNumberFormat="1" applyFont="1" applyFill="1" applyBorder="1"/>
    <xf numFmtId="176" fontId="7" fillId="3" borderId="4" xfId="1" applyNumberFormat="1" applyFont="1" applyFill="1" applyBorder="1"/>
    <xf numFmtId="176" fontId="7" fillId="3" borderId="5" xfId="1" applyNumberFormat="1" applyFont="1" applyFill="1" applyBorder="1"/>
    <xf numFmtId="176" fontId="7" fillId="3" borderId="6" xfId="1" applyNumberFormat="1" applyFont="1" applyFill="1" applyBorder="1"/>
    <xf numFmtId="4" fontId="7" fillId="3" borderId="4" xfId="1" applyNumberFormat="1" applyFont="1" applyFill="1" applyBorder="1"/>
    <xf numFmtId="4" fontId="7" fillId="3" borderId="5" xfId="1" applyNumberFormat="1" applyFont="1" applyFill="1" applyBorder="1"/>
    <xf numFmtId="4" fontId="7" fillId="3" borderId="6" xfId="1" applyNumberFormat="1" applyFont="1" applyFill="1" applyBorder="1"/>
    <xf numFmtId="4" fontId="7" fillId="0" borderId="8" xfId="1" applyNumberFormat="1" applyFont="1" applyFill="1" applyBorder="1"/>
    <xf numFmtId="4" fontId="7" fillId="0" borderId="0" xfId="5" applyNumberFormat="1" applyFont="1"/>
    <xf numFmtId="4" fontId="7" fillId="3" borderId="8" xfId="1" applyNumberFormat="1" applyFont="1" applyFill="1" applyBorder="1"/>
    <xf numFmtId="4" fontId="7" fillId="3" borderId="9" xfId="1" applyNumberFormat="1" applyFont="1" applyFill="1" applyBorder="1"/>
    <xf numFmtId="0" fontId="3" fillId="10" borderId="16" xfId="5" applyFont="1" applyFill="1" applyBorder="1" applyAlignment="1">
      <alignment horizontal="center"/>
    </xf>
    <xf numFmtId="0" fontId="3" fillId="10" borderId="1" xfId="5" applyFont="1" applyFill="1" applyBorder="1" applyAlignment="1">
      <alignment horizontal="center"/>
    </xf>
    <xf numFmtId="177" fontId="23" fillId="17" borderId="0" xfId="1" applyNumberFormat="1" applyFont="1" applyFill="1" applyBorder="1" applyAlignment="1">
      <alignment horizontal="center"/>
    </xf>
    <xf numFmtId="0" fontId="3" fillId="10" borderId="1" xfId="5" applyFont="1" applyFill="1" applyBorder="1" applyAlignment="1">
      <alignment horizontal="center" vertical="center"/>
    </xf>
    <xf numFmtId="3" fontId="2" fillId="0" borderId="0" xfId="2" applyNumberFormat="1" applyFont="1" applyFill="1" applyBorder="1" applyAlignment="1">
      <alignment horizontal="center"/>
    </xf>
    <xf numFmtId="3" fontId="2" fillId="0" borderId="0" xfId="2" applyNumberFormat="1" applyFont="1" applyFill="1" applyBorder="1"/>
    <xf numFmtId="3" fontId="2" fillId="0" borderId="0" xfId="4" applyNumberFormat="1" applyFont="1" applyFill="1" applyBorder="1" applyAlignment="1">
      <alignment horizontal="right" vertical="center"/>
    </xf>
    <xf numFmtId="3" fontId="22" fillId="0" borderId="0" xfId="5" applyNumberFormat="1" applyFont="1"/>
    <xf numFmtId="0" fontId="82" fillId="0" borderId="16" xfId="5" applyFont="1" applyBorder="1" applyAlignment="1">
      <alignment horizontal="left" vertical="center"/>
    </xf>
    <xf numFmtId="0" fontId="7" fillId="3" borderId="0" xfId="5" applyFont="1" applyFill="1"/>
    <xf numFmtId="3" fontId="2" fillId="3" borderId="0" xfId="5" applyNumberFormat="1" applyFont="1" applyFill="1" applyAlignment="1">
      <alignment horizontal="right"/>
    </xf>
    <xf numFmtId="3" fontId="3" fillId="3" borderId="0" xfId="5" applyNumberFormat="1" applyFont="1" applyFill="1" applyAlignment="1">
      <alignment horizontal="right"/>
    </xf>
    <xf numFmtId="3" fontId="3" fillId="3" borderId="0" xfId="1" applyNumberFormat="1" applyFont="1" applyFill="1" applyBorder="1" applyAlignment="1">
      <alignment horizontal="right"/>
    </xf>
    <xf numFmtId="3" fontId="2" fillId="3" borderId="0" xfId="2" applyNumberFormat="1" applyFont="1" applyFill="1" applyBorder="1" applyAlignment="1">
      <alignment horizontal="right"/>
    </xf>
    <xf numFmtId="3" fontId="2" fillId="3" borderId="23" xfId="5" applyNumberFormat="1" applyFont="1" applyFill="1" applyBorder="1" applyAlignment="1">
      <alignment horizontal="right"/>
    </xf>
    <xf numFmtId="3" fontId="3" fillId="3" borderId="0" xfId="2" applyNumberFormat="1" applyFont="1" applyFill="1" applyBorder="1" applyAlignment="1">
      <alignment horizontal="right"/>
    </xf>
    <xf numFmtId="3" fontId="38" fillId="3" borderId="0" xfId="0" applyNumberFormat="1" applyFont="1" applyFill="1" applyAlignment="1">
      <alignment horizontal="right" indent="1"/>
    </xf>
    <xf numFmtId="3" fontId="38" fillId="3" borderId="23" xfId="0" applyNumberFormat="1" applyFont="1" applyFill="1" applyBorder="1" applyAlignment="1">
      <alignment horizontal="right" indent="1"/>
    </xf>
    <xf numFmtId="0" fontId="82" fillId="0" borderId="16" xfId="5" applyFont="1" applyBorder="1"/>
    <xf numFmtId="3" fontId="22" fillId="0" borderId="0" xfId="2" applyNumberFormat="1" applyFont="1" applyFill="1"/>
    <xf numFmtId="3" fontId="22" fillId="0" borderId="0" xfId="2" applyNumberFormat="1" applyFont="1" applyFill="1" applyAlignment="1">
      <alignment horizontal="right"/>
    </xf>
    <xf numFmtId="3" fontId="22" fillId="0" borderId="0" xfId="2" applyNumberFormat="1" applyFont="1" applyFill="1" applyBorder="1" applyAlignment="1">
      <alignment horizontal="right"/>
    </xf>
    <xf numFmtId="3" fontId="23" fillId="3" borderId="3" xfId="2" applyNumberFormat="1" applyFont="1" applyFill="1" applyBorder="1" applyAlignment="1">
      <alignment horizontal="right" vertical="center"/>
    </xf>
    <xf numFmtId="3" fontId="23" fillId="3" borderId="3" xfId="2" applyNumberFormat="1" applyFont="1" applyFill="1" applyBorder="1" applyAlignment="1">
      <alignment horizontal="right"/>
    </xf>
    <xf numFmtId="3" fontId="22" fillId="0" borderId="0" xfId="5" applyNumberFormat="1" applyFont="1" applyAlignment="1">
      <alignment horizontal="right"/>
    </xf>
    <xf numFmtId="3" fontId="23" fillId="0" borderId="0" xfId="5" applyNumberFormat="1" applyFont="1" applyAlignment="1">
      <alignment horizontal="right"/>
    </xf>
    <xf numFmtId="3" fontId="22" fillId="17" borderId="0" xfId="2" applyNumberFormat="1" applyFont="1" applyFill="1" applyAlignment="1">
      <alignment horizontal="right"/>
    </xf>
    <xf numFmtId="3" fontId="22" fillId="17" borderId="0" xfId="2" applyNumberFormat="1" applyFont="1" applyFill="1" applyBorder="1" applyAlignment="1">
      <alignment horizontal="right"/>
    </xf>
    <xf numFmtId="3" fontId="22" fillId="3" borderId="0" xfId="2" applyNumberFormat="1" applyFont="1" applyFill="1" applyAlignment="1">
      <alignment horizontal="right"/>
    </xf>
    <xf numFmtId="37" fontId="22" fillId="3" borderId="0" xfId="2" applyNumberFormat="1" applyFont="1" applyFill="1" applyAlignment="1">
      <alignment horizontal="right"/>
    </xf>
    <xf numFmtId="37" fontId="22" fillId="3" borderId="0" xfId="2" applyNumberFormat="1" applyFont="1" applyFill="1" applyBorder="1" applyAlignment="1">
      <alignment horizontal="right"/>
    </xf>
    <xf numFmtId="3" fontId="22" fillId="3" borderId="0" xfId="2" applyNumberFormat="1" applyFont="1" applyFill="1" applyBorder="1" applyAlignment="1">
      <alignment horizontal="right"/>
    </xf>
    <xf numFmtId="177" fontId="23" fillId="17" borderId="0" xfId="1" applyNumberFormat="1" applyFont="1" applyFill="1" applyBorder="1"/>
    <xf numFmtId="165" fontId="23" fillId="3" borderId="3" xfId="5" applyNumberFormat="1" applyFont="1" applyFill="1" applyBorder="1" applyAlignment="1">
      <alignment horizontal="center" vertical="center"/>
    </xf>
    <xf numFmtId="3" fontId="22" fillId="7" borderId="0" xfId="5" applyNumberFormat="1" applyFont="1" applyFill="1"/>
    <xf numFmtId="3" fontId="23" fillId="7" borderId="5" xfId="5" applyNumberFormat="1" applyFont="1" applyFill="1" applyBorder="1"/>
    <xf numFmtId="3" fontId="22" fillId="5" borderId="0" xfId="5" applyNumberFormat="1" applyFont="1" applyFill="1"/>
    <xf numFmtId="3" fontId="23" fillId="5" borderId="0" xfId="5" applyNumberFormat="1" applyFont="1" applyFill="1"/>
    <xf numFmtId="3" fontId="12" fillId="3" borderId="0" xfId="5" applyNumberFormat="1" applyFont="1" applyFill="1" applyAlignment="1">
      <alignment horizontal="right" vertical="center"/>
    </xf>
    <xf numFmtId="3" fontId="12" fillId="3" borderId="0" xfId="2" applyNumberFormat="1" applyFont="1" applyFill="1" applyBorder="1" applyAlignment="1">
      <alignment horizontal="right" vertical="center"/>
    </xf>
    <xf numFmtId="3" fontId="12" fillId="0" borderId="11" xfId="2" applyNumberFormat="1" applyFont="1" applyFill="1" applyBorder="1" applyAlignment="1">
      <alignment horizontal="right" vertical="center"/>
    </xf>
    <xf numFmtId="3" fontId="12" fillId="0" borderId="16" xfId="5" applyNumberFormat="1" applyFont="1" applyBorder="1" applyAlignment="1">
      <alignment horizontal="right"/>
    </xf>
    <xf numFmtId="3" fontId="72" fillId="8" borderId="16" xfId="5" applyNumberFormat="1" applyFont="1" applyFill="1" applyBorder="1" applyAlignment="1">
      <alignment horizontal="right"/>
    </xf>
    <xf numFmtId="3" fontId="6" fillId="0" borderId="12" xfId="5" applyNumberFormat="1" applyFont="1" applyBorder="1" applyAlignment="1">
      <alignment horizontal="right"/>
    </xf>
    <xf numFmtId="3" fontId="12" fillId="0" borderId="11" xfId="5" applyNumberFormat="1" applyFont="1" applyBorder="1" applyAlignment="1">
      <alignment horizontal="right"/>
    </xf>
    <xf numFmtId="3" fontId="7" fillId="0" borderId="0" xfId="5" applyNumberFormat="1" applyFont="1"/>
    <xf numFmtId="3" fontId="33" fillId="0" borderId="0" xfId="5" applyNumberFormat="1" applyFont="1"/>
    <xf numFmtId="3" fontId="3" fillId="10" borderId="1" xfId="5" applyNumberFormat="1" applyFont="1" applyFill="1" applyBorder="1" applyAlignment="1">
      <alignment horizontal="center"/>
    </xf>
    <xf numFmtId="3" fontId="63" fillId="17" borderId="0" xfId="2" applyNumberFormat="1" applyFont="1" applyFill="1" applyBorder="1"/>
    <xf numFmtId="10" fontId="6" fillId="3" borderId="0" xfId="0" applyNumberFormat="1" applyFont="1" applyFill="1"/>
    <xf numFmtId="10" fontId="7" fillId="3" borderId="3" xfId="4" applyNumberFormat="1" applyFont="1" applyFill="1" applyBorder="1" applyAlignment="1"/>
    <xf numFmtId="39" fontId="6" fillId="3" borderId="0" xfId="1" applyNumberFormat="1" applyFont="1" applyFill="1" applyAlignment="1"/>
    <xf numFmtId="0" fontId="7" fillId="10" borderId="1" xfId="5" applyFont="1" applyFill="1" applyBorder="1" applyAlignment="1">
      <alignment horizontal="center"/>
    </xf>
    <xf numFmtId="0" fontId="7" fillId="0" borderId="8" xfId="5" quotePrefix="1" applyFont="1" applyBorder="1" applyAlignment="1">
      <alignment horizontal="center"/>
    </xf>
    <xf numFmtId="0" fontId="83" fillId="0" borderId="1" xfId="5" applyFont="1" applyBorder="1"/>
    <xf numFmtId="3" fontId="7" fillId="3" borderId="0" xfId="1" applyNumberFormat="1" applyFont="1" applyFill="1" applyBorder="1"/>
    <xf numFmtId="3" fontId="7" fillId="3" borderId="0" xfId="1" applyNumberFormat="1" applyFont="1" applyFill="1"/>
    <xf numFmtId="165" fontId="7" fillId="3" borderId="0" xfId="4" applyNumberFormat="1" applyFont="1" applyFill="1" applyBorder="1" applyAlignment="1">
      <alignment horizontal="right"/>
    </xf>
    <xf numFmtId="4" fontId="6" fillId="3" borderId="0" xfId="5" applyNumberFormat="1" applyFont="1" applyFill="1"/>
    <xf numFmtId="174" fontId="12" fillId="13" borderId="0" xfId="1" applyNumberFormat="1" applyFont="1" applyFill="1" applyBorder="1" applyAlignment="1">
      <alignment horizontal="right"/>
    </xf>
    <xf numFmtId="4" fontId="9" fillId="18" borderId="0" xfId="5" applyNumberFormat="1" applyFont="1" applyFill="1" applyAlignment="1">
      <alignment horizontal="left"/>
    </xf>
    <xf numFmtId="175" fontId="12" fillId="18" borderId="0" xfId="1" applyNumberFormat="1" applyFont="1" applyFill="1" applyBorder="1" applyAlignment="1">
      <alignment horizontal="center"/>
    </xf>
    <xf numFmtId="9" fontId="12" fillId="18" borderId="0" xfId="4" applyFont="1" applyFill="1" applyBorder="1" applyAlignment="1">
      <alignment horizontal="center"/>
    </xf>
    <xf numFmtId="0" fontId="12" fillId="18" borderId="0" xfId="5" applyFont="1" applyFill="1"/>
    <xf numFmtId="4" fontId="12" fillId="18" borderId="0" xfId="4" applyNumberFormat="1" applyFont="1" applyFill="1" applyBorder="1" applyAlignment="1">
      <alignment horizontal="left"/>
    </xf>
    <xf numFmtId="3" fontId="12" fillId="18" borderId="0" xfId="5" applyNumberFormat="1" applyFont="1" applyFill="1" applyAlignment="1">
      <alignment horizontal="center"/>
    </xf>
    <xf numFmtId="174" fontId="12" fillId="18" borderId="0" xfId="1" applyNumberFormat="1" applyFont="1" applyFill="1" applyBorder="1" applyAlignment="1">
      <alignment horizontal="center"/>
    </xf>
    <xf numFmtId="3" fontId="12" fillId="18" borderId="0" xfId="4" applyNumberFormat="1" applyFont="1" applyFill="1" applyBorder="1" applyAlignment="1">
      <alignment horizontal="center"/>
    </xf>
    <xf numFmtId="3" fontId="12" fillId="18" borderId="0" xfId="1" applyNumberFormat="1" applyFont="1" applyFill="1" applyBorder="1" applyAlignment="1">
      <alignment horizontal="center"/>
    </xf>
    <xf numFmtId="3" fontId="2" fillId="17" borderId="0" xfId="5" applyNumberFormat="1" applyFont="1" applyFill="1" applyAlignment="1">
      <alignment horizontal="right"/>
    </xf>
    <xf numFmtId="3" fontId="2" fillId="3" borderId="0" xfId="1" applyNumberFormat="1" applyFont="1" applyFill="1" applyBorder="1" applyAlignment="1"/>
    <xf numFmtId="3" fontId="2" fillId="3" borderId="0" xfId="1" applyNumberFormat="1" applyFont="1" applyFill="1" applyBorder="1" applyAlignment="1">
      <alignment horizontal="right"/>
    </xf>
    <xf numFmtId="4" fontId="23" fillId="3" borderId="3" xfId="1" applyNumberFormat="1" applyFont="1" applyFill="1" applyBorder="1" applyAlignment="1">
      <alignment horizontal="right"/>
    </xf>
    <xf numFmtId="3" fontId="2" fillId="3" borderId="0" xfId="2" applyNumberFormat="1" applyFont="1" applyFill="1" applyBorder="1"/>
    <xf numFmtId="0" fontId="3" fillId="0" borderId="19" xfId="5" applyFont="1" applyBorder="1" applyAlignment="1">
      <alignment horizontal="left" indent="2"/>
    </xf>
    <xf numFmtId="3" fontId="3" fillId="3" borderId="0" xfId="1" applyNumberFormat="1" applyFont="1" applyFill="1" applyBorder="1"/>
    <xf numFmtId="178" fontId="24" fillId="17" borderId="0" xfId="1" applyNumberFormat="1" applyFont="1" applyFill="1" applyAlignment="1">
      <alignment horizontal="right"/>
    </xf>
    <xf numFmtId="3" fontId="72" fillId="8" borderId="0" xfId="5" applyNumberFormat="1" applyFont="1" applyFill="1"/>
    <xf numFmtId="10" fontId="12" fillId="0" borderId="0" xfId="4" applyNumberFormat="1" applyFont="1" applyFill="1" applyAlignment="1">
      <alignment horizontal="right" vertical="center"/>
    </xf>
    <xf numFmtId="0" fontId="84" fillId="10" borderId="10" xfId="5" applyFont="1" applyFill="1" applyBorder="1" applyAlignment="1">
      <alignment horizontal="center" vertical="center"/>
    </xf>
    <xf numFmtId="0" fontId="84" fillId="10" borderId="0" xfId="5" applyFont="1" applyFill="1" applyAlignment="1">
      <alignment horizontal="center" vertical="center"/>
    </xf>
    <xf numFmtId="0" fontId="84" fillId="10" borderId="0" xfId="5" applyFont="1" applyFill="1" applyAlignment="1">
      <alignment horizontal="center" vertical="center" wrapText="1"/>
    </xf>
    <xf numFmtId="0" fontId="84" fillId="10" borderId="11" xfId="5" applyFont="1" applyFill="1" applyBorder="1" applyAlignment="1">
      <alignment horizontal="center" vertical="center" wrapText="1"/>
    </xf>
    <xf numFmtId="0" fontId="12" fillId="10" borderId="0" xfId="5" applyFont="1" applyFill="1" applyAlignment="1">
      <alignment horizontal="center"/>
    </xf>
    <xf numFmtId="9" fontId="12" fillId="10" borderId="0" xfId="5" applyNumberFormat="1" applyFont="1" applyFill="1" applyAlignment="1">
      <alignment horizontal="center"/>
    </xf>
    <xf numFmtId="0" fontId="9" fillId="10" borderId="0" xfId="5" applyFont="1" applyFill="1" applyAlignment="1">
      <alignment horizontal="center"/>
    </xf>
    <xf numFmtId="173" fontId="12" fillId="10" borderId="0" xfId="5" applyNumberFormat="1" applyFont="1" applyFill="1" applyAlignment="1">
      <alignment horizontal="center"/>
    </xf>
    <xf numFmtId="44" fontId="12" fillId="10" borderId="0" xfId="2" applyFont="1" applyFill="1" applyAlignment="1">
      <alignment horizontal="center"/>
    </xf>
    <xf numFmtId="9" fontId="9" fillId="17" borderId="0" xfId="5" applyNumberFormat="1" applyFont="1" applyFill="1" applyAlignment="1">
      <alignment horizontal="center"/>
    </xf>
    <xf numFmtId="173" fontId="9" fillId="17" borderId="0" xfId="5" applyNumberFormat="1" applyFont="1" applyFill="1" applyAlignment="1">
      <alignment horizontal="center"/>
    </xf>
    <xf numFmtId="165" fontId="9" fillId="17" borderId="0" xfId="4" applyNumberFormat="1" applyFont="1" applyFill="1" applyAlignment="1">
      <alignment horizontal="center"/>
    </xf>
    <xf numFmtId="164" fontId="9" fillId="17" borderId="0" xfId="5" applyNumberFormat="1" applyFont="1" applyFill="1" applyAlignment="1">
      <alignment horizontal="center"/>
    </xf>
    <xf numFmtId="44" fontId="9" fillId="17" borderId="0" xfId="2" applyFont="1" applyFill="1" applyAlignment="1">
      <alignment horizontal="center"/>
    </xf>
    <xf numFmtId="0" fontId="7" fillId="2" borderId="1" xfId="5" applyFont="1" applyFill="1" applyBorder="1" applyAlignment="1">
      <alignment horizontal="center"/>
    </xf>
    <xf numFmtId="0" fontId="6" fillId="0" borderId="0" xfId="5" applyFont="1" applyAlignment="1">
      <alignment horizontal="center"/>
    </xf>
  </cellXfs>
  <cellStyles count="8">
    <cellStyle name="Comma" xfId="1" builtinId="3"/>
    <cellStyle name="Currency" xfId="2" builtinId="4"/>
    <cellStyle name="Euro" xfId="7" xr:uid="{A7325559-84E2-47F6-A815-50B25B75E084}"/>
    <cellStyle name="Hyperlink" xfId="6" builtinId="8"/>
    <cellStyle name="Normal" xfId="0" builtinId="0"/>
    <cellStyle name="Normal 2" xfId="3" xr:uid="{00000000-0005-0000-0000-000003000000}"/>
    <cellStyle name="Normal 3" xfId="5" xr:uid="{00000000-0005-0000-0000-000004000000}"/>
    <cellStyle name="Percent" xfId="4" builtinId="5"/>
  </cellStyles>
  <dxfs count="90">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006100"/>
      </font>
      <fill>
        <patternFill>
          <bgColor rgb="FFC6EFCE"/>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006100"/>
      </font>
      <fill>
        <patternFill>
          <bgColor rgb="FFC6EFCE"/>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FF0000"/>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
      <font>
        <color rgb="FF3333FF"/>
      </font>
      <fill>
        <patternFill>
          <fgColor indexed="64"/>
          <bgColor rgb="FFFFFFFF"/>
        </patternFill>
      </fill>
    </dxf>
    <dxf>
      <font>
        <color rgb="FFFF0000"/>
      </font>
      <fill>
        <patternFill>
          <fgColor indexed="64"/>
          <bgColor rgb="FFFFFFFF"/>
        </patternFill>
      </fill>
    </dxf>
    <dxf>
      <font>
        <color rgb="FF3333FF"/>
      </font>
      <fill>
        <patternFill>
          <fgColor indexed="64"/>
          <bgColor rgb="FFFFFFFF"/>
        </patternFill>
      </fill>
    </dxf>
  </dxfs>
  <tableStyles count="0" defaultTableStyle="TableStyleMedium2" defaultPivotStyle="PivotStyleLight16"/>
  <colors>
    <mruColors>
      <color rgb="FF009999"/>
      <color rgb="FFFF0066"/>
      <color rgb="FF99FF99"/>
      <color rgb="FF00FF00"/>
      <color rgb="FFFF9900"/>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US"/>
              <a:t>PROJECT NET CASH FLOWS</a:t>
            </a:r>
          </a:p>
        </c:rich>
      </c:tx>
      <c:overlay val="0"/>
      <c:spPr>
        <a:noFill/>
        <a:ln w="25400">
          <a:noFill/>
        </a:ln>
      </c:spPr>
    </c:title>
    <c:autoTitleDeleted val="0"/>
    <c:plotArea>
      <c:layout>
        <c:manualLayout>
          <c:layoutTarget val="inner"/>
          <c:xMode val="edge"/>
          <c:yMode val="edge"/>
          <c:x val="1.6639412729972585E-2"/>
          <c:y val="0.22450674983938032"/>
          <c:w val="0.9667211745400548"/>
          <c:h val="0.66653877463867717"/>
        </c:manualLayout>
      </c:layout>
      <c:barChart>
        <c:barDir val="col"/>
        <c:grouping val="clustered"/>
        <c:varyColors val="0"/>
        <c:ser>
          <c:idx val="0"/>
          <c:order val="0"/>
          <c:tx>
            <c:v>FCFF</c:v>
          </c:tx>
          <c:spPr>
            <a:solidFill>
              <a:srgbClr val="5B9BD5"/>
            </a:solidFill>
            <a:ln w="25400">
              <a:noFill/>
            </a:ln>
          </c:spPr>
          <c:invertIfNegative val="0"/>
          <c:dPt>
            <c:idx val="0"/>
            <c:invertIfNegative val="0"/>
            <c:bubble3D val="0"/>
            <c:spPr>
              <a:solidFill>
                <a:srgbClr val="FF0000"/>
              </a:solidFill>
              <a:ln w="25400">
                <a:noFill/>
              </a:ln>
              <a:effectLst>
                <a:softEdge rad="0"/>
              </a:effectLst>
            </c:spPr>
            <c:extLst>
              <c:ext xmlns:c16="http://schemas.microsoft.com/office/drawing/2014/chart" uri="{C3380CC4-5D6E-409C-BE32-E72D297353CC}">
                <c16:uniqueId val="{00000001-0770-44A4-A660-DB3F987F76A8}"/>
              </c:ext>
            </c:extLst>
          </c:dPt>
          <c:val>
            <c:numRef>
              <c:f>'B-CAPITAL BUDGETING CASE'!$E$94:$I$94</c:f>
              <c:numCache>
                <c:formatCode>#,##0</c:formatCode>
                <c:ptCount val="5"/>
                <c:pt idx="0">
                  <c:v>-6450000</c:v>
                </c:pt>
                <c:pt idx="1">
                  <c:v>1446130.1369863013</c:v>
                </c:pt>
                <c:pt idx="2">
                  <c:v>1331715.2397260275</c:v>
                </c:pt>
                <c:pt idx="3">
                  <c:v>1425557.0217465756</c:v>
                </c:pt>
                <c:pt idx="4">
                  <c:v>1526061.5702905827</c:v>
                </c:pt>
              </c:numCache>
            </c:numRef>
          </c:val>
          <c:extLst>
            <c:ext xmlns:c16="http://schemas.microsoft.com/office/drawing/2014/chart" uri="{C3380CC4-5D6E-409C-BE32-E72D297353CC}">
              <c16:uniqueId val="{00000002-0770-44A4-A660-DB3F987F76A8}"/>
            </c:ext>
          </c:extLst>
        </c:ser>
        <c:dLbls>
          <c:showLegendKey val="0"/>
          <c:showVal val="0"/>
          <c:showCatName val="0"/>
          <c:showSerName val="0"/>
          <c:showPercent val="0"/>
          <c:showBubbleSize val="0"/>
        </c:dLbls>
        <c:gapWidth val="63"/>
        <c:overlap val="-60"/>
        <c:axId val="484036664"/>
        <c:axId val="484037056"/>
      </c:barChart>
      <c:catAx>
        <c:axId val="484036664"/>
        <c:scaling>
          <c:orientation val="minMax"/>
        </c:scaling>
        <c:delete val="1"/>
        <c:axPos val="b"/>
        <c:majorTickMark val="out"/>
        <c:minorTickMark val="none"/>
        <c:tickLblPos val="nextTo"/>
        <c:crossAx val="484037056"/>
        <c:crosses val="autoZero"/>
        <c:auto val="1"/>
        <c:lblAlgn val="ctr"/>
        <c:lblOffset val="100"/>
        <c:noMultiLvlLbl val="0"/>
      </c:catAx>
      <c:valAx>
        <c:axId val="484037056"/>
        <c:scaling>
          <c:orientation val="minMax"/>
        </c:scaling>
        <c:delete val="1"/>
        <c:axPos val="l"/>
        <c:numFmt formatCode="#,##0" sourceLinked="1"/>
        <c:majorTickMark val="out"/>
        <c:minorTickMark val="none"/>
        <c:tickLblPos val="nextTo"/>
        <c:crossAx val="484036664"/>
        <c:crosses val="autoZero"/>
        <c:crossBetween val="between"/>
      </c:valAx>
      <c:spPr>
        <a:noFill/>
        <a:ln w="25400">
          <a:noFill/>
        </a:ln>
      </c:spPr>
    </c:plotArea>
    <c:plotVisOnly val="1"/>
    <c:dispBlanksAs val="gap"/>
    <c:showDLblsOverMax val="0"/>
  </c:chart>
  <c:spPr>
    <a:solidFill>
      <a:schemeClr val="bg1"/>
    </a:solidFill>
    <a:ln w="9525" cap="flat" cmpd="sng" algn="ctr">
      <a:solidFill>
        <a:srgbClr val="0070C0"/>
      </a:solidFill>
      <a:round/>
    </a:ln>
    <a:effectLst/>
  </c:spPr>
  <c:txPr>
    <a:bodyPr/>
    <a:lstStyle/>
    <a:p>
      <a:pPr>
        <a:defRPr sz="1000" b="0" i="0" u="none" strike="noStrike" baseline="0">
          <a:solidFill>
            <a:srgbClr val="000000"/>
          </a:solidFill>
          <a:latin typeface="Calibri"/>
          <a:ea typeface="Calibri"/>
          <a:cs typeface="Calibri"/>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US"/>
              <a:t>PROJECT NET CASH FLOWS</a:t>
            </a:r>
          </a:p>
        </c:rich>
      </c:tx>
      <c:overlay val="0"/>
      <c:spPr>
        <a:noFill/>
        <a:ln w="25400">
          <a:noFill/>
        </a:ln>
      </c:spPr>
    </c:title>
    <c:autoTitleDeleted val="0"/>
    <c:plotArea>
      <c:layout>
        <c:manualLayout>
          <c:layoutTarget val="inner"/>
          <c:xMode val="edge"/>
          <c:yMode val="edge"/>
          <c:x val="1.6639412729972585E-2"/>
          <c:y val="0.22450674983938032"/>
          <c:w val="0.9667211745400548"/>
          <c:h val="0.66653877463867717"/>
        </c:manualLayout>
      </c:layout>
      <c:barChart>
        <c:barDir val="col"/>
        <c:grouping val="clustered"/>
        <c:varyColors val="0"/>
        <c:ser>
          <c:idx val="0"/>
          <c:order val="0"/>
          <c:tx>
            <c:v>FCFF</c:v>
          </c:tx>
          <c:spPr>
            <a:solidFill>
              <a:srgbClr val="5B9BD5"/>
            </a:solidFill>
            <a:ln w="25400">
              <a:noFill/>
            </a:ln>
          </c:spPr>
          <c:invertIfNegative val="0"/>
          <c:dPt>
            <c:idx val="0"/>
            <c:invertIfNegative val="0"/>
            <c:bubble3D val="0"/>
            <c:spPr>
              <a:solidFill>
                <a:srgbClr val="FF0000"/>
              </a:solidFill>
              <a:ln w="25400">
                <a:noFill/>
              </a:ln>
              <a:effectLst>
                <a:softEdge rad="0"/>
              </a:effectLst>
            </c:spPr>
            <c:extLst>
              <c:ext xmlns:c16="http://schemas.microsoft.com/office/drawing/2014/chart" uri="{C3380CC4-5D6E-409C-BE32-E72D297353CC}">
                <c16:uniqueId val="{00000001-6283-424E-AED3-8D3CF4A1C722}"/>
              </c:ext>
            </c:extLst>
          </c:dPt>
          <c:val>
            <c:numRef>
              <c:f>'C-SCENARIOS'!$E$97:$I$97</c:f>
              <c:numCache>
                <c:formatCode>#\ ##0_ ;\-#\ ##0\ </c:formatCode>
                <c:ptCount val="5"/>
                <c:pt idx="0">
                  <c:v>-6450000</c:v>
                </c:pt>
                <c:pt idx="1">
                  <c:v>1446130.1369863013</c:v>
                </c:pt>
                <c:pt idx="2">
                  <c:v>1331715.2397260275</c:v>
                </c:pt>
                <c:pt idx="3">
                  <c:v>1425557.0217465754</c:v>
                </c:pt>
                <c:pt idx="4">
                  <c:v>1526061.5702905827</c:v>
                </c:pt>
              </c:numCache>
            </c:numRef>
          </c:val>
          <c:extLst>
            <c:ext xmlns:c16="http://schemas.microsoft.com/office/drawing/2014/chart" uri="{C3380CC4-5D6E-409C-BE32-E72D297353CC}">
              <c16:uniqueId val="{00000002-6283-424E-AED3-8D3CF4A1C722}"/>
            </c:ext>
          </c:extLst>
        </c:ser>
        <c:dLbls>
          <c:showLegendKey val="0"/>
          <c:showVal val="0"/>
          <c:showCatName val="0"/>
          <c:showSerName val="0"/>
          <c:showPercent val="0"/>
          <c:showBubbleSize val="0"/>
        </c:dLbls>
        <c:gapWidth val="63"/>
        <c:overlap val="-60"/>
        <c:axId val="484036664"/>
        <c:axId val="484037056"/>
      </c:barChart>
      <c:catAx>
        <c:axId val="484036664"/>
        <c:scaling>
          <c:orientation val="minMax"/>
        </c:scaling>
        <c:delete val="1"/>
        <c:axPos val="b"/>
        <c:majorTickMark val="out"/>
        <c:minorTickMark val="none"/>
        <c:tickLblPos val="nextTo"/>
        <c:crossAx val="484037056"/>
        <c:crosses val="autoZero"/>
        <c:auto val="1"/>
        <c:lblAlgn val="ctr"/>
        <c:lblOffset val="100"/>
        <c:noMultiLvlLbl val="0"/>
      </c:catAx>
      <c:valAx>
        <c:axId val="484037056"/>
        <c:scaling>
          <c:orientation val="minMax"/>
        </c:scaling>
        <c:delete val="1"/>
        <c:axPos val="l"/>
        <c:numFmt formatCode="#\ ##0_ ;\-#\ ##0\ " sourceLinked="1"/>
        <c:majorTickMark val="out"/>
        <c:minorTickMark val="none"/>
        <c:tickLblPos val="nextTo"/>
        <c:crossAx val="484036664"/>
        <c:crosses val="autoZero"/>
        <c:crossBetween val="between"/>
      </c:valAx>
      <c:spPr>
        <a:noFill/>
        <a:ln w="25400">
          <a:noFill/>
        </a:ln>
      </c:spPr>
    </c:plotArea>
    <c:plotVisOnly val="1"/>
    <c:dispBlanksAs val="gap"/>
    <c:showDLblsOverMax val="0"/>
  </c:chart>
  <c:spPr>
    <a:solidFill>
      <a:schemeClr val="bg1"/>
    </a:solidFill>
    <a:ln w="9525" cap="flat" cmpd="sng" algn="ctr">
      <a:solidFill>
        <a:srgbClr val="0070C0"/>
      </a:solidFill>
      <a:round/>
    </a:ln>
    <a:effectLst/>
  </c:spPr>
  <c:txPr>
    <a:bodyPr/>
    <a:lstStyle/>
    <a:p>
      <a:pPr>
        <a:defRPr sz="1000" b="0" i="0" u="none" strike="noStrike" baseline="0">
          <a:solidFill>
            <a:srgbClr val="000000"/>
          </a:solidFill>
          <a:latin typeface="Calibri"/>
          <a:ea typeface="Calibri"/>
          <a:cs typeface="Calibri"/>
        </a:defRPr>
      </a:pPr>
      <a:endParaRPr lang="fr-FR"/>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hyperlink" Target="https://www.investopedia.com/terms/f/freecashflowfirm.asp" TargetMode="External"/><Relationship Id="rId13" Type="http://schemas.openxmlformats.org/officeDocument/2006/relationships/hyperlink" Target="#'Appendix - definitions'!B4"/><Relationship Id="rId18" Type="http://schemas.openxmlformats.org/officeDocument/2006/relationships/hyperlink" Target="https://www.linkedin.com/learning/investment-evaluation/irr-calculation-the-long-way?autoplay=true&amp;resume=false&amp;u=2116233" TargetMode="External"/><Relationship Id="rId3" Type="http://schemas.openxmlformats.org/officeDocument/2006/relationships/hyperlink" Target="https://www.linkedin.com/learning/investment-evaluation/the-net-present-value-equation?autoplay=true&amp;resume=false&amp;u=2116233" TargetMode="External"/><Relationship Id="rId7" Type="http://schemas.openxmlformats.org/officeDocument/2006/relationships/image" Target="../media/image1.png"/><Relationship Id="rId12" Type="http://schemas.openxmlformats.org/officeDocument/2006/relationships/hyperlink" Target="#'Appendix - definitions'!B2"/><Relationship Id="rId17" Type="http://schemas.openxmlformats.org/officeDocument/2006/relationships/hyperlink" Target="https://www.linkedin.com/learning/investment-evaluation/irr-using-the-microsoft-excel-formula?autoplay=true&amp;resume=false&amp;u=2116233" TargetMode="External"/><Relationship Id="rId2" Type="http://schemas.openxmlformats.org/officeDocument/2006/relationships/hyperlink" Target="https://www.linkedin.com/learning/investment-evaluation/challenge-4-calculate-npv-using-microsoft-excel?autoplay=true&amp;resume=false&amp;u=2116233" TargetMode="External"/><Relationship Id="rId16" Type="http://schemas.openxmlformats.org/officeDocument/2006/relationships/hyperlink" Target="#'Appendix - definitions'!B12"/><Relationship Id="rId1" Type="http://schemas.openxmlformats.org/officeDocument/2006/relationships/chart" Target="../charts/chart1.xml"/><Relationship Id="rId6" Type="http://schemas.openxmlformats.org/officeDocument/2006/relationships/hyperlink" Target="https://courses.neoma-bs.fr/mod/quiz/view.php?id=580986" TargetMode="External"/><Relationship Id="rId11" Type="http://schemas.openxmlformats.org/officeDocument/2006/relationships/hyperlink" Target="https://www.linkedin.com/learning/excel-financial-functions-in-depth-17248670/sln-depreciation-using-the-straight-line-method?resume=false&amp;u=2116233" TargetMode="External"/><Relationship Id="rId5" Type="http://schemas.openxmlformats.org/officeDocument/2006/relationships/hyperlink" Target="https://www.linkedin.com/learning/investment-evaluation/payback-period?autoplay=true&amp;resume=false&amp;u=2116233" TargetMode="External"/><Relationship Id="rId15" Type="http://schemas.openxmlformats.org/officeDocument/2006/relationships/hyperlink" Target="#'Appendix - definitions'!B8"/><Relationship Id="rId10" Type="http://schemas.openxmlformats.org/officeDocument/2006/relationships/hyperlink" Target="https://courses.neoma-bs.fr/mod/quiz/view.php?id=580991" TargetMode="External"/><Relationship Id="rId19" Type="http://schemas.openxmlformats.org/officeDocument/2006/relationships/hyperlink" Target="https://courses.neoma-bs.fr/mod/quiz/view.php?id=580992" TargetMode="External"/><Relationship Id="rId4" Type="http://schemas.openxmlformats.org/officeDocument/2006/relationships/hyperlink" Target="https://www.linkedin.com/learning/investment-evaluation/payback-period-in-microsoft-excel?autoplay=true&amp;resume=false&amp;u=2116233" TargetMode="External"/><Relationship Id="rId9" Type="http://schemas.openxmlformats.org/officeDocument/2006/relationships/hyperlink" Target="https://courses.neoma-bs.fr/mod/quiz/view.php?id=580988" TargetMode="External"/><Relationship Id="rId14" Type="http://schemas.openxmlformats.org/officeDocument/2006/relationships/hyperlink" Target="#'Appendix - definitions'!B6"/></Relationships>
</file>

<file path=xl/drawings/_rels/drawing4.xml.rels><?xml version="1.0" encoding="UTF-8" standalone="yes"?>
<Relationships xmlns="http://schemas.openxmlformats.org/package/2006/relationships"><Relationship Id="rId8" Type="http://schemas.openxmlformats.org/officeDocument/2006/relationships/hyperlink" Target="https://www.investopedia.com/terms/f/freecashflowfirm.asp" TargetMode="External"/><Relationship Id="rId13" Type="http://schemas.openxmlformats.org/officeDocument/2006/relationships/hyperlink" Target="#'Appendix - definitions'!B4"/><Relationship Id="rId18" Type="http://schemas.openxmlformats.org/officeDocument/2006/relationships/hyperlink" Target="https://www.linkedin.com/learning/investment-evaluation/irr-calculation-the-long-way?autoSkip=true&amp;autoplay=true&amp;resume=false&amp;u=2116233" TargetMode="External"/><Relationship Id="rId3" Type="http://schemas.openxmlformats.org/officeDocument/2006/relationships/hyperlink" Target="https://www.linkedin.com/learning/investment-evaluation/the-net-present-value-equation?autoplay=true&amp;resume=false&amp;u=2116233" TargetMode="External"/><Relationship Id="rId7" Type="http://schemas.openxmlformats.org/officeDocument/2006/relationships/image" Target="../media/image1.png"/><Relationship Id="rId12" Type="http://schemas.openxmlformats.org/officeDocument/2006/relationships/hyperlink" Target="#Appendix!B2"/><Relationship Id="rId17" Type="http://schemas.openxmlformats.org/officeDocument/2006/relationships/hyperlink" Target="https://www.linkedin.com/learning/investment-evaluation/irr-using-the-microsoft-excel-formula?autoplay=true&amp;resume=false&amp;u=2116233" TargetMode="External"/><Relationship Id="rId2" Type="http://schemas.openxmlformats.org/officeDocument/2006/relationships/hyperlink" Target="https://www.linkedin.com/learning/investment-evaluation/challenge-4-calculate-npv-using-microsoft-excel?autoplay=true&amp;resume=false&amp;u=2116233" TargetMode="External"/><Relationship Id="rId16" Type="http://schemas.openxmlformats.org/officeDocument/2006/relationships/hyperlink" Target="#'Appendix - definitions'!B12"/><Relationship Id="rId20" Type="http://schemas.openxmlformats.org/officeDocument/2006/relationships/hyperlink" Target="https://www.linkedin.com/learning/investment-evaluation/irr-calculation-the-long-way?autoplay=true&amp;resume=false&amp;u=2116233" TargetMode="External"/><Relationship Id="rId1" Type="http://schemas.openxmlformats.org/officeDocument/2006/relationships/chart" Target="../charts/chart2.xml"/><Relationship Id="rId6" Type="http://schemas.openxmlformats.org/officeDocument/2006/relationships/hyperlink" Target="https://courses.neoma-bs.fr/mod/quiz/view.php?id=580986" TargetMode="External"/><Relationship Id="rId11" Type="http://schemas.openxmlformats.org/officeDocument/2006/relationships/hyperlink" Target="https://www.linkedin.com/learning/excel-financial-functions-in-depth-17248670/sln-depreciation-using-the-straight-line-method?resume=false&amp;u=2116233" TargetMode="External"/><Relationship Id="rId5" Type="http://schemas.openxmlformats.org/officeDocument/2006/relationships/hyperlink" Target="https://www.linkedin.com/learning/investment-evaluation/payback-period?autoplay=true&amp;resume=false&amp;u=2116233" TargetMode="External"/><Relationship Id="rId15" Type="http://schemas.openxmlformats.org/officeDocument/2006/relationships/hyperlink" Target="#'Appendix - definitions'!B8"/><Relationship Id="rId10" Type="http://schemas.openxmlformats.org/officeDocument/2006/relationships/hyperlink" Target="https://courses.neoma-bs.fr/mod/quiz/view.php?id=580991" TargetMode="External"/><Relationship Id="rId19" Type="http://schemas.openxmlformats.org/officeDocument/2006/relationships/hyperlink" Target="https://www.linkedin.com/learning/investment-evaluation/what-is-irr?resume=false&amp;u=2116233" TargetMode="External"/><Relationship Id="rId4" Type="http://schemas.openxmlformats.org/officeDocument/2006/relationships/hyperlink" Target="https://www.linkedin.com/learning/investment-evaluation/payback-period-in-microsoft-excel?autoplay=true&amp;resume=false&amp;u=2116233" TargetMode="External"/><Relationship Id="rId9" Type="http://schemas.openxmlformats.org/officeDocument/2006/relationships/hyperlink" Target="https://courses.neoma-bs.fr/mod/quiz/view.php?id=580989" TargetMode="External"/><Relationship Id="rId14" Type="http://schemas.openxmlformats.org/officeDocument/2006/relationships/hyperlink" Target="#'Appendix - definitions'!B6"/></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emf"/><Relationship Id="rId1" Type="http://schemas.openxmlformats.org/officeDocument/2006/relationships/image" Target="../media/image2.png"/><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0</xdr:col>
      <xdr:colOff>219075</xdr:colOff>
      <xdr:row>1</xdr:row>
      <xdr:rowOff>85725</xdr:rowOff>
    </xdr:from>
    <xdr:to>
      <xdr:col>17</xdr:col>
      <xdr:colOff>285750</xdr:colOff>
      <xdr:row>51</xdr:row>
      <xdr:rowOff>19050</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219075" y="247650"/>
          <a:ext cx="10429875" cy="8029575"/>
        </a:xfrm>
        <a:prstGeom prst="round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600" b="0" i="0" u="none" strike="noStrike" baseline="0">
              <a:solidFill>
                <a:schemeClr val="lt1"/>
              </a:solidFill>
              <a:latin typeface="+mn-lt"/>
              <a:ea typeface="+mn-ea"/>
              <a:cs typeface="+mn-cs"/>
            </a:rPr>
            <a:t> </a:t>
          </a:r>
          <a:r>
            <a:rPr lang="en-GB" sz="1600" b="1" i="0" u="none" strike="noStrike" baseline="0">
              <a:solidFill>
                <a:schemeClr val="lt1"/>
              </a:solidFill>
              <a:latin typeface="+mn-lt"/>
              <a:ea typeface="+mn-ea"/>
              <a:cs typeface="+mn-cs"/>
            </a:rPr>
            <a:t>The Qingdao Case </a:t>
          </a:r>
          <a:endParaRPr lang="en-GB" sz="1600" b="0" i="0" u="none" strike="noStrike" baseline="0">
            <a:solidFill>
              <a:schemeClr val="lt1"/>
            </a:solidFill>
            <a:latin typeface="+mn-lt"/>
            <a:ea typeface="+mn-ea"/>
            <a:cs typeface="+mn-cs"/>
          </a:endParaRPr>
        </a:p>
        <a:p>
          <a:r>
            <a:rPr lang="en-GB" sz="1200" b="0" i="0" u="none" strike="noStrike" baseline="0">
              <a:solidFill>
                <a:schemeClr val="lt1"/>
              </a:solidFill>
              <a:latin typeface="+mn-lt"/>
              <a:ea typeface="+mn-ea"/>
              <a:cs typeface="+mn-cs"/>
            </a:rPr>
            <a:t>It’s June 28th 2024, in the middle of a summer afternoon. Lee Yong Dae, CEO of Qingdao Corp, leans back in his executive chair and reflects on the meeting he has just had with his investment bankers about a possible acquisition target. This acquisition would change the life of his company, as well as his own. </a:t>
          </a:r>
        </a:p>
        <a:p>
          <a:r>
            <a:rPr lang="en-GB" sz="1200" b="0" i="0" u="none" strike="noStrike" baseline="0">
              <a:solidFill>
                <a:schemeClr val="lt1"/>
              </a:solidFill>
              <a:latin typeface="+mn-lt"/>
              <a:ea typeface="+mn-ea"/>
              <a:cs typeface="+mn-cs"/>
            </a:rPr>
            <a:t>Lee became CEO of the company 13 years ago when his father, Jay Jung, decided to hand over the company to his elder son. Jay chose Lee because (at the time) he felt that Lee was the most suitable family member to run the business. Now 53, Lee measures the responsibility he holds to keep the company on the right track. He needs to respect his father’s long-standing principles as well as ensure that the family business would remain in good financial health. </a:t>
          </a:r>
        </a:p>
        <a:p>
          <a:r>
            <a:rPr lang="en-GB" sz="1200" b="0" i="0" u="none" strike="noStrike" baseline="0">
              <a:solidFill>
                <a:schemeClr val="lt1"/>
              </a:solidFill>
              <a:latin typeface="+mn-lt"/>
              <a:ea typeface="+mn-ea"/>
              <a:cs typeface="+mn-cs"/>
            </a:rPr>
            <a:t>As one of 4 siblings (2 sisters and 2 brothers) Lee was given the mission of safeguarding the values of the ancestral family business. </a:t>
          </a:r>
        </a:p>
        <a:p>
          <a:r>
            <a:rPr lang="en-GB" sz="1200" b="0" i="0" u="none" strike="noStrike" baseline="0">
              <a:solidFill>
                <a:schemeClr val="lt1"/>
              </a:solidFill>
              <a:latin typeface="+mn-lt"/>
              <a:ea typeface="+mn-ea"/>
              <a:cs typeface="+mn-cs"/>
            </a:rPr>
            <a:t>In less than 10 years, Lee transformed this closely-held company which primarily sold beers in China and Singapore into a multinational brewery that sells beers all over the world, and is now listed on all its major markets. </a:t>
          </a:r>
        </a:p>
        <a:p>
          <a:r>
            <a:rPr lang="en-GB" sz="1200" b="0" i="0" u="none" strike="noStrike" baseline="0">
              <a:solidFill>
                <a:schemeClr val="lt1"/>
              </a:solidFill>
              <a:latin typeface="+mn-lt"/>
              <a:ea typeface="+mn-ea"/>
              <a:cs typeface="+mn-cs"/>
            </a:rPr>
            <a:t>But the company’s organic growth was reaching its limits. If the business were to take off, there was no other option than a business combination. </a:t>
          </a:r>
        </a:p>
        <a:p>
          <a:r>
            <a:rPr lang="en-GB" sz="1200" b="0" i="0" u="none" strike="noStrike" baseline="0">
              <a:solidFill>
                <a:schemeClr val="lt1"/>
              </a:solidFill>
              <a:latin typeface="+mn-lt"/>
              <a:ea typeface="+mn-ea"/>
              <a:cs typeface="+mn-cs"/>
            </a:rPr>
            <a:t>Goldman Sachs representatives pitched Lee an opportunity to expand in the US via a major acquisition. </a:t>
          </a:r>
        </a:p>
        <a:p>
          <a:r>
            <a:rPr lang="en-GB" sz="1200" b="0" i="0" u="none" strike="noStrike" baseline="0">
              <a:solidFill>
                <a:schemeClr val="lt1"/>
              </a:solidFill>
              <a:latin typeface="+mn-lt"/>
              <a:ea typeface="+mn-ea"/>
              <a:cs typeface="+mn-cs"/>
            </a:rPr>
            <a:t>As Lee ponders this acquisition opportunity, he also thinks about another possible project: the construction of a vast production-enhancing facility based in Guangdong province: a 30,000 sq foot brand-new factory that should be operational within 18 months. </a:t>
          </a:r>
        </a:p>
        <a:p>
          <a:r>
            <a:rPr lang="en-GB" sz="1200" b="0" i="0" u="none" strike="noStrike" baseline="0">
              <a:solidFill>
                <a:schemeClr val="lt1"/>
              </a:solidFill>
              <a:latin typeface="+mn-lt"/>
              <a:ea typeface="+mn-ea"/>
              <a:cs typeface="+mn-cs"/>
            </a:rPr>
            <a:t>But he hesitates … should he undertake both projects at the same time? Or should he pursue only one of them? </a:t>
          </a:r>
        </a:p>
        <a:p>
          <a:r>
            <a:rPr lang="en-GB" sz="1200" b="0" i="0" u="none" strike="noStrike" baseline="0">
              <a:solidFill>
                <a:schemeClr val="lt1"/>
              </a:solidFill>
              <a:latin typeface="+mn-lt"/>
              <a:ea typeface="+mn-ea"/>
              <a:cs typeface="+mn-cs"/>
            </a:rPr>
            <a:t>Too many ideas fill his head … It’s too much for one man to handle …. </a:t>
          </a:r>
        </a:p>
        <a:p>
          <a:r>
            <a:rPr lang="en-GB" sz="1200" b="0" i="0" u="none" strike="noStrike" baseline="0">
              <a:solidFill>
                <a:schemeClr val="lt1"/>
              </a:solidFill>
              <a:latin typeface="+mn-lt"/>
              <a:ea typeface="+mn-ea"/>
              <a:cs typeface="+mn-cs"/>
            </a:rPr>
            <a:t>He then thinks of contacting a good friend of his, Hendran Setiawan, a senior consultant at a major consultancy firm in Mumbai. Hendran has always been completely frank with him. Besides, Hendran is a very close friend and Lee has followed his advice from the beginning, with good results. </a:t>
          </a:r>
        </a:p>
        <a:p>
          <a:r>
            <a:rPr lang="en-GB" sz="1200" b="0" i="0" u="none" strike="noStrike" baseline="0">
              <a:solidFill>
                <a:schemeClr val="lt1"/>
              </a:solidFill>
              <a:latin typeface="+mn-lt"/>
              <a:ea typeface="+mn-ea"/>
              <a:cs typeface="+mn-cs"/>
            </a:rPr>
            <a:t>Lee decides to give Hendran a call to ask for his expert advice. Hendran jumps on a plane to meet Lee at his offices in Shanghai. 2 </a:t>
          </a:r>
        </a:p>
        <a:p>
          <a:endParaRPr lang="en-GB" sz="1200" b="0" i="0" u="none" strike="noStrike" baseline="0">
            <a:solidFill>
              <a:schemeClr val="lt1"/>
            </a:solidFill>
            <a:latin typeface="+mn-lt"/>
            <a:ea typeface="+mn-ea"/>
            <a:cs typeface="+mn-cs"/>
          </a:endParaRPr>
        </a:p>
        <a:p>
          <a:r>
            <a:rPr lang="en-GB" sz="1200" b="0" i="0" u="none" strike="noStrike" baseline="0">
              <a:solidFill>
                <a:schemeClr val="lt1"/>
              </a:solidFill>
              <a:latin typeface="+mn-lt"/>
              <a:ea typeface="+mn-ea"/>
              <a:cs typeface="+mn-cs"/>
            </a:rPr>
            <a:t>Lee gives Hendran 6 assignments as part of his global mandate. Lee gives him 10 days to complete the following tasks: </a:t>
          </a:r>
        </a:p>
        <a:p>
          <a:r>
            <a:rPr lang="en-GB" sz="1200" b="0" i="0" u="none" strike="noStrike" baseline="0">
              <a:solidFill>
                <a:schemeClr val="lt1"/>
              </a:solidFill>
              <a:latin typeface="+mn-lt"/>
              <a:ea typeface="+mn-ea"/>
              <a:cs typeface="+mn-cs"/>
            </a:rPr>
            <a:t>1. Determine the interest in developing the new factory project, from a financial viewpoint. “Show me if this project is sound and profitable,” Lee says. </a:t>
          </a:r>
        </a:p>
        <a:p>
          <a:r>
            <a:rPr lang="en-GB" sz="1200" b="0" i="0" u="none" strike="noStrike" baseline="0">
              <a:solidFill>
                <a:schemeClr val="lt1"/>
              </a:solidFill>
              <a:latin typeface="+mn-lt"/>
              <a:ea typeface="+mn-ea"/>
              <a:cs typeface="+mn-cs"/>
            </a:rPr>
            <a:t>2. Test the resilience of the project through several scenarios. </a:t>
          </a:r>
        </a:p>
        <a:p>
          <a:r>
            <a:rPr lang="en-GB" sz="1200" b="0" i="0" u="none" strike="noStrike" baseline="0">
              <a:solidFill>
                <a:schemeClr val="lt1"/>
              </a:solidFill>
              <a:latin typeface="+mn-lt"/>
              <a:ea typeface="+mn-ea"/>
              <a:cs typeface="+mn-cs"/>
            </a:rPr>
            <a:t>3. Proceed to Qingdao’s and TargetCo’s valuation, taking synergies into account. </a:t>
          </a:r>
        </a:p>
        <a:p>
          <a:r>
            <a:rPr lang="en-GB" sz="1200" b="0" i="0" u="none" strike="noStrike" baseline="0">
              <a:solidFill>
                <a:schemeClr val="lt1"/>
              </a:solidFill>
              <a:latin typeface="+mn-lt"/>
              <a:ea typeface="+mn-ea"/>
              <a:cs typeface="+mn-cs"/>
            </a:rPr>
            <a:t>4. Review TargetCo in light of a possible acquisition funded through debt and/or equity issuance and suggest which is the best option. In other words, what is the right/best mix of debt and equity to put into this deal? </a:t>
          </a:r>
        </a:p>
        <a:p>
          <a:r>
            <a:rPr lang="en-GB" sz="1200" b="0" i="0" u="none" strike="noStrike" baseline="0">
              <a:solidFill>
                <a:schemeClr val="lt1"/>
              </a:solidFill>
              <a:latin typeface="+mn-lt"/>
              <a:ea typeface="+mn-ea"/>
              <a:cs typeface="+mn-cs"/>
            </a:rPr>
            <a:t>5. Measure the impact of the acquisition on ROE, ROCE, EPS and solvency ratios, based on the funding option. Suggest the best course of action and justify your decision. </a:t>
          </a:r>
        </a:p>
        <a:p>
          <a:r>
            <a:rPr lang="en-GB" sz="1200" b="0" i="0" u="none" strike="noStrike" baseline="0">
              <a:solidFill>
                <a:schemeClr val="lt1"/>
              </a:solidFill>
              <a:latin typeface="+mn-lt"/>
              <a:ea typeface="+mn-ea"/>
              <a:cs typeface="+mn-cs"/>
            </a:rPr>
            <a:t>6. Recommend the proper course of action in light of the above </a:t>
          </a:r>
        </a:p>
        <a:p>
          <a:endParaRPr lang="en-GB" sz="1200" b="0" i="0" u="none" strike="noStrike" baseline="0">
            <a:solidFill>
              <a:schemeClr val="lt1"/>
            </a:solidFill>
            <a:latin typeface="+mn-lt"/>
            <a:ea typeface="+mn-ea"/>
            <a:cs typeface="+mn-cs"/>
          </a:endParaRPr>
        </a:p>
        <a:p>
          <a:r>
            <a:rPr lang="en-GB" sz="1200" b="0" i="0" u="none" strike="noStrike" baseline="0">
              <a:solidFill>
                <a:schemeClr val="lt1"/>
              </a:solidFill>
              <a:latin typeface="+mn-lt"/>
              <a:ea typeface="+mn-ea"/>
              <a:cs typeface="+mn-cs"/>
            </a:rPr>
            <a:t>To perform his tasks, Hendran obtains an Excel file that is already built to handle all the above functionalities. </a:t>
          </a:r>
        </a:p>
        <a:p>
          <a:r>
            <a:rPr lang="en-GB" sz="1200" b="0" i="0" u="none" strike="noStrike" baseline="0">
              <a:solidFill>
                <a:schemeClr val="lt1"/>
              </a:solidFill>
              <a:latin typeface="+mn-lt"/>
              <a:ea typeface="+mn-ea"/>
              <a:cs typeface="+mn-cs"/>
            </a:rPr>
            <a:t>Hendran agrees to report his findings in the form of an Excel file and a Powerpoint to summarize. </a:t>
          </a:r>
        </a:p>
        <a:p>
          <a:r>
            <a:rPr lang="en-GB" sz="1200" b="0" i="0" u="none" strike="noStrike" baseline="0">
              <a:solidFill>
                <a:schemeClr val="lt1"/>
              </a:solidFill>
              <a:latin typeface="+mn-lt"/>
              <a:ea typeface="+mn-ea"/>
              <a:cs typeface="+mn-cs"/>
            </a:rPr>
            <a:t>After a delicious afternoon tea, Lee and Hendran part company, wishing each other the best. </a:t>
          </a:r>
        </a:p>
        <a:p>
          <a:endParaRPr lang="en-GB" sz="1200" b="0" i="0" u="none" strike="noStrike" baseline="0">
            <a:solidFill>
              <a:schemeClr val="lt1"/>
            </a:solidFill>
            <a:latin typeface="+mn-lt"/>
            <a:ea typeface="+mn-ea"/>
            <a:cs typeface="+mn-cs"/>
          </a:endParaRPr>
        </a:p>
        <a:p>
          <a:r>
            <a:rPr lang="en-GB" sz="1200" b="0" i="0" u="none" strike="noStrike" baseline="0">
              <a:solidFill>
                <a:schemeClr val="lt1"/>
              </a:solidFill>
              <a:latin typeface="+mn-lt"/>
              <a:ea typeface="+mn-ea"/>
              <a:cs typeface="+mn-cs"/>
            </a:rPr>
            <a:t>*** </a:t>
          </a:r>
          <a:endParaRPr lang="en-GB"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142874</xdr:colOff>
      <xdr:row>0</xdr:row>
      <xdr:rowOff>134937</xdr:rowOff>
    </xdr:from>
    <xdr:to>
      <xdr:col>9</xdr:col>
      <xdr:colOff>238125</xdr:colOff>
      <xdr:row>8</xdr:row>
      <xdr:rowOff>31749</xdr:rowOff>
    </xdr:to>
    <xdr:sp macro="" textlink="">
      <xdr:nvSpPr>
        <xdr:cNvPr id="3" name="Rounded Rectangle 16">
          <a:extLst>
            <a:ext uri="{FF2B5EF4-FFF2-40B4-BE49-F238E27FC236}">
              <a16:creationId xmlns:a16="http://schemas.microsoft.com/office/drawing/2014/main" id="{00000000-0008-0000-0100-000003000000}"/>
            </a:ext>
          </a:extLst>
        </xdr:cNvPr>
        <xdr:cNvSpPr/>
      </xdr:nvSpPr>
      <xdr:spPr>
        <a:xfrm>
          <a:off x="142874" y="134937"/>
          <a:ext cx="12358689" cy="1230312"/>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a:t>
          </a:r>
        </a:p>
        <a:p>
          <a:pPr algn="l"/>
          <a:r>
            <a:rPr lang="en-US" sz="1400" b="1">
              <a:solidFill>
                <a:sysClr val="windowText" lastClr="000000"/>
              </a:solidFill>
            </a:rPr>
            <a:t>Proceed to B-CAPITAL BUDGETING CASE to begin the asynchronous activity</a:t>
          </a:r>
        </a:p>
        <a:p>
          <a:pPr algn="l"/>
          <a:r>
            <a:rPr lang="en-US" sz="1400" b="1">
              <a:solidFill>
                <a:sysClr val="windowText" lastClr="000000"/>
              </a:solidFill>
            </a:rPr>
            <a:t>Keep in mind that you will use the assumption</a:t>
          </a:r>
          <a:r>
            <a:rPr lang="en-US" sz="1400" b="1" baseline="0">
              <a:solidFill>
                <a:sysClr val="windowText" lastClr="000000"/>
              </a:solidFill>
            </a:rPr>
            <a:t>s below</a:t>
          </a:r>
        </a:p>
        <a:p>
          <a:pPr algn="l"/>
          <a:r>
            <a:rPr lang="en-US" sz="1400" b="1" baseline="0">
              <a:solidFill>
                <a:sysClr val="windowText" lastClr="000000"/>
              </a:solidFill>
            </a:rPr>
            <a:t>Do not forget to answer the quizzes - there are 4 of them, you can access them through the clock image </a:t>
          </a:r>
          <a:endParaRPr lang="en-US" sz="1400" b="1">
            <a:solidFill>
              <a:sysClr val="windowText" lastClr="000000"/>
            </a:solidFill>
          </a:endParaRPr>
        </a:p>
      </xdr:txBody>
    </xdr:sp>
    <xdr:clientData/>
  </xdr:twoCellAnchor>
  <xdr:twoCellAnchor editAs="oneCell">
    <xdr:from>
      <xdr:col>5</xdr:col>
      <xdr:colOff>55561</xdr:colOff>
      <xdr:row>1</xdr:row>
      <xdr:rowOff>73662</xdr:rowOff>
    </xdr:from>
    <xdr:to>
      <xdr:col>6</xdr:col>
      <xdr:colOff>745663</xdr:colOff>
      <xdr:row>7</xdr:row>
      <xdr:rowOff>106364</xdr:rowOff>
    </xdr:to>
    <xdr:pic>
      <xdr:nvPicPr>
        <xdr:cNvPr id="4" name="Picture 3" descr="Get Ready! Quiz Time – Applications sur Google Play">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61499" y="240350"/>
          <a:ext cx="1142539" cy="1029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539749</xdr:colOff>
      <xdr:row>18</xdr:row>
      <xdr:rowOff>142873</xdr:rowOff>
    </xdr:from>
    <xdr:to>
      <xdr:col>9</xdr:col>
      <xdr:colOff>381000</xdr:colOff>
      <xdr:row>36</xdr:row>
      <xdr:rowOff>150812</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6524624" y="3373436"/>
          <a:ext cx="5826126" cy="3294064"/>
        </a:xfrm>
        <a:prstGeom prst="round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fr-FR" sz="1100" b="1">
              <a:solidFill>
                <a:schemeClr val="lt1"/>
              </a:solidFill>
              <a:effectLst/>
              <a:latin typeface="+mn-lt"/>
              <a:ea typeface="+mn-ea"/>
              <a:cs typeface="+mn-cs"/>
            </a:rPr>
            <a:t>Excell skills to develop with this case:</a:t>
          </a:r>
          <a:endParaRPr lang="en-GB">
            <a:effectLst/>
          </a:endParaRPr>
        </a:p>
        <a:p>
          <a:r>
            <a:rPr lang="fr-FR" sz="1100" b="1">
              <a:solidFill>
                <a:schemeClr val="lt1"/>
              </a:solidFill>
              <a:effectLst/>
              <a:latin typeface="+mn-lt"/>
              <a:ea typeface="+mn-ea"/>
              <a:cs typeface="+mn-cs"/>
            </a:rPr>
            <a:t>Formulas</a:t>
          </a:r>
          <a:r>
            <a:rPr lang="fr-FR" sz="1100" b="0">
              <a:solidFill>
                <a:schemeClr val="lt1"/>
              </a:solidFill>
              <a:effectLst/>
              <a:latin typeface="+mn-lt"/>
              <a:ea typeface="+mn-ea"/>
              <a:cs typeface="+mn-cs"/>
            </a:rPr>
            <a:t>: SUM, NPV, IRR, CONCAT, TRANSPOSE, TRUNC, VLOOKUP</a:t>
          </a:r>
          <a:endParaRPr lang="en-GB">
            <a:effectLst/>
          </a:endParaRPr>
        </a:p>
        <a:p>
          <a:r>
            <a:rPr lang="fr-FR" sz="1100" i="1">
              <a:solidFill>
                <a:schemeClr val="lt1"/>
              </a:solidFill>
              <a:effectLst/>
              <a:latin typeface="+mn-lt"/>
              <a:ea typeface="+mn-ea"/>
              <a:cs typeface="+mn-cs"/>
            </a:rPr>
            <a:t>For TRANSPOSE: </a:t>
          </a:r>
          <a:endParaRPr lang="en-GB">
            <a:effectLst/>
          </a:endParaRPr>
        </a:p>
        <a:p>
          <a:r>
            <a:rPr lang="fr-FR" sz="1100" i="1">
              <a:solidFill>
                <a:schemeClr val="lt1"/>
              </a:solidFill>
              <a:effectLst/>
              <a:latin typeface="+mn-lt"/>
              <a:ea typeface="+mn-ea"/>
              <a:cs typeface="+mn-cs"/>
            </a:rPr>
            <a:t>select empty cells, write =TRANSPOSE(cell range) and press CTRL+ALT+ENTER</a:t>
          </a:r>
          <a:endParaRPr lang="en-GB">
            <a:effectLst/>
          </a:endParaRPr>
        </a:p>
        <a:p>
          <a:r>
            <a:rPr lang="fr-FR" sz="1100" b="1">
              <a:solidFill>
                <a:schemeClr val="lt1"/>
              </a:solidFill>
              <a:effectLst/>
              <a:latin typeface="+mn-lt"/>
              <a:ea typeface="+mn-ea"/>
              <a:cs typeface="+mn-cs"/>
            </a:rPr>
            <a:t>Drop-down lists Data </a:t>
          </a:r>
          <a:r>
            <a:rPr lang="fr-FR" sz="1100" b="0" i="1">
              <a:solidFill>
                <a:schemeClr val="lt1"/>
              </a:solidFill>
              <a:effectLst/>
              <a:latin typeface="+mn-lt"/>
              <a:ea typeface="+mn-ea"/>
              <a:cs typeface="+mn-cs"/>
            </a:rPr>
            <a:t>- Data validation - allow to list</a:t>
          </a:r>
          <a:endParaRPr lang="en-GB">
            <a:effectLst/>
          </a:endParaRPr>
        </a:p>
        <a:p>
          <a:r>
            <a:rPr lang="fr-FR" sz="1100" b="1">
              <a:solidFill>
                <a:schemeClr val="lt1"/>
              </a:solidFill>
              <a:effectLst/>
              <a:latin typeface="+mn-lt"/>
              <a:ea typeface="+mn-ea"/>
              <a:cs typeface="+mn-cs"/>
            </a:rPr>
            <a:t>Scenario Build up</a:t>
          </a:r>
          <a:endParaRPr lang="en-GB">
            <a:effectLst/>
          </a:endParaRPr>
        </a:p>
        <a:p>
          <a:r>
            <a:rPr lang="fr-FR" sz="1100" b="1">
              <a:solidFill>
                <a:schemeClr val="lt1"/>
              </a:solidFill>
              <a:effectLst/>
              <a:latin typeface="+mn-lt"/>
              <a:ea typeface="+mn-ea"/>
              <a:cs typeface="+mn-cs"/>
            </a:rPr>
            <a:t>One-dimension and two-dimension</a:t>
          </a:r>
          <a:r>
            <a:rPr lang="fr-FR" sz="1100" b="1" baseline="0">
              <a:solidFill>
                <a:schemeClr val="lt1"/>
              </a:solidFill>
              <a:effectLst/>
              <a:latin typeface="+mn-lt"/>
              <a:ea typeface="+mn-ea"/>
              <a:cs typeface="+mn-cs"/>
            </a:rPr>
            <a:t> </a:t>
          </a:r>
          <a:r>
            <a:rPr lang="fr-FR" sz="1100" b="1">
              <a:solidFill>
                <a:schemeClr val="lt1"/>
              </a:solidFill>
              <a:effectLst/>
              <a:latin typeface="+mn-lt"/>
              <a:ea typeface="+mn-ea"/>
              <a:cs typeface="+mn-cs"/>
            </a:rPr>
            <a:t>Data Tables</a:t>
          </a:r>
          <a:endParaRPr lang="en-GB">
            <a:effectLst/>
          </a:endParaRPr>
        </a:p>
        <a:p>
          <a:r>
            <a:rPr lang="fr-FR" sz="1100" i="1">
              <a:solidFill>
                <a:schemeClr val="lt1"/>
              </a:solidFill>
              <a:effectLst/>
              <a:latin typeface="+mn-lt"/>
              <a:ea typeface="+mn-ea"/>
              <a:cs typeface="+mn-cs"/>
            </a:rPr>
            <a:t>   Remember to:</a:t>
          </a:r>
          <a:endParaRPr lang="en-GB">
            <a:effectLst/>
          </a:endParaRPr>
        </a:p>
        <a:p>
          <a:r>
            <a:rPr lang="fr-FR" sz="1100" i="1">
              <a:solidFill>
                <a:schemeClr val="lt1"/>
              </a:solidFill>
              <a:effectLst/>
              <a:latin typeface="+mn-lt"/>
              <a:ea typeface="+mn-ea"/>
              <a:cs typeface="+mn-cs"/>
            </a:rPr>
            <a:t>    use inputs in the same worksheet as the Data Table, </a:t>
          </a:r>
          <a:endParaRPr lang="en-GB">
            <a:effectLst/>
          </a:endParaRPr>
        </a:p>
        <a:p>
          <a:r>
            <a:rPr lang="fr-FR" sz="1100" i="1">
              <a:solidFill>
                <a:schemeClr val="lt1"/>
              </a:solidFill>
              <a:effectLst/>
              <a:latin typeface="+mn-lt"/>
              <a:ea typeface="+mn-ea"/>
              <a:cs typeface="+mn-cs"/>
            </a:rPr>
            <a:t>    use at least one number</a:t>
          </a:r>
          <a:r>
            <a:rPr lang="fr-FR" sz="1100" i="1" baseline="0">
              <a:solidFill>
                <a:schemeClr val="lt1"/>
              </a:solidFill>
              <a:effectLst/>
              <a:latin typeface="+mn-lt"/>
              <a:ea typeface="+mn-ea"/>
              <a:cs typeface="+mn-cs"/>
            </a:rPr>
            <a:t> in the array on inputs, </a:t>
          </a:r>
          <a:br>
            <a:rPr lang="fr-FR" sz="1100" i="1" baseline="0">
              <a:solidFill>
                <a:schemeClr val="lt1"/>
              </a:solidFill>
              <a:effectLst/>
              <a:latin typeface="+mn-lt"/>
              <a:ea typeface="+mn-ea"/>
              <a:cs typeface="+mn-cs"/>
            </a:rPr>
          </a:br>
          <a:r>
            <a:rPr lang="fr-FR" sz="1100" i="1" baseline="0">
              <a:solidFill>
                <a:schemeClr val="lt1"/>
              </a:solidFill>
              <a:effectLst/>
              <a:latin typeface="+mn-lt"/>
              <a:ea typeface="+mn-ea"/>
              <a:cs typeface="+mn-cs"/>
            </a:rPr>
            <a:t>    check calculation options in the Formula menu - allow to "automatic"</a:t>
          </a:r>
          <a:endParaRPr lang="en-GB">
            <a:effectLst/>
          </a:endParaRPr>
        </a:p>
        <a:p>
          <a:r>
            <a:rPr lang="fr-FR" sz="1100" b="1">
              <a:solidFill>
                <a:schemeClr val="lt1"/>
              </a:solidFill>
              <a:effectLst/>
              <a:latin typeface="+mn-lt"/>
              <a:ea typeface="+mn-ea"/>
              <a:cs typeface="+mn-cs"/>
            </a:rPr>
            <a:t>Form controls: </a:t>
          </a:r>
          <a:r>
            <a:rPr lang="fr-FR" sz="1100" b="0">
              <a:solidFill>
                <a:schemeClr val="lt1"/>
              </a:solidFill>
              <a:effectLst/>
              <a:latin typeface="+mn-lt"/>
              <a:ea typeface="+mn-ea"/>
              <a:cs typeface="+mn-cs"/>
            </a:rPr>
            <a:t>Combo box, scroll bar...</a:t>
          </a:r>
          <a:endParaRPr lang="en-GB">
            <a:effectLst/>
          </a:endParaRPr>
        </a:p>
        <a:p>
          <a:r>
            <a:rPr lang="fr-FR" sz="1100" b="1">
              <a:solidFill>
                <a:schemeClr val="lt1"/>
              </a:solidFill>
              <a:effectLst/>
              <a:latin typeface="+mn-lt"/>
              <a:ea typeface="+mn-ea"/>
              <a:cs typeface="+mn-cs"/>
            </a:rPr>
            <a:t>Anchoring </a:t>
          </a:r>
          <a:r>
            <a:rPr lang="fr-FR" sz="1100" b="0">
              <a:solidFill>
                <a:schemeClr val="lt1"/>
              </a:solidFill>
              <a:effectLst/>
              <a:latin typeface="+mn-lt"/>
              <a:ea typeface="+mn-ea"/>
              <a:cs typeface="+mn-cs"/>
            </a:rPr>
            <a:t>=&gt; dollars before rows and columns</a:t>
          </a:r>
          <a:endParaRPr lang="en-GB">
            <a:effectLst/>
          </a:endParaRPr>
        </a:p>
        <a:p>
          <a:r>
            <a:rPr lang="fr-FR" sz="1100" b="1">
              <a:solidFill>
                <a:schemeClr val="lt1"/>
              </a:solidFill>
              <a:effectLst/>
              <a:latin typeface="+mn-lt"/>
              <a:ea typeface="+mn-ea"/>
              <a:cs typeface="+mn-cs"/>
            </a:rPr>
            <a:t>Names</a:t>
          </a:r>
          <a:r>
            <a:rPr lang="fr-FR" sz="1100" b="1" baseline="0">
              <a:solidFill>
                <a:schemeClr val="lt1"/>
              </a:solidFill>
              <a:effectLst/>
              <a:latin typeface="+mn-lt"/>
              <a:ea typeface="+mn-ea"/>
              <a:cs typeface="+mn-cs"/>
            </a:rPr>
            <a:t> </a:t>
          </a:r>
          <a:r>
            <a:rPr lang="fr-FR" sz="1100" baseline="0">
              <a:solidFill>
                <a:schemeClr val="lt1"/>
              </a:solidFill>
              <a:effectLst/>
              <a:latin typeface="+mn-lt"/>
              <a:ea typeface="+mn-ea"/>
              <a:cs typeface="+mn-cs"/>
            </a:rPr>
            <a:t>=&gt; name the active cell in C-SCENARIOS</a:t>
          </a:r>
          <a:endParaRPr lang="en-GB">
            <a:effectLst/>
          </a:endParaRPr>
        </a:p>
        <a:p>
          <a:r>
            <a:rPr lang="fr-FR" sz="1100" b="1" baseline="0">
              <a:solidFill>
                <a:schemeClr val="lt1"/>
              </a:solidFill>
              <a:effectLst/>
              <a:latin typeface="+mn-lt"/>
              <a:ea typeface="+mn-ea"/>
              <a:cs typeface="+mn-cs"/>
            </a:rPr>
            <a:t>Tornado graphs</a:t>
          </a:r>
          <a:endParaRPr lang="en-GB">
            <a:effectLst/>
          </a:endParaRPr>
        </a:p>
        <a:p>
          <a:r>
            <a:rPr lang="fr-FR" sz="1100" b="1">
              <a:solidFill>
                <a:schemeClr val="lt1"/>
              </a:solidFill>
              <a:effectLst/>
              <a:latin typeface="+mn-lt"/>
              <a:ea typeface="+mn-ea"/>
              <a:cs typeface="+mn-cs"/>
            </a:rPr>
            <a:t>Goal</a:t>
          </a:r>
          <a:r>
            <a:rPr lang="fr-FR" sz="1100" b="1" baseline="0">
              <a:solidFill>
                <a:schemeClr val="lt1"/>
              </a:solidFill>
              <a:effectLst/>
              <a:latin typeface="+mn-lt"/>
              <a:ea typeface="+mn-ea"/>
              <a:cs typeface="+mn-cs"/>
            </a:rPr>
            <a:t> Seek</a:t>
          </a:r>
          <a:endParaRPr lang="en-GB">
            <a:effectLst/>
          </a:endParaRPr>
        </a:p>
        <a:p>
          <a:pPr algn="l"/>
          <a:endParaRPr lang="en-GB" sz="1100"/>
        </a:p>
      </xdr:txBody>
    </xdr:sp>
    <xdr:clientData/>
  </xdr:twoCellAnchor>
  <xdr:twoCellAnchor>
    <xdr:from>
      <xdr:col>5</xdr:col>
      <xdr:colOff>328839</xdr:colOff>
      <xdr:row>9</xdr:row>
      <xdr:rowOff>182563</xdr:rowOff>
    </xdr:from>
    <xdr:to>
      <xdr:col>9</xdr:col>
      <xdr:colOff>230187</xdr:colOff>
      <xdr:row>14</xdr:row>
      <xdr:rowOff>15875</xdr:rowOff>
    </xdr:to>
    <xdr:sp macro="" textlink="">
      <xdr:nvSpPr>
        <xdr:cNvPr id="7" name="Rounded Rectangle 16">
          <a:extLst>
            <a:ext uri="{FF2B5EF4-FFF2-40B4-BE49-F238E27FC236}">
              <a16:creationId xmlns:a16="http://schemas.microsoft.com/office/drawing/2014/main" id="{D317422D-1345-41D8-8C4F-F98B047A8E27}"/>
            </a:ext>
          </a:extLst>
        </xdr:cNvPr>
        <xdr:cNvSpPr/>
      </xdr:nvSpPr>
      <xdr:spPr>
        <a:xfrm>
          <a:off x="9734777" y="1682751"/>
          <a:ext cx="2758848" cy="801687"/>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marL="0" indent="0" algn="ctr"/>
          <a:r>
            <a:rPr lang="en-US" sz="1200" b="1">
              <a:solidFill>
                <a:sysClr val="windowText" lastClr="000000"/>
              </a:solidFill>
              <a:latin typeface="+mn-lt"/>
              <a:ea typeface="+mn-ea"/>
              <a:cs typeface="+mn-cs"/>
              <a:sym typeface="Wingdings" panose="05000000000000000000" pitchFamily="2" charset="2"/>
            </a:rPr>
            <a:t>Violet boxes contain links to videos or explanations</a:t>
          </a:r>
          <a:r>
            <a:rPr lang="en-US" sz="1200" b="1" baseline="0">
              <a:solidFill>
                <a:sysClr val="windowText" lastClr="000000"/>
              </a:solidFill>
              <a:latin typeface="+mn-lt"/>
              <a:ea typeface="+mn-ea"/>
              <a:cs typeface="+mn-cs"/>
              <a:sym typeface="Wingdings" panose="05000000000000000000" pitchFamily="2" charset="2"/>
            </a:rPr>
            <a:t> </a:t>
          </a:r>
          <a:r>
            <a:rPr lang="en-US" sz="1200" b="1">
              <a:solidFill>
                <a:sysClr val="windowText" lastClr="000000"/>
              </a:solidFill>
              <a:latin typeface="+mn-lt"/>
              <a:ea typeface="+mn-ea"/>
              <a:cs typeface="+mn-cs"/>
              <a:sym typeface="Wingdings" panose="05000000000000000000" pitchFamily="2" charset="2"/>
            </a:rPr>
            <a:t>- It is vital to look at them!</a:t>
          </a:r>
          <a:endParaRPr lang="en-US" sz="1200" b="1">
            <a:solidFill>
              <a:sysClr val="windowText" lastClr="000000"/>
            </a:solidFill>
            <a:latin typeface="+mn-lt"/>
            <a:ea typeface="+mn-ea"/>
            <a:cs typeface="+mn-cs"/>
          </a:endParaRPr>
        </a:p>
      </xdr:txBody>
    </xdr:sp>
    <xdr:clientData/>
  </xdr:twoCellAnchor>
  <xdr:twoCellAnchor>
    <xdr:from>
      <xdr:col>1</xdr:col>
      <xdr:colOff>206375</xdr:colOff>
      <xdr:row>10</xdr:row>
      <xdr:rowOff>31751</xdr:rowOff>
    </xdr:from>
    <xdr:to>
      <xdr:col>2</xdr:col>
      <xdr:colOff>706438</xdr:colOff>
      <xdr:row>14</xdr:row>
      <xdr:rowOff>7938</xdr:rowOff>
    </xdr:to>
    <xdr:sp macro="" textlink="">
      <xdr:nvSpPr>
        <xdr:cNvPr id="8" name="Rounded Rectangle 16">
          <a:extLst>
            <a:ext uri="{FF2B5EF4-FFF2-40B4-BE49-F238E27FC236}">
              <a16:creationId xmlns:a16="http://schemas.microsoft.com/office/drawing/2014/main" id="{EAC0530D-05AB-4C87-8584-2110BF3C20AB}"/>
            </a:ext>
            <a:ext uri="{147F2762-F138-4A5C-976F-8EAC2B608ADB}">
              <a16:predDERef xmlns:a16="http://schemas.microsoft.com/office/drawing/2014/main" pred="{00000000-0008-0000-0200-000042000000}"/>
            </a:ext>
          </a:extLst>
        </xdr:cNvPr>
        <xdr:cNvSpPr/>
      </xdr:nvSpPr>
      <xdr:spPr>
        <a:xfrm>
          <a:off x="381000" y="1730376"/>
          <a:ext cx="3516313" cy="746125"/>
        </a:xfrm>
        <a:prstGeom prst="roundRect">
          <a:avLst/>
        </a:prstGeom>
        <a:solidFill>
          <a:schemeClr val="accent4">
            <a:lumMod val="40000"/>
            <a:lumOff val="60000"/>
          </a:schemeClr>
        </a:solidFill>
        <a:ln>
          <a:noFill/>
        </a:ln>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400" b="1" u="none">
              <a:solidFill>
                <a:sysClr val="windowText" lastClr="000000"/>
              </a:solidFill>
            </a:rPr>
            <a:t>Instructions will</a:t>
          </a:r>
          <a:r>
            <a:rPr lang="en-US" sz="1400" b="1" u="none" baseline="0">
              <a:solidFill>
                <a:sysClr val="windowText" lastClr="000000"/>
              </a:solidFill>
            </a:rPr>
            <a:t> be located in pink boxes such as this one</a:t>
          </a:r>
          <a:endParaRPr lang="en-US" sz="1400" b="1" u="none">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78960</xdr:colOff>
      <xdr:row>101</xdr:row>
      <xdr:rowOff>122787</xdr:rowOff>
    </xdr:from>
    <xdr:to>
      <xdr:col>10</xdr:col>
      <xdr:colOff>521314</xdr:colOff>
      <xdr:row>111</xdr:row>
      <xdr:rowOff>15875</xdr:rowOff>
    </xdr:to>
    <xdr:graphicFrame macro="">
      <xdr:nvGraphicFramePr>
        <xdr:cNvPr id="2" name="Chart 6">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354595</xdr:colOff>
      <xdr:row>121</xdr:row>
      <xdr:rowOff>174623</xdr:rowOff>
    </xdr:from>
    <xdr:to>
      <xdr:col>7</xdr:col>
      <xdr:colOff>453571</xdr:colOff>
      <xdr:row>124</xdr:row>
      <xdr:rowOff>126047</xdr:rowOff>
    </xdr:to>
    <xdr:sp macro="" textlink="">
      <xdr:nvSpPr>
        <xdr:cNvPr id="3" name="Rounded Rectangle 11">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8600524" y="24975909"/>
          <a:ext cx="2330547" cy="550138"/>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1">
              <a:solidFill>
                <a:schemeClr val="lt1"/>
              </a:solidFill>
              <a:effectLst/>
              <a:latin typeface="+mn-lt"/>
              <a:ea typeface="+mn-ea"/>
              <a:cs typeface="+mn-cs"/>
              <a:sym typeface="Wingdings" panose="05000000000000000000" pitchFamily="2" charset="2"/>
            </a:rPr>
            <a:t></a:t>
          </a:r>
          <a:r>
            <a:rPr lang="en-US" sz="1100" b="1">
              <a:solidFill>
                <a:schemeClr val="lt1"/>
              </a:solidFill>
              <a:effectLst/>
              <a:latin typeface="+mn-lt"/>
              <a:ea typeface="+mn-ea"/>
              <a:cs typeface="+mn-cs"/>
            </a:rPr>
            <a:t>   </a:t>
          </a:r>
          <a:r>
            <a:rPr lang="en-US" sz="1200" b="1">
              <a:solidFill>
                <a:sysClr val="windowText" lastClr="000000"/>
              </a:solidFill>
            </a:rPr>
            <a:t> Click here to learn how to calculate  NPV on Excel (1)</a:t>
          </a:r>
        </a:p>
      </xdr:txBody>
    </xdr:sp>
    <xdr:clientData/>
  </xdr:twoCellAnchor>
  <xdr:twoCellAnchor>
    <xdr:from>
      <xdr:col>2</xdr:col>
      <xdr:colOff>1693569</xdr:colOff>
      <xdr:row>150</xdr:row>
      <xdr:rowOff>164148</xdr:rowOff>
    </xdr:from>
    <xdr:to>
      <xdr:col>2</xdr:col>
      <xdr:colOff>3596664</xdr:colOff>
      <xdr:row>152</xdr:row>
      <xdr:rowOff>178436</xdr:rowOff>
    </xdr:to>
    <xdr:sp macro="" textlink="">
      <xdr:nvSpPr>
        <xdr:cNvPr id="6" name="Rounded Rectangle 16">
          <a:extLst>
            <a:ext uri="{FF2B5EF4-FFF2-40B4-BE49-F238E27FC236}">
              <a16:creationId xmlns:a16="http://schemas.microsoft.com/office/drawing/2014/main" id="{00000000-0008-0000-0200-000006000000}"/>
            </a:ext>
          </a:extLst>
        </xdr:cNvPr>
        <xdr:cNvSpPr/>
      </xdr:nvSpPr>
      <xdr:spPr>
        <a:xfrm>
          <a:off x="5176998" y="31179362"/>
          <a:ext cx="1903095" cy="413431"/>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600">
              <a:solidFill>
                <a:sysClr val="windowText" lastClr="000000"/>
              </a:solidFill>
            </a:rPr>
            <a:t>IRR  vs</a:t>
          </a:r>
          <a:r>
            <a:rPr lang="en-US" sz="1600" baseline="0">
              <a:solidFill>
                <a:sysClr val="windowText" lastClr="000000"/>
              </a:solidFill>
            </a:rPr>
            <a:t> WACC</a:t>
          </a:r>
          <a:endParaRPr lang="en-US" sz="1600">
            <a:solidFill>
              <a:sysClr val="windowText" lastClr="000000"/>
            </a:solidFill>
          </a:endParaRPr>
        </a:p>
      </xdr:txBody>
    </xdr:sp>
    <xdr:clientData/>
  </xdr:twoCellAnchor>
  <xdr:twoCellAnchor>
    <xdr:from>
      <xdr:col>0</xdr:col>
      <xdr:colOff>233362</xdr:colOff>
      <xdr:row>154</xdr:row>
      <xdr:rowOff>79375</xdr:rowOff>
    </xdr:from>
    <xdr:to>
      <xdr:col>10</xdr:col>
      <xdr:colOff>142875</xdr:colOff>
      <xdr:row>156</xdr:row>
      <xdr:rowOff>165100</xdr:rowOff>
    </xdr:to>
    <xdr:sp macro="" textlink="">
      <xdr:nvSpPr>
        <xdr:cNvPr id="9" name="Rounded Rectangle 16">
          <a:extLst>
            <a:ext uri="{FF2B5EF4-FFF2-40B4-BE49-F238E27FC236}">
              <a16:creationId xmlns:a16="http://schemas.microsoft.com/office/drawing/2014/main" id="{00000000-0008-0000-0200-000009000000}"/>
            </a:ext>
          </a:extLst>
        </xdr:cNvPr>
        <xdr:cNvSpPr/>
      </xdr:nvSpPr>
      <xdr:spPr>
        <a:xfrm>
          <a:off x="233362" y="21250275"/>
          <a:ext cx="10539413" cy="49212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2</xdr:col>
      <xdr:colOff>19051</xdr:colOff>
      <xdr:row>140</xdr:row>
      <xdr:rowOff>39686</xdr:rowOff>
    </xdr:from>
    <xdr:to>
      <xdr:col>2</xdr:col>
      <xdr:colOff>3619500</xdr:colOff>
      <xdr:row>141</xdr:row>
      <xdr:rowOff>31750</xdr:rowOff>
    </xdr:to>
    <xdr:sp macro="" textlink="">
      <xdr:nvSpPr>
        <xdr:cNvPr id="10" name="Rounded Rectangle 16">
          <a:extLst>
            <a:ext uri="{FF2B5EF4-FFF2-40B4-BE49-F238E27FC236}">
              <a16:creationId xmlns:a16="http://schemas.microsoft.com/office/drawing/2014/main" id="{00000000-0008-0000-0200-00000A000000}"/>
            </a:ext>
          </a:extLst>
        </xdr:cNvPr>
        <xdr:cNvSpPr/>
      </xdr:nvSpPr>
      <xdr:spPr>
        <a:xfrm>
          <a:off x="257176" y="838200"/>
          <a:ext cx="3438524" cy="0"/>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050" b="0">
              <a:solidFill>
                <a:sysClr val="windowText" lastClr="000000"/>
              </a:solidFill>
            </a:rPr>
            <a:t>Write a formula that</a:t>
          </a:r>
          <a:r>
            <a:rPr lang="en-US" sz="1050" b="0" baseline="0">
              <a:solidFill>
                <a:sysClr val="windowText" lastClr="000000"/>
              </a:solidFill>
            </a:rPr>
            <a:t> states when payback is reached</a:t>
          </a:r>
          <a:endParaRPr lang="en-US" sz="1050" b="0">
            <a:solidFill>
              <a:sysClr val="windowText" lastClr="000000"/>
            </a:solidFill>
          </a:endParaRPr>
        </a:p>
      </xdr:txBody>
    </xdr:sp>
    <xdr:clientData/>
  </xdr:twoCellAnchor>
  <xdr:twoCellAnchor>
    <xdr:from>
      <xdr:col>2</xdr:col>
      <xdr:colOff>4764</xdr:colOff>
      <xdr:row>146</xdr:row>
      <xdr:rowOff>25399</xdr:rowOff>
    </xdr:from>
    <xdr:to>
      <xdr:col>2</xdr:col>
      <xdr:colOff>3643314</xdr:colOff>
      <xdr:row>147</xdr:row>
      <xdr:rowOff>9525</xdr:rowOff>
    </xdr:to>
    <xdr:sp macro="" textlink="">
      <xdr:nvSpPr>
        <xdr:cNvPr id="11" name="Rounded Rectangle 16">
          <a:extLst>
            <a:ext uri="{FF2B5EF4-FFF2-40B4-BE49-F238E27FC236}">
              <a16:creationId xmlns:a16="http://schemas.microsoft.com/office/drawing/2014/main" id="{00000000-0008-0000-0200-00000B000000}"/>
            </a:ext>
          </a:extLst>
        </xdr:cNvPr>
        <xdr:cNvSpPr/>
      </xdr:nvSpPr>
      <xdr:spPr>
        <a:xfrm>
          <a:off x="242889" y="838200"/>
          <a:ext cx="3448050" cy="0"/>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050" b="0">
              <a:solidFill>
                <a:sysClr val="windowText" lastClr="000000"/>
              </a:solidFill>
            </a:rPr>
            <a:t>Write a formula that</a:t>
          </a:r>
          <a:r>
            <a:rPr lang="en-US" sz="1050" b="0" baseline="0">
              <a:solidFill>
                <a:sysClr val="windowText" lastClr="000000"/>
              </a:solidFill>
            </a:rPr>
            <a:t> states when payback is reached</a:t>
          </a:r>
          <a:endParaRPr lang="en-US" sz="1050" b="0">
            <a:solidFill>
              <a:sysClr val="windowText" lastClr="000000"/>
            </a:solidFill>
          </a:endParaRPr>
        </a:p>
      </xdr:txBody>
    </xdr:sp>
    <xdr:clientData/>
  </xdr:twoCellAnchor>
  <xdr:twoCellAnchor>
    <xdr:from>
      <xdr:col>1</xdr:col>
      <xdr:colOff>21545</xdr:colOff>
      <xdr:row>232</xdr:row>
      <xdr:rowOff>192768</xdr:rowOff>
    </xdr:from>
    <xdr:to>
      <xdr:col>10</xdr:col>
      <xdr:colOff>172177</xdr:colOff>
      <xdr:row>236</xdr:row>
      <xdr:rowOff>93549</xdr:rowOff>
    </xdr:to>
    <xdr:sp macro="" textlink="">
      <xdr:nvSpPr>
        <xdr:cNvPr id="12" name="Rounded Rectangle 16">
          <a:extLst>
            <a:ext uri="{FF2B5EF4-FFF2-40B4-BE49-F238E27FC236}">
              <a16:creationId xmlns:a16="http://schemas.microsoft.com/office/drawing/2014/main" id="{00000000-0008-0000-0200-00000C000000}"/>
            </a:ext>
          </a:extLst>
        </xdr:cNvPr>
        <xdr:cNvSpPr/>
      </xdr:nvSpPr>
      <xdr:spPr>
        <a:xfrm>
          <a:off x="266474" y="44706268"/>
          <a:ext cx="14093417" cy="69906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2</xdr:col>
      <xdr:colOff>5669</xdr:colOff>
      <xdr:row>287</xdr:row>
      <xdr:rowOff>2</xdr:rowOff>
    </xdr:from>
    <xdr:to>
      <xdr:col>10</xdr:col>
      <xdr:colOff>153307</xdr:colOff>
      <xdr:row>289</xdr:row>
      <xdr:rowOff>87313</xdr:rowOff>
    </xdr:to>
    <xdr:sp macro="" textlink="">
      <xdr:nvSpPr>
        <xdr:cNvPr id="14" name="Rounded Rectangle 16">
          <a:extLst>
            <a:ext uri="{FF2B5EF4-FFF2-40B4-BE49-F238E27FC236}">
              <a16:creationId xmlns:a16="http://schemas.microsoft.com/office/drawing/2014/main" id="{00000000-0008-0000-0200-00000E000000}"/>
            </a:ext>
          </a:extLst>
        </xdr:cNvPr>
        <xdr:cNvSpPr/>
      </xdr:nvSpPr>
      <xdr:spPr>
        <a:xfrm>
          <a:off x="3489098" y="54356002"/>
          <a:ext cx="10851923" cy="486454"/>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0</xdr:col>
      <xdr:colOff>220738</xdr:colOff>
      <xdr:row>301</xdr:row>
      <xdr:rowOff>86932</xdr:rowOff>
    </xdr:from>
    <xdr:to>
      <xdr:col>2</xdr:col>
      <xdr:colOff>3356428</xdr:colOff>
      <xdr:row>317</xdr:row>
      <xdr:rowOff>54428</xdr:rowOff>
    </xdr:to>
    <xdr:sp macro="" textlink="">
      <xdr:nvSpPr>
        <xdr:cNvPr id="18" name="Rounded Rectangle 16">
          <a:extLst>
            <a:ext uri="{FF2B5EF4-FFF2-40B4-BE49-F238E27FC236}">
              <a16:creationId xmlns:a16="http://schemas.microsoft.com/office/drawing/2014/main" id="{00000000-0008-0000-0200-000012000000}"/>
            </a:ext>
          </a:extLst>
        </xdr:cNvPr>
        <xdr:cNvSpPr/>
      </xdr:nvSpPr>
      <xdr:spPr>
        <a:xfrm>
          <a:off x="220738" y="58951432"/>
          <a:ext cx="6619119" cy="2870353"/>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a:t>
          </a:r>
        </a:p>
        <a:p>
          <a:pPr algn="l"/>
          <a:endParaRPr lang="en-US" sz="1200" b="1">
            <a:solidFill>
              <a:sysClr val="windowText" lastClr="000000"/>
            </a:solidFill>
          </a:endParaRPr>
        </a:p>
        <a:p>
          <a:pPr algn="l"/>
          <a:r>
            <a:rPr lang="en-US" sz="1200" b="1">
              <a:solidFill>
                <a:sysClr val="windowText" lastClr="000000"/>
              </a:solidFill>
            </a:rPr>
            <a:t>1/</a:t>
          </a:r>
          <a:r>
            <a:rPr lang="en-US" sz="1200" b="1" baseline="0">
              <a:solidFill>
                <a:sysClr val="windowText" lastClr="000000"/>
              </a:solidFill>
            </a:rPr>
            <a:t> </a:t>
          </a:r>
          <a:r>
            <a:rPr lang="en-US" sz="1200" b="1">
              <a:solidFill>
                <a:sysClr val="windowText" lastClr="000000"/>
              </a:solidFill>
            </a:rPr>
            <a:t>Calculate the sensitivity of NPV and IRR (OUTPUTS) to the variables below (INPUTS). </a:t>
          </a:r>
        </a:p>
        <a:p>
          <a:pPr algn="l"/>
          <a:r>
            <a:rPr lang="en-US" sz="1200" b="1">
              <a:solidFill>
                <a:srgbClr val="C00000"/>
              </a:solidFill>
            </a:rPr>
            <a:t>     - %variable costs, </a:t>
          </a:r>
        </a:p>
        <a:p>
          <a:pPr algn="l"/>
          <a:r>
            <a:rPr lang="en-US" sz="1200" b="1">
              <a:solidFill>
                <a:srgbClr val="C00000"/>
              </a:solidFill>
            </a:rPr>
            <a:t>     - unit selling price, </a:t>
          </a:r>
        </a:p>
        <a:p>
          <a:pPr algn="l"/>
          <a:r>
            <a:rPr lang="en-US" sz="1200" b="1">
              <a:solidFill>
                <a:srgbClr val="C00000"/>
              </a:solidFill>
            </a:rPr>
            <a:t>     - #units</a:t>
          </a:r>
        </a:p>
        <a:p>
          <a:pPr algn="l"/>
          <a:r>
            <a:rPr lang="en-US" sz="1200" b="1">
              <a:solidFill>
                <a:srgbClr val="C00000"/>
              </a:solidFill>
            </a:rPr>
            <a:t>     - </a:t>
          </a:r>
          <a:r>
            <a:rPr lang="en-US" sz="1200" b="1" baseline="0">
              <a:solidFill>
                <a:srgbClr val="C00000"/>
              </a:solidFill>
            </a:rPr>
            <a:t>fixed costs</a:t>
          </a:r>
        </a:p>
        <a:p>
          <a:pPr algn="l"/>
          <a:r>
            <a:rPr lang="en-US" sz="1200" b="1" baseline="0">
              <a:solidFill>
                <a:sysClr val="windowText" lastClr="000000"/>
              </a:solidFill>
            </a:rPr>
            <a:t>You can do so by building one-dimension tables that show changes in NPV and IRR as a function of changes in several inputs (see example)</a:t>
          </a:r>
        </a:p>
        <a:p>
          <a:pPr algn="l"/>
          <a:endParaRPr lang="en-US" sz="1200" b="1" baseline="0">
            <a:solidFill>
              <a:sysClr val="windowText" lastClr="000000"/>
            </a:solidFill>
          </a:endParaRPr>
        </a:p>
        <a:p>
          <a:pPr algn="l"/>
          <a:r>
            <a:rPr lang="en-US" sz="1200" b="1" baseline="0">
              <a:solidFill>
                <a:sysClr val="windowText" lastClr="000000"/>
              </a:solidFill>
            </a:rPr>
            <a:t>2/ Fill in the Summary tables on the right and the quiz to earn the bonus points</a:t>
          </a:r>
          <a:endParaRPr lang="en-US" sz="1200" b="1">
            <a:solidFill>
              <a:sysClr val="windowText" lastClr="000000"/>
            </a:solidFill>
          </a:endParaRPr>
        </a:p>
      </xdr:txBody>
    </xdr:sp>
    <xdr:clientData/>
  </xdr:twoCellAnchor>
  <xdr:oneCellAnchor>
    <xdr:from>
      <xdr:col>3</xdr:col>
      <xdr:colOff>107684</xdr:colOff>
      <xdr:row>274</xdr:row>
      <xdr:rowOff>118927</xdr:rowOff>
    </xdr:from>
    <xdr:ext cx="6719887" cy="641750"/>
    <mc:AlternateContent xmlns:mc="http://schemas.openxmlformats.org/markup-compatibility/2006" xmlns:a14="http://schemas.microsoft.com/office/drawing/2010/main">
      <mc:Choice Requires="a14">
        <xdr:sp macro="" textlink="">
          <xdr:nvSpPr>
            <xdr:cNvPr id="22" name="ZoneTexte 21">
              <a:extLst>
                <a:ext uri="{FF2B5EF4-FFF2-40B4-BE49-F238E27FC236}">
                  <a16:creationId xmlns:a16="http://schemas.microsoft.com/office/drawing/2014/main" id="{00000000-0008-0000-0200-000016000000}"/>
                </a:ext>
              </a:extLst>
            </xdr:cNvPr>
            <xdr:cNvSpPr txBox="1"/>
          </xdr:nvSpPr>
          <xdr:spPr>
            <a:xfrm>
              <a:off x="7526601" y="58359010"/>
              <a:ext cx="6719887" cy="641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fr-FR" sz="1600" b="0" i="0">
                        <a:latin typeface="Cambria Math" panose="02040503050406030204" pitchFamily="18" charset="0"/>
                      </a:rPr>
                      <m:t>Breakeven</m:t>
                    </m:r>
                    <m:r>
                      <a:rPr lang="fr-FR" sz="1600" b="0" i="0">
                        <a:latin typeface="Cambria Math" panose="02040503050406030204" pitchFamily="18" charset="0"/>
                      </a:rPr>
                      <m:t> </m:t>
                    </m:r>
                    <m:r>
                      <m:rPr>
                        <m:sty m:val="p"/>
                      </m:rPr>
                      <a:rPr lang="fr-FR" sz="1600" b="0" i="0">
                        <a:latin typeface="Cambria Math" panose="02040503050406030204" pitchFamily="18" charset="0"/>
                      </a:rPr>
                      <m:t>point</m:t>
                    </m:r>
                    <m:r>
                      <a:rPr lang="fr-FR" sz="1600" b="0" i="0">
                        <a:latin typeface="Cambria Math" panose="02040503050406030204" pitchFamily="18" charset="0"/>
                      </a:rPr>
                      <m:t>=</m:t>
                    </m:r>
                    <m:f>
                      <m:fPr>
                        <m:ctrlPr>
                          <a:rPr lang="fr-FR" sz="1600" b="0" i="1">
                            <a:latin typeface="Cambria Math" panose="02040503050406030204" pitchFamily="18" charset="0"/>
                          </a:rPr>
                        </m:ctrlPr>
                      </m:fPr>
                      <m:num>
                        <m:r>
                          <m:rPr>
                            <m:sty m:val="p"/>
                          </m:rPr>
                          <a:rPr lang="fr-FR" sz="1600" b="0" i="0">
                            <a:latin typeface="Cambria Math" panose="02040503050406030204" pitchFamily="18" charset="0"/>
                          </a:rPr>
                          <m:t>Fixed</m:t>
                        </m:r>
                        <m:r>
                          <a:rPr lang="fr-FR" sz="1600" b="0" i="0">
                            <a:latin typeface="Cambria Math" panose="02040503050406030204" pitchFamily="18" charset="0"/>
                          </a:rPr>
                          <m:t> </m:t>
                        </m:r>
                        <m:r>
                          <m:rPr>
                            <m:sty m:val="p"/>
                          </m:rPr>
                          <a:rPr lang="fr-FR" sz="1600" b="0" i="0">
                            <a:latin typeface="Cambria Math" panose="02040503050406030204" pitchFamily="18" charset="0"/>
                          </a:rPr>
                          <m:t>costs</m:t>
                        </m:r>
                        <m:r>
                          <a:rPr lang="fr-FR" sz="1600" b="0" i="0">
                            <a:latin typeface="Cambria Math" panose="02040503050406030204" pitchFamily="18" charset="0"/>
                          </a:rPr>
                          <m:t> (</m:t>
                        </m:r>
                        <m:r>
                          <m:rPr>
                            <m:sty m:val="p"/>
                          </m:rPr>
                          <a:rPr lang="fr-FR" sz="1600" b="0" i="0">
                            <a:latin typeface="Cambria Math" panose="02040503050406030204" pitchFamily="18" charset="0"/>
                          </a:rPr>
                          <m:t>including</m:t>
                        </m:r>
                        <m:r>
                          <a:rPr lang="fr-FR" sz="1600" b="0" i="0">
                            <a:latin typeface="Cambria Math" panose="02040503050406030204" pitchFamily="18" charset="0"/>
                          </a:rPr>
                          <m:t> </m:t>
                        </m:r>
                        <m:r>
                          <m:rPr>
                            <m:sty m:val="p"/>
                          </m:rPr>
                          <a:rPr lang="fr-FR" sz="1600" b="0" i="0">
                            <a:latin typeface="Cambria Math" panose="02040503050406030204" pitchFamily="18" charset="0"/>
                          </a:rPr>
                          <m:t>interest</m:t>
                        </m:r>
                        <m:r>
                          <a:rPr lang="fr-FR" sz="1600" b="0" i="0">
                            <a:latin typeface="Cambria Math" panose="02040503050406030204" pitchFamily="18" charset="0"/>
                          </a:rPr>
                          <m:t> </m:t>
                        </m:r>
                        <m:r>
                          <m:rPr>
                            <m:sty m:val="p"/>
                          </m:rPr>
                          <a:rPr lang="fr-FR" sz="1600" b="0" i="0">
                            <a:latin typeface="Cambria Math" panose="02040503050406030204" pitchFamily="18" charset="0"/>
                          </a:rPr>
                          <m:t>expenses</m:t>
                        </m:r>
                        <m:r>
                          <a:rPr lang="fr-FR" sz="1600" b="0" i="0">
                            <a:latin typeface="Cambria Math" panose="02040503050406030204" pitchFamily="18" charset="0"/>
                          </a:rPr>
                          <m:t>)</m:t>
                        </m:r>
                      </m:num>
                      <m:den>
                        <m:r>
                          <m:rPr>
                            <m:sty m:val="p"/>
                          </m:rPr>
                          <a:rPr lang="fr-FR" sz="1600" b="0" i="0">
                            <a:latin typeface="Cambria Math" panose="02040503050406030204" pitchFamily="18" charset="0"/>
                          </a:rPr>
                          <m:t>Unit</m:t>
                        </m:r>
                        <m:r>
                          <a:rPr lang="fr-FR" sz="1600" b="0" i="0">
                            <a:latin typeface="Cambria Math" panose="02040503050406030204" pitchFamily="18" charset="0"/>
                          </a:rPr>
                          <m:t> </m:t>
                        </m:r>
                        <m:r>
                          <m:rPr>
                            <m:sty m:val="p"/>
                          </m:rPr>
                          <a:rPr lang="fr-FR" sz="1600" b="0" i="0">
                            <a:latin typeface="Cambria Math" panose="02040503050406030204" pitchFamily="18" charset="0"/>
                          </a:rPr>
                          <m:t>selling</m:t>
                        </m:r>
                        <m:r>
                          <a:rPr lang="fr-FR" sz="1600" b="0" i="0">
                            <a:latin typeface="Cambria Math" panose="02040503050406030204" pitchFamily="18" charset="0"/>
                          </a:rPr>
                          <m:t> </m:t>
                        </m:r>
                        <m:r>
                          <m:rPr>
                            <m:sty m:val="p"/>
                          </m:rPr>
                          <a:rPr lang="fr-FR" sz="1600" b="0" i="0">
                            <a:latin typeface="Cambria Math" panose="02040503050406030204" pitchFamily="18" charset="0"/>
                          </a:rPr>
                          <m:t>price</m:t>
                        </m:r>
                        <m:r>
                          <a:rPr lang="fr-FR" sz="1600" b="0" i="0">
                            <a:latin typeface="Cambria Math" panose="02040503050406030204" pitchFamily="18" charset="0"/>
                          </a:rPr>
                          <m:t> −</m:t>
                        </m:r>
                        <m:r>
                          <m:rPr>
                            <m:sty m:val="p"/>
                          </m:rPr>
                          <a:rPr lang="fr-FR" sz="1600" b="0" i="0">
                            <a:latin typeface="Cambria Math" panose="02040503050406030204" pitchFamily="18" charset="0"/>
                          </a:rPr>
                          <m:t>unit</m:t>
                        </m:r>
                        <m:r>
                          <a:rPr lang="fr-FR" sz="1600" b="0" i="0">
                            <a:latin typeface="Cambria Math" panose="02040503050406030204" pitchFamily="18" charset="0"/>
                          </a:rPr>
                          <m:t> </m:t>
                        </m:r>
                        <m:r>
                          <m:rPr>
                            <m:sty m:val="p"/>
                          </m:rPr>
                          <a:rPr lang="fr-FR" sz="1600" b="0" i="0">
                            <a:latin typeface="Cambria Math" panose="02040503050406030204" pitchFamily="18" charset="0"/>
                          </a:rPr>
                          <m:t>variable</m:t>
                        </m:r>
                        <m:r>
                          <a:rPr lang="fr-FR" sz="1600" b="0" i="0">
                            <a:latin typeface="Cambria Math" panose="02040503050406030204" pitchFamily="18" charset="0"/>
                          </a:rPr>
                          <m:t> </m:t>
                        </m:r>
                        <m:r>
                          <m:rPr>
                            <m:sty m:val="p"/>
                          </m:rPr>
                          <a:rPr lang="fr-FR" sz="1600" b="0" i="0">
                            <a:latin typeface="Cambria Math" panose="02040503050406030204" pitchFamily="18" charset="0"/>
                          </a:rPr>
                          <m:t>cost</m:t>
                        </m:r>
                      </m:den>
                    </m:f>
                  </m:oMath>
                </m:oMathPara>
              </a14:m>
              <a:endParaRPr lang="en-GB" sz="1600" i="0">
                <a:latin typeface="+mn-lt"/>
              </a:endParaRPr>
            </a:p>
          </xdr:txBody>
        </xdr:sp>
      </mc:Choice>
      <mc:Fallback xmlns="">
        <xdr:sp macro="" textlink="">
          <xdr:nvSpPr>
            <xdr:cNvPr id="22" name="ZoneTexte 21">
              <a:extLst>
                <a:ext uri="{FF2B5EF4-FFF2-40B4-BE49-F238E27FC236}">
                  <a16:creationId xmlns:a16="http://schemas.microsoft.com/office/drawing/2014/main" id="{00000000-0008-0000-0200-000016000000}"/>
                </a:ext>
              </a:extLst>
            </xdr:cNvPr>
            <xdr:cNvSpPr txBox="1"/>
          </xdr:nvSpPr>
          <xdr:spPr>
            <a:xfrm>
              <a:off x="7526601" y="58359010"/>
              <a:ext cx="6719887" cy="641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fr-FR" sz="1600" b="0" i="0">
                  <a:latin typeface="+mn-lt"/>
                </a:rPr>
                <a:t>Breakeven point=(Fixed costs (including interest expenses))/(Unit selling price −unit variable cost)</a:t>
              </a:r>
              <a:endParaRPr lang="en-GB" sz="1600" i="0">
                <a:latin typeface="+mn-lt"/>
              </a:endParaRPr>
            </a:p>
          </xdr:txBody>
        </xdr:sp>
      </mc:Fallback>
    </mc:AlternateContent>
    <xdr:clientData/>
  </xdr:oneCellAnchor>
  <xdr:twoCellAnchor>
    <xdr:from>
      <xdr:col>4</xdr:col>
      <xdr:colOff>126094</xdr:colOff>
      <xdr:row>68</xdr:row>
      <xdr:rowOff>67733</xdr:rowOff>
    </xdr:from>
    <xdr:to>
      <xdr:col>9</xdr:col>
      <xdr:colOff>1115786</xdr:colOff>
      <xdr:row>70</xdr:row>
      <xdr:rowOff>63500</xdr:rowOff>
    </xdr:to>
    <xdr:sp macro="" textlink="">
      <xdr:nvSpPr>
        <xdr:cNvPr id="23" name="Rounded Rectangle 11">
          <a:extLst>
            <a:ext uri="{FF2B5EF4-FFF2-40B4-BE49-F238E27FC236}">
              <a16:creationId xmlns:a16="http://schemas.microsoft.com/office/drawing/2014/main" id="{00000000-0008-0000-0200-000017000000}"/>
            </a:ext>
          </a:extLst>
        </xdr:cNvPr>
        <xdr:cNvSpPr/>
      </xdr:nvSpPr>
      <xdr:spPr>
        <a:xfrm>
          <a:off x="7492094" y="14291733"/>
          <a:ext cx="6831692" cy="394910"/>
        </a:xfrm>
        <a:prstGeom prst="roundRect">
          <a:avLst/>
        </a:prstGeom>
        <a:solidFill>
          <a:schemeClr val="accent6">
            <a:lumMod val="20000"/>
            <a:lumOff val="8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a:solidFill>
                <a:schemeClr val="tx1"/>
              </a:solidFill>
            </a:rPr>
            <a:t>Initial (begining of year 0) and ending (end of year 5) WCR are assumed to be zero</a:t>
          </a:r>
        </a:p>
      </xdr:txBody>
    </xdr:sp>
    <xdr:clientData/>
  </xdr:twoCellAnchor>
  <xdr:twoCellAnchor>
    <xdr:from>
      <xdr:col>9</xdr:col>
      <xdr:colOff>126999</xdr:colOff>
      <xdr:row>171</xdr:row>
      <xdr:rowOff>43203</xdr:rowOff>
    </xdr:from>
    <xdr:to>
      <xdr:col>10</xdr:col>
      <xdr:colOff>1343137</xdr:colOff>
      <xdr:row>177</xdr:row>
      <xdr:rowOff>108857</xdr:rowOff>
    </xdr:to>
    <xdr:sp macro="" textlink="">
      <xdr:nvSpPr>
        <xdr:cNvPr id="24" name="Rounded Rectangle 16">
          <a:extLst>
            <a:ext uri="{FF2B5EF4-FFF2-40B4-BE49-F238E27FC236}">
              <a16:creationId xmlns:a16="http://schemas.microsoft.com/office/drawing/2014/main" id="{00000000-0008-0000-0200-000018000000}"/>
            </a:ext>
          </a:extLst>
        </xdr:cNvPr>
        <xdr:cNvSpPr/>
      </xdr:nvSpPr>
      <xdr:spPr>
        <a:xfrm>
          <a:off x="13126356" y="33652846"/>
          <a:ext cx="2404495" cy="153522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r>
            <a:rPr lang="fr-FR" sz="1100" b="0">
              <a:solidFill>
                <a:schemeClr val="tx1"/>
              </a:solidFill>
              <a:effectLst/>
              <a:latin typeface="+mn-lt"/>
              <a:ea typeface="+mn-ea"/>
              <a:cs typeface="+mn-cs"/>
            </a:rPr>
            <a:t>Optional: Create a drop-down list that changes</a:t>
          </a:r>
          <a:r>
            <a:rPr lang="fr-FR" sz="1100" b="0" baseline="0">
              <a:solidFill>
                <a:schemeClr val="tx1"/>
              </a:solidFill>
              <a:effectLst/>
              <a:latin typeface="+mn-lt"/>
              <a:ea typeface="+mn-ea"/>
              <a:cs typeface="+mn-cs"/>
            </a:rPr>
            <a:t> the % of equity financing. Assess the impact of equity financing on NPV, IRR, equity IRR, distance to break-even point...</a:t>
          </a:r>
          <a:endParaRPr lang="en-US" sz="1200" b="0">
            <a:solidFill>
              <a:schemeClr val="tx1"/>
            </a:solidFill>
          </a:endParaRPr>
        </a:p>
      </xdr:txBody>
    </xdr:sp>
    <xdr:clientData/>
  </xdr:twoCellAnchor>
  <xdr:twoCellAnchor>
    <xdr:from>
      <xdr:col>1</xdr:col>
      <xdr:colOff>10583</xdr:colOff>
      <xdr:row>353</xdr:row>
      <xdr:rowOff>40821</xdr:rowOff>
    </xdr:from>
    <xdr:to>
      <xdr:col>12</xdr:col>
      <xdr:colOff>562429</xdr:colOff>
      <xdr:row>355</xdr:row>
      <xdr:rowOff>54429</xdr:rowOff>
    </xdr:to>
    <xdr:sp macro="" textlink="">
      <xdr:nvSpPr>
        <xdr:cNvPr id="25" name="Rounded Rectangle 16">
          <a:extLst>
            <a:ext uri="{FF2B5EF4-FFF2-40B4-BE49-F238E27FC236}">
              <a16:creationId xmlns:a16="http://schemas.microsoft.com/office/drawing/2014/main" id="{00000000-0008-0000-0200-000019000000}"/>
            </a:ext>
          </a:extLst>
        </xdr:cNvPr>
        <xdr:cNvSpPr/>
      </xdr:nvSpPr>
      <xdr:spPr>
        <a:xfrm>
          <a:off x="255512" y="64620321"/>
          <a:ext cx="17433774" cy="37646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0</xdr:col>
      <xdr:colOff>163285</xdr:colOff>
      <xdr:row>358</xdr:row>
      <xdr:rowOff>123974</xdr:rowOff>
    </xdr:from>
    <xdr:to>
      <xdr:col>2</xdr:col>
      <xdr:colOff>3510641</xdr:colOff>
      <xdr:row>363</xdr:row>
      <xdr:rowOff>117929</xdr:rowOff>
    </xdr:to>
    <xdr:sp macro="" textlink="">
      <xdr:nvSpPr>
        <xdr:cNvPr id="28" name="Rounded Rectangle 16">
          <a:extLst>
            <a:ext uri="{FF2B5EF4-FFF2-40B4-BE49-F238E27FC236}">
              <a16:creationId xmlns:a16="http://schemas.microsoft.com/office/drawing/2014/main" id="{00000000-0008-0000-0200-00001C000000}"/>
            </a:ext>
          </a:extLst>
        </xdr:cNvPr>
        <xdr:cNvSpPr/>
      </xdr:nvSpPr>
      <xdr:spPr>
        <a:xfrm>
          <a:off x="163285" y="65610617"/>
          <a:ext cx="6830785" cy="901098"/>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Using "Goal Seek" find the #units</a:t>
          </a:r>
          <a:r>
            <a:rPr lang="en-US" sz="1400" b="1" baseline="0">
              <a:solidFill>
                <a:sysClr val="windowText" lastClr="000000"/>
              </a:solidFill>
            </a:rPr>
            <a:t> for NPV to be equal to zero: breakeven point</a:t>
          </a:r>
          <a:endParaRPr lang="en-US" sz="1400" b="1">
            <a:solidFill>
              <a:sysClr val="windowText" lastClr="000000"/>
            </a:solidFill>
          </a:endParaRPr>
        </a:p>
      </xdr:txBody>
    </xdr:sp>
    <xdr:clientData/>
  </xdr:twoCellAnchor>
  <xdr:twoCellAnchor>
    <xdr:from>
      <xdr:col>0</xdr:col>
      <xdr:colOff>162833</xdr:colOff>
      <xdr:row>8</xdr:row>
      <xdr:rowOff>61233</xdr:rowOff>
    </xdr:from>
    <xdr:to>
      <xdr:col>1</xdr:col>
      <xdr:colOff>3344334</xdr:colOff>
      <xdr:row>15</xdr:row>
      <xdr:rowOff>184453</xdr:rowOff>
    </xdr:to>
    <xdr:sp macro="" textlink="">
      <xdr:nvSpPr>
        <xdr:cNvPr id="29" name="Rounded Rectangle 16">
          <a:extLst>
            <a:ext uri="{FF2B5EF4-FFF2-40B4-BE49-F238E27FC236}">
              <a16:creationId xmlns:a16="http://schemas.microsoft.com/office/drawing/2014/main" id="{00000000-0008-0000-0200-00001D000000}"/>
            </a:ext>
          </a:extLst>
        </xdr:cNvPr>
        <xdr:cNvSpPr/>
      </xdr:nvSpPr>
      <xdr:spPr>
        <a:xfrm>
          <a:off x="162833" y="1987400"/>
          <a:ext cx="3446084" cy="1604886"/>
        </a:xfrm>
        <a:prstGeom prst="roundRect">
          <a:avLst/>
        </a:prstGeom>
        <a:solidFill>
          <a:schemeClr val="accent4">
            <a:lumMod val="40000"/>
            <a:lumOff val="60000"/>
          </a:schemeClr>
        </a:solidFill>
        <a:ln>
          <a:noFill/>
        </a:ln>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200" b="1" u="sng">
              <a:solidFill>
                <a:sysClr val="windowText" lastClr="000000"/>
              </a:solidFill>
            </a:rPr>
            <a:t>Instructions</a:t>
          </a:r>
          <a:r>
            <a:rPr lang="en-US" sz="1200" b="1">
              <a:solidFill>
                <a:sysClr val="windowText" lastClr="000000"/>
              </a:solidFill>
            </a:rPr>
            <a:t>: INVESTMENT ASSUMPTIONS</a:t>
          </a:r>
          <a:br>
            <a:rPr lang="en-US" sz="1200" b="1">
              <a:solidFill>
                <a:sysClr val="windowText" lastClr="000000"/>
              </a:solidFill>
            </a:rPr>
          </a:br>
          <a:endParaRPr lang="en-US" sz="1200" b="1">
            <a:solidFill>
              <a:sysClr val="windowText" lastClr="000000"/>
            </a:solidFill>
          </a:endParaRPr>
        </a:p>
        <a:p>
          <a:pPr algn="l"/>
          <a:r>
            <a:rPr lang="en-US" sz="1200" b="1">
              <a:solidFill>
                <a:sysClr val="windowText" lastClr="000000"/>
              </a:solidFill>
            </a:rPr>
            <a:t>Fill in the blue cells and calculate the net book value at the end of the 5 years.</a:t>
          </a:r>
        </a:p>
      </xdr:txBody>
    </xdr:sp>
    <xdr:clientData/>
  </xdr:twoCellAnchor>
  <xdr:twoCellAnchor>
    <xdr:from>
      <xdr:col>0</xdr:col>
      <xdr:colOff>138491</xdr:colOff>
      <xdr:row>23</xdr:row>
      <xdr:rowOff>172358</xdr:rowOff>
    </xdr:from>
    <xdr:to>
      <xdr:col>1</xdr:col>
      <xdr:colOff>3093357</xdr:colOff>
      <xdr:row>35</xdr:row>
      <xdr:rowOff>172357</xdr:rowOff>
    </xdr:to>
    <xdr:sp macro="" textlink="">
      <xdr:nvSpPr>
        <xdr:cNvPr id="30" name="Rounded Rectangle 16">
          <a:extLst>
            <a:ext uri="{FF2B5EF4-FFF2-40B4-BE49-F238E27FC236}">
              <a16:creationId xmlns:a16="http://schemas.microsoft.com/office/drawing/2014/main" id="{00000000-0008-0000-0200-00001E000000}"/>
            </a:ext>
          </a:extLst>
        </xdr:cNvPr>
        <xdr:cNvSpPr/>
      </xdr:nvSpPr>
      <xdr:spPr>
        <a:xfrm>
          <a:off x="138491" y="4816929"/>
          <a:ext cx="3199795" cy="239485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200" b="1" u="sng">
              <a:solidFill>
                <a:sysClr val="windowText" lastClr="000000"/>
              </a:solidFill>
            </a:rPr>
            <a:t>Instructions</a:t>
          </a:r>
          <a:r>
            <a:rPr lang="en-US" sz="1200" b="1">
              <a:solidFill>
                <a:sysClr val="windowText" lastClr="000000"/>
              </a:solidFill>
            </a:rPr>
            <a:t>: OPERATIONAL ASSUMPTIONS</a:t>
          </a:r>
          <a:br>
            <a:rPr lang="en-US" sz="1200" b="1">
              <a:solidFill>
                <a:sysClr val="windowText" lastClr="000000"/>
              </a:solidFill>
            </a:rPr>
          </a:br>
          <a:endParaRPr lang="en-US" sz="1200" b="1">
            <a:solidFill>
              <a:sysClr val="windowText" lastClr="000000"/>
            </a:solidFill>
          </a:endParaRPr>
        </a:p>
        <a:p>
          <a:pPr algn="l"/>
          <a:r>
            <a:rPr lang="en-US" sz="1200" b="1">
              <a:solidFill>
                <a:sysClr val="windowText" lastClr="000000"/>
              </a:solidFill>
            </a:rPr>
            <a:t>Fill in the blue cells: number of units sold taking the growth rate into account, variable and fixed costs</a:t>
          </a:r>
        </a:p>
        <a:p>
          <a:pPr algn="l"/>
          <a:r>
            <a:rPr lang="en-US" sz="1200" b="0">
              <a:solidFill>
                <a:sysClr val="windowText" lastClr="000000"/>
              </a:solidFill>
            </a:rPr>
            <a:t>Variable costs are a function of sales (or turnover)</a:t>
          </a:r>
        </a:p>
        <a:p>
          <a:pPr algn="l"/>
          <a:r>
            <a:rPr lang="en-US" sz="1200" b="0">
              <a:solidFill>
                <a:sysClr val="windowText" lastClr="000000"/>
              </a:solidFill>
            </a:rPr>
            <a:t>Fixed costs do not change </a:t>
          </a:r>
        </a:p>
      </xdr:txBody>
    </xdr:sp>
    <xdr:clientData/>
  </xdr:twoCellAnchor>
  <xdr:twoCellAnchor>
    <xdr:from>
      <xdr:col>0</xdr:col>
      <xdr:colOff>155574</xdr:colOff>
      <xdr:row>58</xdr:row>
      <xdr:rowOff>63500</xdr:rowOff>
    </xdr:from>
    <xdr:to>
      <xdr:col>1</xdr:col>
      <xdr:colOff>2948214</xdr:colOff>
      <xdr:row>73</xdr:row>
      <xdr:rowOff>99785</xdr:rowOff>
    </xdr:to>
    <xdr:sp macro="" textlink="">
      <xdr:nvSpPr>
        <xdr:cNvPr id="31" name="Rounded Rectangle 16">
          <a:extLst>
            <a:ext uri="{FF2B5EF4-FFF2-40B4-BE49-F238E27FC236}">
              <a16:creationId xmlns:a16="http://schemas.microsoft.com/office/drawing/2014/main" id="{00000000-0008-0000-0200-00001F000000}"/>
            </a:ext>
          </a:extLst>
        </xdr:cNvPr>
        <xdr:cNvSpPr/>
      </xdr:nvSpPr>
      <xdr:spPr>
        <a:xfrm>
          <a:off x="155574" y="11693071"/>
          <a:ext cx="3037569" cy="3429000"/>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200" b="1" u="sng">
              <a:solidFill>
                <a:sysClr val="windowText" lastClr="000000"/>
              </a:solidFill>
            </a:rPr>
            <a:t>Instructions</a:t>
          </a:r>
          <a:r>
            <a:rPr lang="en-US" sz="1200" b="1">
              <a:solidFill>
                <a:sysClr val="windowText" lastClr="000000"/>
              </a:solidFill>
            </a:rPr>
            <a:t>: Calculate Working Capital Requirements (WCR)</a:t>
          </a:r>
        </a:p>
        <a:p>
          <a:pPr algn="l"/>
          <a:endParaRPr lang="en-US" sz="1200" b="0">
            <a:solidFill>
              <a:sysClr val="windowText" lastClr="000000"/>
            </a:solidFill>
          </a:endParaRPr>
        </a:p>
        <a:p>
          <a:pPr algn="l"/>
          <a:r>
            <a:rPr lang="en-US" sz="1200" b="0">
              <a:solidFill>
                <a:sysClr val="windowText" lastClr="000000"/>
              </a:solidFill>
            </a:rPr>
            <a:t>- Initial WCR at the end of year zero is not nul (represents initial inventory of Raw Materials to begin operations in year 1) - see ASSUMPTIONS).</a:t>
          </a:r>
        </a:p>
        <a:p>
          <a:pPr algn="l"/>
          <a:r>
            <a:rPr lang="en-US" sz="1200" b="0">
              <a:solidFill>
                <a:sysClr val="windowText" lastClr="000000"/>
              </a:solidFill>
            </a:rPr>
            <a:t>- Ending WCR at the end of year 5 is zero because we assume all inventory has been used up or sold.</a:t>
          </a:r>
        </a:p>
        <a:p>
          <a:pPr algn="l"/>
          <a:endParaRPr lang="en-US" sz="1200" b="0">
            <a:solidFill>
              <a:sysClr val="windowText" lastClr="000000"/>
            </a:solidFill>
          </a:endParaRPr>
        </a:p>
        <a:p>
          <a:pPr algn="l"/>
          <a:r>
            <a:rPr lang="en-US" sz="1200" b="0">
              <a:solidFill>
                <a:sysClr val="windowText" lastClr="000000"/>
              </a:solidFill>
            </a:rPr>
            <a:t>- Calculations</a:t>
          </a:r>
          <a:r>
            <a:rPr lang="en-US" sz="1200" b="0" baseline="0">
              <a:solidFill>
                <a:sysClr val="windowText" lastClr="000000"/>
              </a:solidFill>
            </a:rPr>
            <a:t> are based on 365 days</a:t>
          </a:r>
          <a:endParaRPr lang="en-US" sz="1200" b="0">
            <a:solidFill>
              <a:sysClr val="windowText" lastClr="000000"/>
            </a:solidFill>
          </a:endParaRPr>
        </a:p>
      </xdr:txBody>
    </xdr:sp>
    <xdr:clientData/>
  </xdr:twoCellAnchor>
  <xdr:twoCellAnchor>
    <xdr:from>
      <xdr:col>1</xdr:col>
      <xdr:colOff>20865</xdr:colOff>
      <xdr:row>76</xdr:row>
      <xdr:rowOff>172809</xdr:rowOff>
    </xdr:from>
    <xdr:to>
      <xdr:col>1</xdr:col>
      <xdr:colOff>2921000</xdr:colOff>
      <xdr:row>93</xdr:row>
      <xdr:rowOff>136072</xdr:rowOff>
    </xdr:to>
    <xdr:sp macro="" textlink="">
      <xdr:nvSpPr>
        <xdr:cNvPr id="32" name="Rounded Rectangle 16">
          <a:extLst>
            <a:ext uri="{FF2B5EF4-FFF2-40B4-BE49-F238E27FC236}">
              <a16:creationId xmlns:a16="http://schemas.microsoft.com/office/drawing/2014/main" id="{00000000-0008-0000-0200-000020000000}"/>
            </a:ext>
          </a:extLst>
        </xdr:cNvPr>
        <xdr:cNvSpPr/>
      </xdr:nvSpPr>
      <xdr:spPr>
        <a:xfrm>
          <a:off x="265794" y="15793809"/>
          <a:ext cx="2900135" cy="335597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200" b="1" u="sng">
              <a:solidFill>
                <a:sysClr val="windowText" lastClr="000000"/>
              </a:solidFill>
            </a:rPr>
            <a:t>Instructions</a:t>
          </a:r>
          <a:r>
            <a:rPr lang="en-US" sz="1200" b="1">
              <a:solidFill>
                <a:sysClr val="windowText" lastClr="000000"/>
              </a:solidFill>
            </a:rPr>
            <a:t>: FREE CASH FLOW CALCULATION</a:t>
          </a:r>
          <a:br>
            <a:rPr lang="en-US" sz="1200" b="1">
              <a:solidFill>
                <a:sysClr val="windowText" lastClr="000000"/>
              </a:solidFill>
            </a:rPr>
          </a:br>
          <a:endParaRPr lang="en-US" sz="1200" b="1">
            <a:solidFill>
              <a:sysClr val="windowText" lastClr="000000"/>
            </a:solidFill>
          </a:endParaRPr>
        </a:p>
        <a:p>
          <a:pPr algn="l"/>
          <a:r>
            <a:rPr lang="en-US" sz="1200" b="1">
              <a:solidFill>
                <a:sysClr val="windowText" lastClr="000000"/>
              </a:solidFill>
            </a:rPr>
            <a:t>Fill in the blue cells to calculate</a:t>
          </a:r>
          <a:r>
            <a:rPr lang="en-US" sz="1200" b="1" baseline="0">
              <a:solidFill>
                <a:sysClr val="windowText" lastClr="000000"/>
              </a:solidFill>
            </a:rPr>
            <a:t> free cash flows</a:t>
          </a:r>
        </a:p>
        <a:p>
          <a:pPr algn="l"/>
          <a:r>
            <a:rPr lang="en-US" sz="1200" b="0" baseline="0">
              <a:solidFill>
                <a:sysClr val="windowText" lastClr="000000"/>
              </a:solidFill>
            </a:rPr>
            <a:t>Hint: the factory sale cash flow should be calculated as follows:</a:t>
          </a:r>
        </a:p>
        <a:p>
          <a:pPr algn="l"/>
          <a:r>
            <a:rPr lang="en-US" sz="1200" b="0" u="sng" baseline="0">
              <a:solidFill>
                <a:sysClr val="windowText" lastClr="000000"/>
              </a:solidFill>
            </a:rPr>
            <a:t>First</a:t>
          </a:r>
          <a:r>
            <a:rPr lang="en-US" sz="1200" b="0" baseline="0">
              <a:solidFill>
                <a:sysClr val="windowText" lastClr="000000"/>
              </a:solidFill>
            </a:rPr>
            <a:t> calculate the taxes on the profits as </a:t>
          </a:r>
          <a:r>
            <a:rPr lang="en-US" sz="1200" b="1" i="1" baseline="0">
              <a:solidFill>
                <a:srgbClr val="FF0000"/>
              </a:solidFill>
            </a:rPr>
            <a:t>(Net proceeds from the sale - net book value at the end of the period) * tax rate</a:t>
          </a:r>
          <a:endParaRPr lang="en-US" sz="1200" b="0" baseline="0">
            <a:solidFill>
              <a:sysClr val="windowText" lastClr="000000"/>
            </a:solidFill>
          </a:endParaRPr>
        </a:p>
        <a:p>
          <a:pPr algn="l"/>
          <a:r>
            <a:rPr lang="en-US" sz="1200" b="0" u="sng" baseline="0">
              <a:solidFill>
                <a:sysClr val="windowText" lastClr="000000"/>
              </a:solidFill>
            </a:rPr>
            <a:t>Second</a:t>
          </a:r>
          <a:r>
            <a:rPr lang="en-US" sz="1200" b="0" baseline="0">
              <a:solidFill>
                <a:sysClr val="windowText" lastClr="000000"/>
              </a:solidFill>
            </a:rPr>
            <a:t>: calculate the cash flow = selling price - taxes</a:t>
          </a:r>
        </a:p>
        <a:p>
          <a:pPr algn="l"/>
          <a:r>
            <a:rPr lang="en-US" sz="1200" b="0" baseline="0">
              <a:solidFill>
                <a:sysClr val="windowText" lastClr="000000"/>
              </a:solidFill>
            </a:rPr>
            <a:t> </a:t>
          </a:r>
          <a:endParaRPr lang="en-US" sz="1200" b="0">
            <a:solidFill>
              <a:sysClr val="windowText" lastClr="000000"/>
            </a:solidFill>
          </a:endParaRPr>
        </a:p>
      </xdr:txBody>
    </xdr:sp>
    <xdr:clientData/>
  </xdr:twoCellAnchor>
  <xdr:twoCellAnchor>
    <xdr:from>
      <xdr:col>1</xdr:col>
      <xdr:colOff>3485</xdr:colOff>
      <xdr:row>116</xdr:row>
      <xdr:rowOff>49568</xdr:rowOff>
    </xdr:from>
    <xdr:to>
      <xdr:col>1</xdr:col>
      <xdr:colOff>3048001</xdr:colOff>
      <xdr:row>131</xdr:row>
      <xdr:rowOff>243417</xdr:rowOff>
    </xdr:to>
    <xdr:sp macro="" textlink="">
      <xdr:nvSpPr>
        <xdr:cNvPr id="33" name="Rounded Rectangle 16">
          <a:extLst>
            <a:ext uri="{FF2B5EF4-FFF2-40B4-BE49-F238E27FC236}">
              <a16:creationId xmlns:a16="http://schemas.microsoft.com/office/drawing/2014/main" id="{00000000-0008-0000-0200-000021000000}"/>
            </a:ext>
          </a:extLst>
        </xdr:cNvPr>
        <xdr:cNvSpPr/>
      </xdr:nvSpPr>
      <xdr:spPr>
        <a:xfrm>
          <a:off x="268068" y="24391235"/>
          <a:ext cx="3044516" cy="332651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200" b="1" u="sng">
              <a:solidFill>
                <a:sysClr val="windowText" lastClr="000000"/>
              </a:solidFill>
            </a:rPr>
            <a:t>Instructions:</a:t>
          </a:r>
          <a:r>
            <a:rPr lang="en-US" sz="1200" b="1" u="sng" baseline="0">
              <a:solidFill>
                <a:sysClr val="windowText" lastClr="000000"/>
              </a:solidFill>
            </a:rPr>
            <a:t> project analysis</a:t>
          </a:r>
        </a:p>
        <a:p>
          <a:pPr algn="l"/>
          <a:br>
            <a:rPr lang="en-US" sz="1200" b="1">
              <a:solidFill>
                <a:sysClr val="windowText" lastClr="000000"/>
              </a:solidFill>
            </a:rPr>
          </a:br>
          <a:r>
            <a:rPr lang="en-US" sz="1200" b="1">
              <a:solidFill>
                <a:sysClr val="windowText" lastClr="000000"/>
              </a:solidFill>
            </a:rPr>
            <a:t>Fill in the blue cells to calculate</a:t>
          </a:r>
          <a:r>
            <a:rPr lang="en-US" sz="1200" b="1" baseline="0">
              <a:solidFill>
                <a:sysClr val="windowText" lastClr="000000"/>
              </a:solidFill>
            </a:rPr>
            <a:t> :</a:t>
          </a:r>
        </a:p>
        <a:p>
          <a:pPr algn="l"/>
          <a:endParaRPr lang="en-US" sz="1200" b="1" baseline="0">
            <a:solidFill>
              <a:sysClr val="windowText" lastClr="000000"/>
            </a:solidFill>
          </a:endParaRPr>
        </a:p>
        <a:p>
          <a:pPr algn="l"/>
          <a:r>
            <a:rPr lang="en-US" sz="1200" b="0" baseline="0">
              <a:solidFill>
                <a:sysClr val="windowText" lastClr="000000"/>
              </a:solidFill>
            </a:rPr>
            <a:t>1/ Net present value (NPV)</a:t>
          </a:r>
        </a:p>
        <a:p>
          <a:pPr algn="l"/>
          <a:r>
            <a:rPr lang="en-US" sz="1200" b="0" baseline="0">
              <a:solidFill>
                <a:sysClr val="windowText" lastClr="000000"/>
              </a:solidFill>
            </a:rPr>
            <a:t>2/ Profitability index = present value of future cash flow / initial CAPEX</a:t>
          </a:r>
        </a:p>
        <a:p>
          <a:pPr algn="l"/>
          <a:r>
            <a:rPr lang="en-US" sz="1200" b="0" baseline="0">
              <a:solidFill>
                <a:sysClr val="windowText" lastClr="000000"/>
              </a:solidFill>
            </a:rPr>
            <a:t>3/ Payback (using discounted cash flows)</a:t>
          </a:r>
        </a:p>
        <a:p>
          <a:pPr algn="l"/>
          <a:r>
            <a:rPr lang="en-US" sz="1200" b="0" baseline="0">
              <a:solidFill>
                <a:sysClr val="windowText" lastClr="000000"/>
              </a:solidFill>
            </a:rPr>
            <a:t>    - first observe how it is done with undiscounted cash flows</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solidFill>
                <a:sysClr val="windowText" lastClr="000000"/>
              </a:solidFill>
            </a:rPr>
            <a:t>4/ Internal rate of return (IRR)</a:t>
          </a:r>
        </a:p>
        <a:p>
          <a:pPr algn="l"/>
          <a:endParaRPr lang="en-US" sz="1200" b="0" baseline="0">
            <a:solidFill>
              <a:sysClr val="windowText" lastClr="000000"/>
            </a:solidFill>
          </a:endParaRPr>
        </a:p>
      </xdr:txBody>
    </xdr:sp>
    <xdr:clientData/>
  </xdr:twoCellAnchor>
  <xdr:twoCellAnchor>
    <xdr:from>
      <xdr:col>1</xdr:col>
      <xdr:colOff>38554</xdr:colOff>
      <xdr:row>170</xdr:row>
      <xdr:rowOff>254000</xdr:rowOff>
    </xdr:from>
    <xdr:to>
      <xdr:col>1</xdr:col>
      <xdr:colOff>2857500</xdr:colOff>
      <xdr:row>188</xdr:row>
      <xdr:rowOff>172357</xdr:rowOff>
    </xdr:to>
    <xdr:sp macro="" textlink="">
      <xdr:nvSpPr>
        <xdr:cNvPr id="34" name="Rounded Rectangle 16">
          <a:extLst>
            <a:ext uri="{FF2B5EF4-FFF2-40B4-BE49-F238E27FC236}">
              <a16:creationId xmlns:a16="http://schemas.microsoft.com/office/drawing/2014/main" id="{00000000-0008-0000-0200-000022000000}"/>
            </a:ext>
          </a:extLst>
        </xdr:cNvPr>
        <xdr:cNvSpPr/>
      </xdr:nvSpPr>
      <xdr:spPr>
        <a:xfrm>
          <a:off x="283483" y="35986357"/>
          <a:ext cx="2818946" cy="410935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200" b="1">
              <a:solidFill>
                <a:sysClr val="windowText" lastClr="000000"/>
              </a:solidFill>
            </a:rPr>
            <a:t>Instructions: We are now identifying the amount</a:t>
          </a:r>
          <a:r>
            <a:rPr lang="en-US" sz="1200" b="1" baseline="0">
              <a:solidFill>
                <a:sysClr val="windowText" lastClr="000000"/>
              </a:solidFill>
            </a:rPr>
            <a:t> and types of financing</a:t>
          </a:r>
        </a:p>
        <a:p>
          <a:pPr algn="l"/>
          <a:endParaRPr lang="en-US" sz="1200" b="1" baseline="0">
            <a:solidFill>
              <a:sysClr val="windowText" lastClr="000000"/>
            </a:solidFill>
          </a:endParaRPr>
        </a:p>
        <a:p>
          <a:pPr algn="l"/>
          <a:r>
            <a:rPr lang="en-US" sz="1200" b="0" baseline="0">
              <a:solidFill>
                <a:sysClr val="windowText" lastClr="000000"/>
              </a:solidFill>
            </a:rPr>
            <a:t>The left side represents the total assets (invested capital) to be funded as CAPEX + WCR</a:t>
          </a:r>
        </a:p>
        <a:p>
          <a:pPr algn="l"/>
          <a:endParaRPr lang="en-US" sz="1200" b="0" baseline="0">
            <a:solidFill>
              <a:sysClr val="windowText" lastClr="000000"/>
            </a:solidFill>
          </a:endParaRPr>
        </a:p>
        <a:p>
          <a:pPr algn="l"/>
          <a:r>
            <a:rPr lang="en-US" sz="1200" b="0" baseline="0">
              <a:solidFill>
                <a:sysClr val="windowText" lastClr="000000"/>
              </a:solidFill>
            </a:rPr>
            <a:t>The percentage of equity financing is available in the assumptions sheet. </a:t>
          </a:r>
        </a:p>
        <a:p>
          <a:pPr algn="l"/>
          <a:endParaRPr lang="en-US" sz="1200" b="0" baseline="0">
            <a:solidFill>
              <a:sysClr val="windowText" lastClr="000000"/>
            </a:solidFill>
          </a:endParaRPr>
        </a:p>
        <a:p>
          <a:pPr algn="l"/>
          <a:r>
            <a:rPr lang="en-US" sz="1200" b="0" baseline="0">
              <a:solidFill>
                <a:sysClr val="windowText" lastClr="000000"/>
              </a:solidFill>
            </a:rPr>
            <a:t>This will enable you to calculate the amount of debt necessary for the project to fully fund your project at 100</a:t>
          </a:r>
          <a:r>
            <a:rPr lang="en-US" sz="1200" b="1" baseline="0">
              <a:solidFill>
                <a:sysClr val="windowText" lastClr="000000"/>
              </a:solidFill>
            </a:rPr>
            <a:t>%. </a:t>
          </a:r>
          <a:r>
            <a:rPr lang="en-US" sz="1200" b="1" baseline="0">
              <a:solidFill>
                <a:srgbClr val="C00000"/>
              </a:solidFill>
            </a:rPr>
            <a:t>To begin with, choose a 35% equity funding</a:t>
          </a:r>
          <a:r>
            <a:rPr lang="en-US" sz="1200" b="1" baseline="0">
              <a:solidFill>
                <a:sysClr val="windowText" lastClr="000000"/>
              </a:solidFill>
            </a:rPr>
            <a:t>.</a:t>
          </a:r>
        </a:p>
        <a:p>
          <a:pPr algn="l"/>
          <a:endParaRPr lang="en-US" sz="1200" b="0" baseline="0">
            <a:solidFill>
              <a:sysClr val="windowText" lastClr="000000"/>
            </a:solidFill>
          </a:endParaRPr>
        </a:p>
      </xdr:txBody>
    </xdr:sp>
    <xdr:clientData/>
  </xdr:twoCellAnchor>
  <xdr:twoCellAnchor>
    <xdr:from>
      <xdr:col>1</xdr:col>
      <xdr:colOff>87269</xdr:colOff>
      <xdr:row>190</xdr:row>
      <xdr:rowOff>10842</xdr:rowOff>
    </xdr:from>
    <xdr:to>
      <xdr:col>1</xdr:col>
      <xdr:colOff>2803070</xdr:colOff>
      <xdr:row>193</xdr:row>
      <xdr:rowOff>199570</xdr:rowOff>
    </xdr:to>
    <xdr:sp macro="" textlink="">
      <xdr:nvSpPr>
        <xdr:cNvPr id="35" name="Rounded Rectangle 16">
          <a:extLst>
            <a:ext uri="{FF2B5EF4-FFF2-40B4-BE49-F238E27FC236}">
              <a16:creationId xmlns:a16="http://schemas.microsoft.com/office/drawing/2014/main" id="{00000000-0008-0000-0200-000023000000}"/>
            </a:ext>
          </a:extLst>
        </xdr:cNvPr>
        <xdr:cNvSpPr/>
      </xdr:nvSpPr>
      <xdr:spPr>
        <a:xfrm>
          <a:off x="332198" y="40333342"/>
          <a:ext cx="2715801" cy="80558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Build the debt service schedule. </a:t>
          </a:r>
          <a:endParaRPr lang="en-US" sz="1400" b="1" baseline="0">
            <a:solidFill>
              <a:sysClr val="windowText" lastClr="000000"/>
            </a:solidFill>
          </a:endParaRPr>
        </a:p>
        <a:p>
          <a:pPr algn="l"/>
          <a:endParaRPr lang="en-US" sz="1400" b="1" baseline="0">
            <a:solidFill>
              <a:sysClr val="windowText" lastClr="000000"/>
            </a:solidFill>
          </a:endParaRPr>
        </a:p>
        <a:p>
          <a:pPr algn="l"/>
          <a:endParaRPr lang="en-US" sz="1400" b="0" baseline="0">
            <a:solidFill>
              <a:sysClr val="windowText" lastClr="000000"/>
            </a:solidFill>
          </a:endParaRPr>
        </a:p>
      </xdr:txBody>
    </xdr:sp>
    <xdr:clientData/>
  </xdr:twoCellAnchor>
  <xdr:twoCellAnchor>
    <xdr:from>
      <xdr:col>1</xdr:col>
      <xdr:colOff>-1</xdr:colOff>
      <xdr:row>198</xdr:row>
      <xdr:rowOff>36286</xdr:rowOff>
    </xdr:from>
    <xdr:to>
      <xdr:col>10</xdr:col>
      <xdr:colOff>199570</xdr:colOff>
      <xdr:row>203</xdr:row>
      <xdr:rowOff>81643</xdr:rowOff>
    </xdr:to>
    <xdr:sp macro="" textlink="">
      <xdr:nvSpPr>
        <xdr:cNvPr id="36" name="Rounded Rectangle 16">
          <a:extLst>
            <a:ext uri="{FF2B5EF4-FFF2-40B4-BE49-F238E27FC236}">
              <a16:creationId xmlns:a16="http://schemas.microsoft.com/office/drawing/2014/main" id="{00000000-0008-0000-0200-000024000000}"/>
            </a:ext>
          </a:extLst>
        </xdr:cNvPr>
        <xdr:cNvSpPr/>
      </xdr:nvSpPr>
      <xdr:spPr>
        <a:xfrm>
          <a:off x="244928" y="41973500"/>
          <a:ext cx="14768285" cy="1043214"/>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Calculate the free cash flows to equity (FCFE). </a:t>
          </a:r>
        </a:p>
        <a:p>
          <a:pPr algn="l"/>
          <a:r>
            <a:rPr lang="en-US" sz="1400" b="1">
              <a:solidFill>
                <a:sysClr val="windowText" lastClr="000000"/>
              </a:solidFill>
            </a:rPr>
            <a:t>In spite of the seven-year debt service schedule, in</a:t>
          </a:r>
          <a:r>
            <a:rPr lang="en-US" sz="1400" b="1" baseline="0">
              <a:solidFill>
                <a:sysClr val="windowText" lastClr="000000"/>
              </a:solidFill>
            </a:rPr>
            <a:t> order to calculate FCFE assume amortization of the debt remaining amount during the last year of the project.</a:t>
          </a:r>
          <a:endParaRPr lang="en-US" sz="1400" b="1">
            <a:solidFill>
              <a:sysClr val="windowText" lastClr="000000"/>
            </a:solidFill>
          </a:endParaRPr>
        </a:p>
      </xdr:txBody>
    </xdr:sp>
    <xdr:clientData/>
  </xdr:twoCellAnchor>
  <xdr:twoCellAnchor>
    <xdr:from>
      <xdr:col>8</xdr:col>
      <xdr:colOff>199571</xdr:colOff>
      <xdr:row>121</xdr:row>
      <xdr:rowOff>172923</xdr:rowOff>
    </xdr:from>
    <xdr:to>
      <xdr:col>9</xdr:col>
      <xdr:colOff>1112072</xdr:colOff>
      <xdr:row>124</xdr:row>
      <xdr:rowOff>145937</xdr:rowOff>
    </xdr:to>
    <xdr:sp macro="" textlink="">
      <xdr:nvSpPr>
        <xdr:cNvPr id="37" name="Rounded Rectangle 11">
          <a:hlinkClick xmlns:r="http://schemas.openxmlformats.org/officeDocument/2006/relationships" r:id="rId3"/>
          <a:extLst>
            <a:ext uri="{FF2B5EF4-FFF2-40B4-BE49-F238E27FC236}">
              <a16:creationId xmlns:a16="http://schemas.microsoft.com/office/drawing/2014/main" id="{00000000-0008-0000-0200-000025000000}"/>
            </a:ext>
          </a:extLst>
        </xdr:cNvPr>
        <xdr:cNvSpPr/>
      </xdr:nvSpPr>
      <xdr:spPr>
        <a:xfrm>
          <a:off x="11792857" y="24974209"/>
          <a:ext cx="2318572" cy="571728"/>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how to calculate NPV on Excel (2)</a:t>
          </a:r>
        </a:p>
      </xdr:txBody>
    </xdr:sp>
    <xdr:clientData/>
  </xdr:twoCellAnchor>
  <xdr:twoCellAnchor>
    <xdr:from>
      <xdr:col>6</xdr:col>
      <xdr:colOff>291041</xdr:colOff>
      <xdr:row>128</xdr:row>
      <xdr:rowOff>30691</xdr:rowOff>
    </xdr:from>
    <xdr:to>
      <xdr:col>9</xdr:col>
      <xdr:colOff>952500</xdr:colOff>
      <xdr:row>130</xdr:row>
      <xdr:rowOff>189918</xdr:rowOff>
    </xdr:to>
    <xdr:sp macro="" textlink="">
      <xdr:nvSpPr>
        <xdr:cNvPr id="40" name="Rounded Rectangle 11">
          <a:hlinkClick xmlns:r="http://schemas.openxmlformats.org/officeDocument/2006/relationships" r:id="rId4"/>
          <a:extLst>
            <a:ext uri="{FF2B5EF4-FFF2-40B4-BE49-F238E27FC236}">
              <a16:creationId xmlns:a16="http://schemas.microsoft.com/office/drawing/2014/main" id="{00000000-0008-0000-0200-000028000000}"/>
            </a:ext>
          </a:extLst>
        </xdr:cNvPr>
        <xdr:cNvSpPr/>
      </xdr:nvSpPr>
      <xdr:spPr>
        <a:xfrm>
          <a:off x="9652755" y="24831977"/>
          <a:ext cx="4299102" cy="558370"/>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how to calculate  the Payback on Excel</a:t>
          </a:r>
        </a:p>
      </xdr:txBody>
    </xdr:sp>
    <xdr:clientData/>
  </xdr:twoCellAnchor>
  <xdr:twoCellAnchor>
    <xdr:from>
      <xdr:col>6</xdr:col>
      <xdr:colOff>299358</xdr:colOff>
      <xdr:row>131</xdr:row>
      <xdr:rowOff>38136</xdr:rowOff>
    </xdr:from>
    <xdr:to>
      <xdr:col>9</xdr:col>
      <xdr:colOff>972459</xdr:colOff>
      <xdr:row>133</xdr:row>
      <xdr:rowOff>63500</xdr:rowOff>
    </xdr:to>
    <xdr:sp macro="" textlink="">
      <xdr:nvSpPr>
        <xdr:cNvPr id="41" name="Rounded Rectangle 11">
          <a:hlinkClick xmlns:r="http://schemas.openxmlformats.org/officeDocument/2006/relationships" r:id="rId5"/>
          <a:extLst>
            <a:ext uri="{FF2B5EF4-FFF2-40B4-BE49-F238E27FC236}">
              <a16:creationId xmlns:a16="http://schemas.microsoft.com/office/drawing/2014/main" id="{00000000-0008-0000-0200-000029000000}"/>
            </a:ext>
          </a:extLst>
        </xdr:cNvPr>
        <xdr:cNvSpPr/>
      </xdr:nvSpPr>
      <xdr:spPr>
        <a:xfrm>
          <a:off x="9661072" y="25492565"/>
          <a:ext cx="4310744" cy="533364"/>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about the Payback period</a:t>
          </a:r>
        </a:p>
      </xdr:txBody>
    </xdr:sp>
    <xdr:clientData/>
  </xdr:twoCellAnchor>
  <xdr:twoCellAnchor>
    <xdr:from>
      <xdr:col>1</xdr:col>
      <xdr:colOff>30617</xdr:colOff>
      <xdr:row>250</xdr:row>
      <xdr:rowOff>86745</xdr:rowOff>
    </xdr:from>
    <xdr:to>
      <xdr:col>1</xdr:col>
      <xdr:colOff>2558143</xdr:colOff>
      <xdr:row>263</xdr:row>
      <xdr:rowOff>77219</xdr:rowOff>
    </xdr:to>
    <xdr:sp macro="" textlink="">
      <xdr:nvSpPr>
        <xdr:cNvPr id="45" name="Rounded Rectangle 16">
          <a:extLst>
            <a:ext uri="{FF2B5EF4-FFF2-40B4-BE49-F238E27FC236}">
              <a16:creationId xmlns:a16="http://schemas.microsoft.com/office/drawing/2014/main" id="{00000000-0008-0000-0200-00002D000000}"/>
            </a:ext>
          </a:extLst>
        </xdr:cNvPr>
        <xdr:cNvSpPr/>
      </xdr:nvSpPr>
      <xdr:spPr>
        <a:xfrm>
          <a:off x="275546" y="47058602"/>
          <a:ext cx="2527526" cy="2584903"/>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fr-FR" sz="1600" b="1">
              <a:solidFill>
                <a:sysClr val="windowText" lastClr="000000"/>
              </a:solidFill>
            </a:rPr>
            <a:t>Calculations are already done in this section. Nothing to do!</a:t>
          </a:r>
          <a:endParaRPr lang="en-US" sz="1600" b="0" baseline="0">
            <a:solidFill>
              <a:sysClr val="windowText" lastClr="000000"/>
            </a:solidFill>
          </a:endParaRPr>
        </a:p>
      </xdr:txBody>
    </xdr:sp>
    <xdr:clientData/>
  </xdr:twoCellAnchor>
  <xdr:twoCellAnchor editAs="oneCell">
    <xdr:from>
      <xdr:col>1</xdr:col>
      <xdr:colOff>162152</xdr:colOff>
      <xdr:row>104</xdr:row>
      <xdr:rowOff>181429</xdr:rowOff>
    </xdr:from>
    <xdr:to>
      <xdr:col>1</xdr:col>
      <xdr:colOff>1591219</xdr:colOff>
      <xdr:row>111</xdr:row>
      <xdr:rowOff>75161</xdr:rowOff>
    </xdr:to>
    <xdr:pic>
      <xdr:nvPicPr>
        <xdr:cNvPr id="48" name="Picture 47" descr="Get Ready! Quiz Time – Applications sur Google Play">
          <a:hlinkClick xmlns:r="http://schemas.openxmlformats.org/officeDocument/2006/relationships" r:id="rId6"/>
          <a:extLst>
            <a:ext uri="{FF2B5EF4-FFF2-40B4-BE49-F238E27FC236}">
              <a16:creationId xmlns:a16="http://schemas.microsoft.com/office/drawing/2014/main" id="{00000000-0008-0000-0200-000030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07081" y="21680715"/>
          <a:ext cx="1432242" cy="1290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81644</xdr:colOff>
      <xdr:row>76</xdr:row>
      <xdr:rowOff>108442</xdr:rowOff>
    </xdr:from>
    <xdr:to>
      <xdr:col>10</xdr:col>
      <xdr:colOff>1</xdr:colOff>
      <xdr:row>79</xdr:row>
      <xdr:rowOff>93680</xdr:rowOff>
    </xdr:to>
    <xdr:sp macro="" textlink="">
      <xdr:nvSpPr>
        <xdr:cNvPr id="49" name="Rounded Rectangle 11">
          <a:hlinkClick xmlns:r="http://schemas.openxmlformats.org/officeDocument/2006/relationships" r:id="rId8"/>
          <a:extLst>
            <a:ext uri="{FF2B5EF4-FFF2-40B4-BE49-F238E27FC236}">
              <a16:creationId xmlns:a16="http://schemas.microsoft.com/office/drawing/2014/main" id="{00000000-0008-0000-0200-000031000000}"/>
            </a:ext>
          </a:extLst>
        </xdr:cNvPr>
        <xdr:cNvSpPr/>
      </xdr:nvSpPr>
      <xdr:spPr>
        <a:xfrm>
          <a:off x="7239001" y="15729442"/>
          <a:ext cx="6948714" cy="583952"/>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600" b="1">
              <a:solidFill>
                <a:sysClr val="windowText" lastClr="000000"/>
              </a:solidFill>
              <a:effectLst/>
              <a:latin typeface="+mn-lt"/>
              <a:ea typeface="+mn-ea"/>
              <a:cs typeface="+mn-cs"/>
              <a:sym typeface="Wingdings" panose="05000000000000000000" pitchFamily="2" charset="2"/>
            </a:rPr>
            <a:t></a:t>
          </a:r>
          <a:r>
            <a:rPr lang="en-US" sz="1600" b="1">
              <a:solidFill>
                <a:sysClr val="windowText" lastClr="000000"/>
              </a:solidFill>
              <a:effectLst/>
              <a:latin typeface="+mn-lt"/>
              <a:ea typeface="+mn-ea"/>
              <a:cs typeface="+mn-cs"/>
            </a:rPr>
            <a:t>  </a:t>
          </a:r>
          <a:r>
            <a:rPr lang="en-US" sz="1100" b="1">
              <a:solidFill>
                <a:sysClr val="windowText" lastClr="000000"/>
              </a:solidFill>
              <a:effectLst/>
              <a:latin typeface="+mn-lt"/>
              <a:ea typeface="+mn-ea"/>
              <a:cs typeface="+mn-cs"/>
            </a:rPr>
            <a:t> </a:t>
          </a:r>
          <a:r>
            <a:rPr lang="en-US" sz="1200" b="1">
              <a:solidFill>
                <a:sysClr val="windowText" lastClr="000000"/>
              </a:solidFill>
            </a:rPr>
            <a:t>Click here to learn about </a:t>
          </a:r>
          <a:r>
            <a:rPr lang="en-US" sz="1200" b="1" baseline="0">
              <a:solidFill>
                <a:sysClr val="windowText" lastClr="000000"/>
              </a:solidFill>
            </a:rPr>
            <a:t>free cash flows</a:t>
          </a:r>
          <a:endParaRPr lang="en-US" sz="1200" b="1">
            <a:solidFill>
              <a:sysClr val="windowText" lastClr="000000"/>
            </a:solidFill>
          </a:endParaRPr>
        </a:p>
      </xdr:txBody>
    </xdr:sp>
    <xdr:clientData/>
  </xdr:twoCellAnchor>
  <xdr:twoCellAnchor editAs="oneCell">
    <xdr:from>
      <xdr:col>1</xdr:col>
      <xdr:colOff>2130651</xdr:colOff>
      <xdr:row>160</xdr:row>
      <xdr:rowOff>166121</xdr:rowOff>
    </xdr:from>
    <xdr:to>
      <xdr:col>2</xdr:col>
      <xdr:colOff>274895</xdr:colOff>
      <xdr:row>165</xdr:row>
      <xdr:rowOff>240804</xdr:rowOff>
    </xdr:to>
    <xdr:pic>
      <xdr:nvPicPr>
        <xdr:cNvPr id="50" name="Picture 49" descr="Get Ready! Quiz Time – Applications sur Google Play">
          <a:hlinkClick xmlns:r="http://schemas.openxmlformats.org/officeDocument/2006/relationships" r:id="rId9"/>
          <a:extLst>
            <a:ext uri="{FF2B5EF4-FFF2-40B4-BE49-F238E27FC236}">
              <a16:creationId xmlns:a16="http://schemas.microsoft.com/office/drawing/2014/main" id="{00000000-0008-0000-0200-000032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375580" y="33322192"/>
          <a:ext cx="1394990" cy="1287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1724705</xdr:colOff>
      <xdr:row>240</xdr:row>
      <xdr:rowOff>118292</xdr:rowOff>
    </xdr:from>
    <xdr:to>
      <xdr:col>2</xdr:col>
      <xdr:colOff>1633</xdr:colOff>
      <xdr:row>247</xdr:row>
      <xdr:rowOff>9482</xdr:rowOff>
    </xdr:to>
    <xdr:pic>
      <xdr:nvPicPr>
        <xdr:cNvPr id="51" name="Picture 50" descr="Get Ready! Quiz Time – Applications sur Google Play">
          <a:hlinkClick xmlns:r="http://schemas.openxmlformats.org/officeDocument/2006/relationships" r:id="rId10"/>
          <a:extLst>
            <a:ext uri="{FF2B5EF4-FFF2-40B4-BE49-F238E27FC236}">
              <a16:creationId xmlns:a16="http://schemas.microsoft.com/office/drawing/2014/main" id="{00000000-0008-0000-0200-000033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969634" y="48967935"/>
          <a:ext cx="1515428" cy="1285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108401</xdr:colOff>
      <xdr:row>295</xdr:row>
      <xdr:rowOff>169937</xdr:rowOff>
    </xdr:from>
    <xdr:to>
      <xdr:col>11</xdr:col>
      <xdr:colOff>190499</xdr:colOff>
      <xdr:row>299</xdr:row>
      <xdr:rowOff>62318</xdr:rowOff>
    </xdr:to>
    <xdr:sp macro="" textlink="">
      <xdr:nvSpPr>
        <xdr:cNvPr id="52" name="Rounded Rectangle 16">
          <a:extLst>
            <a:ext uri="{FF2B5EF4-FFF2-40B4-BE49-F238E27FC236}">
              <a16:creationId xmlns:a16="http://schemas.microsoft.com/office/drawing/2014/main" id="{00000000-0008-0000-0200-000034000000}"/>
            </a:ext>
          </a:extLst>
        </xdr:cNvPr>
        <xdr:cNvSpPr/>
      </xdr:nvSpPr>
      <xdr:spPr>
        <a:xfrm>
          <a:off x="108401" y="56122508"/>
          <a:ext cx="15630527" cy="690667"/>
        </a:xfrm>
        <a:prstGeom prst="roundRect">
          <a:avLst/>
        </a:prstGeom>
        <a:solidFill>
          <a:srgbClr val="FF0066"/>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fr-FR" sz="1600" b="1">
              <a:solidFill>
                <a:schemeClr val="bg1"/>
              </a:solidFill>
            </a:rPr>
            <a:t>Bonus points</a:t>
          </a:r>
        </a:p>
      </xdr:txBody>
    </xdr:sp>
    <xdr:clientData/>
  </xdr:twoCellAnchor>
  <xdr:twoCellAnchor>
    <xdr:from>
      <xdr:col>0</xdr:col>
      <xdr:colOff>196566</xdr:colOff>
      <xdr:row>17</xdr:row>
      <xdr:rowOff>131837</xdr:rowOff>
    </xdr:from>
    <xdr:to>
      <xdr:col>2</xdr:col>
      <xdr:colOff>2083422</xdr:colOff>
      <xdr:row>21</xdr:row>
      <xdr:rowOff>81037</xdr:rowOff>
    </xdr:to>
    <xdr:sp macro="" textlink="">
      <xdr:nvSpPr>
        <xdr:cNvPr id="54" name="Rounded Rectangle 16">
          <a:hlinkClick xmlns:r="http://schemas.openxmlformats.org/officeDocument/2006/relationships" r:id="rId11"/>
          <a:extLst>
            <a:ext uri="{FF2B5EF4-FFF2-40B4-BE49-F238E27FC236}">
              <a16:creationId xmlns:a16="http://schemas.microsoft.com/office/drawing/2014/main" id="{00000000-0008-0000-0200-000036000000}"/>
            </a:ext>
          </a:extLst>
        </xdr:cNvPr>
        <xdr:cNvSpPr/>
      </xdr:nvSpPr>
      <xdr:spPr>
        <a:xfrm>
          <a:off x="196566" y="3899504"/>
          <a:ext cx="5696856" cy="753533"/>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marL="0" indent="0" algn="ctr"/>
          <a:r>
            <a:rPr lang="en-US" sz="1200" b="1">
              <a:solidFill>
                <a:sysClr val="windowText" lastClr="000000"/>
              </a:solidFill>
              <a:latin typeface="+mn-lt"/>
              <a:ea typeface="+mn-ea"/>
              <a:cs typeface="+mn-cs"/>
              <a:sym typeface="Wingdings" panose="05000000000000000000" pitchFamily="2" charset="2"/>
            </a:rPr>
            <a:t> </a:t>
          </a:r>
          <a:r>
            <a:rPr lang="en-US" sz="1200" b="1">
              <a:solidFill>
                <a:sysClr val="windowText" lastClr="000000"/>
              </a:solidFill>
              <a:latin typeface="+mn-lt"/>
              <a:ea typeface="+mn-ea"/>
              <a:cs typeface="+mn-cs"/>
            </a:rPr>
            <a:t> Click here to see DEPRECIATION CALCULATION ON EXCEL</a:t>
          </a:r>
          <a:br>
            <a:rPr lang="en-US" sz="1200" b="1">
              <a:solidFill>
                <a:sysClr val="windowText" lastClr="000000"/>
              </a:solidFill>
              <a:latin typeface="+mn-lt"/>
              <a:ea typeface="+mn-ea"/>
              <a:cs typeface="+mn-cs"/>
            </a:rPr>
          </a:br>
          <a:r>
            <a:rPr lang="en-US" sz="1200" b="1">
              <a:solidFill>
                <a:sysClr val="windowText" lastClr="000000"/>
              </a:solidFill>
              <a:latin typeface="+mn-lt"/>
              <a:ea typeface="+mn-ea"/>
              <a:cs typeface="+mn-cs"/>
            </a:rPr>
            <a:t>See the video on straight line depreciation with a terminal value</a:t>
          </a:r>
        </a:p>
      </xdr:txBody>
    </xdr:sp>
    <xdr:clientData/>
  </xdr:twoCellAnchor>
  <xdr:twoCellAnchor>
    <xdr:from>
      <xdr:col>0</xdr:col>
      <xdr:colOff>181429</xdr:colOff>
      <xdr:row>43</xdr:row>
      <xdr:rowOff>190500</xdr:rowOff>
    </xdr:from>
    <xdr:to>
      <xdr:col>1</xdr:col>
      <xdr:colOff>2957285</xdr:colOff>
      <xdr:row>49</xdr:row>
      <xdr:rowOff>172358</xdr:rowOff>
    </xdr:to>
    <xdr:sp macro="" textlink="">
      <xdr:nvSpPr>
        <xdr:cNvPr id="47" name="Rounded Rectangle 16">
          <a:extLst>
            <a:ext uri="{FF2B5EF4-FFF2-40B4-BE49-F238E27FC236}">
              <a16:creationId xmlns:a16="http://schemas.microsoft.com/office/drawing/2014/main" id="{00000000-0008-0000-0200-00002F000000}"/>
            </a:ext>
          </a:extLst>
        </xdr:cNvPr>
        <xdr:cNvSpPr/>
      </xdr:nvSpPr>
      <xdr:spPr>
        <a:xfrm>
          <a:off x="181429" y="8826500"/>
          <a:ext cx="3020785" cy="117928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 Build the P&amp;L</a:t>
          </a:r>
          <a:endParaRPr lang="en-US" sz="1400" b="0">
            <a:solidFill>
              <a:sysClr val="windowText" lastClr="000000"/>
            </a:solidFill>
          </a:endParaRPr>
        </a:p>
      </xdr:txBody>
    </xdr:sp>
    <xdr:clientData/>
  </xdr:twoCellAnchor>
  <xdr:twoCellAnchor>
    <xdr:from>
      <xdr:col>5</xdr:col>
      <xdr:colOff>54428</xdr:colOff>
      <xdr:row>57</xdr:row>
      <xdr:rowOff>81642</xdr:rowOff>
    </xdr:from>
    <xdr:to>
      <xdr:col>10</xdr:col>
      <xdr:colOff>63500</xdr:colOff>
      <xdr:row>58</xdr:row>
      <xdr:rowOff>179917</xdr:rowOff>
    </xdr:to>
    <xdr:sp macro="" textlink="">
      <xdr:nvSpPr>
        <xdr:cNvPr id="56" name="Rounded Rectangle 11">
          <a:hlinkClick xmlns:r="http://schemas.openxmlformats.org/officeDocument/2006/relationships" r:id="rId12"/>
          <a:extLst>
            <a:ext uri="{FF2B5EF4-FFF2-40B4-BE49-F238E27FC236}">
              <a16:creationId xmlns:a16="http://schemas.microsoft.com/office/drawing/2014/main" id="{00000000-0008-0000-0200-000038000000}"/>
            </a:ext>
          </a:extLst>
        </xdr:cNvPr>
        <xdr:cNvSpPr/>
      </xdr:nvSpPr>
      <xdr:spPr>
        <a:xfrm>
          <a:off x="9039678" y="12167809"/>
          <a:ext cx="4877405" cy="405191"/>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600" b="1">
              <a:solidFill>
                <a:sysClr val="windowText" lastClr="000000"/>
              </a:solidFill>
              <a:effectLst/>
              <a:latin typeface="+mn-lt"/>
              <a:ea typeface="+mn-ea"/>
              <a:cs typeface="+mn-cs"/>
              <a:sym typeface="Wingdings" panose="05000000000000000000" pitchFamily="2" charset="2"/>
            </a:rPr>
            <a:t></a:t>
          </a:r>
          <a:r>
            <a:rPr lang="en-US" sz="1600" b="1">
              <a:solidFill>
                <a:sysClr val="windowText" lastClr="000000"/>
              </a:solidFill>
              <a:effectLst/>
              <a:latin typeface="+mn-lt"/>
              <a:ea typeface="+mn-ea"/>
              <a:cs typeface="+mn-cs"/>
            </a:rPr>
            <a:t>  </a:t>
          </a:r>
          <a:r>
            <a:rPr lang="en-US" sz="1100" b="1">
              <a:solidFill>
                <a:sysClr val="windowText" lastClr="000000"/>
              </a:solidFill>
              <a:effectLst/>
              <a:latin typeface="+mn-lt"/>
              <a:ea typeface="+mn-ea"/>
              <a:cs typeface="+mn-cs"/>
            </a:rPr>
            <a:t> </a:t>
          </a:r>
          <a:r>
            <a:rPr lang="en-US" sz="1200" b="1">
              <a:solidFill>
                <a:sysClr val="windowText" lastClr="000000"/>
              </a:solidFill>
            </a:rPr>
            <a:t>Click here to learn about </a:t>
          </a:r>
          <a:r>
            <a:rPr lang="en-US" sz="1200" b="1" baseline="0">
              <a:solidFill>
                <a:sysClr val="windowText" lastClr="000000"/>
              </a:solidFill>
            </a:rPr>
            <a:t>working capital requirements </a:t>
          </a:r>
          <a:endParaRPr lang="en-US" sz="1200" b="1">
            <a:solidFill>
              <a:sysClr val="windowText" lastClr="000000"/>
            </a:solidFill>
          </a:endParaRPr>
        </a:p>
      </xdr:txBody>
    </xdr:sp>
    <xdr:clientData/>
  </xdr:twoCellAnchor>
  <xdr:twoCellAnchor>
    <xdr:from>
      <xdr:col>1</xdr:col>
      <xdr:colOff>72573</xdr:colOff>
      <xdr:row>206</xdr:row>
      <xdr:rowOff>18143</xdr:rowOff>
    </xdr:from>
    <xdr:to>
      <xdr:col>1</xdr:col>
      <xdr:colOff>2893787</xdr:colOff>
      <xdr:row>208</xdr:row>
      <xdr:rowOff>176970</xdr:rowOff>
    </xdr:to>
    <xdr:sp macro="" textlink="">
      <xdr:nvSpPr>
        <xdr:cNvPr id="57" name="Rounded Rectangle 11">
          <a:hlinkClick xmlns:r="http://schemas.openxmlformats.org/officeDocument/2006/relationships" r:id="rId13"/>
          <a:extLst>
            <a:ext uri="{FF2B5EF4-FFF2-40B4-BE49-F238E27FC236}">
              <a16:creationId xmlns:a16="http://schemas.microsoft.com/office/drawing/2014/main" id="{00000000-0008-0000-0200-000039000000}"/>
            </a:ext>
          </a:extLst>
        </xdr:cNvPr>
        <xdr:cNvSpPr/>
      </xdr:nvSpPr>
      <xdr:spPr>
        <a:xfrm>
          <a:off x="317502" y="43751500"/>
          <a:ext cx="2821214" cy="557970"/>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more about FCFE</a:t>
          </a:r>
        </a:p>
      </xdr:txBody>
    </xdr:sp>
    <xdr:clientData/>
  </xdr:twoCellAnchor>
  <xdr:twoCellAnchor>
    <xdr:from>
      <xdr:col>1</xdr:col>
      <xdr:colOff>18143</xdr:colOff>
      <xdr:row>219</xdr:row>
      <xdr:rowOff>163287</xdr:rowOff>
    </xdr:from>
    <xdr:to>
      <xdr:col>1</xdr:col>
      <xdr:colOff>2839357</xdr:colOff>
      <xdr:row>222</xdr:row>
      <xdr:rowOff>122542</xdr:rowOff>
    </xdr:to>
    <xdr:sp macro="" textlink="">
      <xdr:nvSpPr>
        <xdr:cNvPr id="58" name="Rounded Rectangle 11">
          <a:hlinkClick xmlns:r="http://schemas.openxmlformats.org/officeDocument/2006/relationships" r:id="rId14"/>
          <a:extLst>
            <a:ext uri="{FF2B5EF4-FFF2-40B4-BE49-F238E27FC236}">
              <a16:creationId xmlns:a16="http://schemas.microsoft.com/office/drawing/2014/main" id="{00000000-0008-0000-0200-00003A000000}"/>
            </a:ext>
          </a:extLst>
        </xdr:cNvPr>
        <xdr:cNvSpPr/>
      </xdr:nvSpPr>
      <xdr:spPr>
        <a:xfrm>
          <a:off x="263072" y="46527358"/>
          <a:ext cx="2821214" cy="557970"/>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more about Equity IRR</a:t>
          </a:r>
        </a:p>
      </xdr:txBody>
    </xdr:sp>
    <xdr:clientData/>
  </xdr:twoCellAnchor>
  <xdr:twoCellAnchor>
    <xdr:from>
      <xdr:col>1</xdr:col>
      <xdr:colOff>18144</xdr:colOff>
      <xdr:row>223</xdr:row>
      <xdr:rowOff>108858</xdr:rowOff>
    </xdr:from>
    <xdr:to>
      <xdr:col>1</xdr:col>
      <xdr:colOff>2875644</xdr:colOff>
      <xdr:row>228</xdr:row>
      <xdr:rowOff>45358</xdr:rowOff>
    </xdr:to>
    <xdr:sp macro="" textlink="">
      <xdr:nvSpPr>
        <xdr:cNvPr id="59" name="Rounded Rectangle 16">
          <a:extLst>
            <a:ext uri="{FF2B5EF4-FFF2-40B4-BE49-F238E27FC236}">
              <a16:creationId xmlns:a16="http://schemas.microsoft.com/office/drawing/2014/main" id="{00000000-0008-0000-0200-00003B000000}"/>
            </a:ext>
          </a:extLst>
        </xdr:cNvPr>
        <xdr:cNvSpPr/>
      </xdr:nvSpPr>
      <xdr:spPr>
        <a:xfrm>
          <a:off x="263073" y="47271215"/>
          <a:ext cx="2857500" cy="93435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Compare Equity IRR with Cost of Equity</a:t>
          </a:r>
        </a:p>
      </xdr:txBody>
    </xdr:sp>
    <xdr:clientData/>
  </xdr:twoCellAnchor>
  <xdr:twoCellAnchor>
    <xdr:from>
      <xdr:col>1</xdr:col>
      <xdr:colOff>18144</xdr:colOff>
      <xdr:row>215</xdr:row>
      <xdr:rowOff>181428</xdr:rowOff>
    </xdr:from>
    <xdr:to>
      <xdr:col>1</xdr:col>
      <xdr:colOff>2875644</xdr:colOff>
      <xdr:row>219</xdr:row>
      <xdr:rowOff>45358</xdr:rowOff>
    </xdr:to>
    <xdr:sp macro="" textlink="">
      <xdr:nvSpPr>
        <xdr:cNvPr id="60" name="Rounded Rectangle 16">
          <a:extLst>
            <a:ext uri="{FF2B5EF4-FFF2-40B4-BE49-F238E27FC236}">
              <a16:creationId xmlns:a16="http://schemas.microsoft.com/office/drawing/2014/main" id="{00000000-0008-0000-0200-00003C000000}"/>
            </a:ext>
          </a:extLst>
        </xdr:cNvPr>
        <xdr:cNvSpPr/>
      </xdr:nvSpPr>
      <xdr:spPr>
        <a:xfrm>
          <a:off x="263073" y="45747214"/>
          <a:ext cx="2857500" cy="66221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Calculate the Equity IRR</a:t>
          </a:r>
        </a:p>
      </xdr:txBody>
    </xdr:sp>
    <xdr:clientData/>
  </xdr:twoCellAnchor>
  <xdr:twoCellAnchor>
    <xdr:from>
      <xdr:col>1</xdr:col>
      <xdr:colOff>54428</xdr:colOff>
      <xdr:row>229</xdr:row>
      <xdr:rowOff>27214</xdr:rowOff>
    </xdr:from>
    <xdr:to>
      <xdr:col>1</xdr:col>
      <xdr:colOff>2875642</xdr:colOff>
      <xdr:row>231</xdr:row>
      <xdr:rowOff>186041</xdr:rowOff>
    </xdr:to>
    <xdr:sp macro="" textlink="">
      <xdr:nvSpPr>
        <xdr:cNvPr id="61" name="Rounded Rectangle 11">
          <a:hlinkClick xmlns:r="http://schemas.openxmlformats.org/officeDocument/2006/relationships" r:id="rId15"/>
          <a:extLst>
            <a:ext uri="{FF2B5EF4-FFF2-40B4-BE49-F238E27FC236}">
              <a16:creationId xmlns:a16="http://schemas.microsoft.com/office/drawing/2014/main" id="{00000000-0008-0000-0200-00003D000000}"/>
            </a:ext>
          </a:extLst>
        </xdr:cNvPr>
        <xdr:cNvSpPr/>
      </xdr:nvSpPr>
      <xdr:spPr>
        <a:xfrm>
          <a:off x="299357" y="48387000"/>
          <a:ext cx="2821214" cy="557970"/>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see Cost of Equity calc.</a:t>
          </a:r>
        </a:p>
      </xdr:txBody>
    </xdr:sp>
    <xdr:clientData/>
  </xdr:twoCellAnchor>
  <xdr:twoCellAnchor>
    <xdr:from>
      <xdr:col>1</xdr:col>
      <xdr:colOff>36285</xdr:colOff>
      <xdr:row>318</xdr:row>
      <xdr:rowOff>36287</xdr:rowOff>
    </xdr:from>
    <xdr:to>
      <xdr:col>2</xdr:col>
      <xdr:colOff>3174998</xdr:colOff>
      <xdr:row>320</xdr:row>
      <xdr:rowOff>172358</xdr:rowOff>
    </xdr:to>
    <xdr:sp macro="" textlink="">
      <xdr:nvSpPr>
        <xdr:cNvPr id="62" name="Rounded Rectangle 11">
          <a:hlinkClick xmlns:r="http://schemas.openxmlformats.org/officeDocument/2006/relationships" r:id="rId16"/>
          <a:extLst>
            <a:ext uri="{FF2B5EF4-FFF2-40B4-BE49-F238E27FC236}">
              <a16:creationId xmlns:a16="http://schemas.microsoft.com/office/drawing/2014/main" id="{00000000-0008-0000-0200-00003E000000}"/>
            </a:ext>
          </a:extLst>
        </xdr:cNvPr>
        <xdr:cNvSpPr/>
      </xdr:nvSpPr>
      <xdr:spPr>
        <a:xfrm>
          <a:off x="281214" y="61985073"/>
          <a:ext cx="6377213" cy="498928"/>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see Sensitivity calculation</a:t>
          </a:r>
        </a:p>
      </xdr:txBody>
    </xdr:sp>
    <xdr:clientData/>
  </xdr:twoCellAnchor>
  <xdr:twoCellAnchor>
    <xdr:from>
      <xdr:col>8</xdr:col>
      <xdr:colOff>816428</xdr:colOff>
      <xdr:row>150</xdr:row>
      <xdr:rowOff>106797</xdr:rowOff>
    </xdr:from>
    <xdr:to>
      <xdr:col>11</xdr:col>
      <xdr:colOff>821531</xdr:colOff>
      <xdr:row>153</xdr:row>
      <xdr:rowOff>66051</xdr:rowOff>
    </xdr:to>
    <xdr:sp macro="" textlink="">
      <xdr:nvSpPr>
        <xdr:cNvPr id="63" name="Rounded Rectangle 11">
          <a:hlinkClick xmlns:r="http://schemas.openxmlformats.org/officeDocument/2006/relationships" r:id="rId17"/>
          <a:extLst>
            <a:ext uri="{FF2B5EF4-FFF2-40B4-BE49-F238E27FC236}">
              <a16:creationId xmlns:a16="http://schemas.microsoft.com/office/drawing/2014/main" id="{00000000-0008-0000-0200-00003F000000}"/>
            </a:ext>
          </a:extLst>
        </xdr:cNvPr>
        <xdr:cNvSpPr/>
      </xdr:nvSpPr>
      <xdr:spPr>
        <a:xfrm>
          <a:off x="11805897" y="31741703"/>
          <a:ext cx="2279197" cy="566473"/>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how to calculate  IRR on Excel</a:t>
          </a:r>
        </a:p>
      </xdr:txBody>
    </xdr:sp>
    <xdr:clientData/>
  </xdr:twoCellAnchor>
  <xdr:twoCellAnchor>
    <xdr:from>
      <xdr:col>5</xdr:col>
      <xdr:colOff>261937</xdr:colOff>
      <xdr:row>150</xdr:row>
      <xdr:rowOff>105683</xdr:rowOff>
    </xdr:from>
    <xdr:to>
      <xdr:col>8</xdr:col>
      <xdr:colOff>599168</xdr:colOff>
      <xdr:row>153</xdr:row>
      <xdr:rowOff>88222</xdr:rowOff>
    </xdr:to>
    <xdr:sp macro="" textlink="">
      <xdr:nvSpPr>
        <xdr:cNvPr id="66" name="Rounded Rectangle 11">
          <a:hlinkClick xmlns:r="http://schemas.openxmlformats.org/officeDocument/2006/relationships" r:id="rId18"/>
          <a:extLst>
            <a:ext uri="{FF2B5EF4-FFF2-40B4-BE49-F238E27FC236}">
              <a16:creationId xmlns:a16="http://schemas.microsoft.com/office/drawing/2014/main" id="{00000000-0008-0000-0200-000042000000}"/>
            </a:ext>
          </a:extLst>
        </xdr:cNvPr>
        <xdr:cNvSpPr/>
      </xdr:nvSpPr>
      <xdr:spPr>
        <a:xfrm>
          <a:off x="8572500" y="31740589"/>
          <a:ext cx="3016137" cy="589758"/>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about IRR calculation</a:t>
          </a:r>
        </a:p>
      </xdr:txBody>
    </xdr:sp>
    <xdr:clientData/>
  </xdr:twoCellAnchor>
  <xdr:twoCellAnchor>
    <xdr:from>
      <xdr:col>2</xdr:col>
      <xdr:colOff>1631042</xdr:colOff>
      <xdr:row>1</xdr:row>
      <xdr:rowOff>175536</xdr:rowOff>
    </xdr:from>
    <xdr:to>
      <xdr:col>2</xdr:col>
      <xdr:colOff>3365499</xdr:colOff>
      <xdr:row>2</xdr:row>
      <xdr:rowOff>235858</xdr:rowOff>
    </xdr:to>
    <xdr:sp macro="" textlink="">
      <xdr:nvSpPr>
        <xdr:cNvPr id="53" name="Rounded Rectangle 16">
          <a:extLst>
            <a:ext uri="{FF2B5EF4-FFF2-40B4-BE49-F238E27FC236}">
              <a16:creationId xmlns:a16="http://schemas.microsoft.com/office/drawing/2014/main" id="{00000000-0008-0000-0200-000035000000}"/>
            </a:ext>
            <a:ext uri="{147F2762-F138-4A5C-976F-8EAC2B608ADB}">
              <a16:predDERef xmlns:a16="http://schemas.microsoft.com/office/drawing/2014/main" pred="{00000000-0008-0000-0200-000042000000}"/>
            </a:ext>
          </a:extLst>
        </xdr:cNvPr>
        <xdr:cNvSpPr/>
      </xdr:nvSpPr>
      <xdr:spPr>
        <a:xfrm>
          <a:off x="5123542" y="375107"/>
          <a:ext cx="1734457" cy="259894"/>
        </a:xfrm>
        <a:prstGeom prst="roundRect">
          <a:avLst/>
        </a:prstGeom>
        <a:solidFill>
          <a:schemeClr val="accent4">
            <a:lumMod val="40000"/>
            <a:lumOff val="60000"/>
          </a:schemeClr>
        </a:solidFill>
        <a:ln>
          <a:noFill/>
        </a:ln>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400" b="1" u="none">
              <a:solidFill>
                <a:sysClr val="windowText" lastClr="000000"/>
              </a:solidFill>
            </a:rPr>
            <a:t>=</a:t>
          </a:r>
          <a:r>
            <a:rPr lang="en-US" sz="1400" b="1" u="none" baseline="0">
              <a:solidFill>
                <a:sysClr val="windowText" lastClr="000000"/>
              </a:solidFill>
            </a:rPr>
            <a:t> </a:t>
          </a:r>
          <a:r>
            <a:rPr lang="en-US" sz="1400" b="1" u="none">
              <a:solidFill>
                <a:sysClr val="windowText" lastClr="000000"/>
              </a:solidFill>
            </a:rPr>
            <a:t>Instructions</a:t>
          </a:r>
        </a:p>
      </xdr:txBody>
    </xdr:sp>
    <xdr:clientData/>
  </xdr:twoCellAnchor>
  <xdr:twoCellAnchor>
    <xdr:from>
      <xdr:col>7</xdr:col>
      <xdr:colOff>281214</xdr:colOff>
      <xdr:row>2</xdr:row>
      <xdr:rowOff>1</xdr:rowOff>
    </xdr:from>
    <xdr:to>
      <xdr:col>10</xdr:col>
      <xdr:colOff>444500</xdr:colOff>
      <xdr:row>3</xdr:row>
      <xdr:rowOff>63500</xdr:rowOff>
    </xdr:to>
    <xdr:sp macro="" textlink="">
      <xdr:nvSpPr>
        <xdr:cNvPr id="55" name="Rounded Rectangle 16">
          <a:extLst>
            <a:ext uri="{FF2B5EF4-FFF2-40B4-BE49-F238E27FC236}">
              <a16:creationId xmlns:a16="http://schemas.microsoft.com/office/drawing/2014/main" id="{00000000-0008-0000-0200-000037000000}"/>
            </a:ext>
          </a:extLst>
        </xdr:cNvPr>
        <xdr:cNvSpPr/>
      </xdr:nvSpPr>
      <xdr:spPr>
        <a:xfrm>
          <a:off x="11384643" y="399144"/>
          <a:ext cx="3873500" cy="326570"/>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marL="0" indent="0" algn="ctr"/>
          <a:r>
            <a:rPr lang="en-US" sz="1200" b="1">
              <a:solidFill>
                <a:sysClr val="windowText" lastClr="000000"/>
              </a:solidFill>
              <a:latin typeface="+mn-lt"/>
              <a:ea typeface="+mn-ea"/>
              <a:cs typeface="+mn-cs"/>
              <a:sym typeface="Wingdings" panose="05000000000000000000" pitchFamily="2" charset="2"/>
            </a:rPr>
            <a:t>Videos or explanations</a:t>
          </a:r>
          <a:r>
            <a:rPr lang="en-US" sz="1200" b="1" baseline="0">
              <a:solidFill>
                <a:sysClr val="windowText" lastClr="000000"/>
              </a:solidFill>
              <a:latin typeface="+mn-lt"/>
              <a:ea typeface="+mn-ea"/>
              <a:cs typeface="+mn-cs"/>
              <a:sym typeface="Wingdings" panose="05000000000000000000" pitchFamily="2" charset="2"/>
            </a:rPr>
            <a:t> </a:t>
          </a:r>
          <a:r>
            <a:rPr lang="en-US" sz="1200" b="1">
              <a:solidFill>
                <a:sysClr val="windowText" lastClr="000000"/>
              </a:solidFill>
              <a:latin typeface="+mn-lt"/>
              <a:ea typeface="+mn-ea"/>
              <a:cs typeface="+mn-cs"/>
              <a:sym typeface="Wingdings" panose="05000000000000000000" pitchFamily="2" charset="2"/>
            </a:rPr>
            <a:t>- It is vital to look at them!</a:t>
          </a:r>
          <a:endParaRPr lang="en-US" sz="1200" b="1">
            <a:solidFill>
              <a:sysClr val="windowText" lastClr="000000"/>
            </a:solidFill>
            <a:latin typeface="+mn-lt"/>
            <a:ea typeface="+mn-ea"/>
            <a:cs typeface="+mn-cs"/>
          </a:endParaRPr>
        </a:p>
      </xdr:txBody>
    </xdr:sp>
    <xdr:clientData/>
  </xdr:twoCellAnchor>
  <xdr:twoCellAnchor editAs="oneCell">
    <xdr:from>
      <xdr:col>1</xdr:col>
      <xdr:colOff>852715</xdr:colOff>
      <xdr:row>326</xdr:row>
      <xdr:rowOff>106590</xdr:rowOff>
    </xdr:from>
    <xdr:to>
      <xdr:col>1</xdr:col>
      <xdr:colOff>2372905</xdr:colOff>
      <xdr:row>333</xdr:row>
      <xdr:rowOff>120699</xdr:rowOff>
    </xdr:to>
    <xdr:pic>
      <xdr:nvPicPr>
        <xdr:cNvPr id="67" name="Picture 66" descr="Get Ready! Quiz Time – Applications sur Google Play">
          <a:hlinkClick xmlns:r="http://schemas.openxmlformats.org/officeDocument/2006/relationships" r:id="rId19"/>
          <a:extLst>
            <a:ext uri="{FF2B5EF4-FFF2-40B4-BE49-F238E27FC236}">
              <a16:creationId xmlns:a16="http://schemas.microsoft.com/office/drawing/2014/main" id="{00000000-0008-0000-0200-000043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98778" y="67567403"/>
          <a:ext cx="1523365" cy="1239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78960</xdr:colOff>
      <xdr:row>105</xdr:row>
      <xdr:rowOff>122787</xdr:rowOff>
    </xdr:from>
    <xdr:to>
      <xdr:col>10</xdr:col>
      <xdr:colOff>521314</xdr:colOff>
      <xdr:row>115</xdr:row>
      <xdr:rowOff>15875</xdr:rowOff>
    </xdr:to>
    <xdr:graphicFrame macro="">
      <xdr:nvGraphicFramePr>
        <xdr:cNvPr id="2" name="Chart 6">
          <a:extLst>
            <a:ext uri="{FF2B5EF4-FFF2-40B4-BE49-F238E27FC236}">
              <a16:creationId xmlns:a16="http://schemas.microsoft.com/office/drawing/2014/main" id="{9AD0C9D2-70E9-4A9D-9FF2-EE7F1942C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354595</xdr:colOff>
      <xdr:row>125</xdr:row>
      <xdr:rowOff>174623</xdr:rowOff>
    </xdr:from>
    <xdr:to>
      <xdr:col>7</xdr:col>
      <xdr:colOff>453571</xdr:colOff>
      <xdr:row>128</xdr:row>
      <xdr:rowOff>126047</xdr:rowOff>
    </xdr:to>
    <xdr:sp macro="" textlink="">
      <xdr:nvSpPr>
        <xdr:cNvPr id="3" name="Rounded Rectangle 11">
          <a:hlinkClick xmlns:r="http://schemas.openxmlformats.org/officeDocument/2006/relationships" r:id="rId2"/>
          <a:extLst>
            <a:ext uri="{FF2B5EF4-FFF2-40B4-BE49-F238E27FC236}">
              <a16:creationId xmlns:a16="http://schemas.microsoft.com/office/drawing/2014/main" id="{951FBC30-52DA-4213-8CAB-3468F67FF62E}"/>
            </a:ext>
          </a:extLst>
        </xdr:cNvPr>
        <xdr:cNvSpPr/>
      </xdr:nvSpPr>
      <xdr:spPr>
        <a:xfrm>
          <a:off x="9219195" y="24996773"/>
          <a:ext cx="2334176" cy="561024"/>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1">
              <a:solidFill>
                <a:schemeClr val="lt1"/>
              </a:solidFill>
              <a:effectLst/>
              <a:latin typeface="+mn-lt"/>
              <a:ea typeface="+mn-ea"/>
              <a:cs typeface="+mn-cs"/>
              <a:sym typeface="Wingdings" panose="05000000000000000000" pitchFamily="2" charset="2"/>
            </a:rPr>
            <a:t></a:t>
          </a:r>
          <a:r>
            <a:rPr lang="en-US" sz="1100" b="1">
              <a:solidFill>
                <a:schemeClr val="lt1"/>
              </a:solidFill>
              <a:effectLst/>
              <a:latin typeface="+mn-lt"/>
              <a:ea typeface="+mn-ea"/>
              <a:cs typeface="+mn-cs"/>
            </a:rPr>
            <a:t>   </a:t>
          </a:r>
          <a:r>
            <a:rPr lang="en-US" sz="1200" b="1">
              <a:solidFill>
                <a:sysClr val="windowText" lastClr="000000"/>
              </a:solidFill>
            </a:rPr>
            <a:t> Click here to learn how to calculate  NPV on Excel (1)</a:t>
          </a:r>
        </a:p>
      </xdr:txBody>
    </xdr:sp>
    <xdr:clientData/>
  </xdr:twoCellAnchor>
  <xdr:twoCellAnchor>
    <xdr:from>
      <xdr:col>2</xdr:col>
      <xdr:colOff>1693569</xdr:colOff>
      <xdr:row>154</xdr:row>
      <xdr:rowOff>164148</xdr:rowOff>
    </xdr:from>
    <xdr:to>
      <xdr:col>2</xdr:col>
      <xdr:colOff>3596664</xdr:colOff>
      <xdr:row>156</xdr:row>
      <xdr:rowOff>178436</xdr:rowOff>
    </xdr:to>
    <xdr:sp macro="" textlink="">
      <xdr:nvSpPr>
        <xdr:cNvPr id="4" name="Rounded Rectangle 16">
          <a:extLst>
            <a:ext uri="{FF2B5EF4-FFF2-40B4-BE49-F238E27FC236}">
              <a16:creationId xmlns:a16="http://schemas.microsoft.com/office/drawing/2014/main" id="{BEAF5D4A-FCF7-4209-83B2-0A9A7A191602}"/>
            </a:ext>
          </a:extLst>
        </xdr:cNvPr>
        <xdr:cNvSpPr/>
      </xdr:nvSpPr>
      <xdr:spPr>
        <a:xfrm>
          <a:off x="5186069" y="31177548"/>
          <a:ext cx="1903095" cy="420688"/>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600">
              <a:solidFill>
                <a:sysClr val="windowText" lastClr="000000"/>
              </a:solidFill>
            </a:rPr>
            <a:t>IRR  vs</a:t>
          </a:r>
          <a:r>
            <a:rPr lang="en-US" sz="1600" baseline="0">
              <a:solidFill>
                <a:sysClr val="windowText" lastClr="000000"/>
              </a:solidFill>
            </a:rPr>
            <a:t> WACC</a:t>
          </a:r>
          <a:endParaRPr lang="en-US" sz="1600">
            <a:solidFill>
              <a:sysClr val="windowText" lastClr="000000"/>
            </a:solidFill>
          </a:endParaRPr>
        </a:p>
      </xdr:txBody>
    </xdr:sp>
    <xdr:clientData/>
  </xdr:twoCellAnchor>
  <xdr:twoCellAnchor>
    <xdr:from>
      <xdr:col>2</xdr:col>
      <xdr:colOff>2246313</xdr:colOff>
      <xdr:row>146</xdr:row>
      <xdr:rowOff>42862</xdr:rowOff>
    </xdr:from>
    <xdr:to>
      <xdr:col>2</xdr:col>
      <xdr:colOff>3643313</xdr:colOff>
      <xdr:row>148</xdr:row>
      <xdr:rowOff>184150</xdr:rowOff>
    </xdr:to>
    <xdr:sp macro="" textlink="">
      <xdr:nvSpPr>
        <xdr:cNvPr id="5" name="Rounded Rectangle 15">
          <a:extLst>
            <a:ext uri="{FF2B5EF4-FFF2-40B4-BE49-F238E27FC236}">
              <a16:creationId xmlns:a16="http://schemas.microsoft.com/office/drawing/2014/main" id="{D23A75B4-4C1D-47A3-8462-FA684DB07CC2}"/>
            </a:ext>
          </a:extLst>
        </xdr:cNvPr>
        <xdr:cNvSpPr/>
      </xdr:nvSpPr>
      <xdr:spPr>
        <a:xfrm>
          <a:off x="5738813" y="29316362"/>
          <a:ext cx="1397000" cy="534988"/>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a:solidFill>
                <a:sysClr val="windowText" lastClr="000000"/>
              </a:solidFill>
            </a:rPr>
            <a:t>Discounted</a:t>
          </a:r>
        </a:p>
        <a:p>
          <a:pPr algn="ctr"/>
          <a:r>
            <a:rPr lang="en-US" sz="1200">
              <a:solidFill>
                <a:sysClr val="windowText" lastClr="000000"/>
              </a:solidFill>
            </a:rPr>
            <a:t>Pay back </a:t>
          </a:r>
        </a:p>
      </xdr:txBody>
    </xdr:sp>
    <xdr:clientData/>
  </xdr:twoCellAnchor>
  <xdr:twoCellAnchor>
    <xdr:from>
      <xdr:col>0</xdr:col>
      <xdr:colOff>233362</xdr:colOff>
      <xdr:row>158</xdr:row>
      <xdr:rowOff>79375</xdr:rowOff>
    </xdr:from>
    <xdr:to>
      <xdr:col>10</xdr:col>
      <xdr:colOff>142875</xdr:colOff>
      <xdr:row>160</xdr:row>
      <xdr:rowOff>165100</xdr:rowOff>
    </xdr:to>
    <xdr:sp macro="" textlink="">
      <xdr:nvSpPr>
        <xdr:cNvPr id="6" name="Rounded Rectangle 16">
          <a:extLst>
            <a:ext uri="{FF2B5EF4-FFF2-40B4-BE49-F238E27FC236}">
              <a16:creationId xmlns:a16="http://schemas.microsoft.com/office/drawing/2014/main" id="{D3DA531D-E552-4380-9E7B-F80217B2D0DF}"/>
            </a:ext>
          </a:extLst>
        </xdr:cNvPr>
        <xdr:cNvSpPr/>
      </xdr:nvSpPr>
      <xdr:spPr>
        <a:xfrm>
          <a:off x="233362" y="31861125"/>
          <a:ext cx="14724063" cy="47942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2</xdr:col>
      <xdr:colOff>19051</xdr:colOff>
      <xdr:row>144</xdr:row>
      <xdr:rowOff>39686</xdr:rowOff>
    </xdr:from>
    <xdr:to>
      <xdr:col>2</xdr:col>
      <xdr:colOff>3619500</xdr:colOff>
      <xdr:row>145</xdr:row>
      <xdr:rowOff>31750</xdr:rowOff>
    </xdr:to>
    <xdr:sp macro="" textlink="">
      <xdr:nvSpPr>
        <xdr:cNvPr id="7" name="Rounded Rectangle 16">
          <a:extLst>
            <a:ext uri="{FF2B5EF4-FFF2-40B4-BE49-F238E27FC236}">
              <a16:creationId xmlns:a16="http://schemas.microsoft.com/office/drawing/2014/main" id="{FA8A4367-D35D-49AB-A918-D01DE0A6144B}"/>
            </a:ext>
          </a:extLst>
        </xdr:cNvPr>
        <xdr:cNvSpPr/>
      </xdr:nvSpPr>
      <xdr:spPr>
        <a:xfrm>
          <a:off x="3511551" y="28919486"/>
          <a:ext cx="3600449" cy="188914"/>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050" b="0">
              <a:solidFill>
                <a:sysClr val="windowText" lastClr="000000"/>
              </a:solidFill>
            </a:rPr>
            <a:t>Write a formula that</a:t>
          </a:r>
          <a:r>
            <a:rPr lang="en-US" sz="1050" b="0" baseline="0">
              <a:solidFill>
                <a:sysClr val="windowText" lastClr="000000"/>
              </a:solidFill>
            </a:rPr>
            <a:t> states when payback is reached</a:t>
          </a:r>
          <a:endParaRPr lang="en-US" sz="1050" b="0">
            <a:solidFill>
              <a:sysClr val="windowText" lastClr="000000"/>
            </a:solidFill>
          </a:endParaRPr>
        </a:p>
      </xdr:txBody>
    </xdr:sp>
    <xdr:clientData/>
  </xdr:twoCellAnchor>
  <xdr:twoCellAnchor>
    <xdr:from>
      <xdr:col>2</xdr:col>
      <xdr:colOff>4764</xdr:colOff>
      <xdr:row>150</xdr:row>
      <xdr:rowOff>25399</xdr:rowOff>
    </xdr:from>
    <xdr:to>
      <xdr:col>2</xdr:col>
      <xdr:colOff>3643314</xdr:colOff>
      <xdr:row>151</xdr:row>
      <xdr:rowOff>9525</xdr:rowOff>
    </xdr:to>
    <xdr:sp macro="" textlink="">
      <xdr:nvSpPr>
        <xdr:cNvPr id="8" name="Rounded Rectangle 16">
          <a:extLst>
            <a:ext uri="{FF2B5EF4-FFF2-40B4-BE49-F238E27FC236}">
              <a16:creationId xmlns:a16="http://schemas.microsoft.com/office/drawing/2014/main" id="{BDA47C5F-D3D4-4109-B6DD-FECE553EC44E}"/>
            </a:ext>
          </a:extLst>
        </xdr:cNvPr>
        <xdr:cNvSpPr/>
      </xdr:nvSpPr>
      <xdr:spPr>
        <a:xfrm>
          <a:off x="3497264" y="30086299"/>
          <a:ext cx="3638550" cy="193676"/>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050" b="0">
              <a:solidFill>
                <a:sysClr val="windowText" lastClr="000000"/>
              </a:solidFill>
            </a:rPr>
            <a:t>Write a formula that</a:t>
          </a:r>
          <a:r>
            <a:rPr lang="en-US" sz="1050" b="0" baseline="0">
              <a:solidFill>
                <a:sysClr val="windowText" lastClr="000000"/>
              </a:solidFill>
            </a:rPr>
            <a:t> states when payback is reached</a:t>
          </a:r>
          <a:endParaRPr lang="en-US" sz="1050" b="0">
            <a:solidFill>
              <a:sysClr val="windowText" lastClr="000000"/>
            </a:solidFill>
          </a:endParaRPr>
        </a:p>
      </xdr:txBody>
    </xdr:sp>
    <xdr:clientData/>
  </xdr:twoCellAnchor>
  <xdr:twoCellAnchor>
    <xdr:from>
      <xdr:col>1</xdr:col>
      <xdr:colOff>21545</xdr:colOff>
      <xdr:row>236</xdr:row>
      <xdr:rowOff>192768</xdr:rowOff>
    </xdr:from>
    <xdr:to>
      <xdr:col>10</xdr:col>
      <xdr:colOff>172177</xdr:colOff>
      <xdr:row>240</xdr:row>
      <xdr:rowOff>93549</xdr:rowOff>
    </xdr:to>
    <xdr:sp macro="" textlink="">
      <xdr:nvSpPr>
        <xdr:cNvPr id="9" name="Rounded Rectangle 16">
          <a:extLst>
            <a:ext uri="{FF2B5EF4-FFF2-40B4-BE49-F238E27FC236}">
              <a16:creationId xmlns:a16="http://schemas.microsoft.com/office/drawing/2014/main" id="{BB7DE711-BEAC-427C-BF8A-B16E643BC850}"/>
            </a:ext>
          </a:extLst>
        </xdr:cNvPr>
        <xdr:cNvSpPr/>
      </xdr:nvSpPr>
      <xdr:spPr>
        <a:xfrm>
          <a:off x="269195" y="48770268"/>
          <a:ext cx="14717532" cy="688181"/>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2</xdr:col>
      <xdr:colOff>5669</xdr:colOff>
      <xdr:row>291</xdr:row>
      <xdr:rowOff>2</xdr:rowOff>
    </xdr:from>
    <xdr:to>
      <xdr:col>10</xdr:col>
      <xdr:colOff>153307</xdr:colOff>
      <xdr:row>293</xdr:row>
      <xdr:rowOff>87313</xdr:rowOff>
    </xdr:to>
    <xdr:sp macro="" textlink="">
      <xdr:nvSpPr>
        <xdr:cNvPr id="10" name="Rounded Rectangle 16">
          <a:extLst>
            <a:ext uri="{FF2B5EF4-FFF2-40B4-BE49-F238E27FC236}">
              <a16:creationId xmlns:a16="http://schemas.microsoft.com/office/drawing/2014/main" id="{301154A2-6C80-4465-BC28-33359C1CB044}"/>
            </a:ext>
          </a:extLst>
        </xdr:cNvPr>
        <xdr:cNvSpPr/>
      </xdr:nvSpPr>
      <xdr:spPr>
        <a:xfrm>
          <a:off x="3498169" y="59588402"/>
          <a:ext cx="11469688" cy="481011"/>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0</xdr:col>
      <xdr:colOff>220738</xdr:colOff>
      <xdr:row>305</xdr:row>
      <xdr:rowOff>86932</xdr:rowOff>
    </xdr:from>
    <xdr:to>
      <xdr:col>2</xdr:col>
      <xdr:colOff>3356428</xdr:colOff>
      <xdr:row>321</xdr:row>
      <xdr:rowOff>54428</xdr:rowOff>
    </xdr:to>
    <xdr:sp macro="" textlink="">
      <xdr:nvSpPr>
        <xdr:cNvPr id="11" name="Rounded Rectangle 16">
          <a:extLst>
            <a:ext uri="{FF2B5EF4-FFF2-40B4-BE49-F238E27FC236}">
              <a16:creationId xmlns:a16="http://schemas.microsoft.com/office/drawing/2014/main" id="{E6EAEFDE-DC2C-4665-B647-25B76546FD34}"/>
            </a:ext>
          </a:extLst>
        </xdr:cNvPr>
        <xdr:cNvSpPr/>
      </xdr:nvSpPr>
      <xdr:spPr>
        <a:xfrm>
          <a:off x="220738" y="62501082"/>
          <a:ext cx="6628190" cy="2812296"/>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a:t>
          </a:r>
        </a:p>
        <a:p>
          <a:pPr algn="l"/>
          <a:r>
            <a:rPr lang="en-US" sz="1400" b="1">
              <a:solidFill>
                <a:sysClr val="windowText" lastClr="000000"/>
              </a:solidFill>
            </a:rPr>
            <a:t>(1) Calculate the sensitivity of NPV and IRR (OUTPUTS) to the variables below (INPUTS). </a:t>
          </a:r>
        </a:p>
        <a:p>
          <a:pPr algn="l"/>
          <a:r>
            <a:rPr lang="en-US" sz="1400" b="1">
              <a:solidFill>
                <a:srgbClr val="C00000"/>
              </a:solidFill>
            </a:rPr>
            <a:t>- %variable costs, </a:t>
          </a:r>
        </a:p>
        <a:p>
          <a:pPr algn="l"/>
          <a:r>
            <a:rPr lang="en-US" sz="1400" b="1">
              <a:solidFill>
                <a:srgbClr val="C00000"/>
              </a:solidFill>
            </a:rPr>
            <a:t>- unit selling price, </a:t>
          </a:r>
        </a:p>
        <a:p>
          <a:pPr algn="l"/>
          <a:r>
            <a:rPr lang="en-US" sz="1400" b="1">
              <a:solidFill>
                <a:srgbClr val="C00000"/>
              </a:solidFill>
            </a:rPr>
            <a:t>- #units</a:t>
          </a:r>
        </a:p>
        <a:p>
          <a:pPr algn="l"/>
          <a:r>
            <a:rPr lang="en-US" sz="1400" b="1">
              <a:solidFill>
                <a:srgbClr val="C00000"/>
              </a:solidFill>
            </a:rPr>
            <a:t>- </a:t>
          </a:r>
          <a:r>
            <a:rPr lang="en-US" sz="1400" b="1" baseline="0">
              <a:solidFill>
                <a:srgbClr val="C00000"/>
              </a:solidFill>
            </a:rPr>
            <a:t>fixed costs</a:t>
          </a:r>
        </a:p>
        <a:p>
          <a:pPr algn="l"/>
          <a:r>
            <a:rPr lang="en-US" sz="1400" b="1" baseline="0">
              <a:solidFill>
                <a:sysClr val="windowText" lastClr="000000"/>
              </a:solidFill>
            </a:rPr>
            <a:t>You can do so by building one-dimension tables that show changes in NPV and IRR as a function of changes in several inputs (see example)</a:t>
          </a:r>
        </a:p>
        <a:p>
          <a:pPr algn="l"/>
          <a:endParaRPr lang="en-US" sz="1400" b="1" baseline="0">
            <a:solidFill>
              <a:sysClr val="windowText" lastClr="000000"/>
            </a:solidFill>
          </a:endParaRPr>
        </a:p>
        <a:p>
          <a:pPr algn="l"/>
          <a:r>
            <a:rPr lang="en-US" sz="1400" b="1" baseline="0">
              <a:solidFill>
                <a:sysClr val="windowText" lastClr="000000"/>
              </a:solidFill>
            </a:rPr>
            <a:t>(2) Fill in the Summary tables on the right and the quiz to earn the bonus points</a:t>
          </a:r>
          <a:endParaRPr lang="en-US" sz="1400" b="1">
            <a:solidFill>
              <a:sysClr val="windowText" lastClr="000000"/>
            </a:solidFill>
          </a:endParaRPr>
        </a:p>
      </xdr:txBody>
    </xdr:sp>
    <xdr:clientData/>
  </xdr:twoCellAnchor>
  <xdr:oneCellAnchor>
    <xdr:from>
      <xdr:col>4</xdr:col>
      <xdr:colOff>340518</xdr:colOff>
      <xdr:row>278</xdr:row>
      <xdr:rowOff>108344</xdr:rowOff>
    </xdr:from>
    <xdr:ext cx="6719887" cy="641750"/>
    <mc:AlternateContent xmlns:mc="http://schemas.openxmlformats.org/markup-compatibility/2006" xmlns:a14="http://schemas.microsoft.com/office/drawing/2010/main">
      <mc:Choice Requires="a14">
        <xdr:sp macro="" textlink="">
          <xdr:nvSpPr>
            <xdr:cNvPr id="12" name="ZoneTexte 21">
              <a:extLst>
                <a:ext uri="{FF2B5EF4-FFF2-40B4-BE49-F238E27FC236}">
                  <a16:creationId xmlns:a16="http://schemas.microsoft.com/office/drawing/2014/main" id="{D9246B03-EFB1-446A-A21D-3AC9FEF75619}"/>
                </a:ext>
              </a:extLst>
            </xdr:cNvPr>
            <xdr:cNvSpPr txBox="1"/>
          </xdr:nvSpPr>
          <xdr:spPr>
            <a:xfrm>
              <a:off x="8119268" y="57137694"/>
              <a:ext cx="6719887" cy="641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fr-FR" sz="1600" b="0" i="0">
                        <a:latin typeface="Cambria Math" panose="02040503050406030204" pitchFamily="18" charset="0"/>
                      </a:rPr>
                      <m:t>Breakeven</m:t>
                    </m:r>
                    <m:r>
                      <a:rPr lang="fr-FR" sz="1600" b="0" i="0">
                        <a:latin typeface="Cambria Math" panose="02040503050406030204" pitchFamily="18" charset="0"/>
                      </a:rPr>
                      <m:t> </m:t>
                    </m:r>
                    <m:r>
                      <m:rPr>
                        <m:sty m:val="p"/>
                      </m:rPr>
                      <a:rPr lang="fr-FR" sz="1600" b="0" i="0">
                        <a:latin typeface="Cambria Math" panose="02040503050406030204" pitchFamily="18" charset="0"/>
                      </a:rPr>
                      <m:t>point</m:t>
                    </m:r>
                    <m:r>
                      <a:rPr lang="fr-FR" sz="1600" b="0" i="0">
                        <a:latin typeface="Cambria Math" panose="02040503050406030204" pitchFamily="18" charset="0"/>
                      </a:rPr>
                      <m:t>=</m:t>
                    </m:r>
                    <m:f>
                      <m:fPr>
                        <m:ctrlPr>
                          <a:rPr lang="fr-FR" sz="1600" b="0" i="1">
                            <a:latin typeface="Cambria Math" panose="02040503050406030204" pitchFamily="18" charset="0"/>
                          </a:rPr>
                        </m:ctrlPr>
                      </m:fPr>
                      <m:num>
                        <m:r>
                          <m:rPr>
                            <m:sty m:val="p"/>
                          </m:rPr>
                          <a:rPr lang="fr-FR" sz="1600" b="0" i="0">
                            <a:latin typeface="Cambria Math" panose="02040503050406030204" pitchFamily="18" charset="0"/>
                          </a:rPr>
                          <m:t>Fixed</m:t>
                        </m:r>
                        <m:r>
                          <a:rPr lang="fr-FR" sz="1600" b="0" i="0">
                            <a:latin typeface="Cambria Math" panose="02040503050406030204" pitchFamily="18" charset="0"/>
                          </a:rPr>
                          <m:t> </m:t>
                        </m:r>
                        <m:r>
                          <m:rPr>
                            <m:sty m:val="p"/>
                          </m:rPr>
                          <a:rPr lang="fr-FR" sz="1600" b="0" i="0">
                            <a:latin typeface="Cambria Math" panose="02040503050406030204" pitchFamily="18" charset="0"/>
                          </a:rPr>
                          <m:t>costs</m:t>
                        </m:r>
                        <m:r>
                          <a:rPr lang="fr-FR" sz="1600" b="0" i="0">
                            <a:latin typeface="Cambria Math" panose="02040503050406030204" pitchFamily="18" charset="0"/>
                          </a:rPr>
                          <m:t> (</m:t>
                        </m:r>
                        <m:r>
                          <m:rPr>
                            <m:sty m:val="p"/>
                          </m:rPr>
                          <a:rPr lang="fr-FR" sz="1600" b="0" i="0">
                            <a:latin typeface="Cambria Math" panose="02040503050406030204" pitchFamily="18" charset="0"/>
                          </a:rPr>
                          <m:t>including</m:t>
                        </m:r>
                        <m:r>
                          <a:rPr lang="fr-FR" sz="1600" b="0" i="0">
                            <a:latin typeface="Cambria Math" panose="02040503050406030204" pitchFamily="18" charset="0"/>
                          </a:rPr>
                          <m:t> </m:t>
                        </m:r>
                        <m:r>
                          <m:rPr>
                            <m:sty m:val="p"/>
                          </m:rPr>
                          <a:rPr lang="fr-FR" sz="1600" b="0" i="0">
                            <a:latin typeface="Cambria Math" panose="02040503050406030204" pitchFamily="18" charset="0"/>
                          </a:rPr>
                          <m:t>interest</m:t>
                        </m:r>
                        <m:r>
                          <a:rPr lang="fr-FR" sz="1600" b="0" i="0">
                            <a:latin typeface="Cambria Math" panose="02040503050406030204" pitchFamily="18" charset="0"/>
                          </a:rPr>
                          <m:t> </m:t>
                        </m:r>
                        <m:r>
                          <m:rPr>
                            <m:sty m:val="p"/>
                          </m:rPr>
                          <a:rPr lang="fr-FR" sz="1600" b="0" i="0">
                            <a:latin typeface="Cambria Math" panose="02040503050406030204" pitchFamily="18" charset="0"/>
                          </a:rPr>
                          <m:t>expenses</m:t>
                        </m:r>
                        <m:r>
                          <a:rPr lang="fr-FR" sz="1600" b="0" i="0">
                            <a:latin typeface="Cambria Math" panose="02040503050406030204" pitchFamily="18" charset="0"/>
                          </a:rPr>
                          <m:t>)</m:t>
                        </m:r>
                      </m:num>
                      <m:den>
                        <m:r>
                          <m:rPr>
                            <m:sty m:val="p"/>
                          </m:rPr>
                          <a:rPr lang="fr-FR" sz="1600" b="0" i="0">
                            <a:latin typeface="Cambria Math" panose="02040503050406030204" pitchFamily="18" charset="0"/>
                          </a:rPr>
                          <m:t>Unit</m:t>
                        </m:r>
                        <m:r>
                          <a:rPr lang="fr-FR" sz="1600" b="0" i="0">
                            <a:latin typeface="Cambria Math" panose="02040503050406030204" pitchFamily="18" charset="0"/>
                          </a:rPr>
                          <m:t> </m:t>
                        </m:r>
                        <m:r>
                          <m:rPr>
                            <m:sty m:val="p"/>
                          </m:rPr>
                          <a:rPr lang="fr-FR" sz="1600" b="0" i="0">
                            <a:latin typeface="Cambria Math" panose="02040503050406030204" pitchFamily="18" charset="0"/>
                          </a:rPr>
                          <m:t>selling</m:t>
                        </m:r>
                        <m:r>
                          <a:rPr lang="fr-FR" sz="1600" b="0" i="0">
                            <a:latin typeface="Cambria Math" panose="02040503050406030204" pitchFamily="18" charset="0"/>
                          </a:rPr>
                          <m:t> </m:t>
                        </m:r>
                        <m:r>
                          <m:rPr>
                            <m:sty m:val="p"/>
                          </m:rPr>
                          <a:rPr lang="fr-FR" sz="1600" b="0" i="0">
                            <a:latin typeface="Cambria Math" panose="02040503050406030204" pitchFamily="18" charset="0"/>
                          </a:rPr>
                          <m:t>price</m:t>
                        </m:r>
                        <m:r>
                          <a:rPr lang="fr-FR" sz="1600" b="0" i="0">
                            <a:latin typeface="Cambria Math" panose="02040503050406030204" pitchFamily="18" charset="0"/>
                          </a:rPr>
                          <m:t> −</m:t>
                        </m:r>
                        <m:r>
                          <m:rPr>
                            <m:sty m:val="p"/>
                          </m:rPr>
                          <a:rPr lang="fr-FR" sz="1600" b="0" i="0">
                            <a:latin typeface="Cambria Math" panose="02040503050406030204" pitchFamily="18" charset="0"/>
                          </a:rPr>
                          <m:t>unit</m:t>
                        </m:r>
                        <m:r>
                          <a:rPr lang="fr-FR" sz="1600" b="0" i="0">
                            <a:latin typeface="Cambria Math" panose="02040503050406030204" pitchFamily="18" charset="0"/>
                          </a:rPr>
                          <m:t> </m:t>
                        </m:r>
                        <m:r>
                          <m:rPr>
                            <m:sty m:val="p"/>
                          </m:rPr>
                          <a:rPr lang="fr-FR" sz="1600" b="0" i="0">
                            <a:latin typeface="Cambria Math" panose="02040503050406030204" pitchFamily="18" charset="0"/>
                          </a:rPr>
                          <m:t>variable</m:t>
                        </m:r>
                        <m:r>
                          <a:rPr lang="fr-FR" sz="1600" b="0" i="0">
                            <a:latin typeface="Cambria Math" panose="02040503050406030204" pitchFamily="18" charset="0"/>
                          </a:rPr>
                          <m:t> </m:t>
                        </m:r>
                        <m:r>
                          <m:rPr>
                            <m:sty m:val="p"/>
                          </m:rPr>
                          <a:rPr lang="fr-FR" sz="1600" b="0" i="0">
                            <a:latin typeface="Cambria Math" panose="02040503050406030204" pitchFamily="18" charset="0"/>
                          </a:rPr>
                          <m:t>cost</m:t>
                        </m:r>
                      </m:den>
                    </m:f>
                  </m:oMath>
                </m:oMathPara>
              </a14:m>
              <a:endParaRPr lang="en-GB" sz="1600" i="0"/>
            </a:p>
          </xdr:txBody>
        </xdr:sp>
      </mc:Choice>
      <mc:Fallback xmlns="">
        <xdr:sp macro="" textlink="">
          <xdr:nvSpPr>
            <xdr:cNvPr id="12" name="ZoneTexte 21">
              <a:extLst>
                <a:ext uri="{FF2B5EF4-FFF2-40B4-BE49-F238E27FC236}">
                  <a16:creationId xmlns:a16="http://schemas.microsoft.com/office/drawing/2014/main" id="{D9246B03-EFB1-446A-A21D-3AC9FEF75619}"/>
                </a:ext>
              </a:extLst>
            </xdr:cNvPr>
            <xdr:cNvSpPr txBox="1"/>
          </xdr:nvSpPr>
          <xdr:spPr>
            <a:xfrm>
              <a:off x="8119268" y="57137694"/>
              <a:ext cx="6719887" cy="641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fr-FR" sz="1600" b="0" i="0">
                  <a:latin typeface="Cambria Math" panose="02040503050406030204" pitchFamily="18" charset="0"/>
                </a:rPr>
                <a:t>Breakeven point=(Fixed costs (including interest expenses))/(Unit selling price −unit variable cost)</a:t>
              </a:r>
              <a:endParaRPr lang="en-GB" sz="1600" i="0"/>
            </a:p>
          </xdr:txBody>
        </xdr:sp>
      </mc:Fallback>
    </mc:AlternateContent>
    <xdr:clientData/>
  </xdr:oneCellAnchor>
  <xdr:twoCellAnchor>
    <xdr:from>
      <xdr:col>4</xdr:col>
      <xdr:colOff>126094</xdr:colOff>
      <xdr:row>71</xdr:row>
      <xdr:rowOff>67733</xdr:rowOff>
    </xdr:from>
    <xdr:to>
      <xdr:col>9</xdr:col>
      <xdr:colOff>1115786</xdr:colOff>
      <xdr:row>73</xdr:row>
      <xdr:rowOff>63500</xdr:rowOff>
    </xdr:to>
    <xdr:sp macro="" textlink="">
      <xdr:nvSpPr>
        <xdr:cNvPr id="13" name="Rounded Rectangle 11">
          <a:extLst>
            <a:ext uri="{FF2B5EF4-FFF2-40B4-BE49-F238E27FC236}">
              <a16:creationId xmlns:a16="http://schemas.microsoft.com/office/drawing/2014/main" id="{61C9C5D4-EB19-472C-9022-BFE97E4320D8}"/>
            </a:ext>
          </a:extLst>
        </xdr:cNvPr>
        <xdr:cNvSpPr/>
      </xdr:nvSpPr>
      <xdr:spPr>
        <a:xfrm>
          <a:off x="7904844" y="14145683"/>
          <a:ext cx="6838042" cy="389467"/>
        </a:xfrm>
        <a:prstGeom prst="roundRect">
          <a:avLst/>
        </a:prstGeom>
        <a:solidFill>
          <a:schemeClr val="accent6">
            <a:lumMod val="20000"/>
            <a:lumOff val="8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a:solidFill>
                <a:schemeClr val="tx1"/>
              </a:solidFill>
            </a:rPr>
            <a:t>Initial (begining of year 0) and ending (end of year 5) WCR are assumed to be zero</a:t>
          </a:r>
        </a:p>
      </xdr:txBody>
    </xdr:sp>
    <xdr:clientData/>
  </xdr:twoCellAnchor>
  <xdr:twoCellAnchor>
    <xdr:from>
      <xdr:col>9</xdr:col>
      <xdr:colOff>126999</xdr:colOff>
      <xdr:row>175</xdr:row>
      <xdr:rowOff>43203</xdr:rowOff>
    </xdr:from>
    <xdr:to>
      <xdr:col>10</xdr:col>
      <xdr:colOff>1343137</xdr:colOff>
      <xdr:row>181</xdr:row>
      <xdr:rowOff>108857</xdr:rowOff>
    </xdr:to>
    <xdr:sp macro="" textlink="">
      <xdr:nvSpPr>
        <xdr:cNvPr id="14" name="Rounded Rectangle 16">
          <a:extLst>
            <a:ext uri="{FF2B5EF4-FFF2-40B4-BE49-F238E27FC236}">
              <a16:creationId xmlns:a16="http://schemas.microsoft.com/office/drawing/2014/main" id="{A350A982-EACF-4D9A-981E-01C46F7BC3B6}"/>
            </a:ext>
          </a:extLst>
        </xdr:cNvPr>
        <xdr:cNvSpPr/>
      </xdr:nvSpPr>
      <xdr:spPr>
        <a:xfrm>
          <a:off x="13754099" y="35952453"/>
          <a:ext cx="1584438" cy="1532504"/>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r>
            <a:rPr lang="fr-FR" sz="1100" b="0">
              <a:solidFill>
                <a:schemeClr val="tx1"/>
              </a:solidFill>
              <a:effectLst/>
              <a:latin typeface="+mn-lt"/>
              <a:ea typeface="+mn-ea"/>
              <a:cs typeface="+mn-cs"/>
            </a:rPr>
            <a:t>Optional: Create a drop-down list that changes</a:t>
          </a:r>
          <a:r>
            <a:rPr lang="fr-FR" sz="1100" b="0" baseline="0">
              <a:solidFill>
                <a:schemeClr val="tx1"/>
              </a:solidFill>
              <a:effectLst/>
              <a:latin typeface="+mn-lt"/>
              <a:ea typeface="+mn-ea"/>
              <a:cs typeface="+mn-cs"/>
            </a:rPr>
            <a:t> the % of equity financing. Assess the impact of equity financing on NPV, IRR, equity IRR, distance to break-even point...</a:t>
          </a:r>
          <a:endParaRPr lang="en-US" sz="1200" b="0">
            <a:solidFill>
              <a:schemeClr val="tx1"/>
            </a:solidFill>
          </a:endParaRPr>
        </a:p>
      </xdr:txBody>
    </xdr:sp>
    <xdr:clientData/>
  </xdr:twoCellAnchor>
  <xdr:twoCellAnchor>
    <xdr:from>
      <xdr:col>1</xdr:col>
      <xdr:colOff>10583</xdr:colOff>
      <xdr:row>357</xdr:row>
      <xdr:rowOff>40821</xdr:rowOff>
    </xdr:from>
    <xdr:to>
      <xdr:col>12</xdr:col>
      <xdr:colOff>562429</xdr:colOff>
      <xdr:row>359</xdr:row>
      <xdr:rowOff>54429</xdr:rowOff>
    </xdr:to>
    <xdr:sp macro="" textlink="">
      <xdr:nvSpPr>
        <xdr:cNvPr id="15" name="Rounded Rectangle 16">
          <a:extLst>
            <a:ext uri="{FF2B5EF4-FFF2-40B4-BE49-F238E27FC236}">
              <a16:creationId xmlns:a16="http://schemas.microsoft.com/office/drawing/2014/main" id="{EB03C598-26A5-44C0-8B02-A821CC5BD428}"/>
            </a:ext>
          </a:extLst>
        </xdr:cNvPr>
        <xdr:cNvSpPr/>
      </xdr:nvSpPr>
      <xdr:spPr>
        <a:xfrm>
          <a:off x="258233" y="71814871"/>
          <a:ext cx="16623696" cy="369208"/>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What  conclusions can you draw ?</a:t>
          </a:r>
        </a:p>
      </xdr:txBody>
    </xdr:sp>
    <xdr:clientData/>
  </xdr:twoCellAnchor>
  <xdr:twoCellAnchor>
    <xdr:from>
      <xdr:col>0</xdr:col>
      <xdr:colOff>163285</xdr:colOff>
      <xdr:row>362</xdr:row>
      <xdr:rowOff>123974</xdr:rowOff>
    </xdr:from>
    <xdr:to>
      <xdr:col>2</xdr:col>
      <xdr:colOff>3510641</xdr:colOff>
      <xdr:row>367</xdr:row>
      <xdr:rowOff>117929</xdr:rowOff>
    </xdr:to>
    <xdr:sp macro="" textlink="">
      <xdr:nvSpPr>
        <xdr:cNvPr id="16" name="Rounded Rectangle 16">
          <a:extLst>
            <a:ext uri="{FF2B5EF4-FFF2-40B4-BE49-F238E27FC236}">
              <a16:creationId xmlns:a16="http://schemas.microsoft.com/office/drawing/2014/main" id="{CC39536B-E237-4BF6-A9AB-803F21DE1292}"/>
            </a:ext>
          </a:extLst>
        </xdr:cNvPr>
        <xdr:cNvSpPr/>
      </xdr:nvSpPr>
      <xdr:spPr>
        <a:xfrm>
          <a:off x="163285" y="72787024"/>
          <a:ext cx="6839856" cy="88295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Using "Goal Seek" find the #units</a:t>
          </a:r>
          <a:r>
            <a:rPr lang="en-US" sz="1400" b="1" baseline="0">
              <a:solidFill>
                <a:sysClr val="windowText" lastClr="000000"/>
              </a:solidFill>
            </a:rPr>
            <a:t> for NPV to be equal to zero: breakeven point</a:t>
          </a:r>
          <a:endParaRPr lang="en-US" sz="1400" b="1">
            <a:solidFill>
              <a:sysClr val="windowText" lastClr="000000"/>
            </a:solidFill>
          </a:endParaRPr>
        </a:p>
      </xdr:txBody>
    </xdr:sp>
    <xdr:clientData/>
  </xdr:twoCellAnchor>
  <xdr:twoCellAnchor>
    <xdr:from>
      <xdr:col>0</xdr:col>
      <xdr:colOff>162833</xdr:colOff>
      <xdr:row>8</xdr:row>
      <xdr:rowOff>61233</xdr:rowOff>
    </xdr:from>
    <xdr:to>
      <xdr:col>1</xdr:col>
      <xdr:colOff>3017761</xdr:colOff>
      <xdr:row>15</xdr:row>
      <xdr:rowOff>184453</xdr:rowOff>
    </xdr:to>
    <xdr:sp macro="" textlink="">
      <xdr:nvSpPr>
        <xdr:cNvPr id="17" name="Rounded Rectangle 16">
          <a:extLst>
            <a:ext uri="{FF2B5EF4-FFF2-40B4-BE49-F238E27FC236}">
              <a16:creationId xmlns:a16="http://schemas.microsoft.com/office/drawing/2014/main" id="{32370024-B9DB-4F39-8A02-6443F0DA4FA2}"/>
            </a:ext>
          </a:extLst>
        </xdr:cNvPr>
        <xdr:cNvSpPr/>
      </xdr:nvSpPr>
      <xdr:spPr>
        <a:xfrm>
          <a:off x="162833" y="1909083"/>
          <a:ext cx="3102578" cy="1501170"/>
        </a:xfrm>
        <a:prstGeom prst="roundRect">
          <a:avLst/>
        </a:prstGeom>
        <a:solidFill>
          <a:schemeClr val="accent4">
            <a:lumMod val="40000"/>
            <a:lumOff val="60000"/>
          </a:schemeClr>
        </a:solidFill>
        <a:ln>
          <a:noFill/>
        </a:ln>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 INVESTMENT ASSUMPTIONS</a:t>
          </a:r>
          <a:br>
            <a:rPr lang="en-US" sz="1400" b="1">
              <a:solidFill>
                <a:sysClr val="windowText" lastClr="000000"/>
              </a:solidFill>
            </a:rPr>
          </a:br>
          <a:r>
            <a:rPr lang="en-US" sz="1400" b="1">
              <a:solidFill>
                <a:sysClr val="windowText" lastClr="000000"/>
              </a:solidFill>
            </a:rPr>
            <a:t>Fill in the blue cells and calculate the net book value at the end of the 5 years.</a:t>
          </a:r>
        </a:p>
      </xdr:txBody>
    </xdr:sp>
    <xdr:clientData/>
  </xdr:twoCellAnchor>
  <xdr:twoCellAnchor>
    <xdr:from>
      <xdr:col>0</xdr:col>
      <xdr:colOff>138491</xdr:colOff>
      <xdr:row>23</xdr:row>
      <xdr:rowOff>172358</xdr:rowOff>
    </xdr:from>
    <xdr:to>
      <xdr:col>1</xdr:col>
      <xdr:colOff>3093357</xdr:colOff>
      <xdr:row>35</xdr:row>
      <xdr:rowOff>172357</xdr:rowOff>
    </xdr:to>
    <xdr:sp macro="" textlink="">
      <xdr:nvSpPr>
        <xdr:cNvPr id="18" name="Rounded Rectangle 16">
          <a:extLst>
            <a:ext uri="{FF2B5EF4-FFF2-40B4-BE49-F238E27FC236}">
              <a16:creationId xmlns:a16="http://schemas.microsoft.com/office/drawing/2014/main" id="{3C31AE41-B05C-485A-BEC6-9101087EB667}"/>
            </a:ext>
          </a:extLst>
        </xdr:cNvPr>
        <xdr:cNvSpPr/>
      </xdr:nvSpPr>
      <xdr:spPr>
        <a:xfrm>
          <a:off x="138491" y="4979308"/>
          <a:ext cx="3202516" cy="2362199"/>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 OPERATIONAL ASSUMPTIONS</a:t>
          </a:r>
          <a:br>
            <a:rPr lang="en-US" sz="1400" b="1">
              <a:solidFill>
                <a:sysClr val="windowText" lastClr="000000"/>
              </a:solidFill>
            </a:rPr>
          </a:br>
          <a:r>
            <a:rPr lang="en-US" sz="1400" b="1">
              <a:solidFill>
                <a:sysClr val="windowText" lastClr="000000"/>
              </a:solidFill>
            </a:rPr>
            <a:t>Fill in the blue cells: number of units sold taking the growth rate into account, variable and fixed costs</a:t>
          </a:r>
        </a:p>
        <a:p>
          <a:pPr algn="l"/>
          <a:r>
            <a:rPr lang="en-US" sz="1400" b="0">
              <a:solidFill>
                <a:sysClr val="windowText" lastClr="000000"/>
              </a:solidFill>
            </a:rPr>
            <a:t>Variable costs are a function of sales (or turnover)</a:t>
          </a:r>
        </a:p>
        <a:p>
          <a:pPr algn="l"/>
          <a:r>
            <a:rPr lang="en-US" sz="1400" b="0">
              <a:solidFill>
                <a:sysClr val="windowText" lastClr="000000"/>
              </a:solidFill>
            </a:rPr>
            <a:t>Fixed costs do not change </a:t>
          </a:r>
        </a:p>
      </xdr:txBody>
    </xdr:sp>
    <xdr:clientData/>
  </xdr:twoCellAnchor>
  <xdr:twoCellAnchor>
    <xdr:from>
      <xdr:col>0</xdr:col>
      <xdr:colOff>155574</xdr:colOff>
      <xdr:row>59</xdr:row>
      <xdr:rowOff>63500</xdr:rowOff>
    </xdr:from>
    <xdr:to>
      <xdr:col>1</xdr:col>
      <xdr:colOff>2948214</xdr:colOff>
      <xdr:row>76</xdr:row>
      <xdr:rowOff>99785</xdr:rowOff>
    </xdr:to>
    <xdr:sp macro="" textlink="">
      <xdr:nvSpPr>
        <xdr:cNvPr id="19" name="Rounded Rectangle 16">
          <a:extLst>
            <a:ext uri="{FF2B5EF4-FFF2-40B4-BE49-F238E27FC236}">
              <a16:creationId xmlns:a16="http://schemas.microsoft.com/office/drawing/2014/main" id="{8817A99A-0DCC-458C-9784-FEE0746F40FA}"/>
            </a:ext>
          </a:extLst>
        </xdr:cNvPr>
        <xdr:cNvSpPr/>
      </xdr:nvSpPr>
      <xdr:spPr>
        <a:xfrm>
          <a:off x="155574" y="11779250"/>
          <a:ext cx="3040290" cy="3382735"/>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 Calulate Working Capital Requirements (WCR)</a:t>
          </a:r>
        </a:p>
        <a:p>
          <a:pPr algn="l"/>
          <a:endParaRPr lang="en-US" sz="1400" b="0">
            <a:solidFill>
              <a:sysClr val="windowText" lastClr="000000"/>
            </a:solidFill>
          </a:endParaRPr>
        </a:p>
        <a:p>
          <a:pPr algn="l"/>
          <a:r>
            <a:rPr lang="en-US" sz="1400" b="0">
              <a:solidFill>
                <a:sysClr val="windowText" lastClr="000000"/>
              </a:solidFill>
            </a:rPr>
            <a:t>Initial WCR at the end of year zero is not nul (represents initial inventory of Raw Materials to begin operations in year 1) - see ASSUMPTIONS).</a:t>
          </a:r>
        </a:p>
        <a:p>
          <a:pPr algn="l"/>
          <a:r>
            <a:rPr lang="en-US" sz="1400" b="0">
              <a:solidFill>
                <a:sysClr val="windowText" lastClr="000000"/>
              </a:solidFill>
            </a:rPr>
            <a:t>Ending WCR at the end of year 5 is zero because we assume all inventory has been used up or sold.</a:t>
          </a:r>
        </a:p>
        <a:p>
          <a:pPr algn="l"/>
          <a:r>
            <a:rPr lang="en-US" sz="1400" b="0">
              <a:solidFill>
                <a:sysClr val="windowText" lastClr="000000"/>
              </a:solidFill>
            </a:rPr>
            <a:t>Use 365 days in your calculations.</a:t>
          </a:r>
        </a:p>
      </xdr:txBody>
    </xdr:sp>
    <xdr:clientData/>
  </xdr:twoCellAnchor>
  <xdr:twoCellAnchor>
    <xdr:from>
      <xdr:col>1</xdr:col>
      <xdr:colOff>20865</xdr:colOff>
      <xdr:row>79</xdr:row>
      <xdr:rowOff>172809</xdr:rowOff>
    </xdr:from>
    <xdr:to>
      <xdr:col>1</xdr:col>
      <xdr:colOff>2921000</xdr:colOff>
      <xdr:row>96</xdr:row>
      <xdr:rowOff>136072</xdr:rowOff>
    </xdr:to>
    <xdr:sp macro="" textlink="">
      <xdr:nvSpPr>
        <xdr:cNvPr id="20" name="Rounded Rectangle 16">
          <a:extLst>
            <a:ext uri="{FF2B5EF4-FFF2-40B4-BE49-F238E27FC236}">
              <a16:creationId xmlns:a16="http://schemas.microsoft.com/office/drawing/2014/main" id="{B1A2CD04-028B-4E4E-8AE2-71E02C40927B}"/>
            </a:ext>
          </a:extLst>
        </xdr:cNvPr>
        <xdr:cNvSpPr/>
      </xdr:nvSpPr>
      <xdr:spPr>
        <a:xfrm>
          <a:off x="268515" y="15831909"/>
          <a:ext cx="2900135" cy="3309713"/>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 FREE CASH FLOW CALCULATION</a:t>
          </a:r>
          <a:br>
            <a:rPr lang="en-US" sz="1400" b="1">
              <a:solidFill>
                <a:sysClr val="windowText" lastClr="000000"/>
              </a:solidFill>
            </a:rPr>
          </a:br>
          <a:r>
            <a:rPr lang="en-US" sz="1400" b="1">
              <a:solidFill>
                <a:sysClr val="windowText" lastClr="000000"/>
              </a:solidFill>
            </a:rPr>
            <a:t>Fill in the blue cells to calculate</a:t>
          </a:r>
          <a:r>
            <a:rPr lang="en-US" sz="1400" b="1" baseline="0">
              <a:solidFill>
                <a:sysClr val="windowText" lastClr="000000"/>
              </a:solidFill>
            </a:rPr>
            <a:t> free cash flows</a:t>
          </a:r>
        </a:p>
        <a:p>
          <a:pPr algn="l"/>
          <a:r>
            <a:rPr lang="en-US" sz="1400" b="0" baseline="0">
              <a:solidFill>
                <a:sysClr val="windowText" lastClr="000000"/>
              </a:solidFill>
            </a:rPr>
            <a:t>Hint: the factory sale cash flow should be calculated as follows:</a:t>
          </a:r>
        </a:p>
        <a:p>
          <a:pPr algn="l"/>
          <a:r>
            <a:rPr lang="en-US" sz="1400" b="0" u="sng" baseline="0">
              <a:solidFill>
                <a:sysClr val="windowText" lastClr="000000"/>
              </a:solidFill>
            </a:rPr>
            <a:t>First</a:t>
          </a:r>
          <a:r>
            <a:rPr lang="en-US" sz="1400" b="0" baseline="0">
              <a:solidFill>
                <a:sysClr val="windowText" lastClr="000000"/>
              </a:solidFill>
            </a:rPr>
            <a:t> calculate the taxes on the profits as </a:t>
          </a:r>
          <a:r>
            <a:rPr lang="en-US" sz="1400" b="1" i="1" baseline="0">
              <a:solidFill>
                <a:srgbClr val="FF0000"/>
              </a:solidFill>
            </a:rPr>
            <a:t>(Net proceeds from the sale - net book value at the end of the period) * tax rate</a:t>
          </a:r>
          <a:endParaRPr lang="en-US" sz="1400" b="0" baseline="0">
            <a:solidFill>
              <a:sysClr val="windowText" lastClr="000000"/>
            </a:solidFill>
          </a:endParaRPr>
        </a:p>
        <a:p>
          <a:pPr algn="l"/>
          <a:r>
            <a:rPr lang="en-US" sz="1400" b="0" u="sng" baseline="0">
              <a:solidFill>
                <a:sysClr val="windowText" lastClr="000000"/>
              </a:solidFill>
            </a:rPr>
            <a:t>Second</a:t>
          </a:r>
          <a:r>
            <a:rPr lang="en-US" sz="1400" b="0" baseline="0">
              <a:solidFill>
                <a:sysClr val="windowText" lastClr="000000"/>
              </a:solidFill>
            </a:rPr>
            <a:t>: calculate the cash flow = selling price - taxes</a:t>
          </a:r>
        </a:p>
        <a:p>
          <a:pPr algn="l"/>
          <a:r>
            <a:rPr lang="en-US" sz="1400" b="0" baseline="0">
              <a:solidFill>
                <a:sysClr val="windowText" lastClr="000000"/>
              </a:solidFill>
            </a:rPr>
            <a:t> </a:t>
          </a:r>
          <a:endParaRPr lang="en-US" sz="1400" b="0">
            <a:solidFill>
              <a:sysClr val="windowText" lastClr="000000"/>
            </a:solidFill>
          </a:endParaRPr>
        </a:p>
      </xdr:txBody>
    </xdr:sp>
    <xdr:clientData/>
  </xdr:twoCellAnchor>
  <xdr:twoCellAnchor>
    <xdr:from>
      <xdr:col>1</xdr:col>
      <xdr:colOff>3485</xdr:colOff>
      <xdr:row>120</xdr:row>
      <xdr:rowOff>49568</xdr:rowOff>
    </xdr:from>
    <xdr:to>
      <xdr:col>1</xdr:col>
      <xdr:colOff>3048001</xdr:colOff>
      <xdr:row>140</xdr:row>
      <xdr:rowOff>63500</xdr:rowOff>
    </xdr:to>
    <xdr:sp macro="" textlink="">
      <xdr:nvSpPr>
        <xdr:cNvPr id="21" name="Rounded Rectangle 16">
          <a:extLst>
            <a:ext uri="{FF2B5EF4-FFF2-40B4-BE49-F238E27FC236}">
              <a16:creationId xmlns:a16="http://schemas.microsoft.com/office/drawing/2014/main" id="{013B8FA9-A76E-4C2C-9615-1320D39A0B26}"/>
            </a:ext>
          </a:extLst>
        </xdr:cNvPr>
        <xdr:cNvSpPr/>
      </xdr:nvSpPr>
      <xdr:spPr>
        <a:xfrm>
          <a:off x="251135" y="23881118"/>
          <a:ext cx="3044516" cy="4274782"/>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600" b="1">
              <a:solidFill>
                <a:sysClr val="windowText" lastClr="000000"/>
              </a:solidFill>
            </a:rPr>
            <a:t>Instructions: ANALYSIS OF THE PROJECT</a:t>
          </a:r>
          <a:br>
            <a:rPr lang="en-US" sz="1600" b="1">
              <a:solidFill>
                <a:sysClr val="windowText" lastClr="000000"/>
              </a:solidFill>
            </a:rPr>
          </a:br>
          <a:r>
            <a:rPr lang="en-US" sz="1600" b="1">
              <a:solidFill>
                <a:sysClr val="windowText" lastClr="000000"/>
              </a:solidFill>
            </a:rPr>
            <a:t>Fill in the blue cells to calculate</a:t>
          </a:r>
          <a:r>
            <a:rPr lang="en-US" sz="1600" b="1" baseline="0">
              <a:solidFill>
                <a:sysClr val="windowText" lastClr="000000"/>
              </a:solidFill>
            </a:rPr>
            <a:t> :</a:t>
          </a:r>
        </a:p>
        <a:p>
          <a:pPr algn="l"/>
          <a:r>
            <a:rPr lang="en-US" sz="1600" b="0" baseline="0">
              <a:solidFill>
                <a:sysClr val="windowText" lastClr="000000"/>
              </a:solidFill>
            </a:rPr>
            <a:t>- the net present value (NPV)</a:t>
          </a:r>
        </a:p>
        <a:p>
          <a:pPr algn="l"/>
          <a:r>
            <a:rPr lang="en-US" sz="1600" b="0" baseline="0">
              <a:solidFill>
                <a:sysClr val="windowText" lastClr="000000"/>
              </a:solidFill>
            </a:rPr>
            <a:t>- the profitability index = present value of future cash flow / initial CAPEX</a:t>
          </a:r>
        </a:p>
        <a:p>
          <a:pPr algn="l"/>
          <a:r>
            <a:rPr lang="en-US" sz="1600" b="0" baseline="0">
              <a:solidFill>
                <a:sysClr val="windowText" lastClr="000000"/>
              </a:solidFill>
            </a:rPr>
            <a:t>- the internal rate of return (IRR)</a:t>
          </a:r>
        </a:p>
        <a:p>
          <a:pPr algn="l"/>
          <a:r>
            <a:rPr lang="en-US" sz="1600" b="0" baseline="0">
              <a:solidFill>
                <a:sysClr val="windowText" lastClr="000000"/>
              </a:solidFill>
            </a:rPr>
            <a:t>- the payback (using discounted cash flows) - first observe how it is done with undiscounted cash flows</a:t>
          </a:r>
        </a:p>
      </xdr:txBody>
    </xdr:sp>
    <xdr:clientData/>
  </xdr:twoCellAnchor>
  <xdr:twoCellAnchor>
    <xdr:from>
      <xdr:col>1</xdr:col>
      <xdr:colOff>38554</xdr:colOff>
      <xdr:row>174</xdr:row>
      <xdr:rowOff>254000</xdr:rowOff>
    </xdr:from>
    <xdr:to>
      <xdr:col>1</xdr:col>
      <xdr:colOff>2857500</xdr:colOff>
      <xdr:row>192</xdr:row>
      <xdr:rowOff>172357</xdr:rowOff>
    </xdr:to>
    <xdr:sp macro="" textlink="">
      <xdr:nvSpPr>
        <xdr:cNvPr id="22" name="Rounded Rectangle 16">
          <a:extLst>
            <a:ext uri="{FF2B5EF4-FFF2-40B4-BE49-F238E27FC236}">
              <a16:creationId xmlns:a16="http://schemas.microsoft.com/office/drawing/2014/main" id="{6FF08C63-9065-4985-92AE-84E2FAAF1550}"/>
            </a:ext>
          </a:extLst>
        </xdr:cNvPr>
        <xdr:cNvSpPr/>
      </xdr:nvSpPr>
      <xdr:spPr>
        <a:xfrm>
          <a:off x="286204" y="35890200"/>
          <a:ext cx="2818946" cy="409665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We are now identifying the amount</a:t>
          </a:r>
          <a:r>
            <a:rPr lang="en-US" sz="1400" b="1" baseline="0">
              <a:solidFill>
                <a:sysClr val="windowText" lastClr="000000"/>
              </a:solidFill>
            </a:rPr>
            <a:t> and types of financing</a:t>
          </a:r>
        </a:p>
        <a:p>
          <a:pPr algn="l"/>
          <a:endParaRPr lang="en-US" sz="1400" b="1" baseline="0">
            <a:solidFill>
              <a:sysClr val="windowText" lastClr="000000"/>
            </a:solidFill>
          </a:endParaRPr>
        </a:p>
        <a:p>
          <a:pPr algn="l"/>
          <a:r>
            <a:rPr lang="en-US" sz="1400" b="0" baseline="0">
              <a:solidFill>
                <a:sysClr val="windowText" lastClr="000000"/>
              </a:solidFill>
            </a:rPr>
            <a:t>The left side represents the total assets (invested capital) to be funded as CAPEX + WCR</a:t>
          </a:r>
        </a:p>
        <a:p>
          <a:pPr algn="l"/>
          <a:r>
            <a:rPr lang="en-US" sz="1400" b="0" baseline="0">
              <a:solidFill>
                <a:sysClr val="windowText" lastClr="000000"/>
              </a:solidFill>
            </a:rPr>
            <a:t>The percentage of equity financing is available in the assumptions sheet. This will enable you to calculate the amount of debt necessary for the project to fully fund your project at 100</a:t>
          </a:r>
          <a:r>
            <a:rPr lang="en-US" sz="1400" b="1" baseline="0">
              <a:solidFill>
                <a:sysClr val="windowText" lastClr="000000"/>
              </a:solidFill>
            </a:rPr>
            <a:t>%. </a:t>
          </a:r>
          <a:r>
            <a:rPr lang="en-US" sz="1400" b="1" baseline="0">
              <a:solidFill>
                <a:srgbClr val="C00000"/>
              </a:solidFill>
            </a:rPr>
            <a:t>To begin with, choose a 35% equity funding</a:t>
          </a:r>
          <a:r>
            <a:rPr lang="en-US" sz="1400" b="1" baseline="0">
              <a:solidFill>
                <a:sysClr val="windowText" lastClr="000000"/>
              </a:solidFill>
            </a:rPr>
            <a:t>.</a:t>
          </a:r>
        </a:p>
        <a:p>
          <a:pPr algn="l"/>
          <a:endParaRPr lang="en-US" sz="1400" b="0" baseline="0">
            <a:solidFill>
              <a:sysClr val="windowText" lastClr="000000"/>
            </a:solidFill>
          </a:endParaRPr>
        </a:p>
      </xdr:txBody>
    </xdr:sp>
    <xdr:clientData/>
  </xdr:twoCellAnchor>
  <xdr:twoCellAnchor>
    <xdr:from>
      <xdr:col>1</xdr:col>
      <xdr:colOff>87269</xdr:colOff>
      <xdr:row>194</xdr:row>
      <xdr:rowOff>10842</xdr:rowOff>
    </xdr:from>
    <xdr:to>
      <xdr:col>1</xdr:col>
      <xdr:colOff>2803070</xdr:colOff>
      <xdr:row>197</xdr:row>
      <xdr:rowOff>199570</xdr:rowOff>
    </xdr:to>
    <xdr:sp macro="" textlink="">
      <xdr:nvSpPr>
        <xdr:cNvPr id="23" name="Rounded Rectangle 16">
          <a:extLst>
            <a:ext uri="{FF2B5EF4-FFF2-40B4-BE49-F238E27FC236}">
              <a16:creationId xmlns:a16="http://schemas.microsoft.com/office/drawing/2014/main" id="{723C98DC-A149-4995-A2F0-970E8D5E5AD7}"/>
            </a:ext>
          </a:extLst>
        </xdr:cNvPr>
        <xdr:cNvSpPr/>
      </xdr:nvSpPr>
      <xdr:spPr>
        <a:xfrm>
          <a:off x="334919" y="40219042"/>
          <a:ext cx="2715801" cy="798328"/>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Build the debt service schedule. </a:t>
          </a:r>
          <a:endParaRPr lang="en-US" sz="1400" b="1" baseline="0">
            <a:solidFill>
              <a:sysClr val="windowText" lastClr="000000"/>
            </a:solidFill>
          </a:endParaRPr>
        </a:p>
        <a:p>
          <a:pPr algn="l"/>
          <a:endParaRPr lang="en-US" sz="1400" b="1" baseline="0">
            <a:solidFill>
              <a:sysClr val="windowText" lastClr="000000"/>
            </a:solidFill>
          </a:endParaRPr>
        </a:p>
        <a:p>
          <a:pPr algn="l"/>
          <a:endParaRPr lang="en-US" sz="1400" b="0" baseline="0">
            <a:solidFill>
              <a:sysClr val="windowText" lastClr="000000"/>
            </a:solidFill>
          </a:endParaRPr>
        </a:p>
      </xdr:txBody>
    </xdr:sp>
    <xdr:clientData/>
  </xdr:twoCellAnchor>
  <xdr:twoCellAnchor>
    <xdr:from>
      <xdr:col>1</xdr:col>
      <xdr:colOff>-1</xdr:colOff>
      <xdr:row>202</xdr:row>
      <xdr:rowOff>36286</xdr:rowOff>
    </xdr:from>
    <xdr:to>
      <xdr:col>10</xdr:col>
      <xdr:colOff>199570</xdr:colOff>
      <xdr:row>207</xdr:row>
      <xdr:rowOff>81643</xdr:rowOff>
    </xdr:to>
    <xdr:sp macro="" textlink="">
      <xdr:nvSpPr>
        <xdr:cNvPr id="24" name="Rounded Rectangle 16">
          <a:extLst>
            <a:ext uri="{FF2B5EF4-FFF2-40B4-BE49-F238E27FC236}">
              <a16:creationId xmlns:a16="http://schemas.microsoft.com/office/drawing/2014/main" id="{99182A97-07A4-4E6A-83FE-5F65C8961752}"/>
            </a:ext>
          </a:extLst>
        </xdr:cNvPr>
        <xdr:cNvSpPr/>
      </xdr:nvSpPr>
      <xdr:spPr>
        <a:xfrm>
          <a:off x="247649" y="41844686"/>
          <a:ext cx="14766471" cy="1029607"/>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Calculate the free cash flows to equity (FCFE). </a:t>
          </a:r>
        </a:p>
        <a:p>
          <a:pPr algn="l"/>
          <a:r>
            <a:rPr lang="en-US" sz="1400" b="1">
              <a:solidFill>
                <a:sysClr val="windowText" lastClr="000000"/>
              </a:solidFill>
            </a:rPr>
            <a:t>In spite of the seven-year debt service schedule, in</a:t>
          </a:r>
          <a:r>
            <a:rPr lang="en-US" sz="1400" b="1" baseline="0">
              <a:solidFill>
                <a:sysClr val="windowText" lastClr="000000"/>
              </a:solidFill>
            </a:rPr>
            <a:t> order to calculate FCFE assume amortization of the debt remaining amount during the last year of the project.</a:t>
          </a:r>
          <a:endParaRPr lang="en-US" sz="1400" b="1">
            <a:solidFill>
              <a:sysClr val="windowText" lastClr="000000"/>
            </a:solidFill>
          </a:endParaRPr>
        </a:p>
      </xdr:txBody>
    </xdr:sp>
    <xdr:clientData/>
  </xdr:twoCellAnchor>
  <xdr:twoCellAnchor>
    <xdr:from>
      <xdr:col>8</xdr:col>
      <xdr:colOff>199571</xdr:colOff>
      <xdr:row>125</xdr:row>
      <xdr:rowOff>172923</xdr:rowOff>
    </xdr:from>
    <xdr:to>
      <xdr:col>9</xdr:col>
      <xdr:colOff>1112072</xdr:colOff>
      <xdr:row>128</xdr:row>
      <xdr:rowOff>145937</xdr:rowOff>
    </xdr:to>
    <xdr:sp macro="" textlink="">
      <xdr:nvSpPr>
        <xdr:cNvPr id="25" name="Rounded Rectangle 11">
          <a:hlinkClick xmlns:r="http://schemas.openxmlformats.org/officeDocument/2006/relationships" r:id="rId3"/>
          <a:extLst>
            <a:ext uri="{FF2B5EF4-FFF2-40B4-BE49-F238E27FC236}">
              <a16:creationId xmlns:a16="http://schemas.microsoft.com/office/drawing/2014/main" id="{F7D49357-7204-43D7-A503-7C184B34E061}"/>
            </a:ext>
          </a:extLst>
        </xdr:cNvPr>
        <xdr:cNvSpPr/>
      </xdr:nvSpPr>
      <xdr:spPr>
        <a:xfrm>
          <a:off x="12416971" y="24995073"/>
          <a:ext cx="2322201" cy="582614"/>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how to calculate NPV on Excel (2)</a:t>
          </a:r>
        </a:p>
      </xdr:txBody>
    </xdr:sp>
    <xdr:clientData/>
  </xdr:twoCellAnchor>
  <xdr:twoCellAnchor>
    <xdr:from>
      <xdr:col>6</xdr:col>
      <xdr:colOff>291041</xdr:colOff>
      <xdr:row>132</xdr:row>
      <xdr:rowOff>30691</xdr:rowOff>
    </xdr:from>
    <xdr:to>
      <xdr:col>9</xdr:col>
      <xdr:colOff>952500</xdr:colOff>
      <xdr:row>134</xdr:row>
      <xdr:rowOff>189918</xdr:rowOff>
    </xdr:to>
    <xdr:sp macro="" textlink="">
      <xdr:nvSpPr>
        <xdr:cNvPr id="26" name="Rounded Rectangle 11">
          <a:hlinkClick xmlns:r="http://schemas.openxmlformats.org/officeDocument/2006/relationships" r:id="rId4"/>
          <a:extLst>
            <a:ext uri="{FF2B5EF4-FFF2-40B4-BE49-F238E27FC236}">
              <a16:creationId xmlns:a16="http://schemas.microsoft.com/office/drawing/2014/main" id="{338015DC-F806-4B7C-81C8-D4C1F0541F29}"/>
            </a:ext>
          </a:extLst>
        </xdr:cNvPr>
        <xdr:cNvSpPr/>
      </xdr:nvSpPr>
      <xdr:spPr>
        <a:xfrm>
          <a:off x="10273241" y="26249841"/>
          <a:ext cx="4306359" cy="565627"/>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how to calculate  the Payback on Excel</a:t>
          </a:r>
        </a:p>
      </xdr:txBody>
    </xdr:sp>
    <xdr:clientData/>
  </xdr:twoCellAnchor>
  <xdr:twoCellAnchor>
    <xdr:from>
      <xdr:col>6</xdr:col>
      <xdr:colOff>299358</xdr:colOff>
      <xdr:row>135</xdr:row>
      <xdr:rowOff>38136</xdr:rowOff>
    </xdr:from>
    <xdr:to>
      <xdr:col>9</xdr:col>
      <xdr:colOff>972459</xdr:colOff>
      <xdr:row>137</xdr:row>
      <xdr:rowOff>63500</xdr:rowOff>
    </xdr:to>
    <xdr:sp macro="" textlink="">
      <xdr:nvSpPr>
        <xdr:cNvPr id="27" name="Rounded Rectangle 11">
          <a:hlinkClick xmlns:r="http://schemas.openxmlformats.org/officeDocument/2006/relationships" r:id="rId5"/>
          <a:extLst>
            <a:ext uri="{FF2B5EF4-FFF2-40B4-BE49-F238E27FC236}">
              <a16:creationId xmlns:a16="http://schemas.microsoft.com/office/drawing/2014/main" id="{05F8E668-14D8-43B7-9550-8396D1F85627}"/>
            </a:ext>
          </a:extLst>
        </xdr:cNvPr>
        <xdr:cNvSpPr/>
      </xdr:nvSpPr>
      <xdr:spPr>
        <a:xfrm>
          <a:off x="10281558" y="26917686"/>
          <a:ext cx="4318001" cy="533364"/>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about the Payback period</a:t>
          </a:r>
        </a:p>
      </xdr:txBody>
    </xdr:sp>
    <xdr:clientData/>
  </xdr:twoCellAnchor>
  <xdr:twoCellAnchor>
    <xdr:from>
      <xdr:col>1</xdr:col>
      <xdr:colOff>30617</xdr:colOff>
      <xdr:row>254</xdr:row>
      <xdr:rowOff>86745</xdr:rowOff>
    </xdr:from>
    <xdr:to>
      <xdr:col>1</xdr:col>
      <xdr:colOff>2558143</xdr:colOff>
      <xdr:row>267</xdr:row>
      <xdr:rowOff>77219</xdr:rowOff>
    </xdr:to>
    <xdr:sp macro="" textlink="">
      <xdr:nvSpPr>
        <xdr:cNvPr id="28" name="Rounded Rectangle 16">
          <a:extLst>
            <a:ext uri="{FF2B5EF4-FFF2-40B4-BE49-F238E27FC236}">
              <a16:creationId xmlns:a16="http://schemas.microsoft.com/office/drawing/2014/main" id="{E904EE87-59D3-4A78-8482-3B7DF153EEAD}"/>
            </a:ext>
          </a:extLst>
        </xdr:cNvPr>
        <xdr:cNvSpPr/>
      </xdr:nvSpPr>
      <xdr:spPr>
        <a:xfrm>
          <a:off x="278267" y="52372645"/>
          <a:ext cx="2527526" cy="2549524"/>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fr-FR" sz="1600" b="1">
              <a:solidFill>
                <a:sysClr val="windowText" lastClr="000000"/>
              </a:solidFill>
            </a:rPr>
            <a:t>Calculations are already done in this section. Nothing to do!</a:t>
          </a:r>
          <a:endParaRPr lang="en-US" sz="1600" b="0" baseline="0">
            <a:solidFill>
              <a:sysClr val="windowText" lastClr="000000"/>
            </a:solidFill>
          </a:endParaRPr>
        </a:p>
      </xdr:txBody>
    </xdr:sp>
    <xdr:clientData/>
  </xdr:twoCellAnchor>
  <xdr:twoCellAnchor editAs="oneCell">
    <xdr:from>
      <xdr:col>1</xdr:col>
      <xdr:colOff>162152</xdr:colOff>
      <xdr:row>108</xdr:row>
      <xdr:rowOff>181429</xdr:rowOff>
    </xdr:from>
    <xdr:to>
      <xdr:col>1</xdr:col>
      <xdr:colOff>1591219</xdr:colOff>
      <xdr:row>115</xdr:row>
      <xdr:rowOff>75161</xdr:rowOff>
    </xdr:to>
    <xdr:pic>
      <xdr:nvPicPr>
        <xdr:cNvPr id="29" name="Picture 28" descr="Get Ready! Quiz Time – Applications sur Google Play">
          <a:hlinkClick xmlns:r="http://schemas.openxmlformats.org/officeDocument/2006/relationships" r:id="rId6"/>
          <a:extLst>
            <a:ext uri="{FF2B5EF4-FFF2-40B4-BE49-F238E27FC236}">
              <a16:creationId xmlns:a16="http://schemas.microsoft.com/office/drawing/2014/main" id="{46DC32CA-116A-4AD3-BD9C-02D5C198F7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09802" y="21644429"/>
          <a:ext cx="1432242" cy="12716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81644</xdr:colOff>
      <xdr:row>79</xdr:row>
      <xdr:rowOff>108442</xdr:rowOff>
    </xdr:from>
    <xdr:to>
      <xdr:col>10</xdr:col>
      <xdr:colOff>1</xdr:colOff>
      <xdr:row>82</xdr:row>
      <xdr:rowOff>93680</xdr:rowOff>
    </xdr:to>
    <xdr:sp macro="" textlink="">
      <xdr:nvSpPr>
        <xdr:cNvPr id="30" name="Rounded Rectangle 11">
          <a:hlinkClick xmlns:r="http://schemas.openxmlformats.org/officeDocument/2006/relationships" r:id="rId8"/>
          <a:extLst>
            <a:ext uri="{FF2B5EF4-FFF2-40B4-BE49-F238E27FC236}">
              <a16:creationId xmlns:a16="http://schemas.microsoft.com/office/drawing/2014/main" id="{94E721C1-5542-4F4A-A9D5-0128A31025B5}"/>
            </a:ext>
          </a:extLst>
        </xdr:cNvPr>
        <xdr:cNvSpPr/>
      </xdr:nvSpPr>
      <xdr:spPr>
        <a:xfrm>
          <a:off x="7860394" y="15767542"/>
          <a:ext cx="6954157" cy="575788"/>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600" b="1">
              <a:solidFill>
                <a:sysClr val="windowText" lastClr="000000"/>
              </a:solidFill>
              <a:effectLst/>
              <a:latin typeface="+mn-lt"/>
              <a:ea typeface="+mn-ea"/>
              <a:cs typeface="+mn-cs"/>
              <a:sym typeface="Wingdings" panose="05000000000000000000" pitchFamily="2" charset="2"/>
            </a:rPr>
            <a:t></a:t>
          </a:r>
          <a:r>
            <a:rPr lang="en-US" sz="1600" b="1">
              <a:solidFill>
                <a:sysClr val="windowText" lastClr="000000"/>
              </a:solidFill>
              <a:effectLst/>
              <a:latin typeface="+mn-lt"/>
              <a:ea typeface="+mn-ea"/>
              <a:cs typeface="+mn-cs"/>
            </a:rPr>
            <a:t>  </a:t>
          </a:r>
          <a:r>
            <a:rPr lang="en-US" sz="1100" b="1">
              <a:solidFill>
                <a:sysClr val="windowText" lastClr="000000"/>
              </a:solidFill>
              <a:effectLst/>
              <a:latin typeface="+mn-lt"/>
              <a:ea typeface="+mn-ea"/>
              <a:cs typeface="+mn-cs"/>
            </a:rPr>
            <a:t> </a:t>
          </a:r>
          <a:r>
            <a:rPr lang="en-US" sz="1200" b="1">
              <a:solidFill>
                <a:sysClr val="windowText" lastClr="000000"/>
              </a:solidFill>
            </a:rPr>
            <a:t>Click here to learn about </a:t>
          </a:r>
          <a:r>
            <a:rPr lang="en-US" sz="1200" b="1" baseline="0">
              <a:solidFill>
                <a:sysClr val="windowText" lastClr="000000"/>
              </a:solidFill>
            </a:rPr>
            <a:t>free cash flows</a:t>
          </a:r>
          <a:endParaRPr lang="en-US" sz="1200" b="1">
            <a:solidFill>
              <a:sysClr val="windowText" lastClr="000000"/>
            </a:solidFill>
          </a:endParaRPr>
        </a:p>
      </xdr:txBody>
    </xdr:sp>
    <xdr:clientData/>
  </xdr:twoCellAnchor>
  <xdr:twoCellAnchor editAs="oneCell">
    <xdr:from>
      <xdr:col>1</xdr:col>
      <xdr:colOff>2130651</xdr:colOff>
      <xdr:row>164</xdr:row>
      <xdr:rowOff>166121</xdr:rowOff>
    </xdr:from>
    <xdr:to>
      <xdr:col>2</xdr:col>
      <xdr:colOff>274895</xdr:colOff>
      <xdr:row>169</xdr:row>
      <xdr:rowOff>240803</xdr:rowOff>
    </xdr:to>
    <xdr:pic>
      <xdr:nvPicPr>
        <xdr:cNvPr id="31" name="Picture 30" descr="Get Ready! Quiz Time – Applications sur Google Play">
          <a:hlinkClick xmlns:r="http://schemas.openxmlformats.org/officeDocument/2006/relationships" r:id="rId9"/>
          <a:extLst>
            <a:ext uri="{FF2B5EF4-FFF2-40B4-BE49-F238E27FC236}">
              <a16:creationId xmlns:a16="http://schemas.microsoft.com/office/drawing/2014/main" id="{D7C943CA-53D2-42ED-868B-C16E4FFE38DC}"/>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378301" y="33224221"/>
          <a:ext cx="1392269" cy="1284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1724705</xdr:colOff>
      <xdr:row>244</xdr:row>
      <xdr:rowOff>118292</xdr:rowOff>
    </xdr:from>
    <xdr:to>
      <xdr:col>1</xdr:col>
      <xdr:colOff>3240133</xdr:colOff>
      <xdr:row>251</xdr:row>
      <xdr:rowOff>9482</xdr:rowOff>
    </xdr:to>
    <xdr:pic>
      <xdr:nvPicPr>
        <xdr:cNvPr id="32" name="Picture 31" descr="Get Ready! Quiz Time – Applications sur Google Play">
          <a:hlinkClick xmlns:r="http://schemas.openxmlformats.org/officeDocument/2006/relationships" r:id="rId10"/>
          <a:extLst>
            <a:ext uri="{FF2B5EF4-FFF2-40B4-BE49-F238E27FC236}">
              <a16:creationId xmlns:a16="http://schemas.microsoft.com/office/drawing/2014/main" id="{5FB7596F-272B-44F5-B97C-6E836B6AB03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972355" y="50365842"/>
          <a:ext cx="1515428" cy="12659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108401</xdr:colOff>
      <xdr:row>299</xdr:row>
      <xdr:rowOff>169937</xdr:rowOff>
    </xdr:from>
    <xdr:to>
      <xdr:col>11</xdr:col>
      <xdr:colOff>190499</xdr:colOff>
      <xdr:row>303</xdr:row>
      <xdr:rowOff>62318</xdr:rowOff>
    </xdr:to>
    <xdr:sp macro="" textlink="">
      <xdr:nvSpPr>
        <xdr:cNvPr id="33" name="Rounded Rectangle 16">
          <a:extLst>
            <a:ext uri="{FF2B5EF4-FFF2-40B4-BE49-F238E27FC236}">
              <a16:creationId xmlns:a16="http://schemas.microsoft.com/office/drawing/2014/main" id="{CF8024BA-AEB2-4EDB-9CE5-E4D05C99C704}"/>
            </a:ext>
          </a:extLst>
        </xdr:cNvPr>
        <xdr:cNvSpPr/>
      </xdr:nvSpPr>
      <xdr:spPr>
        <a:xfrm>
          <a:off x="108401" y="61333137"/>
          <a:ext cx="15423698" cy="679781"/>
        </a:xfrm>
        <a:prstGeom prst="roundRect">
          <a:avLst/>
        </a:prstGeom>
        <a:solidFill>
          <a:srgbClr val="FF0066"/>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fr-FR" sz="1600" b="1">
              <a:solidFill>
                <a:schemeClr val="bg1"/>
              </a:solidFill>
            </a:rPr>
            <a:t>OPTIONAL SECTION</a:t>
          </a:r>
        </a:p>
        <a:p>
          <a:pPr algn="ctr"/>
          <a:r>
            <a:rPr lang="fr-FR" sz="1600" b="1">
              <a:solidFill>
                <a:schemeClr val="bg1"/>
              </a:solidFill>
            </a:rPr>
            <a:t>Bonus points</a:t>
          </a:r>
        </a:p>
      </xdr:txBody>
    </xdr:sp>
    <xdr:clientData/>
  </xdr:twoCellAnchor>
  <xdr:twoCellAnchor>
    <xdr:from>
      <xdr:col>4</xdr:col>
      <xdr:colOff>154214</xdr:colOff>
      <xdr:row>17</xdr:row>
      <xdr:rowOff>68337</xdr:rowOff>
    </xdr:from>
    <xdr:to>
      <xdr:col>10</xdr:col>
      <xdr:colOff>9070</xdr:colOff>
      <xdr:row>21</xdr:row>
      <xdr:rowOff>17537</xdr:rowOff>
    </xdr:to>
    <xdr:sp macro="" textlink="">
      <xdr:nvSpPr>
        <xdr:cNvPr id="34" name="Rounded Rectangle 16">
          <a:hlinkClick xmlns:r="http://schemas.openxmlformats.org/officeDocument/2006/relationships" r:id="rId11"/>
          <a:extLst>
            <a:ext uri="{FF2B5EF4-FFF2-40B4-BE49-F238E27FC236}">
              <a16:creationId xmlns:a16="http://schemas.microsoft.com/office/drawing/2014/main" id="{59121086-31C0-4247-9FD0-7E8F69F27707}"/>
            </a:ext>
          </a:extLst>
        </xdr:cNvPr>
        <xdr:cNvSpPr/>
      </xdr:nvSpPr>
      <xdr:spPr>
        <a:xfrm>
          <a:off x="7932964" y="3687837"/>
          <a:ext cx="6890656" cy="736600"/>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marL="0" indent="0" algn="ctr"/>
          <a:r>
            <a:rPr lang="en-US" sz="1200" b="1">
              <a:solidFill>
                <a:sysClr val="windowText" lastClr="000000"/>
              </a:solidFill>
              <a:latin typeface="+mn-lt"/>
              <a:ea typeface="+mn-ea"/>
              <a:cs typeface="+mn-cs"/>
              <a:sym typeface="Wingdings" panose="05000000000000000000" pitchFamily="2" charset="2"/>
            </a:rPr>
            <a:t> </a:t>
          </a:r>
          <a:r>
            <a:rPr lang="en-US" sz="1200" b="1">
              <a:solidFill>
                <a:sysClr val="windowText" lastClr="000000"/>
              </a:solidFill>
              <a:latin typeface="+mn-lt"/>
              <a:ea typeface="+mn-ea"/>
              <a:cs typeface="+mn-cs"/>
            </a:rPr>
            <a:t> Click here to see DEPRECIATION CALCULATION ON EXCEL</a:t>
          </a:r>
          <a:br>
            <a:rPr lang="en-US" sz="1200" b="1">
              <a:solidFill>
                <a:sysClr val="windowText" lastClr="000000"/>
              </a:solidFill>
              <a:latin typeface="+mn-lt"/>
              <a:ea typeface="+mn-ea"/>
              <a:cs typeface="+mn-cs"/>
            </a:rPr>
          </a:br>
          <a:r>
            <a:rPr lang="en-US" sz="1200" b="1">
              <a:solidFill>
                <a:sysClr val="windowText" lastClr="000000"/>
              </a:solidFill>
              <a:latin typeface="+mn-lt"/>
              <a:ea typeface="+mn-ea"/>
              <a:cs typeface="+mn-cs"/>
            </a:rPr>
            <a:t>See the video on straight line depreciation with a terminal value</a:t>
          </a:r>
        </a:p>
      </xdr:txBody>
    </xdr:sp>
    <xdr:clientData/>
  </xdr:twoCellAnchor>
  <xdr:twoCellAnchor>
    <xdr:from>
      <xdr:col>0</xdr:col>
      <xdr:colOff>181429</xdr:colOff>
      <xdr:row>43</xdr:row>
      <xdr:rowOff>190500</xdr:rowOff>
    </xdr:from>
    <xdr:to>
      <xdr:col>1</xdr:col>
      <xdr:colOff>2957285</xdr:colOff>
      <xdr:row>49</xdr:row>
      <xdr:rowOff>172358</xdr:rowOff>
    </xdr:to>
    <xdr:sp macro="" textlink="">
      <xdr:nvSpPr>
        <xdr:cNvPr id="35" name="Rounded Rectangle 16">
          <a:extLst>
            <a:ext uri="{FF2B5EF4-FFF2-40B4-BE49-F238E27FC236}">
              <a16:creationId xmlns:a16="http://schemas.microsoft.com/office/drawing/2014/main" id="{DC37119F-6B08-4744-BEF5-B4B0DECA941A}"/>
            </a:ext>
          </a:extLst>
        </xdr:cNvPr>
        <xdr:cNvSpPr/>
      </xdr:nvSpPr>
      <xdr:spPr>
        <a:xfrm>
          <a:off x="181429" y="8947150"/>
          <a:ext cx="3023506" cy="1162958"/>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u="sng">
              <a:solidFill>
                <a:sysClr val="windowText" lastClr="000000"/>
              </a:solidFill>
            </a:rPr>
            <a:t>Instructions</a:t>
          </a:r>
          <a:r>
            <a:rPr lang="en-US" sz="1400" b="1">
              <a:solidFill>
                <a:sysClr val="windowText" lastClr="000000"/>
              </a:solidFill>
            </a:rPr>
            <a:t>: Build the P&amp;L</a:t>
          </a:r>
          <a:endParaRPr lang="en-US" sz="1400" b="0">
            <a:solidFill>
              <a:sysClr val="windowText" lastClr="000000"/>
            </a:solidFill>
          </a:endParaRPr>
        </a:p>
      </xdr:txBody>
    </xdr:sp>
    <xdr:clientData/>
  </xdr:twoCellAnchor>
  <xdr:twoCellAnchor>
    <xdr:from>
      <xdr:col>5</xdr:col>
      <xdr:colOff>54428</xdr:colOff>
      <xdr:row>58</xdr:row>
      <xdr:rowOff>81642</xdr:rowOff>
    </xdr:from>
    <xdr:to>
      <xdr:col>10</xdr:col>
      <xdr:colOff>63500</xdr:colOff>
      <xdr:row>61</xdr:row>
      <xdr:rowOff>66880</xdr:rowOff>
    </xdr:to>
    <xdr:sp macro="" textlink="">
      <xdr:nvSpPr>
        <xdr:cNvPr id="36" name="Rounded Rectangle 11">
          <a:hlinkClick xmlns:r="http://schemas.openxmlformats.org/officeDocument/2006/relationships" r:id="rId12"/>
          <a:extLst>
            <a:ext uri="{FF2B5EF4-FFF2-40B4-BE49-F238E27FC236}">
              <a16:creationId xmlns:a16="http://schemas.microsoft.com/office/drawing/2014/main" id="{EA3B7B94-FA32-46CA-9538-B9E2D5A3D9C1}"/>
            </a:ext>
          </a:extLst>
        </xdr:cNvPr>
        <xdr:cNvSpPr/>
      </xdr:nvSpPr>
      <xdr:spPr>
        <a:xfrm>
          <a:off x="8919028" y="11600542"/>
          <a:ext cx="5959022" cy="575788"/>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600" b="1">
              <a:solidFill>
                <a:sysClr val="windowText" lastClr="000000"/>
              </a:solidFill>
              <a:effectLst/>
              <a:latin typeface="+mn-lt"/>
              <a:ea typeface="+mn-ea"/>
              <a:cs typeface="+mn-cs"/>
              <a:sym typeface="Wingdings" panose="05000000000000000000" pitchFamily="2" charset="2"/>
            </a:rPr>
            <a:t></a:t>
          </a:r>
          <a:r>
            <a:rPr lang="en-US" sz="1600" b="1">
              <a:solidFill>
                <a:sysClr val="windowText" lastClr="000000"/>
              </a:solidFill>
              <a:effectLst/>
              <a:latin typeface="+mn-lt"/>
              <a:ea typeface="+mn-ea"/>
              <a:cs typeface="+mn-cs"/>
            </a:rPr>
            <a:t>  </a:t>
          </a:r>
          <a:r>
            <a:rPr lang="en-US" sz="1100" b="1">
              <a:solidFill>
                <a:sysClr val="windowText" lastClr="000000"/>
              </a:solidFill>
              <a:effectLst/>
              <a:latin typeface="+mn-lt"/>
              <a:ea typeface="+mn-ea"/>
              <a:cs typeface="+mn-cs"/>
            </a:rPr>
            <a:t> </a:t>
          </a:r>
          <a:r>
            <a:rPr lang="en-US" sz="1200" b="1">
              <a:solidFill>
                <a:sysClr val="windowText" lastClr="000000"/>
              </a:solidFill>
            </a:rPr>
            <a:t>Click here to learn about </a:t>
          </a:r>
          <a:r>
            <a:rPr lang="en-US" sz="1200" b="1" baseline="0">
              <a:solidFill>
                <a:sysClr val="windowText" lastClr="000000"/>
              </a:solidFill>
            </a:rPr>
            <a:t>working capital requirements </a:t>
          </a:r>
          <a:endParaRPr lang="en-US" sz="1200" b="1">
            <a:solidFill>
              <a:sysClr val="windowText" lastClr="000000"/>
            </a:solidFill>
          </a:endParaRPr>
        </a:p>
      </xdr:txBody>
    </xdr:sp>
    <xdr:clientData/>
  </xdr:twoCellAnchor>
  <xdr:twoCellAnchor>
    <xdr:from>
      <xdr:col>1</xdr:col>
      <xdr:colOff>72573</xdr:colOff>
      <xdr:row>210</xdr:row>
      <xdr:rowOff>18143</xdr:rowOff>
    </xdr:from>
    <xdr:to>
      <xdr:col>1</xdr:col>
      <xdr:colOff>2893787</xdr:colOff>
      <xdr:row>212</xdr:row>
      <xdr:rowOff>176970</xdr:rowOff>
    </xdr:to>
    <xdr:sp macro="" textlink="">
      <xdr:nvSpPr>
        <xdr:cNvPr id="37" name="Rounded Rectangle 11">
          <a:hlinkClick xmlns:r="http://schemas.openxmlformats.org/officeDocument/2006/relationships" r:id="rId13"/>
          <a:extLst>
            <a:ext uri="{FF2B5EF4-FFF2-40B4-BE49-F238E27FC236}">
              <a16:creationId xmlns:a16="http://schemas.microsoft.com/office/drawing/2014/main" id="{E62F0879-B66E-449B-9383-1ADEB459B638}"/>
            </a:ext>
          </a:extLst>
        </xdr:cNvPr>
        <xdr:cNvSpPr/>
      </xdr:nvSpPr>
      <xdr:spPr>
        <a:xfrm>
          <a:off x="320223" y="43401343"/>
          <a:ext cx="2821214" cy="552527"/>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more about FCFE</a:t>
          </a:r>
        </a:p>
      </xdr:txBody>
    </xdr:sp>
    <xdr:clientData/>
  </xdr:twoCellAnchor>
  <xdr:twoCellAnchor>
    <xdr:from>
      <xdr:col>1</xdr:col>
      <xdr:colOff>18143</xdr:colOff>
      <xdr:row>223</xdr:row>
      <xdr:rowOff>163287</xdr:rowOff>
    </xdr:from>
    <xdr:to>
      <xdr:col>1</xdr:col>
      <xdr:colOff>2839357</xdr:colOff>
      <xdr:row>226</xdr:row>
      <xdr:rowOff>122542</xdr:rowOff>
    </xdr:to>
    <xdr:sp macro="" textlink="">
      <xdr:nvSpPr>
        <xdr:cNvPr id="38" name="Rounded Rectangle 11">
          <a:hlinkClick xmlns:r="http://schemas.openxmlformats.org/officeDocument/2006/relationships" r:id="rId14"/>
          <a:extLst>
            <a:ext uri="{FF2B5EF4-FFF2-40B4-BE49-F238E27FC236}">
              <a16:creationId xmlns:a16="http://schemas.microsoft.com/office/drawing/2014/main" id="{401B7C70-FCE6-44C4-B372-13B2956CD742}"/>
            </a:ext>
          </a:extLst>
        </xdr:cNvPr>
        <xdr:cNvSpPr/>
      </xdr:nvSpPr>
      <xdr:spPr>
        <a:xfrm>
          <a:off x="265793" y="46143637"/>
          <a:ext cx="2821214" cy="556155"/>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more about Equity IRR</a:t>
          </a:r>
        </a:p>
      </xdr:txBody>
    </xdr:sp>
    <xdr:clientData/>
  </xdr:twoCellAnchor>
  <xdr:twoCellAnchor>
    <xdr:from>
      <xdr:col>1</xdr:col>
      <xdr:colOff>18144</xdr:colOff>
      <xdr:row>227</xdr:row>
      <xdr:rowOff>108858</xdr:rowOff>
    </xdr:from>
    <xdr:to>
      <xdr:col>1</xdr:col>
      <xdr:colOff>2875644</xdr:colOff>
      <xdr:row>232</xdr:row>
      <xdr:rowOff>45358</xdr:rowOff>
    </xdr:to>
    <xdr:sp macro="" textlink="">
      <xdr:nvSpPr>
        <xdr:cNvPr id="39" name="Rounded Rectangle 16">
          <a:extLst>
            <a:ext uri="{FF2B5EF4-FFF2-40B4-BE49-F238E27FC236}">
              <a16:creationId xmlns:a16="http://schemas.microsoft.com/office/drawing/2014/main" id="{18300461-A95D-44D7-BE25-4853F6CCE7ED}"/>
            </a:ext>
          </a:extLst>
        </xdr:cNvPr>
        <xdr:cNvSpPr/>
      </xdr:nvSpPr>
      <xdr:spPr>
        <a:xfrm>
          <a:off x="265794" y="46889308"/>
          <a:ext cx="2857500" cy="933450"/>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Compare Equity IRR with Cost of Equity</a:t>
          </a:r>
        </a:p>
      </xdr:txBody>
    </xdr:sp>
    <xdr:clientData/>
  </xdr:twoCellAnchor>
  <xdr:twoCellAnchor>
    <xdr:from>
      <xdr:col>1</xdr:col>
      <xdr:colOff>18144</xdr:colOff>
      <xdr:row>219</xdr:row>
      <xdr:rowOff>181428</xdr:rowOff>
    </xdr:from>
    <xdr:to>
      <xdr:col>1</xdr:col>
      <xdr:colOff>2875644</xdr:colOff>
      <xdr:row>223</xdr:row>
      <xdr:rowOff>45358</xdr:rowOff>
    </xdr:to>
    <xdr:sp macro="" textlink="">
      <xdr:nvSpPr>
        <xdr:cNvPr id="40" name="Rounded Rectangle 16">
          <a:extLst>
            <a:ext uri="{FF2B5EF4-FFF2-40B4-BE49-F238E27FC236}">
              <a16:creationId xmlns:a16="http://schemas.microsoft.com/office/drawing/2014/main" id="{5B2E32FF-6A11-4E0A-AEC9-D398EE52C9E9}"/>
            </a:ext>
          </a:extLst>
        </xdr:cNvPr>
        <xdr:cNvSpPr/>
      </xdr:nvSpPr>
      <xdr:spPr>
        <a:xfrm>
          <a:off x="265794" y="45374378"/>
          <a:ext cx="2857500" cy="651330"/>
        </a:xfrm>
        <a:prstGeom prst="roundRect">
          <a:avLst/>
        </a:prstGeom>
        <a:solidFill>
          <a:schemeClr val="accent4">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en-US" sz="1400" b="1">
              <a:solidFill>
                <a:sysClr val="windowText" lastClr="000000"/>
              </a:solidFill>
            </a:rPr>
            <a:t>Instructions: Calculate the Equity IRR</a:t>
          </a:r>
        </a:p>
      </xdr:txBody>
    </xdr:sp>
    <xdr:clientData/>
  </xdr:twoCellAnchor>
  <xdr:twoCellAnchor>
    <xdr:from>
      <xdr:col>1</xdr:col>
      <xdr:colOff>54428</xdr:colOff>
      <xdr:row>233</xdr:row>
      <xdr:rowOff>27214</xdr:rowOff>
    </xdr:from>
    <xdr:to>
      <xdr:col>1</xdr:col>
      <xdr:colOff>2875642</xdr:colOff>
      <xdr:row>235</xdr:row>
      <xdr:rowOff>186041</xdr:rowOff>
    </xdr:to>
    <xdr:sp macro="" textlink="">
      <xdr:nvSpPr>
        <xdr:cNvPr id="41" name="Rounded Rectangle 11">
          <a:hlinkClick xmlns:r="http://schemas.openxmlformats.org/officeDocument/2006/relationships" r:id="rId15"/>
          <a:extLst>
            <a:ext uri="{FF2B5EF4-FFF2-40B4-BE49-F238E27FC236}">
              <a16:creationId xmlns:a16="http://schemas.microsoft.com/office/drawing/2014/main" id="{E39E207A-325D-49FE-8A60-D26CAD608468}"/>
            </a:ext>
          </a:extLst>
        </xdr:cNvPr>
        <xdr:cNvSpPr/>
      </xdr:nvSpPr>
      <xdr:spPr>
        <a:xfrm>
          <a:off x="302078" y="48001464"/>
          <a:ext cx="2821214" cy="558877"/>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see Cost of Equity calc.</a:t>
          </a:r>
        </a:p>
      </xdr:txBody>
    </xdr:sp>
    <xdr:clientData/>
  </xdr:twoCellAnchor>
  <xdr:twoCellAnchor>
    <xdr:from>
      <xdr:col>1</xdr:col>
      <xdr:colOff>36285</xdr:colOff>
      <xdr:row>322</xdr:row>
      <xdr:rowOff>36287</xdr:rowOff>
    </xdr:from>
    <xdr:to>
      <xdr:col>2</xdr:col>
      <xdr:colOff>3174998</xdr:colOff>
      <xdr:row>324</xdr:row>
      <xdr:rowOff>172358</xdr:rowOff>
    </xdr:to>
    <xdr:sp macro="" textlink="">
      <xdr:nvSpPr>
        <xdr:cNvPr id="42" name="Rounded Rectangle 11">
          <a:hlinkClick xmlns:r="http://schemas.openxmlformats.org/officeDocument/2006/relationships" r:id="rId16"/>
          <a:extLst>
            <a:ext uri="{FF2B5EF4-FFF2-40B4-BE49-F238E27FC236}">
              <a16:creationId xmlns:a16="http://schemas.microsoft.com/office/drawing/2014/main" id="{5FDDBF4A-AE9D-497E-B850-017D87BDE719}"/>
            </a:ext>
          </a:extLst>
        </xdr:cNvPr>
        <xdr:cNvSpPr/>
      </xdr:nvSpPr>
      <xdr:spPr>
        <a:xfrm>
          <a:off x="283935" y="65473037"/>
          <a:ext cx="6383563" cy="491671"/>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see Sensitivity calculation</a:t>
          </a:r>
        </a:p>
      </xdr:txBody>
    </xdr:sp>
    <xdr:clientData/>
  </xdr:twoCellAnchor>
  <xdr:twoCellAnchor>
    <xdr:from>
      <xdr:col>7</xdr:col>
      <xdr:colOff>1043214</xdr:colOff>
      <xdr:row>97</xdr:row>
      <xdr:rowOff>108858</xdr:rowOff>
    </xdr:from>
    <xdr:to>
      <xdr:col>10</xdr:col>
      <xdr:colOff>145143</xdr:colOff>
      <xdr:row>104</xdr:row>
      <xdr:rowOff>81644</xdr:rowOff>
    </xdr:to>
    <xdr:sp macro="" textlink="">
      <xdr:nvSpPr>
        <xdr:cNvPr id="43" name="Callout: Double Bent Line 42">
          <a:extLst>
            <a:ext uri="{FF2B5EF4-FFF2-40B4-BE49-F238E27FC236}">
              <a16:creationId xmlns:a16="http://schemas.microsoft.com/office/drawing/2014/main" id="{5F418A7F-D886-49B0-AEBF-5A3B76008FFD}"/>
            </a:ext>
          </a:extLst>
        </xdr:cNvPr>
        <xdr:cNvSpPr/>
      </xdr:nvSpPr>
      <xdr:spPr>
        <a:xfrm>
          <a:off x="12143014" y="19311258"/>
          <a:ext cx="2816679" cy="1350736"/>
        </a:xfrm>
        <a:prstGeom prst="borderCallout3">
          <a:avLst>
            <a:gd name="adj1" fmla="val 86759"/>
            <a:gd name="adj2" fmla="val 95876"/>
            <a:gd name="adj3" fmla="val 79227"/>
            <a:gd name="adj4" fmla="val 109269"/>
            <a:gd name="adj5" fmla="val -27910"/>
            <a:gd name="adj6" fmla="val 107759"/>
            <a:gd name="adj7" fmla="val -29087"/>
            <a:gd name="adj8" fmla="val 88051"/>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816428</xdr:colOff>
      <xdr:row>154</xdr:row>
      <xdr:rowOff>109972</xdr:rowOff>
    </xdr:from>
    <xdr:to>
      <xdr:col>10</xdr:col>
      <xdr:colOff>244928</xdr:colOff>
      <xdr:row>157</xdr:row>
      <xdr:rowOff>69226</xdr:rowOff>
    </xdr:to>
    <xdr:sp macro="" textlink="">
      <xdr:nvSpPr>
        <xdr:cNvPr id="44" name="Rounded Rectangle 11">
          <a:hlinkClick xmlns:r="http://schemas.openxmlformats.org/officeDocument/2006/relationships" r:id="rId17"/>
          <a:extLst>
            <a:ext uri="{FF2B5EF4-FFF2-40B4-BE49-F238E27FC236}">
              <a16:creationId xmlns:a16="http://schemas.microsoft.com/office/drawing/2014/main" id="{0F1F3607-DF5D-4DF5-92CB-E4D6DC18733B}"/>
            </a:ext>
          </a:extLst>
        </xdr:cNvPr>
        <xdr:cNvSpPr/>
      </xdr:nvSpPr>
      <xdr:spPr>
        <a:xfrm>
          <a:off x="13033828" y="31123372"/>
          <a:ext cx="2025650" cy="568854"/>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how to calculate  IRR on Excel</a:t>
          </a:r>
        </a:p>
      </xdr:txBody>
    </xdr:sp>
    <xdr:clientData/>
  </xdr:twoCellAnchor>
  <xdr:twoCellAnchor>
    <xdr:from>
      <xdr:col>12</xdr:col>
      <xdr:colOff>232833</xdr:colOff>
      <xdr:row>145</xdr:row>
      <xdr:rowOff>84666</xdr:rowOff>
    </xdr:from>
    <xdr:to>
      <xdr:col>13</xdr:col>
      <xdr:colOff>868438</xdr:colOff>
      <xdr:row>148</xdr:row>
      <xdr:rowOff>59345</xdr:rowOff>
    </xdr:to>
    <xdr:sp macro="" textlink="">
      <xdr:nvSpPr>
        <xdr:cNvPr id="45" name="Rounded Rectangle 11">
          <a:hlinkClick xmlns:r="http://schemas.openxmlformats.org/officeDocument/2006/relationships" r:id="rId18"/>
          <a:extLst>
            <a:ext uri="{FF2B5EF4-FFF2-40B4-BE49-F238E27FC236}">
              <a16:creationId xmlns:a16="http://schemas.microsoft.com/office/drawing/2014/main" id="{B6BDCD2A-22B6-4446-997C-FBEB8D420B34}"/>
            </a:ext>
          </a:extLst>
        </xdr:cNvPr>
        <xdr:cNvSpPr/>
      </xdr:nvSpPr>
      <xdr:spPr>
        <a:xfrm>
          <a:off x="16552333" y="29161316"/>
          <a:ext cx="1715105" cy="565229"/>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about IRR (2)</a:t>
          </a:r>
        </a:p>
      </xdr:txBody>
    </xdr:sp>
    <xdr:clientData/>
  </xdr:twoCellAnchor>
  <xdr:twoCellAnchor>
    <xdr:from>
      <xdr:col>5</xdr:col>
      <xdr:colOff>308429</xdr:colOff>
      <xdr:row>154</xdr:row>
      <xdr:rowOff>119044</xdr:rowOff>
    </xdr:from>
    <xdr:to>
      <xdr:col>6</xdr:col>
      <xdr:colOff>889000</xdr:colOff>
      <xdr:row>157</xdr:row>
      <xdr:rowOff>78298</xdr:rowOff>
    </xdr:to>
    <xdr:sp macro="" textlink="">
      <xdr:nvSpPr>
        <xdr:cNvPr id="46" name="Rounded Rectangle 11">
          <a:hlinkClick xmlns:r="http://schemas.openxmlformats.org/officeDocument/2006/relationships" r:id="rId19"/>
          <a:extLst>
            <a:ext uri="{FF2B5EF4-FFF2-40B4-BE49-F238E27FC236}">
              <a16:creationId xmlns:a16="http://schemas.microsoft.com/office/drawing/2014/main" id="{AF33C864-07FF-44AE-8139-08499846DD6D}"/>
            </a:ext>
          </a:extLst>
        </xdr:cNvPr>
        <xdr:cNvSpPr/>
      </xdr:nvSpPr>
      <xdr:spPr>
        <a:xfrm>
          <a:off x="9173029" y="31132444"/>
          <a:ext cx="1698171" cy="568854"/>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what is IRR</a:t>
          </a:r>
        </a:p>
      </xdr:txBody>
    </xdr:sp>
    <xdr:clientData/>
  </xdr:twoCellAnchor>
  <xdr:twoCellAnchor>
    <xdr:from>
      <xdr:col>7</xdr:col>
      <xdr:colOff>9072</xdr:colOff>
      <xdr:row>154</xdr:row>
      <xdr:rowOff>108858</xdr:rowOff>
    </xdr:from>
    <xdr:to>
      <xdr:col>8</xdr:col>
      <xdr:colOff>602343</xdr:colOff>
      <xdr:row>157</xdr:row>
      <xdr:rowOff>85047</xdr:rowOff>
    </xdr:to>
    <xdr:sp macro="" textlink="">
      <xdr:nvSpPr>
        <xdr:cNvPr id="47" name="Rounded Rectangle 11">
          <a:hlinkClick xmlns:r="http://schemas.openxmlformats.org/officeDocument/2006/relationships" r:id="rId20"/>
          <a:extLst>
            <a:ext uri="{FF2B5EF4-FFF2-40B4-BE49-F238E27FC236}">
              <a16:creationId xmlns:a16="http://schemas.microsoft.com/office/drawing/2014/main" id="{75C3DFD0-90B8-43BB-8FAF-F09044691D5A}"/>
            </a:ext>
          </a:extLst>
        </xdr:cNvPr>
        <xdr:cNvSpPr/>
      </xdr:nvSpPr>
      <xdr:spPr>
        <a:xfrm>
          <a:off x="11108872" y="31122258"/>
          <a:ext cx="1710871" cy="585789"/>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200" b="1">
              <a:solidFill>
                <a:sysClr val="windowText" lastClr="000000"/>
              </a:solidFill>
            </a:rPr>
            <a:t>Click here to learn about IRR calculation</a:t>
          </a:r>
        </a:p>
      </xdr:txBody>
    </xdr:sp>
    <xdr:clientData/>
  </xdr:twoCellAnchor>
  <xdr:twoCellAnchor>
    <xdr:from>
      <xdr:col>2</xdr:col>
      <xdr:colOff>1676400</xdr:colOff>
      <xdr:row>2</xdr:row>
      <xdr:rowOff>66677</xdr:rowOff>
    </xdr:from>
    <xdr:to>
      <xdr:col>2</xdr:col>
      <xdr:colOff>2981324</xdr:colOff>
      <xdr:row>3</xdr:row>
      <xdr:rowOff>66675</xdr:rowOff>
    </xdr:to>
    <xdr:sp macro="" textlink="">
      <xdr:nvSpPr>
        <xdr:cNvPr id="48" name="Rounded Rectangle 16">
          <a:extLst>
            <a:ext uri="{FF2B5EF4-FFF2-40B4-BE49-F238E27FC236}">
              <a16:creationId xmlns:a16="http://schemas.microsoft.com/office/drawing/2014/main" id="{DF929AEB-E4E1-4313-BCF7-5A4DD8D21E32}"/>
            </a:ext>
            <a:ext uri="{147F2762-F138-4A5C-976F-8EAC2B608ADB}">
              <a16:predDERef xmlns:a16="http://schemas.microsoft.com/office/drawing/2014/main" pred="{00000000-0008-0000-0200-000042000000}"/>
            </a:ext>
          </a:extLst>
        </xdr:cNvPr>
        <xdr:cNvSpPr/>
      </xdr:nvSpPr>
      <xdr:spPr>
        <a:xfrm>
          <a:off x="5168900" y="460377"/>
          <a:ext cx="1304924" cy="266698"/>
        </a:xfrm>
        <a:prstGeom prst="roundRect">
          <a:avLst/>
        </a:prstGeom>
        <a:solidFill>
          <a:schemeClr val="accent4">
            <a:lumMod val="40000"/>
            <a:lumOff val="60000"/>
          </a:schemeClr>
        </a:solidFill>
        <a:ln>
          <a:noFill/>
        </a:ln>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400" b="1" u="none">
              <a:solidFill>
                <a:sysClr val="windowText" lastClr="000000"/>
              </a:solidFill>
            </a:rPr>
            <a:t>Instructions</a:t>
          </a:r>
        </a:p>
      </xdr:txBody>
    </xdr:sp>
    <xdr:clientData/>
  </xdr:twoCellAnchor>
  <xdr:twoCellAnchor>
    <xdr:from>
      <xdr:col>7</xdr:col>
      <xdr:colOff>680357</xdr:colOff>
      <xdr:row>2</xdr:row>
      <xdr:rowOff>1</xdr:rowOff>
    </xdr:from>
    <xdr:to>
      <xdr:col>9</xdr:col>
      <xdr:colOff>789214</xdr:colOff>
      <xdr:row>3</xdr:row>
      <xdr:rowOff>27214</xdr:rowOff>
    </xdr:to>
    <xdr:sp macro="" textlink="">
      <xdr:nvSpPr>
        <xdr:cNvPr id="49" name="Rounded Rectangle 16">
          <a:extLst>
            <a:ext uri="{FF2B5EF4-FFF2-40B4-BE49-F238E27FC236}">
              <a16:creationId xmlns:a16="http://schemas.microsoft.com/office/drawing/2014/main" id="{45934C6D-7CE7-40BC-8315-BC7938D164C7}"/>
            </a:ext>
          </a:extLst>
        </xdr:cNvPr>
        <xdr:cNvSpPr/>
      </xdr:nvSpPr>
      <xdr:spPr>
        <a:xfrm>
          <a:off x="11780157" y="393701"/>
          <a:ext cx="2636157" cy="293913"/>
        </a:xfrm>
        <a:prstGeom prst="roundRect">
          <a:avLst/>
        </a:prstGeom>
        <a:solidFill>
          <a:schemeClr val="accent5">
            <a:lumMod val="40000"/>
            <a:lumOff val="6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marL="0" indent="0" algn="ctr"/>
          <a:r>
            <a:rPr lang="en-US" sz="1200" b="1">
              <a:solidFill>
                <a:sysClr val="windowText" lastClr="000000"/>
              </a:solidFill>
              <a:latin typeface="+mn-lt"/>
              <a:ea typeface="+mn-ea"/>
              <a:cs typeface="+mn-cs"/>
              <a:sym typeface="Wingdings" panose="05000000000000000000" pitchFamily="2" charset="2"/>
            </a:rPr>
            <a:t>Videos - It is vital to watch them</a:t>
          </a:r>
          <a:endParaRPr lang="en-US" sz="1200" b="1">
            <a:solidFill>
              <a:sysClr val="windowText" lastClr="000000"/>
            </a:solidFill>
            <a:latin typeface="+mn-lt"/>
            <a:ea typeface="+mn-ea"/>
            <a:cs typeface="+mn-cs"/>
          </a:endParaRPr>
        </a:p>
      </xdr:txBody>
    </xdr:sp>
    <xdr:clientData/>
  </xdr:twoCellAnchor>
  <xdr:twoCellAnchor editAs="oneCell">
    <xdr:from>
      <xdr:col>1</xdr:col>
      <xdr:colOff>2313215</xdr:colOff>
      <xdr:row>325</xdr:row>
      <xdr:rowOff>217715</xdr:rowOff>
    </xdr:from>
    <xdr:to>
      <xdr:col>2</xdr:col>
      <xdr:colOff>590143</xdr:colOff>
      <xdr:row>332</xdr:row>
      <xdr:rowOff>120700</xdr:rowOff>
    </xdr:to>
    <xdr:pic>
      <xdr:nvPicPr>
        <xdr:cNvPr id="50" name="Picture 49" descr="Get Ready! Quiz Time – Applications sur Google Play">
          <a:extLst>
            <a:ext uri="{FF2B5EF4-FFF2-40B4-BE49-F238E27FC236}">
              <a16:creationId xmlns:a16="http://schemas.microsoft.com/office/drawing/2014/main" id="{49D7D785-CDB3-4E44-82DC-E048EABD5EB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560865" y="66187865"/>
          <a:ext cx="1521778" cy="1265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0</xdr:colOff>
      <xdr:row>4</xdr:row>
      <xdr:rowOff>170497</xdr:rowOff>
    </xdr:from>
    <xdr:ext cx="14216062" cy="5544504"/>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444500" y="916622"/>
          <a:ext cx="14216062" cy="5544504"/>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i="0" u="none" strike="noStrike">
              <a:solidFill>
                <a:schemeClr val="accent4">
                  <a:lumMod val="50000"/>
                </a:schemeClr>
              </a:solidFill>
              <a:effectLst/>
              <a:latin typeface="+mn-lt"/>
              <a:ea typeface="+mn-ea"/>
              <a:cs typeface="+mn-cs"/>
            </a:rPr>
            <a:t>Instructions to build the scenarios</a:t>
          </a:r>
          <a:r>
            <a:rPr lang="en-GB" sz="1400" b="1">
              <a:solidFill>
                <a:schemeClr val="accent4">
                  <a:lumMod val="50000"/>
                </a:schemeClr>
              </a:solidFill>
            </a:rPr>
            <a:t> </a:t>
          </a:r>
        </a:p>
        <a:p>
          <a:br>
            <a:rPr lang="en-GB" sz="1400" b="1">
              <a:solidFill>
                <a:schemeClr val="accent4">
                  <a:lumMod val="50000"/>
                </a:schemeClr>
              </a:solidFill>
            </a:rPr>
          </a:br>
          <a:r>
            <a:rPr lang="en-GB" sz="1100" b="1">
              <a:solidFill>
                <a:schemeClr val="tx1"/>
              </a:solidFill>
              <a:effectLst/>
              <a:latin typeface="+mn-lt"/>
              <a:ea typeface="+mn-ea"/>
              <a:cs typeface="+mn-cs"/>
            </a:rPr>
            <a:t>0.</a:t>
          </a:r>
          <a:r>
            <a:rPr lang="en-GB" sz="1100">
              <a:solidFill>
                <a:schemeClr val="tx1"/>
              </a:solidFill>
              <a:effectLst/>
              <a:latin typeface="+mn-lt"/>
              <a:ea typeface="+mn-ea"/>
              <a:cs typeface="+mn-cs"/>
            </a:rPr>
            <a:t> Duplicate tab called </a:t>
          </a:r>
          <a:r>
            <a:rPr lang="en-GB" sz="1100" b="1">
              <a:solidFill>
                <a:schemeClr val="tx1"/>
              </a:solidFill>
              <a:effectLst/>
              <a:latin typeface="+mn-lt"/>
              <a:ea typeface="+mn-ea"/>
              <a:cs typeface="+mn-cs"/>
            </a:rPr>
            <a:t>B-CAPITAL BUDGETING CASE, </a:t>
          </a:r>
          <a:r>
            <a:rPr lang="en-GB" sz="1100">
              <a:solidFill>
                <a:schemeClr val="tx1"/>
              </a:solidFill>
              <a:effectLst/>
              <a:latin typeface="+mn-lt"/>
              <a:ea typeface="+mn-ea"/>
              <a:cs typeface="+mn-cs"/>
            </a:rPr>
            <a:t>name it </a:t>
          </a:r>
          <a:r>
            <a:rPr lang="en-GB" sz="1100" b="1">
              <a:solidFill>
                <a:schemeClr val="tx1"/>
              </a:solidFill>
              <a:effectLst/>
              <a:latin typeface="+mn-lt"/>
              <a:ea typeface="+mn-ea"/>
              <a:cs typeface="+mn-cs"/>
            </a:rPr>
            <a:t>C-SCENARIOS</a:t>
          </a:r>
          <a:endParaRPr lang="fr-FR" b="1">
            <a:effectLst/>
          </a:endParaRPr>
        </a:p>
        <a:p>
          <a:r>
            <a:rPr lang="en-GB" sz="1100" b="1">
              <a:solidFill>
                <a:schemeClr val="tx1"/>
              </a:solidFill>
              <a:effectLst/>
              <a:latin typeface="+mn-lt"/>
              <a:ea typeface="+mn-ea"/>
              <a:cs typeface="+mn-cs"/>
            </a:rPr>
            <a:t> </a:t>
          </a:r>
          <a:endParaRPr lang="fr-FR">
            <a:effectLst/>
          </a:endParaRPr>
        </a:p>
        <a:p>
          <a:r>
            <a:rPr lang="en-GB" sz="1100" b="1">
              <a:solidFill>
                <a:schemeClr val="tx1"/>
              </a:solidFill>
              <a:effectLst/>
              <a:latin typeface="+mn-lt"/>
              <a:ea typeface="+mn-ea"/>
              <a:cs typeface="+mn-cs"/>
            </a:rPr>
            <a:t>1. </a:t>
          </a:r>
          <a:r>
            <a:rPr lang="en-GB" sz="1100">
              <a:solidFill>
                <a:schemeClr val="tx1"/>
              </a:solidFill>
              <a:effectLst/>
              <a:latin typeface="+mn-lt"/>
              <a:ea typeface="+mn-ea"/>
              <a:cs typeface="+mn-cs"/>
            </a:rPr>
            <a:t>Create a table and name it “scenarios source table”. This table will contain the data for the three scenarios (or more). Plot the scenarios: choose the inputs that will change in each scenario. As a suggestion, include Factory price, unit selling price, #units sold, % of variable costs... not all students need the same scenarios. You will have to enter the data manually, choose data that seems logical to you. For example, take the selling price: in the base scenario the selling price is 1,25€, you could imagine that in the optimistic scenario the selling price would be 1,5€ and in the pessimistic scenario it will be 1€. If you need inspiration, see the table below. You can add more variables if you wish.</a:t>
          </a:r>
          <a:endParaRPr lang="fr-FR">
            <a:effectLst/>
          </a:endParaRPr>
        </a:p>
        <a:p>
          <a:r>
            <a:rPr lang="en-GB" sz="1100" b="1">
              <a:solidFill>
                <a:schemeClr val="tx1"/>
              </a:solidFill>
              <a:effectLst/>
              <a:latin typeface="+mn-lt"/>
              <a:ea typeface="+mn-ea"/>
              <a:cs typeface="+mn-cs"/>
            </a:rPr>
            <a:t> </a:t>
          </a:r>
        </a:p>
        <a:p>
          <a:endParaRPr lang="en-GB" sz="1100" b="1">
            <a:solidFill>
              <a:schemeClr val="tx1"/>
            </a:solidFill>
            <a:effectLst/>
            <a:latin typeface="+mn-lt"/>
            <a:ea typeface="+mn-ea"/>
            <a:cs typeface="+mn-cs"/>
          </a:endParaRPr>
        </a:p>
        <a:p>
          <a:endParaRPr lang="en-GB" sz="1100" b="1">
            <a:solidFill>
              <a:schemeClr val="tx1"/>
            </a:solidFill>
            <a:effectLst/>
            <a:latin typeface="+mn-lt"/>
            <a:ea typeface="+mn-ea"/>
            <a:cs typeface="+mn-cs"/>
          </a:endParaRPr>
        </a:p>
        <a:p>
          <a:endParaRPr lang="en-GB" sz="1100" b="1">
            <a:solidFill>
              <a:schemeClr val="tx1"/>
            </a:solidFill>
            <a:effectLst/>
            <a:latin typeface="+mn-lt"/>
            <a:ea typeface="+mn-ea"/>
            <a:cs typeface="+mn-cs"/>
          </a:endParaRPr>
        </a:p>
        <a:p>
          <a:endParaRPr lang="en-GB" sz="1100" b="1">
            <a:solidFill>
              <a:schemeClr val="tx1"/>
            </a:solidFill>
            <a:effectLst/>
            <a:latin typeface="+mn-lt"/>
            <a:ea typeface="+mn-ea"/>
            <a:cs typeface="+mn-cs"/>
          </a:endParaRPr>
        </a:p>
        <a:p>
          <a:endParaRPr lang="fr-FR">
            <a:effectLst/>
          </a:endParaRPr>
        </a:p>
        <a:p>
          <a:r>
            <a:rPr lang="en-GB" sz="1100" b="1">
              <a:solidFill>
                <a:schemeClr val="tx1"/>
              </a:solidFill>
              <a:effectLst/>
              <a:latin typeface="+mn-lt"/>
              <a:ea typeface="+mn-ea"/>
              <a:cs typeface="+mn-cs"/>
            </a:rPr>
            <a:t>2.</a:t>
          </a:r>
          <a:r>
            <a:rPr lang="en-GB" sz="1100">
              <a:solidFill>
                <a:schemeClr val="tx1"/>
              </a:solidFill>
              <a:effectLst/>
              <a:latin typeface="+mn-lt"/>
              <a:ea typeface="+mn-ea"/>
              <a:cs typeface="+mn-cs"/>
            </a:rPr>
            <a:t> Select a cell that selects the active scenario. This will be the "active" cell. Paint it in yellow.</a:t>
          </a:r>
          <a:endParaRPr lang="fr-FR">
            <a:effectLst/>
          </a:endParaRPr>
        </a:p>
        <a:p>
          <a:r>
            <a:rPr lang="en-GB" sz="1100">
              <a:solidFill>
                <a:schemeClr val="tx1"/>
              </a:solidFill>
              <a:effectLst/>
              <a:latin typeface="+mn-lt"/>
              <a:ea typeface="+mn-ea"/>
              <a:cs typeface="+mn-cs"/>
            </a:rPr>
            <a:t>This “active cell” is key: it will drive the active scenario.</a:t>
          </a:r>
        </a:p>
        <a:p>
          <a:endParaRPr lang="fr-FR">
            <a:effectLst/>
          </a:endParaRPr>
        </a:p>
        <a:p>
          <a:r>
            <a:rPr lang="en-GB" sz="1100" b="1">
              <a:solidFill>
                <a:schemeClr val="tx1"/>
              </a:solidFill>
              <a:effectLst/>
              <a:latin typeface="+mn-lt"/>
              <a:ea typeface="+mn-ea"/>
              <a:cs typeface="+mn-cs"/>
            </a:rPr>
            <a:t>3. </a:t>
          </a:r>
          <a:r>
            <a:rPr lang="en-GB" sz="1100">
              <a:solidFill>
                <a:schemeClr val="tx1"/>
              </a:solidFill>
              <a:effectLst/>
              <a:latin typeface="+mn-lt"/>
              <a:ea typeface="+mn-ea"/>
              <a:cs typeface="+mn-cs"/>
            </a:rPr>
            <a:t>For each of the variables that will change in the scenarios, replace the values with the function VLOOKUP or XLOOKUP (in French RECHERCHEX or RECHERCHEV) in order to select the appropriate variable value in the scenarios source table as a function of the selected scenario. For example: in C8 (Factory price), you should have: =XLOOKUP("active cell";"range of values for the three scenarios";"column number for factory price in  the table").</a:t>
          </a:r>
          <a:endParaRPr lang="fr-FR">
            <a:effectLst/>
          </a:endParaRPr>
        </a:p>
        <a:p>
          <a:r>
            <a:rPr lang="en-GB" sz="1100" b="1">
              <a:solidFill>
                <a:schemeClr val="tx1"/>
              </a:solidFill>
              <a:effectLst/>
              <a:latin typeface="+mn-lt"/>
              <a:ea typeface="+mn-ea"/>
              <a:cs typeface="+mn-cs"/>
            </a:rPr>
            <a:t> </a:t>
          </a:r>
          <a:endParaRPr lang="fr-FR">
            <a:effectLst/>
          </a:endParaRPr>
        </a:p>
        <a:p>
          <a:r>
            <a:rPr lang="en-GB" sz="1100" b="1">
              <a:solidFill>
                <a:schemeClr val="tx1"/>
              </a:solidFill>
              <a:effectLst/>
              <a:latin typeface="+mn-lt"/>
              <a:ea typeface="+mn-ea"/>
              <a:cs typeface="+mn-cs"/>
            </a:rPr>
            <a:t>4.</a:t>
          </a:r>
          <a:r>
            <a:rPr lang="en-GB" sz="1100">
              <a:solidFill>
                <a:schemeClr val="tx1"/>
              </a:solidFill>
              <a:effectLst/>
              <a:latin typeface="+mn-lt"/>
              <a:ea typeface="+mn-ea"/>
              <a:cs typeface="+mn-cs"/>
            </a:rPr>
            <a:t> Create a RESULTS TABLE (this will be a </a:t>
          </a:r>
          <a:r>
            <a:rPr lang="en-GB" sz="1100" b="1">
              <a:solidFill>
                <a:schemeClr val="tx1"/>
              </a:solidFill>
              <a:effectLst/>
              <a:latin typeface="+mn-lt"/>
              <a:ea typeface="+mn-ea"/>
              <a:cs typeface="+mn-cs"/>
            </a:rPr>
            <a:t>1-dimension data table</a:t>
          </a:r>
          <a:r>
            <a:rPr lang="en-GB" sz="1100">
              <a:solidFill>
                <a:schemeClr val="tx1"/>
              </a:solidFill>
              <a:effectLst/>
              <a:latin typeface="+mn-lt"/>
              <a:ea typeface="+mn-ea"/>
              <a:cs typeface="+mn-cs"/>
            </a:rPr>
            <a:t>). Heading row of the data table will be formulas referencing the active scenario name and the original input variables Heading column of the data table will be formulas referencing the scenario names . Make sure you include NPV, IRR, etc. as outputs</a:t>
          </a:r>
          <a:endParaRPr lang="fr-FR">
            <a:effectLst/>
          </a:endParaRPr>
        </a:p>
        <a:p>
          <a:r>
            <a:rPr lang="en-GB" sz="1100" b="1">
              <a:solidFill>
                <a:schemeClr val="tx1"/>
              </a:solidFill>
              <a:effectLst/>
              <a:latin typeface="+mn-lt"/>
              <a:ea typeface="+mn-ea"/>
              <a:cs typeface="+mn-cs"/>
            </a:rPr>
            <a:t> </a:t>
          </a:r>
          <a:endParaRPr lang="fr-FR">
            <a:effectLst/>
          </a:endParaRPr>
        </a:p>
        <a:p>
          <a:r>
            <a:rPr lang="en-GB" sz="1100" b="1">
              <a:solidFill>
                <a:schemeClr val="tx1"/>
              </a:solidFill>
              <a:effectLst/>
              <a:latin typeface="+mn-lt"/>
              <a:ea typeface="+mn-ea"/>
              <a:cs typeface="+mn-cs"/>
            </a:rPr>
            <a:t>5. </a:t>
          </a:r>
          <a:r>
            <a:rPr lang="en-GB" sz="1100">
              <a:solidFill>
                <a:schemeClr val="tx1"/>
              </a:solidFill>
              <a:effectLst/>
              <a:latin typeface="+mn-lt"/>
              <a:ea typeface="+mn-ea"/>
              <a:cs typeface="+mn-cs"/>
            </a:rPr>
            <a:t>Use "What if" anaysis (French : Analyse des scénarios) to create the data table (column entry cell will be active scenario cell in yellow).</a:t>
          </a:r>
          <a:endParaRPr lang="fr-FR">
            <a:effectLst/>
          </a:endParaRPr>
        </a:p>
      </xdr:txBody>
    </xdr:sp>
    <xdr:clientData/>
  </xdr:oneCellAnchor>
  <xdr:twoCellAnchor editAs="oneCell">
    <xdr:from>
      <xdr:col>1</xdr:col>
      <xdr:colOff>1025470</xdr:colOff>
      <xdr:row>21</xdr:row>
      <xdr:rowOff>113984</xdr:rowOff>
    </xdr:from>
    <xdr:to>
      <xdr:col>8</xdr:col>
      <xdr:colOff>1400084</xdr:colOff>
      <xdr:row>26</xdr:row>
      <xdr:rowOff>171941</xdr:rowOff>
    </xdr:to>
    <xdr:pic>
      <xdr:nvPicPr>
        <xdr:cNvPr id="25" name="Image 24">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1"/>
        <a:stretch>
          <a:fillRect/>
        </a:stretch>
      </xdr:blipFill>
      <xdr:spPr>
        <a:xfrm>
          <a:off x="1469970" y="5204567"/>
          <a:ext cx="12111531" cy="1163916"/>
        </a:xfrm>
        <a:prstGeom prst="rect">
          <a:avLst/>
        </a:prstGeom>
      </xdr:spPr>
    </xdr:pic>
    <xdr:clientData/>
  </xdr:twoCellAnchor>
  <xdr:oneCellAnchor>
    <xdr:from>
      <xdr:col>1</xdr:col>
      <xdr:colOff>26988</xdr:colOff>
      <xdr:row>30</xdr:row>
      <xdr:rowOff>0</xdr:rowOff>
    </xdr:from>
    <xdr:ext cx="13885334" cy="5036343"/>
    <xdr:sp macro="" textlink="">
      <xdr:nvSpPr>
        <xdr:cNvPr id="26" name="ZoneTexte 25">
          <a:extLst>
            <a:ext uri="{FF2B5EF4-FFF2-40B4-BE49-F238E27FC236}">
              <a16:creationId xmlns:a16="http://schemas.microsoft.com/office/drawing/2014/main" id="{00000000-0008-0000-0400-00001A000000}"/>
            </a:ext>
          </a:extLst>
        </xdr:cNvPr>
        <xdr:cNvSpPr txBox="1"/>
      </xdr:nvSpPr>
      <xdr:spPr>
        <a:xfrm>
          <a:off x="467519" y="6619875"/>
          <a:ext cx="13885334" cy="5036343"/>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i="0" u="none" strike="noStrike">
              <a:solidFill>
                <a:schemeClr val="accent4">
                  <a:lumMod val="50000"/>
                </a:schemeClr>
              </a:solidFill>
              <a:effectLst/>
              <a:latin typeface="+mn-lt"/>
              <a:ea typeface="+mn-ea"/>
              <a:cs typeface="+mn-cs"/>
            </a:rPr>
            <a:t>Instructions to build a tornado graph</a:t>
          </a:r>
          <a:endParaRPr lang="en-GB" sz="1400" b="1">
            <a:solidFill>
              <a:schemeClr val="accent4">
                <a:lumMod val="50000"/>
              </a:schemeClr>
            </a:solidFill>
          </a:endParaRPr>
        </a:p>
        <a:p>
          <a:endParaRPr lang="en-GB" sz="1100" b="1">
            <a:solidFill>
              <a:schemeClr val="tx1"/>
            </a:solidFill>
            <a:effectLst/>
            <a:latin typeface="+mn-lt"/>
            <a:ea typeface="+mn-ea"/>
            <a:cs typeface="+mn-cs"/>
          </a:endParaRPr>
        </a:p>
        <a:p>
          <a:r>
            <a:rPr lang="en-GB" sz="1100" b="1">
              <a:solidFill>
                <a:schemeClr val="tx1"/>
              </a:solidFill>
              <a:effectLst/>
              <a:latin typeface="+mn-lt"/>
              <a:ea typeface="+mn-ea"/>
              <a:cs typeface="+mn-cs"/>
            </a:rPr>
            <a:t>0.</a:t>
          </a:r>
          <a:r>
            <a:rPr lang="en-GB" sz="1100">
              <a:solidFill>
                <a:schemeClr val="tx1"/>
              </a:solidFill>
              <a:effectLst/>
              <a:latin typeface="+mn-lt"/>
              <a:ea typeface="+mn-ea"/>
              <a:cs typeface="+mn-cs"/>
            </a:rPr>
            <a:t> You can work on sheet </a:t>
          </a:r>
          <a:r>
            <a:rPr lang="en-GB" sz="1100" b="1">
              <a:solidFill>
                <a:schemeClr val="tx1"/>
              </a:solidFill>
              <a:effectLst/>
              <a:latin typeface="+mn-lt"/>
              <a:ea typeface="+mn-ea"/>
              <a:cs typeface="+mn-cs"/>
            </a:rPr>
            <a:t>C-SCENARIOS</a:t>
          </a:r>
          <a:r>
            <a:rPr lang="en-GB" sz="1100">
              <a:solidFill>
                <a:schemeClr val="tx1"/>
              </a:solidFill>
              <a:effectLst/>
              <a:latin typeface="+mn-lt"/>
              <a:ea typeface="+mn-ea"/>
              <a:cs typeface="+mn-cs"/>
            </a:rPr>
            <a:t> or duplicate it</a:t>
          </a:r>
          <a:r>
            <a:rPr lang="en-GB" sz="1100" b="1">
              <a:solidFill>
                <a:schemeClr val="tx1"/>
              </a:solidFill>
              <a:effectLst/>
              <a:latin typeface="+mn-lt"/>
              <a:ea typeface="+mn-ea"/>
              <a:cs typeface="+mn-cs"/>
            </a:rPr>
            <a:t>, </a:t>
          </a:r>
          <a:r>
            <a:rPr lang="en-GB" sz="1100">
              <a:solidFill>
                <a:schemeClr val="tx1"/>
              </a:solidFill>
              <a:effectLst/>
              <a:latin typeface="+mn-lt"/>
              <a:ea typeface="+mn-ea"/>
              <a:cs typeface="+mn-cs"/>
            </a:rPr>
            <a:t>name </a:t>
          </a:r>
          <a:r>
            <a:rPr lang="en-GB" sz="1100" b="1">
              <a:solidFill>
                <a:schemeClr val="tx1"/>
              </a:solidFill>
              <a:effectLst/>
              <a:latin typeface="+mn-lt"/>
              <a:ea typeface="+mn-ea"/>
              <a:cs typeface="+mn-cs"/>
            </a:rPr>
            <a:t>it D-TORNADOS</a:t>
          </a:r>
          <a:br>
            <a:rPr lang="en-GB" sz="1400" b="1">
              <a:solidFill>
                <a:schemeClr val="accent4">
                  <a:lumMod val="50000"/>
                </a:schemeClr>
              </a:solidFill>
            </a:rPr>
          </a:br>
          <a:endParaRPr lang="en-GB" sz="1400" b="1">
            <a:solidFill>
              <a:schemeClr val="accent4">
                <a:lumMod val="50000"/>
              </a:schemeClr>
            </a:solidFill>
          </a:endParaRPr>
        </a:p>
        <a:p>
          <a:r>
            <a:rPr lang="en-GB" sz="1100" b="1" i="0">
              <a:solidFill>
                <a:schemeClr val="tx1"/>
              </a:solidFill>
              <a:effectLst/>
              <a:latin typeface="+mn-lt"/>
              <a:ea typeface="+mn-ea"/>
              <a:cs typeface="+mn-cs"/>
            </a:rPr>
            <a:t>1. </a:t>
          </a:r>
          <a:r>
            <a:rPr lang="en-GB" sz="1100">
              <a:solidFill>
                <a:schemeClr val="tx1"/>
              </a:solidFill>
              <a:effectLst/>
              <a:latin typeface="+mn-lt"/>
              <a:ea typeface="+mn-ea"/>
              <a:cs typeface="+mn-cs"/>
            </a:rPr>
            <a:t>Expand the "Scenarios source table" table with several additional scenarios by inserting rows. Create two additional lines per input variable:  one would be optimistic  vs base and the second one would be pessimistic vs base (while holding all other input variables constant in the base scenario).</a:t>
          </a:r>
        </a:p>
        <a:p>
          <a:endParaRPr lang="en-GB" sz="1100" b="1" i="0">
            <a:solidFill>
              <a:schemeClr val="tx1"/>
            </a:solidFill>
            <a:effectLst/>
            <a:latin typeface="+mn-lt"/>
            <a:ea typeface="+mn-ea"/>
            <a:cs typeface="+mn-cs"/>
          </a:endParaRPr>
        </a:p>
        <a:p>
          <a:r>
            <a:rPr lang="en-GB" sz="1100" b="1" i="0">
              <a:solidFill>
                <a:schemeClr val="tx1"/>
              </a:solidFill>
              <a:effectLst/>
              <a:latin typeface="+mn-lt"/>
              <a:ea typeface="+mn-ea"/>
              <a:cs typeface="+mn-cs"/>
            </a:rPr>
            <a:t>2. </a:t>
          </a:r>
          <a:r>
            <a:rPr lang="en-GB" sz="1100">
              <a:solidFill>
                <a:schemeClr val="tx1"/>
              </a:solidFill>
              <a:effectLst/>
              <a:latin typeface="+mn-lt"/>
              <a:ea typeface="+mn-ea"/>
              <a:cs typeface="+mn-cs"/>
            </a:rPr>
            <a:t>Update your original input variables (in yellow or orange, to the left of the sheet) by changing the function VLOOKUP or XLOOPUP (French: RECHERCHEV) in order to include the additional scenarios.</a:t>
          </a:r>
        </a:p>
        <a:p>
          <a:endParaRPr lang="en-GB">
            <a:effectLst/>
          </a:endParaRPr>
        </a:p>
        <a:p>
          <a:r>
            <a:rPr lang="en-GB" sz="1100" b="1" i="0">
              <a:solidFill>
                <a:schemeClr val="tx1"/>
              </a:solidFill>
              <a:effectLst/>
              <a:latin typeface="+mn-lt"/>
              <a:ea typeface="+mn-ea"/>
              <a:cs typeface="+mn-cs"/>
            </a:rPr>
            <a:t>3.</a:t>
          </a:r>
          <a:r>
            <a:rPr lang="en-GB" sz="1100" b="0" i="0">
              <a:solidFill>
                <a:schemeClr val="tx1"/>
              </a:solidFill>
              <a:effectLst/>
              <a:latin typeface="+mn-lt"/>
              <a:ea typeface="+mn-ea"/>
              <a:cs typeface="+mn-cs"/>
            </a:rPr>
            <a:t> </a:t>
          </a:r>
          <a:r>
            <a:rPr lang="en-GB" sz="1100">
              <a:solidFill>
                <a:schemeClr val="tx1"/>
              </a:solidFill>
              <a:effectLst/>
              <a:latin typeface="+mn-lt"/>
              <a:ea typeface="+mn-ea"/>
              <a:cs typeface="+mn-cs"/>
            </a:rPr>
            <a:t>Create another RESULTS TABLE (this will be again a </a:t>
          </a:r>
          <a:r>
            <a:rPr lang="en-GB" sz="1100" b="1">
              <a:solidFill>
                <a:schemeClr val="tx1"/>
              </a:solidFill>
              <a:effectLst/>
              <a:latin typeface="+mn-lt"/>
              <a:ea typeface="+mn-ea"/>
              <a:cs typeface="+mn-cs"/>
            </a:rPr>
            <a:t>1-dimension data table</a:t>
          </a:r>
          <a:r>
            <a:rPr lang="en-GB" sz="1100">
              <a:solidFill>
                <a:schemeClr val="tx1"/>
              </a:solidFill>
              <a:effectLst/>
              <a:latin typeface="+mn-lt"/>
              <a:ea typeface="+mn-ea"/>
              <a:cs typeface="+mn-cs"/>
            </a:rPr>
            <a:t>). Heading row of the data table will be formulas referencing the active scenario name and the original input variables. Heading column of the data table will be two scenarios per input variable: optimistic vs base and pessimistic vs base</a:t>
          </a:r>
          <a:endParaRPr lang="en-GB" sz="1100" b="0" i="0" baseline="0">
            <a:solidFill>
              <a:schemeClr val="tx1"/>
            </a:solidFill>
            <a:effectLst/>
            <a:latin typeface="+mn-lt"/>
            <a:ea typeface="+mn-ea"/>
            <a:cs typeface="+mn-cs"/>
          </a:endParaRPr>
        </a:p>
        <a:p>
          <a:endParaRPr lang="en-GB" sz="1100" b="0" i="0">
            <a:solidFill>
              <a:schemeClr val="tx1"/>
            </a:solidFill>
            <a:effectLst/>
            <a:latin typeface="+mn-lt"/>
            <a:ea typeface="+mn-ea"/>
            <a:cs typeface="+mn-cs"/>
          </a:endParaRPr>
        </a:p>
        <a:p>
          <a:r>
            <a:rPr lang="en-GB" sz="1100" b="1" i="0">
              <a:solidFill>
                <a:schemeClr val="tx1"/>
              </a:solidFill>
              <a:effectLst/>
              <a:latin typeface="+mn-lt"/>
              <a:ea typeface="+mn-ea"/>
              <a:cs typeface="+mn-cs"/>
            </a:rPr>
            <a:t>5. </a:t>
          </a:r>
          <a:r>
            <a:rPr lang="en-GB" sz="1100">
              <a:solidFill>
                <a:schemeClr val="tx1"/>
              </a:solidFill>
              <a:effectLst/>
              <a:latin typeface="+mn-lt"/>
              <a:ea typeface="+mn-ea"/>
              <a:cs typeface="+mn-cs"/>
            </a:rPr>
            <a:t>Select</a:t>
          </a:r>
          <a:r>
            <a:rPr lang="en-GB" sz="1100" b="1">
              <a:solidFill>
                <a:schemeClr val="tx1"/>
              </a:solidFill>
              <a:effectLst/>
              <a:latin typeface="+mn-lt"/>
              <a:ea typeface="+mn-ea"/>
              <a:cs typeface="+mn-cs"/>
            </a:rPr>
            <a:t> </a:t>
          </a:r>
          <a:r>
            <a:rPr lang="en-GB" sz="1100">
              <a:solidFill>
                <a:schemeClr val="tx1"/>
              </a:solidFill>
              <a:effectLst/>
              <a:latin typeface="+mn-lt"/>
              <a:ea typeface="+mn-ea"/>
              <a:cs typeface="+mn-cs"/>
            </a:rPr>
            <a:t>"What if" analysis (French: Analyse des scénarios) in the Development menu to create a data table (one-dimension). Column entry cell will be “active cell” (active scenario cell) in yellow.  </a:t>
          </a:r>
          <a:r>
            <a:rPr lang="en-GB" sz="1100" b="0" i="0">
              <a:solidFill>
                <a:schemeClr val="tx1"/>
              </a:solidFill>
              <a:effectLst/>
              <a:latin typeface="+mn-lt"/>
              <a:ea typeface="+mn-ea"/>
              <a:cs typeface="+mn-cs"/>
            </a:rPr>
            <a:t>  </a:t>
          </a:r>
        </a:p>
        <a:p>
          <a:endParaRPr lang="en-GB">
            <a:effectLst/>
          </a:endParaRPr>
        </a:p>
        <a:p>
          <a:r>
            <a:rPr lang="en-GB" b="1">
              <a:effectLst/>
            </a:rPr>
            <a:t>6.</a:t>
          </a:r>
          <a:r>
            <a:rPr lang="en-GB" b="1" baseline="0">
              <a:effectLst/>
            </a:rPr>
            <a:t> </a:t>
          </a:r>
          <a:r>
            <a:rPr lang="en-GB" baseline="0">
              <a:effectLst/>
            </a:rPr>
            <a:t>Create a summary table that calculates the difference between base scenario and all the other scenarios.</a:t>
          </a:r>
        </a:p>
        <a:p>
          <a:r>
            <a:rPr lang="en-GB" baseline="0">
              <a:effectLst/>
            </a:rPr>
            <a:t>     i.e. First row </a:t>
          </a:r>
          <a:r>
            <a:rPr lang="en-GB" baseline="0">
              <a:solidFill>
                <a:srgbClr val="FF0000"/>
              </a:solidFill>
              <a:effectLst/>
            </a:rPr>
            <a:t>high vs base </a:t>
          </a:r>
          <a:r>
            <a:rPr lang="en-GB" baseline="0">
              <a:effectLst/>
            </a:rPr>
            <a:t>is equal to </a:t>
          </a:r>
        </a:p>
        <a:p>
          <a:r>
            <a:rPr lang="en-GB" baseline="0">
              <a:effectLst/>
            </a:rPr>
            <a:t>     the difference </a:t>
          </a:r>
          <a:r>
            <a:rPr lang="en-GB" b="0" baseline="0">
              <a:effectLst/>
            </a:rPr>
            <a:t>between </a:t>
          </a:r>
        </a:p>
        <a:p>
          <a:r>
            <a:rPr lang="en-GB" b="0" baseline="0">
              <a:effectLst/>
            </a:rPr>
            <a:t>     NPV of base scenario</a:t>
          </a:r>
        </a:p>
        <a:p>
          <a:r>
            <a:rPr lang="en-GB" b="1" baseline="0">
              <a:effectLst/>
            </a:rPr>
            <a:t>     </a:t>
          </a:r>
          <a:r>
            <a:rPr lang="en-GB" b="0" baseline="0">
              <a:effectLst/>
            </a:rPr>
            <a:t>and NPV of base scenario </a:t>
          </a:r>
          <a:br>
            <a:rPr lang="en-GB" b="0" baseline="0">
              <a:effectLst/>
            </a:rPr>
          </a:br>
          <a:r>
            <a:rPr lang="en-GB" b="0" baseline="0">
              <a:effectLst/>
            </a:rPr>
            <a:t>     with optimistic factory price</a:t>
          </a:r>
        </a:p>
        <a:p>
          <a:endParaRPr lang="en-GB" b="1" baseline="0">
            <a:effectLst/>
          </a:endParaRPr>
        </a:p>
        <a:p>
          <a:endParaRPr lang="en-GB" b="1" baseline="0">
            <a:effectLst/>
          </a:endParaRPr>
        </a:p>
        <a:p>
          <a:r>
            <a:rPr lang="en-GB" b="1" baseline="0">
              <a:effectLst/>
            </a:rPr>
            <a:t>7. </a:t>
          </a:r>
          <a:r>
            <a:rPr lang="en-GB" baseline="0">
              <a:effectLst/>
            </a:rPr>
            <a:t>Build a tornado chart that will graphically show the input variables to which NPV is most sensitive</a:t>
          </a:r>
          <a:br>
            <a:rPr lang="en-GB" baseline="0">
              <a:effectLst/>
            </a:rPr>
          </a:br>
          <a:r>
            <a:rPr lang="en-GB" baseline="0">
              <a:effectLst/>
            </a:rPr>
            <a:t>    See this video for more on tornado graphs:   </a:t>
          </a:r>
          <a:r>
            <a:rPr lang="en-GB" b="1" baseline="0">
              <a:solidFill>
                <a:srgbClr val="0070C0"/>
              </a:solidFill>
              <a:effectLst/>
            </a:rPr>
            <a:t>https://www.youtube.com/watch?v=kH41VDGakqM</a:t>
          </a:r>
        </a:p>
        <a:p>
          <a:r>
            <a:rPr lang="en-GB">
              <a:effectLst/>
            </a:rPr>
            <a:t>    See this website : </a:t>
          </a:r>
          <a:r>
            <a:rPr lang="en-GB" b="1">
              <a:solidFill>
                <a:srgbClr val="0070C0"/>
              </a:solidFill>
              <a:effectLst/>
            </a:rPr>
            <a:t>https://edbodmer.com/</a:t>
          </a:r>
          <a:r>
            <a:rPr lang="en-GB">
              <a:effectLst/>
            </a:rPr>
            <a:t> for more on financial modeling</a:t>
          </a:r>
        </a:p>
      </xdr:txBody>
    </xdr:sp>
    <xdr:clientData/>
  </xdr:oneCellAnchor>
  <xdr:twoCellAnchor editAs="oneCell">
    <xdr:from>
      <xdr:col>2</xdr:col>
      <xdr:colOff>1646237</xdr:colOff>
      <xdr:row>43</xdr:row>
      <xdr:rowOff>148330</xdr:rowOff>
    </xdr:from>
    <xdr:to>
      <xdr:col>4</xdr:col>
      <xdr:colOff>962027</xdr:colOff>
      <xdr:row>49</xdr:row>
      <xdr:rowOff>30958</xdr:rowOff>
    </xdr:to>
    <xdr:pic>
      <xdr:nvPicPr>
        <xdr:cNvPr id="27" name="Imag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32175" y="9927330"/>
          <a:ext cx="3244852" cy="10811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349779</xdr:colOff>
      <xdr:row>43</xdr:row>
      <xdr:rowOff>54245</xdr:rowOff>
    </xdr:from>
    <xdr:to>
      <xdr:col>8</xdr:col>
      <xdr:colOff>441008</xdr:colOff>
      <xdr:row>53</xdr:row>
      <xdr:rowOff>133614</xdr:rowOff>
    </xdr:to>
    <xdr:pic>
      <xdr:nvPicPr>
        <xdr:cNvPr id="28" name="Image 27">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3"/>
        <a:stretch>
          <a:fillRect/>
        </a:stretch>
      </xdr:blipFill>
      <xdr:spPr>
        <a:xfrm>
          <a:off x="7265987" y="9706245"/>
          <a:ext cx="5356438" cy="2211911"/>
        </a:xfrm>
        <a:prstGeom prst="rect">
          <a:avLst/>
        </a:prstGeom>
      </xdr:spPr>
    </xdr:pic>
    <xdr:clientData/>
  </xdr:twoCellAnchor>
  <xdr:twoCellAnchor editAs="oneCell">
    <xdr:from>
      <xdr:col>1</xdr:col>
      <xdr:colOff>497415</xdr:colOff>
      <xdr:row>10</xdr:row>
      <xdr:rowOff>151916</xdr:rowOff>
    </xdr:from>
    <xdr:to>
      <xdr:col>5</xdr:col>
      <xdr:colOff>2148626</xdr:colOff>
      <xdr:row>13</xdr:row>
      <xdr:rowOff>103717</xdr:rowOff>
    </xdr:to>
    <xdr:pic>
      <xdr:nvPicPr>
        <xdr:cNvPr id="29" name="Imag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47207" y="2390291"/>
          <a:ext cx="8112336" cy="729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234950</xdr:colOff>
      <xdr:row>1</xdr:row>
      <xdr:rowOff>6350</xdr:rowOff>
    </xdr:from>
    <xdr:to>
      <xdr:col>7</xdr:col>
      <xdr:colOff>629408</xdr:colOff>
      <xdr:row>4</xdr:row>
      <xdr:rowOff>106164</xdr:rowOff>
    </xdr:to>
    <xdr:sp macro="" textlink="">
      <xdr:nvSpPr>
        <xdr:cNvPr id="9" name="Rounded Rectangle 16">
          <a:extLst>
            <a:ext uri="{FF2B5EF4-FFF2-40B4-BE49-F238E27FC236}">
              <a16:creationId xmlns:a16="http://schemas.microsoft.com/office/drawing/2014/main" id="{00000000-0008-0000-0400-000009000000}"/>
            </a:ext>
          </a:extLst>
        </xdr:cNvPr>
        <xdr:cNvSpPr/>
      </xdr:nvSpPr>
      <xdr:spPr>
        <a:xfrm>
          <a:off x="4595283" y="202142"/>
          <a:ext cx="6786792" cy="650147"/>
        </a:xfrm>
        <a:prstGeom prst="roundRect">
          <a:avLst/>
        </a:prstGeom>
        <a:solidFill>
          <a:srgbClr val="FF0066"/>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fr-FR" sz="1600" b="1">
              <a:solidFill>
                <a:schemeClr val="bg1"/>
              </a:solidFill>
            </a:rPr>
            <a:t>OPTIONAL SECTION</a:t>
          </a:r>
        </a:p>
        <a:p>
          <a:pPr algn="ctr"/>
          <a:r>
            <a:rPr lang="fr-FR" sz="1600" b="1">
              <a:solidFill>
                <a:schemeClr val="bg1"/>
              </a:solidFill>
            </a:rPr>
            <a:t>Bonus points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35279</xdr:colOff>
      <xdr:row>13</xdr:row>
      <xdr:rowOff>35277</xdr:rowOff>
    </xdr:from>
    <xdr:to>
      <xdr:col>2</xdr:col>
      <xdr:colOff>437445</xdr:colOff>
      <xdr:row>21</xdr:row>
      <xdr:rowOff>105833</xdr:rowOff>
    </xdr:to>
    <xdr:sp macro="" textlink="">
      <xdr:nvSpPr>
        <xdr:cNvPr id="2" name="Rounded Rectangle 16">
          <a:extLst>
            <a:ext uri="{FF2B5EF4-FFF2-40B4-BE49-F238E27FC236}">
              <a16:creationId xmlns:a16="http://schemas.microsoft.com/office/drawing/2014/main" id="{00000000-0008-0000-0600-000002000000}"/>
            </a:ext>
          </a:extLst>
        </xdr:cNvPr>
        <xdr:cNvSpPr/>
      </xdr:nvSpPr>
      <xdr:spPr>
        <a:xfrm>
          <a:off x="345723" y="6117166"/>
          <a:ext cx="8085666" cy="1368778"/>
        </a:xfrm>
        <a:prstGeom prst="roundRect">
          <a:avLst/>
        </a:prstGeom>
        <a:solidFill>
          <a:schemeClr val="accent6">
            <a:lumMod val="20000"/>
            <a:lumOff val="8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l"/>
          <a:r>
            <a:rPr lang="fr-FR" sz="1200">
              <a:solidFill>
                <a:sysClr val="windowText" lastClr="000000"/>
              </a:solidFill>
            </a:rPr>
            <a:t>Sensitivity analysis is used to evaluate how sensitive the output variable is to the change in one of the variables while other input variables remain unchanged. Sensitivity analysis is widely used in capital budgeting decisions to assess how the change in such inputs as sales, variable costs, fixed costs, cost of capital, and marginal tax rate will affect such outputs as net present value (NPV) of a project, internal rate of return (IRR), and discounted payback period. It also provides a better  understanding of the risks associated with a project.</a:t>
          </a:r>
          <a:endParaRPr lang="en-US" sz="1200" b="1">
            <a:solidFill>
              <a:sysClr val="windowText" lastClr="000000"/>
            </a:solidFill>
          </a:endParaRPr>
        </a:p>
      </xdr:txBody>
    </xdr:sp>
    <xdr:clientData/>
  </xdr:twoCellAnchor>
  <xdr:twoCellAnchor>
    <xdr:from>
      <xdr:col>1</xdr:col>
      <xdr:colOff>77612</xdr:colOff>
      <xdr:row>23</xdr:row>
      <xdr:rowOff>0</xdr:rowOff>
    </xdr:from>
    <xdr:to>
      <xdr:col>3</xdr:col>
      <xdr:colOff>21168</xdr:colOff>
      <xdr:row>35</xdr:row>
      <xdr:rowOff>84667</xdr:rowOff>
    </xdr:to>
    <xdr:sp macro="" textlink="">
      <xdr:nvSpPr>
        <xdr:cNvPr id="3" name="Rounded Rectangle 16">
          <a:extLst>
            <a:ext uri="{FF2B5EF4-FFF2-40B4-BE49-F238E27FC236}">
              <a16:creationId xmlns:a16="http://schemas.microsoft.com/office/drawing/2014/main" id="{00000000-0008-0000-0600-000003000000}"/>
            </a:ext>
          </a:extLst>
        </xdr:cNvPr>
        <xdr:cNvSpPr/>
      </xdr:nvSpPr>
      <xdr:spPr>
        <a:xfrm>
          <a:off x="388056" y="7704667"/>
          <a:ext cx="8233834" cy="2032000"/>
        </a:xfrm>
        <a:prstGeom prst="roundRect">
          <a:avLst/>
        </a:prstGeom>
        <a:solidFill>
          <a:schemeClr val="accent6">
            <a:lumMod val="20000"/>
            <a:lumOff val="80000"/>
          </a:schemeClr>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r>
            <a:rPr lang="fr-FR" sz="1200">
              <a:solidFill>
                <a:sysClr val="windowText" lastClr="000000"/>
              </a:solidFill>
            </a:rPr>
            <a:t>Several steps are involved in sensitivity analysis of a project.</a:t>
          </a:r>
        </a:p>
        <a:p>
          <a:r>
            <a:rPr lang="fr-FR" sz="1200">
              <a:solidFill>
                <a:sysClr val="windowText" lastClr="000000"/>
              </a:solidFill>
              <a:effectLst/>
            </a:rPr>
            <a:t>1. Determine input and output variables.</a:t>
          </a:r>
        </a:p>
        <a:p>
          <a:r>
            <a:rPr lang="fr-FR" sz="1200">
              <a:solidFill>
                <a:sysClr val="windowText" lastClr="000000"/>
              </a:solidFill>
              <a:effectLst/>
            </a:rPr>
            <a:t>2. Calculate the </a:t>
          </a:r>
          <a:r>
            <a:rPr lang="fr-FR" sz="1200" b="1">
              <a:solidFill>
                <a:sysClr val="windowText" lastClr="000000"/>
              </a:solidFill>
              <a:effectLst/>
            </a:rPr>
            <a:t>baseline value of the output </a:t>
          </a:r>
          <a:r>
            <a:rPr lang="fr-FR" sz="1200">
              <a:solidFill>
                <a:sysClr val="windowText" lastClr="000000"/>
              </a:solidFill>
              <a:effectLst/>
            </a:rPr>
            <a:t>variable using the </a:t>
          </a:r>
          <a:r>
            <a:rPr lang="fr-FR" sz="1200" b="1">
              <a:solidFill>
                <a:sysClr val="windowText" lastClr="000000"/>
              </a:solidFill>
              <a:effectLst/>
            </a:rPr>
            <a:t>baseline input variables value</a:t>
          </a:r>
          <a:r>
            <a:rPr lang="fr-FR" sz="1200">
              <a:solidFill>
                <a:sysClr val="windowText" lastClr="000000"/>
              </a:solidFill>
              <a:effectLst/>
            </a:rPr>
            <a:t>.</a:t>
          </a:r>
        </a:p>
        <a:p>
          <a:r>
            <a:rPr lang="fr-FR" sz="1200">
              <a:solidFill>
                <a:sysClr val="windowText" lastClr="000000"/>
              </a:solidFill>
              <a:effectLst/>
            </a:rPr>
            <a:t>3. Change the value of one of the input variables while others remain constant, and calculate the new value of the output variable.</a:t>
          </a:r>
        </a:p>
        <a:p>
          <a:r>
            <a:rPr lang="fr-FR" sz="1200">
              <a:solidFill>
                <a:sysClr val="windowText" lastClr="000000"/>
              </a:solidFill>
              <a:effectLst/>
            </a:rPr>
            <a:t>4. Calculate the percentage change of both output and input variable </a:t>
          </a:r>
          <a:r>
            <a:rPr lang="fr-FR" sz="1200" b="1">
              <a:solidFill>
                <a:sysClr val="windowText" lastClr="000000"/>
              </a:solidFill>
              <a:effectLst/>
            </a:rPr>
            <a:t>compared to baseline values</a:t>
          </a:r>
          <a:r>
            <a:rPr lang="fr-FR" sz="1200">
              <a:solidFill>
                <a:sysClr val="windowText" lastClr="000000"/>
              </a:solidFill>
              <a:effectLst/>
            </a:rPr>
            <a:t>.</a:t>
          </a:r>
        </a:p>
        <a:p>
          <a:r>
            <a:rPr lang="fr-FR" sz="1200">
              <a:solidFill>
                <a:sysClr val="windowText" lastClr="000000"/>
              </a:solidFill>
              <a:effectLst/>
            </a:rPr>
            <a:t>5. Calculate the sensitivity of the output variable to the change in the input variable as</a:t>
          </a:r>
          <a:r>
            <a:rPr lang="fr-FR" sz="1200" b="1">
              <a:solidFill>
                <a:sysClr val="windowText" lastClr="000000"/>
              </a:solidFill>
              <a:effectLst/>
            </a:rPr>
            <a:t>: </a:t>
          </a:r>
          <a:br>
            <a:rPr lang="fr-FR" sz="1200" b="1">
              <a:solidFill>
                <a:sysClr val="windowText" lastClr="000000"/>
              </a:solidFill>
              <a:effectLst/>
            </a:rPr>
          </a:br>
          <a:r>
            <a:rPr lang="fr-FR" sz="1200" b="1">
              <a:solidFill>
                <a:sysClr val="windowText" lastClr="000000"/>
              </a:solidFill>
              <a:effectLst/>
            </a:rPr>
            <a:t>    </a:t>
          </a:r>
          <a:r>
            <a:rPr lang="fr-FR" sz="1200" b="1">
              <a:solidFill>
                <a:srgbClr val="C00000"/>
              </a:solidFill>
              <a:effectLst/>
            </a:rPr>
            <a:t>Sensitivity = %change in output / %change</a:t>
          </a:r>
          <a:r>
            <a:rPr lang="fr-FR" sz="1200" b="1" baseline="0">
              <a:solidFill>
                <a:srgbClr val="C00000"/>
              </a:solidFill>
              <a:effectLst/>
            </a:rPr>
            <a:t> in input</a:t>
          </a:r>
          <a:endParaRPr lang="fr-FR" sz="1200" b="1">
            <a:solidFill>
              <a:srgbClr val="C00000"/>
            </a:solidFill>
            <a:effectLst/>
          </a:endParaRPr>
        </a:p>
      </xdr:txBody>
    </xdr:sp>
    <xdr:clientData/>
  </xdr:twoCellAnchor>
</xdr:wsDr>
</file>

<file path=xl/theme/theme1.xml><?xml version="1.0" encoding="utf-8"?>
<a:theme xmlns:a="http://schemas.openxmlformats.org/drawingml/2006/main" name="Thème Offic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5BD5BC6-CAB9-5C4A-91A7-0DE6163E9224}">
  <we:reference id="wa104381504" version="1.0.0.0" store="fr-FR"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E1CD8-EF01-4CB1-9376-55B205B274A9}">
  <sheetPr>
    <tabColor theme="7" tint="-0.249977111117893"/>
  </sheetPr>
  <dimension ref="A1"/>
  <sheetViews>
    <sheetView showGridLines="0" topLeftCell="B1" zoomScale="120" zoomScaleNormal="120" workbookViewId="0">
      <selection activeCell="W33" sqref="W33"/>
    </sheetView>
  </sheetViews>
  <sheetFormatPr defaultColWidth="8.81640625" defaultRowHeight="12.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7" tint="-0.249977111117893"/>
  </sheetPr>
  <dimension ref="A10:L79"/>
  <sheetViews>
    <sheetView showGridLines="0" topLeftCell="A53" zoomScale="120" zoomScaleNormal="120" workbookViewId="0">
      <selection activeCell="D71" sqref="D71"/>
    </sheetView>
  </sheetViews>
  <sheetFormatPr defaultColWidth="11.453125" defaultRowHeight="13" x14ac:dyDescent="0.3"/>
  <cols>
    <col min="1" max="1" width="2.453125" style="73" customWidth="1"/>
    <col min="2" max="2" width="49.1796875" style="72" customWidth="1"/>
    <col min="3" max="3" width="22.453125" style="73" customWidth="1"/>
    <col min="4" max="4" width="17.453125" style="73" customWidth="1"/>
    <col min="5" max="5" width="44.81640625" style="73" customWidth="1"/>
    <col min="6" max="6" width="6.453125" style="73" customWidth="1"/>
    <col min="7" max="16384" width="11.453125" style="73"/>
  </cols>
  <sheetData>
    <row r="10" spans="1:12" s="22" customFormat="1" ht="15.5" x14ac:dyDescent="0.35">
      <c r="A10" s="16"/>
      <c r="B10" s="23"/>
      <c r="D10" s="344"/>
      <c r="E10" s="18"/>
      <c r="F10" s="18"/>
      <c r="G10" s="18"/>
      <c r="H10" s="18"/>
      <c r="I10" s="18"/>
      <c r="J10" s="18"/>
    </row>
    <row r="11" spans="1:12" s="22" customFormat="1" ht="15.5" x14ac:dyDescent="0.35">
      <c r="A11" s="16"/>
      <c r="D11" s="168"/>
      <c r="E11" s="395"/>
      <c r="I11" s="19"/>
      <c r="J11" s="20"/>
      <c r="K11" s="21"/>
      <c r="L11" s="21"/>
    </row>
    <row r="12" spans="1:12" s="22" customFormat="1" ht="15" customHeight="1" x14ac:dyDescent="0.35">
      <c r="A12" s="16"/>
      <c r="B12" s="16"/>
      <c r="C12" s="19"/>
      <c r="D12" s="396"/>
      <c r="E12" s="168" t="s">
        <v>271</v>
      </c>
      <c r="F12" s="19"/>
      <c r="G12" s="19"/>
      <c r="H12" s="19"/>
      <c r="I12" s="19"/>
      <c r="J12" s="20"/>
      <c r="K12" s="21"/>
      <c r="L12" s="21"/>
    </row>
    <row r="13" spans="1:12" s="22" customFormat="1" ht="15" customHeight="1" x14ac:dyDescent="0.35">
      <c r="A13" s="16"/>
      <c r="B13" s="16"/>
      <c r="C13" s="19"/>
      <c r="D13" s="396"/>
      <c r="E13" s="168" t="s">
        <v>272</v>
      </c>
      <c r="F13" s="19"/>
      <c r="G13" s="19"/>
      <c r="H13" s="19"/>
      <c r="I13" s="19"/>
      <c r="J13" s="20"/>
      <c r="K13" s="21"/>
      <c r="L13" s="21"/>
    </row>
    <row r="14" spans="1:12" s="22" customFormat="1" ht="15" customHeight="1" x14ac:dyDescent="0.35">
      <c r="A14" s="16"/>
      <c r="B14" s="16"/>
      <c r="C14" s="19"/>
      <c r="D14" s="396"/>
      <c r="E14" s="168"/>
      <c r="F14" s="19"/>
      <c r="G14" s="19"/>
      <c r="H14" s="19"/>
      <c r="I14" s="19"/>
      <c r="J14" s="20"/>
      <c r="K14" s="21"/>
      <c r="L14" s="21"/>
    </row>
    <row r="15" spans="1:12" s="22" customFormat="1" ht="15" customHeight="1" x14ac:dyDescent="0.35">
      <c r="A15" s="16"/>
      <c r="B15" s="16"/>
      <c r="C15" s="19"/>
      <c r="D15" s="20"/>
      <c r="E15" s="19"/>
      <c r="F15" s="19"/>
      <c r="G15" s="19"/>
      <c r="H15" s="19"/>
      <c r="I15" s="19"/>
      <c r="J15" s="20"/>
      <c r="K15" s="21"/>
      <c r="L15" s="21"/>
    </row>
    <row r="16" spans="1:12" s="22" customFormat="1" ht="15" customHeight="1" x14ac:dyDescent="0.35">
      <c r="A16" s="16"/>
      <c r="B16" s="16"/>
      <c r="C16" s="19"/>
      <c r="D16" s="20"/>
      <c r="E16" s="19"/>
      <c r="F16" s="19"/>
      <c r="G16" s="19"/>
      <c r="H16" s="19"/>
      <c r="I16" s="19"/>
      <c r="J16" s="20"/>
      <c r="K16" s="21"/>
      <c r="L16" s="21"/>
    </row>
    <row r="17" spans="1:12" s="22" customFormat="1" ht="15" customHeight="1" x14ac:dyDescent="0.35">
      <c r="A17" s="16"/>
      <c r="B17" s="16"/>
      <c r="C17" s="19"/>
      <c r="D17" s="20"/>
      <c r="E17" s="19"/>
      <c r="F17" s="19"/>
      <c r="G17" s="19"/>
      <c r="H17" s="19"/>
      <c r="I17" s="19"/>
      <c r="J17" s="20"/>
      <c r="K17" s="21"/>
      <c r="L17" s="21"/>
    </row>
    <row r="18" spans="1:12" s="22" customFormat="1" ht="15" customHeight="1" x14ac:dyDescent="0.35">
      <c r="A18" s="16"/>
      <c r="B18" s="16"/>
      <c r="C18" s="19"/>
      <c r="D18" s="20"/>
      <c r="E18" s="19"/>
      <c r="F18" s="19"/>
      <c r="G18" s="19"/>
      <c r="H18" s="19"/>
      <c r="I18" s="19"/>
      <c r="J18" s="20"/>
      <c r="K18" s="21"/>
      <c r="L18" s="21"/>
    </row>
    <row r="20" spans="1:12" s="43" customFormat="1" ht="15.5" x14ac:dyDescent="0.35">
      <c r="A20" s="106"/>
      <c r="B20" s="201" t="s">
        <v>0</v>
      </c>
      <c r="C20" s="214"/>
      <c r="D20" s="106"/>
    </row>
    <row r="21" spans="1:12" ht="14.5" x14ac:dyDescent="0.35">
      <c r="A21" s="196">
        <f>'B-CAPITAL BUDGETING CASE'!A5</f>
        <v>1</v>
      </c>
      <c r="B21" s="200" t="str">
        <f>'B-CAPITAL BUDGETING CASE'!C5</f>
        <v>INVESTING</v>
      </c>
      <c r="C21" s="215" t="str">
        <f>'B-CAPITAL BUDGETING CASE'!E5</f>
        <v>Should QINGDAO undertake the project?</v>
      </c>
      <c r="D21" s="197"/>
      <c r="E21" s="213"/>
      <c r="L21" s="224"/>
    </row>
    <row r="22" spans="1:12" ht="14.5" x14ac:dyDescent="0.35">
      <c r="A22" s="196">
        <f>'B-CAPITAL BUDGETING CASE'!A170</f>
        <v>2</v>
      </c>
      <c r="B22" s="200" t="str">
        <f>'B-CAPITAL BUDGETING CASE'!C170</f>
        <v>FINANCING</v>
      </c>
      <c r="C22" s="215" t="str">
        <f>'B-CAPITAL BUDGETING CASE'!E170</f>
        <v>If undertaken, how is the project to be financed ?</v>
      </c>
      <c r="D22" s="197"/>
      <c r="E22" s="213"/>
      <c r="L22" s="225"/>
    </row>
    <row r="23" spans="1:12" ht="14.5" x14ac:dyDescent="0.35">
      <c r="A23" s="196">
        <f>'B-CAPITAL BUDGETING CASE'!A250</f>
        <v>3</v>
      </c>
      <c r="B23" s="200" t="str">
        <f>'B-CAPITAL BUDGETING CASE'!C250</f>
        <v>ANALYSIS OF PROJECT FEATURES</v>
      </c>
      <c r="C23" s="215" t="str">
        <f>'B-CAPITAL BUDGETING CASE'!E250</f>
        <v>Conclusions ?</v>
      </c>
      <c r="D23" s="197"/>
      <c r="L23" s="226"/>
    </row>
    <row r="24" spans="1:12" ht="14.5" x14ac:dyDescent="0.35">
      <c r="A24" s="196">
        <f>'B-CAPITAL BUDGETING CASE'!A301</f>
        <v>4</v>
      </c>
      <c r="B24" s="200" t="str">
        <f>'B-CAPITAL BUDGETING CASE'!C301</f>
        <v>SENSITIVITY ANALYSIS</v>
      </c>
      <c r="C24" s="215" t="str">
        <f>'B-CAPITAL BUDGETING CASE'!E301</f>
        <v>What if?</v>
      </c>
      <c r="D24" s="197"/>
      <c r="L24" s="226"/>
    </row>
    <row r="25" spans="1:12" ht="14.5" x14ac:dyDescent="0.35">
      <c r="A25" s="198">
        <f>'D-SCENARIO INSTRUCTIONS'!B4</f>
        <v>5</v>
      </c>
      <c r="B25" s="202" t="s">
        <v>274</v>
      </c>
      <c r="C25" s="216" t="s">
        <v>1</v>
      </c>
      <c r="D25" s="197"/>
      <c r="L25" s="225"/>
    </row>
    <row r="26" spans="1:12" ht="14.5" x14ac:dyDescent="0.35">
      <c r="A26" s="198">
        <f>'D-SCENARIO INSTRUCTIONS'!B29</f>
        <v>6</v>
      </c>
      <c r="B26" s="202" t="s">
        <v>273</v>
      </c>
      <c r="C26" s="216" t="s">
        <v>2</v>
      </c>
      <c r="D26" s="197"/>
      <c r="L26" s="225"/>
    </row>
    <row r="27" spans="1:12" ht="14.5" x14ac:dyDescent="0.35">
      <c r="A27" s="198"/>
      <c r="B27" s="199"/>
      <c r="C27" s="198"/>
      <c r="D27" s="197"/>
      <c r="L27" s="225"/>
    </row>
    <row r="28" spans="1:12" s="206" customFormat="1" ht="14.5" x14ac:dyDescent="0.35">
      <c r="A28" s="203"/>
      <c r="B28" s="204"/>
      <c r="C28" s="203"/>
      <c r="D28" s="205"/>
      <c r="L28" s="227"/>
    </row>
    <row r="29" spans="1:12" s="206" customFormat="1" ht="14.5" x14ac:dyDescent="0.35">
      <c r="A29" s="203"/>
      <c r="B29" s="204"/>
      <c r="C29" s="203"/>
      <c r="D29" s="205"/>
      <c r="L29" s="227"/>
    </row>
    <row r="30" spans="1:12" s="206" customFormat="1" ht="14.5" x14ac:dyDescent="0.35">
      <c r="A30" s="203"/>
      <c r="B30" s="320" t="s">
        <v>3</v>
      </c>
      <c r="C30" s="203"/>
      <c r="D30" s="205"/>
      <c r="L30" s="227"/>
    </row>
    <row r="31" spans="1:12" s="206" customFormat="1" ht="14.5" x14ac:dyDescent="0.35">
      <c r="A31" s="203"/>
      <c r="B31" s="397" t="s">
        <v>275</v>
      </c>
      <c r="C31" s="203"/>
      <c r="D31" s="205"/>
      <c r="L31" s="227"/>
    </row>
    <row r="32" spans="1:12" s="206" customFormat="1" ht="14.5" x14ac:dyDescent="0.35">
      <c r="A32" s="203"/>
      <c r="B32" s="397" t="s">
        <v>276</v>
      </c>
      <c r="C32" s="203"/>
      <c r="D32" s="205"/>
      <c r="L32" s="227"/>
    </row>
    <row r="33" spans="1:12" s="206" customFormat="1" ht="14.5" x14ac:dyDescent="0.35">
      <c r="A33" s="203"/>
      <c r="B33" s="397" t="s">
        <v>277</v>
      </c>
      <c r="C33" s="203"/>
      <c r="D33" s="205"/>
      <c r="L33" s="227"/>
    </row>
    <row r="34" spans="1:12" s="206" customFormat="1" ht="14.5" x14ac:dyDescent="0.35">
      <c r="A34" s="203"/>
      <c r="B34" s="397" t="s">
        <v>278</v>
      </c>
      <c r="C34" s="203"/>
      <c r="D34" s="205"/>
      <c r="L34" s="225"/>
    </row>
    <row r="35" spans="1:12" s="206" customFormat="1" ht="14.5" x14ac:dyDescent="0.35">
      <c r="A35" s="203"/>
      <c r="B35" s="397" t="s">
        <v>279</v>
      </c>
      <c r="C35" s="203"/>
      <c r="D35" s="205"/>
      <c r="L35" s="225"/>
    </row>
    <row r="36" spans="1:12" s="206" customFormat="1" ht="14.5" x14ac:dyDescent="0.35">
      <c r="A36" s="203"/>
      <c r="B36" s="397" t="s">
        <v>280</v>
      </c>
      <c r="C36" s="203"/>
      <c r="D36" s="205"/>
      <c r="L36" s="225"/>
    </row>
    <row r="37" spans="1:12" s="206" customFormat="1" ht="14.5" x14ac:dyDescent="0.35">
      <c r="A37" s="203"/>
      <c r="B37" s="397" t="s">
        <v>281</v>
      </c>
      <c r="C37" s="203"/>
      <c r="D37" s="205"/>
      <c r="L37" s="225"/>
    </row>
    <row r="38" spans="1:12" s="206" customFormat="1" ht="14.5" x14ac:dyDescent="0.35">
      <c r="A38" s="203"/>
      <c r="B38" s="397" t="s">
        <v>282</v>
      </c>
      <c r="C38" s="203"/>
      <c r="D38" s="205"/>
      <c r="L38" s="225"/>
    </row>
    <row r="39" spans="1:12" s="206" customFormat="1" ht="14.5" x14ac:dyDescent="0.35">
      <c r="A39" s="203"/>
      <c r="B39" s="397" t="s">
        <v>283</v>
      </c>
      <c r="C39" s="203"/>
      <c r="D39" s="205"/>
      <c r="L39" s="225"/>
    </row>
    <row r="40" spans="1:12" s="206" customFormat="1" ht="14.5" x14ac:dyDescent="0.35">
      <c r="A40" s="203"/>
      <c r="B40" s="204"/>
      <c r="C40" s="203"/>
      <c r="D40" s="205"/>
      <c r="L40" s="225"/>
    </row>
    <row r="41" spans="1:12" s="206" customFormat="1" ht="14.5" x14ac:dyDescent="0.35">
      <c r="A41" s="203"/>
      <c r="B41" s="204"/>
      <c r="C41" s="203"/>
      <c r="D41" s="205"/>
      <c r="L41" s="225"/>
    </row>
    <row r="42" spans="1:12" s="206" customFormat="1" ht="14.5" x14ac:dyDescent="0.35">
      <c r="A42" s="203"/>
      <c r="B42" s="204"/>
      <c r="C42" s="203"/>
      <c r="D42" s="205"/>
      <c r="L42" s="225"/>
    </row>
    <row r="43" spans="1:12" s="206" customFormat="1" ht="14.5" x14ac:dyDescent="0.35">
      <c r="A43" s="203"/>
      <c r="B43" s="204"/>
      <c r="C43" s="203"/>
      <c r="D43" s="205"/>
      <c r="L43" s="225"/>
    </row>
    <row r="44" spans="1:12" s="206" customFormat="1" ht="14.5" x14ac:dyDescent="0.35">
      <c r="A44" s="203"/>
      <c r="B44" s="248" t="s">
        <v>4</v>
      </c>
      <c r="C44" s="203"/>
      <c r="D44" s="205"/>
      <c r="L44" s="225"/>
    </row>
    <row r="45" spans="1:12" s="206" customFormat="1" ht="14.5" x14ac:dyDescent="0.35">
      <c r="A45" s="203"/>
      <c r="B45" s="204"/>
      <c r="C45" s="203"/>
      <c r="D45" s="205"/>
      <c r="L45" s="225"/>
    </row>
    <row r="46" spans="1:12" ht="14" x14ac:dyDescent="0.35">
      <c r="B46" s="72" t="s">
        <v>259</v>
      </c>
      <c r="D46" s="136">
        <v>2024</v>
      </c>
      <c r="L46" s="225"/>
    </row>
    <row r="47" spans="1:12" ht="16" customHeight="1" x14ac:dyDescent="0.3">
      <c r="B47" s="137" t="s">
        <v>5</v>
      </c>
      <c r="C47" s="138" t="s">
        <v>6</v>
      </c>
      <c r="D47" s="138" t="s">
        <v>7</v>
      </c>
      <c r="E47" s="139" t="s">
        <v>8</v>
      </c>
      <c r="H47" s="74"/>
      <c r="I47" s="74"/>
      <c r="J47" s="74"/>
    </row>
    <row r="48" spans="1:12" ht="16" customHeight="1" x14ac:dyDescent="0.3">
      <c r="B48" s="405" t="s">
        <v>9</v>
      </c>
      <c r="C48" s="406" t="s">
        <v>10</v>
      </c>
      <c r="D48" s="407">
        <v>6200000</v>
      </c>
      <c r="E48" s="408"/>
      <c r="H48" s="74"/>
      <c r="I48" s="74"/>
      <c r="J48" s="74"/>
    </row>
    <row r="49" spans="2:10" ht="16" customHeight="1" x14ac:dyDescent="0.3">
      <c r="B49" s="409" t="s">
        <v>11</v>
      </c>
      <c r="C49" s="410" t="s">
        <v>12</v>
      </c>
      <c r="D49" s="411">
        <v>0.25</v>
      </c>
      <c r="E49" s="412" t="s">
        <v>13</v>
      </c>
      <c r="H49" s="74"/>
      <c r="I49" s="74"/>
      <c r="J49" s="74"/>
    </row>
    <row r="50" spans="2:10" ht="16" customHeight="1" x14ac:dyDescent="0.3">
      <c r="B50" s="409" t="s">
        <v>14</v>
      </c>
      <c r="C50" s="413" t="s">
        <v>15</v>
      </c>
      <c r="D50" s="414">
        <v>6</v>
      </c>
      <c r="E50" s="412"/>
      <c r="H50" s="75"/>
      <c r="I50" s="75"/>
      <c r="J50" s="75"/>
    </row>
    <row r="51" spans="2:10" ht="16" customHeight="1" x14ac:dyDescent="0.3">
      <c r="B51" s="409" t="s">
        <v>16</v>
      </c>
      <c r="C51" s="413" t="s">
        <v>10</v>
      </c>
      <c r="D51" s="415">
        <v>4000000</v>
      </c>
      <c r="E51" s="412"/>
      <c r="H51" s="75"/>
      <c r="I51" s="75"/>
      <c r="J51" s="75"/>
    </row>
    <row r="52" spans="2:10" ht="16" customHeight="1" x14ac:dyDescent="0.3">
      <c r="B52" s="409" t="s">
        <v>17</v>
      </c>
      <c r="C52" s="416" t="s">
        <v>18</v>
      </c>
      <c r="D52" s="417">
        <v>3000000</v>
      </c>
      <c r="E52" s="418"/>
      <c r="H52" s="75"/>
      <c r="I52" s="75"/>
      <c r="J52" s="75"/>
    </row>
    <row r="53" spans="2:10" ht="16" customHeight="1" x14ac:dyDescent="0.3">
      <c r="B53" s="409" t="s">
        <v>19</v>
      </c>
      <c r="C53" s="410" t="s">
        <v>12</v>
      </c>
      <c r="D53" s="411">
        <v>0.02</v>
      </c>
      <c r="E53" s="419" t="s">
        <v>20</v>
      </c>
      <c r="H53" s="76"/>
      <c r="I53" s="76"/>
      <c r="J53" s="76"/>
    </row>
    <row r="54" spans="2:10" ht="16" customHeight="1" x14ac:dyDescent="0.3">
      <c r="B54" s="409" t="s">
        <v>21</v>
      </c>
      <c r="C54" s="420" t="s">
        <v>10</v>
      </c>
      <c r="D54" s="421">
        <v>1.25</v>
      </c>
      <c r="E54" s="422" t="s">
        <v>22</v>
      </c>
      <c r="H54" s="74"/>
      <c r="I54" s="74"/>
      <c r="J54" s="74"/>
    </row>
    <row r="55" spans="2:10" ht="16" customHeight="1" x14ac:dyDescent="0.3">
      <c r="B55" s="409" t="s">
        <v>23</v>
      </c>
      <c r="C55" s="413" t="s">
        <v>12</v>
      </c>
      <c r="D55" s="411">
        <v>0.05</v>
      </c>
      <c r="E55" s="412" t="s">
        <v>24</v>
      </c>
      <c r="H55" s="74"/>
      <c r="I55" s="74"/>
      <c r="J55" s="74"/>
    </row>
    <row r="56" spans="2:10" ht="16" customHeight="1" x14ac:dyDescent="0.3">
      <c r="B56" s="434" t="s">
        <v>284</v>
      </c>
      <c r="C56" s="413"/>
      <c r="D56" s="411"/>
      <c r="E56" s="412"/>
      <c r="H56" s="74"/>
      <c r="I56" s="74"/>
      <c r="J56" s="74"/>
    </row>
    <row r="57" spans="2:10" ht="16" customHeight="1" x14ac:dyDescent="0.3">
      <c r="B57" s="423" t="s">
        <v>71</v>
      </c>
      <c r="C57" s="410" t="s">
        <v>12</v>
      </c>
      <c r="D57" s="411">
        <v>0.15</v>
      </c>
      <c r="E57" s="412" t="s">
        <v>25</v>
      </c>
      <c r="H57" s="74"/>
      <c r="I57" s="74"/>
      <c r="J57" s="74"/>
    </row>
    <row r="58" spans="2:10" ht="16" customHeight="1" x14ac:dyDescent="0.3">
      <c r="B58" s="423" t="s">
        <v>72</v>
      </c>
      <c r="C58" s="410" t="s">
        <v>12</v>
      </c>
      <c r="D58" s="411">
        <v>0.2</v>
      </c>
      <c r="E58" s="412" t="s">
        <v>25</v>
      </c>
      <c r="H58" s="74"/>
      <c r="I58" s="74"/>
      <c r="J58" s="74"/>
    </row>
    <row r="59" spans="2:10" ht="16" customHeight="1" x14ac:dyDescent="0.3">
      <c r="B59" s="423" t="s">
        <v>73</v>
      </c>
      <c r="C59" s="410" t="s">
        <v>12</v>
      </c>
      <c r="D59" s="411">
        <v>0.1</v>
      </c>
      <c r="E59" s="412" t="s">
        <v>25</v>
      </c>
      <c r="H59" s="74"/>
      <c r="I59" s="74"/>
      <c r="J59" s="74"/>
    </row>
    <row r="60" spans="2:10" ht="16" customHeight="1" x14ac:dyDescent="0.3">
      <c r="B60" s="409" t="s">
        <v>26</v>
      </c>
      <c r="C60" s="424" t="s">
        <v>10</v>
      </c>
      <c r="D60" s="415">
        <v>500000</v>
      </c>
      <c r="E60" s="422"/>
      <c r="H60" s="74"/>
      <c r="I60" s="74"/>
      <c r="J60" s="74"/>
    </row>
    <row r="61" spans="2:10" ht="16" customHeight="1" x14ac:dyDescent="0.3">
      <c r="B61" s="409" t="s">
        <v>27</v>
      </c>
      <c r="C61" s="410" t="s">
        <v>12</v>
      </c>
      <c r="D61" s="411">
        <v>0.4</v>
      </c>
      <c r="E61" s="412" t="s">
        <v>28</v>
      </c>
      <c r="G61" s="218" t="s">
        <v>29</v>
      </c>
      <c r="H61" s="219"/>
      <c r="I61" s="219"/>
      <c r="J61" s="219"/>
    </row>
    <row r="62" spans="2:10" ht="16" customHeight="1" x14ac:dyDescent="0.3">
      <c r="B62" s="409" t="s">
        <v>30</v>
      </c>
      <c r="C62" s="425" t="s">
        <v>12</v>
      </c>
      <c r="D62" s="426">
        <v>6.8049999999999999E-2</v>
      </c>
      <c r="E62" s="427" t="s">
        <v>31</v>
      </c>
      <c r="G62" s="220"/>
      <c r="H62" s="219"/>
      <c r="I62" s="219"/>
      <c r="J62" s="219"/>
    </row>
    <row r="63" spans="2:10" ht="16" customHeight="1" x14ac:dyDescent="0.3">
      <c r="B63" s="409" t="s">
        <v>32</v>
      </c>
      <c r="C63" s="425" t="s">
        <v>10</v>
      </c>
      <c r="D63" s="415">
        <v>250000</v>
      </c>
      <c r="E63" s="427" t="s">
        <v>285</v>
      </c>
      <c r="G63" s="220" t="s">
        <v>33</v>
      </c>
      <c r="H63" s="221"/>
      <c r="I63" s="221"/>
      <c r="J63" s="221"/>
    </row>
    <row r="64" spans="2:10" ht="16" customHeight="1" x14ac:dyDescent="0.3">
      <c r="B64" s="435" t="s">
        <v>287</v>
      </c>
      <c r="C64" s="425"/>
      <c r="D64" s="415"/>
      <c r="E64" s="427"/>
      <c r="G64" s="257">
        <v>0.15</v>
      </c>
      <c r="H64" s="221"/>
      <c r="I64" s="221"/>
      <c r="J64" s="221"/>
    </row>
    <row r="65" spans="2:10" ht="16" customHeight="1" x14ac:dyDescent="0.3">
      <c r="B65" s="436" t="s">
        <v>92</v>
      </c>
      <c r="C65" s="425" t="s">
        <v>34</v>
      </c>
      <c r="D65" s="415">
        <v>60</v>
      </c>
      <c r="E65" s="427"/>
      <c r="G65" s="258">
        <f>G64+10%</f>
        <v>0.25</v>
      </c>
      <c r="H65" s="221"/>
      <c r="I65" s="221"/>
      <c r="J65" s="221"/>
    </row>
    <row r="66" spans="2:10" ht="16" customHeight="1" x14ac:dyDescent="0.3">
      <c r="B66" s="436" t="s">
        <v>96</v>
      </c>
      <c r="C66" s="425" t="s">
        <v>34</v>
      </c>
      <c r="D66" s="415">
        <v>15</v>
      </c>
      <c r="E66" s="427"/>
      <c r="G66" s="258">
        <f t="shared" ref="G66:G68" si="0">G65+10%</f>
        <v>0.35</v>
      </c>
      <c r="H66" s="221"/>
      <c r="I66" s="221"/>
      <c r="J66" s="221"/>
    </row>
    <row r="67" spans="2:10" ht="16" customHeight="1" x14ac:dyDescent="0.3">
      <c r="B67" s="436" t="s">
        <v>100</v>
      </c>
      <c r="C67" s="425" t="s">
        <v>34</v>
      </c>
      <c r="D67" s="415">
        <v>70</v>
      </c>
      <c r="E67" s="427"/>
      <c r="G67" s="258">
        <f t="shared" si="0"/>
        <v>0.44999999999999996</v>
      </c>
      <c r="H67" s="221"/>
      <c r="I67" s="221"/>
      <c r="J67" s="221"/>
    </row>
    <row r="68" spans="2:10" ht="16" customHeight="1" x14ac:dyDescent="0.3">
      <c r="B68" s="409"/>
      <c r="C68" s="413"/>
      <c r="D68" s="414"/>
      <c r="E68" s="412"/>
      <c r="G68" s="258">
        <f t="shared" si="0"/>
        <v>0.54999999999999993</v>
      </c>
      <c r="H68" s="221"/>
      <c r="I68" s="221"/>
      <c r="J68" s="221"/>
    </row>
    <row r="69" spans="2:10" ht="16" customHeight="1" x14ac:dyDescent="0.3">
      <c r="B69" s="409" t="s">
        <v>35</v>
      </c>
      <c r="C69" s="410" t="s">
        <v>12</v>
      </c>
      <c r="D69" s="411">
        <v>0.35</v>
      </c>
      <c r="E69" s="412" t="s">
        <v>36</v>
      </c>
      <c r="G69" s="221"/>
      <c r="H69" s="221"/>
      <c r="I69" s="221"/>
      <c r="J69" s="221"/>
    </row>
    <row r="70" spans="2:10" ht="16" customHeight="1" x14ac:dyDescent="0.3">
      <c r="B70" s="409" t="s">
        <v>37</v>
      </c>
      <c r="C70" s="410" t="s">
        <v>12</v>
      </c>
      <c r="D70" s="426">
        <v>6.5000000000000002E-2</v>
      </c>
      <c r="E70" s="412" t="s">
        <v>38</v>
      </c>
      <c r="G70" s="221"/>
      <c r="H70" s="221"/>
      <c r="I70" s="221"/>
      <c r="J70" s="221"/>
    </row>
    <row r="71" spans="2:10" ht="16" customHeight="1" x14ac:dyDescent="0.3">
      <c r="B71" s="409" t="s">
        <v>39</v>
      </c>
      <c r="C71" s="410" t="s">
        <v>12</v>
      </c>
      <c r="D71" s="428">
        <v>0.2</v>
      </c>
      <c r="E71" s="412" t="s">
        <v>40</v>
      </c>
      <c r="G71" s="220" t="s">
        <v>45</v>
      </c>
      <c r="H71" s="221"/>
      <c r="I71" s="221"/>
      <c r="J71" s="221"/>
    </row>
    <row r="72" spans="2:10" ht="16" customHeight="1" x14ac:dyDescent="0.3">
      <c r="B72" s="409" t="s">
        <v>41</v>
      </c>
      <c r="C72" s="410" t="s">
        <v>12</v>
      </c>
      <c r="D72" s="428">
        <v>0.25</v>
      </c>
      <c r="E72" s="412" t="s">
        <v>40</v>
      </c>
      <c r="G72" s="257">
        <v>0.5</v>
      </c>
      <c r="H72" s="221"/>
      <c r="I72" s="221"/>
      <c r="J72" s="221"/>
    </row>
    <row r="73" spans="2:10" ht="16" customHeight="1" x14ac:dyDescent="0.3">
      <c r="B73" s="409" t="s">
        <v>42</v>
      </c>
      <c r="C73" s="410" t="s">
        <v>12</v>
      </c>
      <c r="D73" s="428">
        <v>0.25</v>
      </c>
      <c r="E73" s="412" t="s">
        <v>40</v>
      </c>
      <c r="G73" s="258">
        <f>G72+10%</f>
        <v>0.6</v>
      </c>
      <c r="H73" s="221"/>
      <c r="I73" s="221"/>
      <c r="J73" s="221"/>
    </row>
    <row r="74" spans="2:10" ht="16" customHeight="1" x14ac:dyDescent="0.3">
      <c r="B74" s="409" t="s">
        <v>43</v>
      </c>
      <c r="C74" s="410" t="s">
        <v>12</v>
      </c>
      <c r="D74" s="428">
        <v>0.3</v>
      </c>
      <c r="E74" s="412" t="s">
        <v>40</v>
      </c>
      <c r="G74" s="258">
        <f t="shared" ref="G74:G75" si="1">G73+10%</f>
        <v>0.7</v>
      </c>
      <c r="H74" s="221"/>
      <c r="I74" s="221"/>
      <c r="J74" s="221"/>
    </row>
    <row r="75" spans="2:10" ht="16" customHeight="1" x14ac:dyDescent="0.3">
      <c r="B75" s="409" t="s">
        <v>44</v>
      </c>
      <c r="C75" s="410" t="s">
        <v>12</v>
      </c>
      <c r="D75" s="428">
        <v>1</v>
      </c>
      <c r="E75" s="419"/>
      <c r="G75" s="258">
        <f t="shared" si="1"/>
        <v>0.79999999999999993</v>
      </c>
      <c r="H75" s="221"/>
      <c r="I75" s="221"/>
      <c r="J75" s="221"/>
    </row>
    <row r="76" spans="2:10" ht="16" customHeight="1" x14ac:dyDescent="0.3">
      <c r="B76" s="409" t="s">
        <v>46</v>
      </c>
      <c r="C76" s="410" t="s">
        <v>12</v>
      </c>
      <c r="D76" s="426">
        <v>8.0000000000000002E-3</v>
      </c>
      <c r="E76" s="427"/>
    </row>
    <row r="77" spans="2:10" ht="16" customHeight="1" x14ac:dyDescent="0.3">
      <c r="B77" s="409" t="s">
        <v>47</v>
      </c>
      <c r="C77" s="410" t="s">
        <v>12</v>
      </c>
      <c r="D77" s="426">
        <v>5.7000000000000002E-2</v>
      </c>
      <c r="E77" s="427"/>
    </row>
    <row r="78" spans="2:10" ht="16" customHeight="1" x14ac:dyDescent="0.3">
      <c r="B78" s="429" t="s">
        <v>48</v>
      </c>
      <c r="C78" s="430"/>
      <c r="D78" s="431">
        <v>2</v>
      </c>
      <c r="E78" s="432"/>
    </row>
    <row r="79" spans="2:10" x14ac:dyDescent="0.3">
      <c r="B79" s="400"/>
      <c r="C79" s="401"/>
      <c r="D79" s="401"/>
      <c r="E79" s="401"/>
    </row>
  </sheetData>
  <conditionalFormatting sqref="B10 E10:J10 A11 I11:XFD11 A12:D14 F12:XFD14 A15:XFD18">
    <cfRule type="cellIs" dxfId="89" priority="199" operator="equal">
      <formula>TRUE</formula>
    </cfRule>
  </conditionalFormatting>
  <conditionalFormatting sqref="B56:B59">
    <cfRule type="containsText" dxfId="88" priority="1" operator="containsText" text="FALSE">
      <formula>NOT(ISERROR(SEARCH("FALSE",B56)))</formula>
    </cfRule>
    <cfRule type="cellIs" dxfId="87" priority="2" operator="equal">
      <formula>TRUE</formula>
    </cfRule>
  </conditionalFormatting>
  <conditionalFormatting sqref="D11 E12:E14">
    <cfRule type="cellIs" dxfId="86" priority="197" operator="equal">
      <formula>TRUE</formula>
    </cfRule>
  </conditionalFormatting>
  <conditionalFormatting sqref="G64:G68">
    <cfRule type="containsText" dxfId="85" priority="9" operator="containsText" text="FALSE">
      <formula>NOT(ISERROR(SEARCH("FALSE",G64)))</formula>
    </cfRule>
    <cfRule type="cellIs" dxfId="84" priority="10" operator="equal">
      <formula>TRUE</formula>
    </cfRule>
  </conditionalFormatting>
  <conditionalFormatting sqref="G72:G75">
    <cfRule type="containsText" dxfId="83" priority="7" operator="containsText" text="FALSE">
      <formula>NOT(ISERROR(SEARCH("FALSE",G72)))</formula>
    </cfRule>
    <cfRule type="cellIs" dxfId="82" priority="8" operator="equal">
      <formula>TRUE</formula>
    </cfRule>
  </conditionalFormatting>
  <conditionalFormatting sqref="H53:J53">
    <cfRule type="containsText" dxfId="81" priority="11" operator="containsText" text="FALSE">
      <formula>NOT(ISERROR(SEARCH("FALSE",H53)))</formula>
    </cfRule>
    <cfRule type="cellIs" dxfId="80" priority="12" operator="equal">
      <formula>TRUE</formula>
    </cfRule>
  </conditionalFormatting>
  <hyperlinks>
    <hyperlink ref="B21" location="INVESTING" display="INVESTING" xr:uid="{89763328-F717-4A38-9314-3743F8F3ABD8}"/>
    <hyperlink ref="B22" location="FINANCING" display="FINANCING" xr:uid="{B54B887B-A040-4F49-9FB1-92974AC1A66B}"/>
    <hyperlink ref="B23" location="ANALYSIS" display="ANALYSIS" xr:uid="{0EFCFDFB-664E-437D-B138-9F8928427038}"/>
    <hyperlink ref="B24" location="SENSITIVITY" display="SENSITIVITY" xr:uid="{223781D4-F836-4D2B-9529-C18F8983CA7E}"/>
    <hyperlink ref="B25" location="SCENARIOS" display="SCENARIOS" xr:uid="{A0505F8D-26B2-4CE4-9632-43810FEA80A8}"/>
    <hyperlink ref="B26" location="TORNADO" display="TORNADO" xr:uid="{6632EBB0-CD0E-4DC5-805D-416B89E84DE3}"/>
  </hyperlinks>
  <pageMargins left="0.7" right="0.7" top="0.75" bottom="0.75" header="0.3" footer="0.3"/>
  <pageSetup paperSize="9" orientation="portrait" horizontalDpi="4294967293" r:id="rId1"/>
  <drawing r:id="rId2"/>
  <legacyDrawing r:id="rId3"/>
  <extLst>
    <ext xmlns:x14="http://schemas.microsoft.com/office/spreadsheetml/2009/9/main" uri="{78C0D931-6437-407d-A8EE-F0AAD7539E65}">
      <x14:conditionalFormattings>
        <x14:conditionalFormatting xmlns:xm="http://schemas.microsoft.com/office/excel/2006/main">
          <x14:cfRule type="containsText" priority="198" operator="containsText" text="FALSE" id="{34597D45-462C-48C9-91B3-65E175688BC1}">
            <xm:f>NOT(ISERROR(SEARCH("FALSE",'B-CAPITAL BUDGETING CASE'!A10)))</xm:f>
            <x14:dxf>
              <font>
                <color rgb="FFFF0000"/>
              </font>
              <fill>
                <patternFill>
                  <fgColor indexed="64"/>
                  <bgColor rgb="FFFFFFFF"/>
                </patternFill>
              </fill>
            </x14:dxf>
          </x14:cfRule>
          <xm:sqref>B10 E10:J10 A11 I11:XFD11 A12:D14 F12:XFD14 A15:XFD18</xm:sqref>
        </x14:conditionalFormatting>
        <x14:conditionalFormatting xmlns:xm="http://schemas.microsoft.com/office/excel/2006/main">
          <x14:cfRule type="containsText" priority="196" operator="containsText" text="FALSE" id="{34597D45-462C-48C9-91B3-65E175688BC1}">
            <xm:f>NOT(ISERROR(SEARCH("FALSE",'B-CAPITAL BUDGETING CASE'!E11)))</xm:f>
            <x14:dxf>
              <font>
                <color rgb="FFFF0000"/>
              </font>
              <fill>
                <patternFill>
                  <fgColor indexed="64"/>
                  <bgColor rgb="FFFFFFFF"/>
                </patternFill>
              </fill>
            </x14:dxf>
          </x14:cfRule>
          <xm:sqref>D11 E12:E14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tabColor theme="7" tint="0.59999389629810485"/>
  </sheetPr>
  <dimension ref="A1:V390"/>
  <sheetViews>
    <sheetView showGridLines="0" zoomScale="80" zoomScaleNormal="80" workbookViewId="0">
      <pane xSplit="3" ySplit="1" topLeftCell="D2" activePane="bottomRight" state="frozenSplit"/>
      <selection pane="topRight" activeCell="F1" sqref="F1"/>
      <selection pane="bottomLeft" activeCell="A14" sqref="A14"/>
      <selection pane="bottomRight" activeCell="B3" sqref="B3"/>
    </sheetView>
  </sheetViews>
  <sheetFormatPr defaultColWidth="11.453125" defaultRowHeight="15.5" x14ac:dyDescent="0.35"/>
  <cols>
    <col min="1" max="1" width="3.453125" style="16" customWidth="1"/>
    <col min="2" max="2" width="46.453125" style="16" customWidth="1"/>
    <col min="3" max="3" width="47.36328125" style="22" customWidth="1"/>
    <col min="4" max="4" width="8.81640625" style="344" customWidth="1"/>
    <col min="5" max="10" width="12.81640625" style="22" customWidth="1"/>
    <col min="11" max="11" width="7" style="22" customWidth="1"/>
    <col min="12" max="12" width="14" style="22" customWidth="1"/>
    <col min="13" max="13" width="15.453125" style="22" customWidth="1"/>
    <col min="14" max="14" width="19.453125" style="22" customWidth="1"/>
    <col min="15" max="15" width="11.453125" style="22" customWidth="1"/>
    <col min="16" max="16" width="20.453125" style="22" customWidth="1"/>
    <col min="17" max="18" width="24.453125" style="22" customWidth="1"/>
    <col min="19" max="19" width="22.453125" style="22" customWidth="1"/>
    <col min="20" max="20" width="16.1796875" style="22" bestFit="1" customWidth="1"/>
    <col min="21" max="21" width="15.453125" style="22" bestFit="1" customWidth="1"/>
    <col min="22" max="22" width="16.1796875" style="22" bestFit="1" customWidth="1"/>
    <col min="23" max="23" width="11.453125" style="22"/>
    <col min="24" max="24" width="21.1796875" style="22" customWidth="1"/>
    <col min="25" max="16384" width="11.453125" style="22"/>
  </cols>
  <sheetData>
    <row r="1" spans="1:18" x14ac:dyDescent="0.35">
      <c r="B1" s="23" t="s">
        <v>49</v>
      </c>
      <c r="E1" s="476">
        <f>'A-INSTRUCTIONS'!D46</f>
        <v>2024</v>
      </c>
      <c r="F1" s="476">
        <f>E1+1</f>
        <v>2025</v>
      </c>
      <c r="G1" s="476">
        <f t="shared" ref="G1:J1" si="0">F1+1</f>
        <v>2026</v>
      </c>
      <c r="H1" s="476">
        <f t="shared" si="0"/>
        <v>2027</v>
      </c>
      <c r="I1" s="476">
        <f t="shared" si="0"/>
        <v>2028</v>
      </c>
      <c r="J1" s="476">
        <f t="shared" si="0"/>
        <v>2029</v>
      </c>
    </row>
    <row r="2" spans="1:18" x14ac:dyDescent="0.35">
      <c r="B2" s="23"/>
      <c r="E2" s="437">
        <v>0</v>
      </c>
      <c r="F2" s="437">
        <f>E2+1</f>
        <v>1</v>
      </c>
      <c r="G2" s="437">
        <f t="shared" ref="G2:J2" si="1">F2+1</f>
        <v>2</v>
      </c>
      <c r="H2" s="437">
        <f t="shared" si="1"/>
        <v>3</v>
      </c>
      <c r="I2" s="437">
        <f t="shared" si="1"/>
        <v>4</v>
      </c>
      <c r="J2" s="437">
        <f t="shared" si="1"/>
        <v>5</v>
      </c>
    </row>
    <row r="3" spans="1:18" ht="21" x14ac:dyDescent="0.5">
      <c r="B3" s="17" t="s">
        <v>50</v>
      </c>
      <c r="E3" s="168" t="s">
        <v>51</v>
      </c>
      <c r="F3" s="168"/>
      <c r="G3" s="168"/>
      <c r="I3" s="19"/>
      <c r="J3" s="20"/>
      <c r="K3" s="21"/>
      <c r="L3" s="21"/>
    </row>
    <row r="4" spans="1:18" ht="15" customHeight="1" x14ac:dyDescent="0.35">
      <c r="C4" s="19"/>
      <c r="D4" s="20"/>
      <c r="E4" s="19"/>
      <c r="F4" s="19"/>
      <c r="G4" s="19"/>
      <c r="H4" s="19"/>
      <c r="I4" s="19"/>
      <c r="J4" s="20"/>
      <c r="K4" s="21"/>
      <c r="L4" s="21"/>
    </row>
    <row r="5" spans="1:18" s="113" customFormat="1" ht="23.5" x14ac:dyDescent="0.55000000000000004">
      <c r="A5" s="231">
        <v>1</v>
      </c>
      <c r="B5" s="231"/>
      <c r="C5" s="228" t="s">
        <v>52</v>
      </c>
      <c r="D5" s="349"/>
      <c r="E5" s="229" t="s">
        <v>53</v>
      </c>
      <c r="F5" s="230"/>
      <c r="G5" s="230"/>
      <c r="H5" s="230"/>
      <c r="I5" s="230"/>
      <c r="J5" s="230"/>
      <c r="K5" s="230"/>
      <c r="L5" s="112"/>
    </row>
    <row r="6" spans="1:18" s="152" customFormat="1" ht="23.5" x14ac:dyDescent="0.55000000000000004">
      <c r="A6" s="250"/>
      <c r="B6" s="250"/>
      <c r="C6" s="251"/>
      <c r="D6" s="350"/>
      <c r="E6" s="252"/>
      <c r="F6" s="253"/>
      <c r="G6" s="253"/>
      <c r="H6" s="253"/>
      <c r="I6" s="253"/>
      <c r="J6" s="253"/>
      <c r="K6" s="253"/>
      <c r="L6" s="254"/>
    </row>
    <row r="7" spans="1:18" x14ac:dyDescent="0.35">
      <c r="C7" s="23" t="s">
        <v>49</v>
      </c>
      <c r="D7" s="351"/>
      <c r="E7" s="437">
        <v>0</v>
      </c>
      <c r="F7" s="437">
        <v>1</v>
      </c>
      <c r="G7" s="437">
        <v>2</v>
      </c>
      <c r="H7" s="437">
        <v>3</v>
      </c>
      <c r="I7" s="437">
        <v>4</v>
      </c>
      <c r="J7" s="437">
        <v>5</v>
      </c>
      <c r="K7" s="21"/>
      <c r="L7" s="21"/>
    </row>
    <row r="8" spans="1:18" ht="19" thickBot="1" x14ac:dyDescent="0.4">
      <c r="A8" s="481" t="s">
        <v>54</v>
      </c>
      <c r="B8" s="98"/>
      <c r="C8" s="101"/>
      <c r="D8" s="352"/>
      <c r="E8" s="102"/>
      <c r="F8" s="102"/>
      <c r="G8" s="102"/>
      <c r="H8" s="102"/>
      <c r="I8" s="102"/>
      <c r="J8" s="102"/>
      <c r="L8" s="86"/>
    </row>
    <row r="9" spans="1:18" ht="22" customHeight="1" x14ac:dyDescent="0.35">
      <c r="C9" s="26" t="s">
        <v>55</v>
      </c>
      <c r="D9" s="353" t="s">
        <v>10</v>
      </c>
      <c r="E9" s="546">
        <f>'A-INSTRUCTIONS'!D48</f>
        <v>6200000</v>
      </c>
      <c r="F9" s="477"/>
      <c r="G9" s="477"/>
      <c r="H9" s="477"/>
      <c r="I9" s="477"/>
      <c r="J9" s="477"/>
      <c r="K9" s="22" t="s">
        <v>56</v>
      </c>
      <c r="L9" s="87"/>
    </row>
    <row r="10" spans="1:18" x14ac:dyDescent="0.35">
      <c r="C10" s="27" t="s">
        <v>57</v>
      </c>
      <c r="D10" s="354" t="s">
        <v>12</v>
      </c>
      <c r="E10" s="398">
        <f>'A-INSTRUCTIONS'!D49</f>
        <v>0.25</v>
      </c>
      <c r="F10" s="478"/>
      <c r="G10" s="478"/>
      <c r="H10" s="478"/>
      <c r="I10" s="478"/>
      <c r="J10" s="66"/>
      <c r="K10" s="28"/>
      <c r="L10" s="21"/>
    </row>
    <row r="11" spans="1:18" x14ac:dyDescent="0.35">
      <c r="C11" s="27" t="s">
        <v>58</v>
      </c>
      <c r="D11" s="354" t="s">
        <v>10</v>
      </c>
      <c r="E11" s="546">
        <f>E10*E9</f>
        <v>1550000</v>
      </c>
      <c r="F11" s="478"/>
      <c r="G11" s="478"/>
      <c r="H11" s="478"/>
      <c r="I11" s="478"/>
      <c r="J11" s="479"/>
      <c r="K11" s="28"/>
      <c r="L11" s="21"/>
    </row>
    <row r="12" spans="1:18" x14ac:dyDescent="0.35">
      <c r="C12" s="27" t="s">
        <v>59</v>
      </c>
      <c r="D12" s="354" t="s">
        <v>10</v>
      </c>
      <c r="E12" s="546">
        <f>'A-INSTRUCTIONS'!D51</f>
        <v>4000000</v>
      </c>
      <c r="F12" s="478"/>
      <c r="G12" s="478"/>
      <c r="H12" s="478"/>
      <c r="I12" s="478"/>
      <c r="J12" s="479"/>
      <c r="K12" s="28"/>
      <c r="L12" s="21"/>
    </row>
    <row r="13" spans="1:18" x14ac:dyDescent="0.35">
      <c r="C13" s="27" t="s">
        <v>60</v>
      </c>
      <c r="D13" s="354" t="s">
        <v>15</v>
      </c>
      <c r="E13" s="544">
        <f>'A-INSTRUCTIONS'!D50</f>
        <v>6</v>
      </c>
      <c r="F13" s="480"/>
      <c r="G13" s="480"/>
      <c r="H13" s="480"/>
      <c r="I13" s="480"/>
      <c r="J13" s="480"/>
    </row>
    <row r="14" spans="1:18" x14ac:dyDescent="0.35">
      <c r="C14" s="27" t="s">
        <v>286</v>
      </c>
      <c r="D14" s="354" t="s">
        <v>10</v>
      </c>
      <c r="F14" s="439">
        <f>SLN(E9,E11,E13)</f>
        <v>775000</v>
      </c>
      <c r="G14" s="259"/>
      <c r="H14" s="259"/>
      <c r="I14" s="259"/>
      <c r="J14" s="259"/>
      <c r="K14" s="162"/>
      <c r="L14" s="162"/>
      <c r="M14" s="162"/>
      <c r="N14" s="162"/>
      <c r="O14" s="162"/>
      <c r="P14" s="162"/>
      <c r="Q14" s="162"/>
      <c r="R14" s="162"/>
    </row>
    <row r="15" spans="1:18" x14ac:dyDescent="0.35">
      <c r="C15" s="27" t="s">
        <v>62</v>
      </c>
      <c r="D15" s="354" t="s">
        <v>10</v>
      </c>
      <c r="F15" s="169">
        <f>E15+$F$14</f>
        <v>775000</v>
      </c>
      <c r="G15" s="169">
        <f t="shared" ref="G15:J15" si="2">F15+$F$14</f>
        <v>1550000</v>
      </c>
      <c r="H15" s="169">
        <f t="shared" si="2"/>
        <v>2325000</v>
      </c>
      <c r="I15" s="169">
        <f t="shared" si="2"/>
        <v>3100000</v>
      </c>
      <c r="J15" s="169">
        <f t="shared" si="2"/>
        <v>3875000</v>
      </c>
      <c r="K15" s="162"/>
      <c r="L15" s="162"/>
      <c r="M15" s="162"/>
      <c r="N15" s="162"/>
      <c r="O15" s="162"/>
      <c r="P15" s="162"/>
      <c r="Q15" s="162"/>
      <c r="R15" s="162"/>
    </row>
    <row r="16" spans="1:18" x14ac:dyDescent="0.35">
      <c r="C16" s="27" t="s">
        <v>63</v>
      </c>
      <c r="D16" s="354" t="s">
        <v>10</v>
      </c>
      <c r="F16" s="169">
        <f>$E$9-F15</f>
        <v>5425000</v>
      </c>
      <c r="G16" s="169">
        <f t="shared" ref="G16:J16" si="3">$E$9-G15</f>
        <v>4650000</v>
      </c>
      <c r="H16" s="169">
        <f t="shared" si="3"/>
        <v>3875000</v>
      </c>
      <c r="I16" s="169">
        <f t="shared" si="3"/>
        <v>3100000</v>
      </c>
      <c r="J16" s="169">
        <f t="shared" si="3"/>
        <v>2325000</v>
      </c>
      <c r="K16" s="222"/>
      <c r="L16" s="162"/>
      <c r="M16" s="162"/>
      <c r="N16" s="162"/>
      <c r="O16" s="162"/>
      <c r="P16" s="162"/>
      <c r="Q16" s="162"/>
      <c r="R16" s="162"/>
    </row>
    <row r="17" spans="1:18" x14ac:dyDescent="0.35">
      <c r="J17" s="28"/>
      <c r="K17" s="222"/>
      <c r="L17" s="162"/>
      <c r="M17" s="162"/>
      <c r="N17" s="162"/>
      <c r="O17" s="162"/>
      <c r="P17" s="162"/>
      <c r="Q17" s="162"/>
      <c r="R17" s="162"/>
    </row>
    <row r="23" spans="1:18" s="30" customFormat="1" ht="19" thickBot="1" x14ac:dyDescent="0.4">
      <c r="A23" s="481" t="s">
        <v>64</v>
      </c>
      <c r="B23" s="98"/>
      <c r="C23" s="99"/>
      <c r="D23" s="355"/>
      <c r="E23" s="99"/>
      <c r="F23" s="100"/>
      <c r="G23" s="100"/>
      <c r="H23" s="100"/>
      <c r="I23" s="100"/>
      <c r="J23" s="100"/>
      <c r="K23" s="31"/>
      <c r="L23" s="31"/>
    </row>
    <row r="24" spans="1:18" ht="21" customHeight="1" x14ac:dyDescent="0.35">
      <c r="C24" s="32" t="s">
        <v>296</v>
      </c>
      <c r="D24" s="353" t="s">
        <v>66</v>
      </c>
      <c r="E24" s="6"/>
      <c r="F24" s="543">
        <f>'A-INSTRUCTIONS'!D52</f>
        <v>3000000</v>
      </c>
      <c r="G24" s="543">
        <f>F24*(1+$F$25)</f>
        <v>3060000</v>
      </c>
      <c r="H24" s="543">
        <f t="shared" ref="H24:J24" si="4">G24*(1+$F$25)</f>
        <v>3121200</v>
      </c>
      <c r="I24" s="543">
        <f t="shared" si="4"/>
        <v>3183624</v>
      </c>
      <c r="J24" s="543">
        <f t="shared" si="4"/>
        <v>3247296.48</v>
      </c>
      <c r="K24" s="21"/>
      <c r="L24" s="21"/>
    </row>
    <row r="25" spans="1:18" x14ac:dyDescent="0.35">
      <c r="C25" s="25" t="s">
        <v>297</v>
      </c>
      <c r="D25" s="353" t="s">
        <v>12</v>
      </c>
      <c r="E25" s="6"/>
      <c r="F25" s="399">
        <f>'A-INSTRUCTIONS'!D53</f>
        <v>0.02</v>
      </c>
      <c r="G25" s="78"/>
      <c r="H25" s="78"/>
      <c r="I25" s="78"/>
      <c r="J25" s="78"/>
      <c r="K25" s="33"/>
      <c r="L25" s="21"/>
    </row>
    <row r="26" spans="1:18" x14ac:dyDescent="0.35">
      <c r="C26" s="32" t="s">
        <v>68</v>
      </c>
      <c r="D26" s="353" t="s">
        <v>10</v>
      </c>
      <c r="E26" s="6"/>
      <c r="F26" s="260">
        <f>'A-INSTRUCTIONS'!D54</f>
        <v>1.25</v>
      </c>
      <c r="G26" s="260">
        <f>F26*(1+$F$27)</f>
        <v>1.3125</v>
      </c>
      <c r="H26" s="260">
        <f t="shared" ref="H26:J26" si="5">G26*(1+$F$27)</f>
        <v>1.378125</v>
      </c>
      <c r="I26" s="260">
        <f t="shared" si="5"/>
        <v>1.4470312500000002</v>
      </c>
      <c r="J26" s="260">
        <f t="shared" si="5"/>
        <v>1.5193828125000002</v>
      </c>
      <c r="K26" s="21"/>
      <c r="L26" s="21"/>
    </row>
    <row r="27" spans="1:18" x14ac:dyDescent="0.35">
      <c r="C27" s="32" t="s">
        <v>69</v>
      </c>
      <c r="D27" s="353" t="s">
        <v>12</v>
      </c>
      <c r="E27" s="6"/>
      <c r="F27" s="399">
        <f>'A-INSTRUCTIONS'!$D$55</f>
        <v>0.05</v>
      </c>
      <c r="H27" s="7"/>
      <c r="I27" s="7"/>
      <c r="J27" s="7"/>
      <c r="K27" s="21"/>
      <c r="L27" s="21"/>
    </row>
    <row r="28" spans="1:18" x14ac:dyDescent="0.35">
      <c r="C28" s="262" t="s">
        <v>70</v>
      </c>
      <c r="D28" s="353"/>
      <c r="E28" s="6"/>
      <c r="F28" s="34"/>
      <c r="G28" s="7"/>
      <c r="H28" s="7"/>
      <c r="I28" s="7"/>
      <c r="J28" s="7"/>
      <c r="K28" s="21"/>
      <c r="L28" s="21"/>
    </row>
    <row r="29" spans="1:18" x14ac:dyDescent="0.35">
      <c r="C29" s="32" t="s">
        <v>71</v>
      </c>
      <c r="D29" s="353" t="s">
        <v>12</v>
      </c>
      <c r="E29" s="6"/>
      <c r="F29" s="402">
        <f>'A-INSTRUCTIONS'!D57</f>
        <v>0.15</v>
      </c>
      <c r="G29" s="7"/>
      <c r="H29" s="7"/>
      <c r="I29" s="7"/>
      <c r="J29" s="7"/>
      <c r="K29" s="21"/>
      <c r="L29" s="21"/>
    </row>
    <row r="30" spans="1:18" x14ac:dyDescent="0.35">
      <c r="C30" s="32" t="s">
        <v>72</v>
      </c>
      <c r="D30" s="353" t="s">
        <v>12</v>
      </c>
      <c r="E30" s="6"/>
      <c r="F30" s="402">
        <f>'A-INSTRUCTIONS'!D58</f>
        <v>0.2</v>
      </c>
      <c r="G30" s="7"/>
      <c r="H30" s="7"/>
      <c r="I30" s="7"/>
      <c r="J30" s="7"/>
      <c r="K30" s="21"/>
      <c r="L30" s="21"/>
    </row>
    <row r="31" spans="1:18" x14ac:dyDescent="0.35">
      <c r="C31" s="32" t="s">
        <v>73</v>
      </c>
      <c r="D31" s="353" t="s">
        <v>12</v>
      </c>
      <c r="E31" s="6"/>
      <c r="F31" s="402">
        <f>'A-INSTRUCTIONS'!D59</f>
        <v>0.1</v>
      </c>
      <c r="G31" s="7"/>
      <c r="H31" s="7"/>
      <c r="I31" s="7"/>
      <c r="J31" s="7"/>
      <c r="K31" s="21"/>
      <c r="L31" s="21"/>
    </row>
    <row r="32" spans="1:18" x14ac:dyDescent="0.35">
      <c r="C32" s="264" t="s">
        <v>299</v>
      </c>
      <c r="D32" s="20" t="s">
        <v>12</v>
      </c>
      <c r="E32" s="30"/>
      <c r="F32" s="403">
        <f>SUM(F29:F31)</f>
        <v>0.44999999999999996</v>
      </c>
      <c r="G32" s="29"/>
      <c r="H32" s="29"/>
      <c r="I32" s="29"/>
      <c r="J32" s="29"/>
      <c r="K32" s="21"/>
      <c r="L32" s="21"/>
    </row>
    <row r="33" spans="1:12" x14ac:dyDescent="0.35">
      <c r="C33" s="547" t="s">
        <v>75</v>
      </c>
      <c r="D33" s="353" t="s">
        <v>10</v>
      </c>
      <c r="E33" s="14"/>
      <c r="F33" s="548">
        <f>'A-INSTRUCTIONS'!$D$60</f>
        <v>500000</v>
      </c>
      <c r="G33" s="29"/>
      <c r="H33" s="29"/>
      <c r="I33" s="29"/>
      <c r="J33" s="29"/>
      <c r="K33" s="21"/>
      <c r="L33" s="21"/>
    </row>
    <row r="34" spans="1:12" x14ac:dyDescent="0.35">
      <c r="C34" s="32"/>
      <c r="D34" s="353"/>
      <c r="E34" s="14"/>
      <c r="F34" s="2"/>
      <c r="G34" s="29"/>
      <c r="H34" s="29"/>
      <c r="I34" s="29"/>
      <c r="J34" s="29"/>
      <c r="K34" s="21"/>
      <c r="L34" s="21"/>
    </row>
    <row r="35" spans="1:12" x14ac:dyDescent="0.35">
      <c r="C35" s="32"/>
      <c r="D35" s="353"/>
      <c r="E35" s="14"/>
      <c r="F35" s="2"/>
      <c r="G35" s="2"/>
      <c r="H35" s="2"/>
      <c r="I35" s="2"/>
      <c r="J35" s="2"/>
      <c r="K35" s="21"/>
      <c r="L35" s="21"/>
    </row>
    <row r="36" spans="1:12" x14ac:dyDescent="0.35">
      <c r="C36" s="32"/>
      <c r="D36" s="353"/>
      <c r="E36" s="14"/>
      <c r="F36" s="2"/>
      <c r="G36" s="2"/>
      <c r="H36" s="2"/>
      <c r="I36" s="2"/>
      <c r="J36" s="2"/>
      <c r="K36" s="21"/>
      <c r="L36" s="21"/>
    </row>
    <row r="37" spans="1:12" x14ac:dyDescent="0.35">
      <c r="C37" s="32"/>
      <c r="D37" s="353"/>
      <c r="E37" s="14"/>
      <c r="F37" s="2"/>
      <c r="G37" s="2"/>
      <c r="H37" s="2"/>
      <c r="I37" s="2"/>
      <c r="J37" s="2"/>
      <c r="K37" s="21"/>
      <c r="L37" s="21"/>
    </row>
    <row r="38" spans="1:12" x14ac:dyDescent="0.35">
      <c r="C38" s="32"/>
      <c r="D38" s="353"/>
      <c r="E38" s="14"/>
      <c r="F38" s="2"/>
      <c r="G38" s="2"/>
      <c r="H38" s="2"/>
      <c r="I38" s="2"/>
      <c r="J38" s="2"/>
      <c r="K38" s="21"/>
      <c r="L38" s="21"/>
    </row>
    <row r="39" spans="1:12" ht="19" thickBot="1" x14ac:dyDescent="0.4">
      <c r="A39" s="481" t="s">
        <v>76</v>
      </c>
      <c r="B39" s="98"/>
      <c r="C39" s="101"/>
      <c r="D39" s="352"/>
      <c r="E39" s="102"/>
      <c r="F39" s="102"/>
      <c r="G39" s="102"/>
      <c r="H39" s="102"/>
      <c r="I39" s="102"/>
      <c r="J39" s="102"/>
      <c r="L39" s="86"/>
    </row>
    <row r="40" spans="1:12" x14ac:dyDescent="0.35">
      <c r="C40" s="32" t="s">
        <v>77</v>
      </c>
      <c r="D40" s="353" t="s">
        <v>12</v>
      </c>
      <c r="E40" s="438">
        <f>'A-INSTRUCTIONS'!$D$61</f>
        <v>0.4</v>
      </c>
      <c r="F40" s="7"/>
      <c r="G40" s="7"/>
      <c r="H40" s="7"/>
      <c r="I40" s="7"/>
      <c r="J40" s="7"/>
      <c r="K40" s="28"/>
    </row>
    <row r="41" spans="1:12" x14ac:dyDescent="0.35">
      <c r="C41" s="32" t="s">
        <v>78</v>
      </c>
      <c r="D41" s="353" t="s">
        <v>12</v>
      </c>
      <c r="E41" s="404">
        <f>'A-INSTRUCTIONS'!D62</f>
        <v>6.8049999999999999E-2</v>
      </c>
      <c r="F41" s="7"/>
      <c r="G41" s="7"/>
      <c r="H41" s="7"/>
      <c r="I41" s="7"/>
      <c r="J41" s="7"/>
      <c r="K41" s="28"/>
    </row>
    <row r="43" spans="1:12" s="30" customFormat="1" ht="19" thickBot="1" x14ac:dyDescent="0.4">
      <c r="A43" s="481" t="s">
        <v>79</v>
      </c>
      <c r="B43" s="98"/>
      <c r="C43" s="99"/>
      <c r="D43" s="355"/>
      <c r="E43" s="99"/>
      <c r="F43" s="100"/>
      <c r="G43" s="100"/>
      <c r="H43" s="100"/>
      <c r="I43" s="100"/>
      <c r="J43" s="100"/>
      <c r="K43" s="31"/>
      <c r="L43" s="249"/>
    </row>
    <row r="45" spans="1:12" x14ac:dyDescent="0.35">
      <c r="C45" s="25" t="s">
        <v>80</v>
      </c>
      <c r="D45" s="353" t="s">
        <v>10</v>
      </c>
      <c r="E45" s="93"/>
      <c r="F45" s="483">
        <f>F24*F26</f>
        <v>3750000</v>
      </c>
      <c r="G45" s="483">
        <f>G24*G26</f>
        <v>4016250</v>
      </c>
      <c r="H45" s="483">
        <f>H24*H26</f>
        <v>4301403.75</v>
      </c>
      <c r="I45" s="483">
        <f>I24*I26</f>
        <v>4606803.4162500007</v>
      </c>
      <c r="J45" s="483">
        <f>J24*J26</f>
        <v>4933886.4588037506</v>
      </c>
      <c r="K45" s="21"/>
      <c r="L45" s="21"/>
    </row>
    <row r="46" spans="1:12" x14ac:dyDescent="0.35">
      <c r="C46" s="25" t="s">
        <v>300</v>
      </c>
      <c r="D46" s="353" t="s">
        <v>10</v>
      </c>
      <c r="E46" s="93"/>
      <c r="F46" s="483">
        <f>-F45*$F$32</f>
        <v>-1687499.9999999998</v>
      </c>
      <c r="G46" s="483">
        <f t="shared" ref="G46:J46" si="6">-G45*$F$32</f>
        <v>-1807312.4999999998</v>
      </c>
      <c r="H46" s="483">
        <f t="shared" si="6"/>
        <v>-1935631.6874999998</v>
      </c>
      <c r="I46" s="483">
        <f t="shared" si="6"/>
        <v>-2073061.5373125002</v>
      </c>
      <c r="J46" s="483">
        <f t="shared" si="6"/>
        <v>-2220248.9064616878</v>
      </c>
      <c r="K46" s="21"/>
      <c r="L46" s="21"/>
    </row>
    <row r="47" spans="1:12" x14ac:dyDescent="0.35">
      <c r="C47" s="19" t="s">
        <v>288</v>
      </c>
      <c r="D47" s="353" t="s">
        <v>10</v>
      </c>
      <c r="E47" s="94"/>
      <c r="F47" s="484">
        <f>SUM(F45:F46)</f>
        <v>2062500.0000000002</v>
      </c>
      <c r="G47" s="484">
        <f t="shared" ref="G47:J47" si="7">SUM(G45:G46)</f>
        <v>2208937.5</v>
      </c>
      <c r="H47" s="484">
        <f t="shared" si="7"/>
        <v>2365772.0625</v>
      </c>
      <c r="I47" s="484">
        <f t="shared" si="7"/>
        <v>2533741.8789375005</v>
      </c>
      <c r="J47" s="484">
        <f t="shared" si="7"/>
        <v>2713637.5523420628</v>
      </c>
      <c r="K47" s="21"/>
      <c r="L47" s="21"/>
    </row>
    <row r="48" spans="1:12" s="30" customFormat="1" x14ac:dyDescent="0.35">
      <c r="A48" s="39"/>
      <c r="B48" s="39"/>
      <c r="C48" s="25" t="s">
        <v>83</v>
      </c>
      <c r="D48" s="353" t="s">
        <v>10</v>
      </c>
      <c r="E48" s="93"/>
      <c r="F48" s="483">
        <f>-$F$33</f>
        <v>-500000</v>
      </c>
      <c r="G48" s="483">
        <f t="shared" ref="G48:J48" si="8">-$F$33</f>
        <v>-500000</v>
      </c>
      <c r="H48" s="483">
        <f t="shared" si="8"/>
        <v>-500000</v>
      </c>
      <c r="I48" s="483">
        <f t="shared" si="8"/>
        <v>-500000</v>
      </c>
      <c r="J48" s="483">
        <f t="shared" si="8"/>
        <v>-500000</v>
      </c>
      <c r="K48" s="31"/>
      <c r="L48" s="31"/>
    </row>
    <row r="49" spans="1:12" x14ac:dyDescent="0.35">
      <c r="C49" s="25" t="s">
        <v>84</v>
      </c>
      <c r="D49" s="353" t="s">
        <v>10</v>
      </c>
      <c r="E49" s="93"/>
      <c r="F49" s="483">
        <f>-$F$14</f>
        <v>-775000</v>
      </c>
      <c r="G49" s="483">
        <f t="shared" ref="G49:J49" si="9">-$F$14</f>
        <v>-775000</v>
      </c>
      <c r="H49" s="483">
        <f t="shared" si="9"/>
        <v>-775000</v>
      </c>
      <c r="I49" s="483">
        <f t="shared" si="9"/>
        <v>-775000</v>
      </c>
      <c r="J49" s="483">
        <f t="shared" si="9"/>
        <v>-775000</v>
      </c>
      <c r="K49" s="21"/>
      <c r="L49" s="40"/>
    </row>
    <row r="50" spans="1:12" s="30" customFormat="1" x14ac:dyDescent="0.35">
      <c r="A50" s="39"/>
      <c r="B50" s="39"/>
      <c r="C50" s="19" t="s">
        <v>85</v>
      </c>
      <c r="D50" s="353" t="s">
        <v>10</v>
      </c>
      <c r="E50" s="94"/>
      <c r="F50" s="484">
        <f>SUM(F47:F49)</f>
        <v>787500.00000000023</v>
      </c>
      <c r="G50" s="484">
        <f t="shared" ref="G50:J50" si="10">SUM(G47:G49)</f>
        <v>933937.5</v>
      </c>
      <c r="H50" s="484">
        <f t="shared" si="10"/>
        <v>1090772.0625</v>
      </c>
      <c r="I50" s="484">
        <f t="shared" si="10"/>
        <v>1258741.8789375005</v>
      </c>
      <c r="J50" s="484">
        <f t="shared" si="10"/>
        <v>1438637.5523420628</v>
      </c>
      <c r="K50" s="31"/>
      <c r="L50" s="31"/>
    </row>
    <row r="51" spans="1:12" s="30" customFormat="1" x14ac:dyDescent="0.35">
      <c r="A51" s="39"/>
      <c r="B51" s="39"/>
      <c r="C51" s="25" t="s">
        <v>86</v>
      </c>
      <c r="D51" s="353" t="s">
        <v>10</v>
      </c>
      <c r="E51" s="93"/>
      <c r="F51" s="483">
        <v>0</v>
      </c>
      <c r="G51" s="483">
        <v>0</v>
      </c>
      <c r="H51" s="483">
        <v>0</v>
      </c>
      <c r="I51" s="483">
        <v>0</v>
      </c>
      <c r="J51" s="483">
        <v>0</v>
      </c>
      <c r="K51" s="31"/>
      <c r="L51" s="31"/>
    </row>
    <row r="52" spans="1:12" s="30" customFormat="1" x14ac:dyDescent="0.35">
      <c r="A52" s="39"/>
      <c r="B52" s="39"/>
      <c r="C52" s="19" t="s">
        <v>87</v>
      </c>
      <c r="D52" s="353" t="s">
        <v>10</v>
      </c>
      <c r="E52" s="94"/>
      <c r="F52" s="484">
        <f>SUM(F50:F51)</f>
        <v>787500.00000000023</v>
      </c>
      <c r="G52" s="484">
        <f t="shared" ref="G52:J52" si="11">SUM(G50:G51)</f>
        <v>933937.5</v>
      </c>
      <c r="H52" s="484">
        <f t="shared" si="11"/>
        <v>1090772.0625</v>
      </c>
      <c r="I52" s="484">
        <f t="shared" si="11"/>
        <v>1258741.8789375005</v>
      </c>
      <c r="J52" s="484">
        <f t="shared" si="11"/>
        <v>1438637.5523420628</v>
      </c>
      <c r="K52" s="31"/>
      <c r="L52" s="31"/>
    </row>
    <row r="53" spans="1:12" s="30" customFormat="1" x14ac:dyDescent="0.35">
      <c r="A53" s="39"/>
      <c r="B53" s="39"/>
      <c r="C53" s="25" t="s">
        <v>88</v>
      </c>
      <c r="D53" s="353" t="s">
        <v>10</v>
      </c>
      <c r="E53" s="93"/>
      <c r="F53" s="542">
        <f>-F52*tax</f>
        <v>-315000.00000000012</v>
      </c>
      <c r="G53" s="483">
        <f>-G52*tax</f>
        <v>-373575</v>
      </c>
      <c r="H53" s="483">
        <f>-H52*tax</f>
        <v>-436308.82500000001</v>
      </c>
      <c r="I53" s="483">
        <f>-I52*tax</f>
        <v>-503496.75157500023</v>
      </c>
      <c r="J53" s="483">
        <f>-J52*tax</f>
        <v>-575455.0209368252</v>
      </c>
      <c r="K53" s="31"/>
      <c r="L53" s="31"/>
    </row>
    <row r="54" spans="1:12" s="30" customFormat="1" x14ac:dyDescent="0.35">
      <c r="A54" s="39"/>
      <c r="B54" s="39"/>
      <c r="C54" s="19" t="s">
        <v>89</v>
      </c>
      <c r="D54" s="353" t="s">
        <v>10</v>
      </c>
      <c r="E54" s="94"/>
      <c r="F54" s="484">
        <f>SUM(F52:F53)</f>
        <v>472500.00000000012</v>
      </c>
      <c r="G54" s="484">
        <f t="shared" ref="G54:J54" si="12">SUM(G52:G53)</f>
        <v>560362.5</v>
      </c>
      <c r="H54" s="484">
        <f t="shared" si="12"/>
        <v>654463.23750000005</v>
      </c>
      <c r="I54" s="484">
        <f t="shared" si="12"/>
        <v>755245.12736250029</v>
      </c>
      <c r="J54" s="484">
        <f t="shared" si="12"/>
        <v>863182.53140523762</v>
      </c>
      <c r="K54" s="31"/>
      <c r="L54" s="31"/>
    </row>
    <row r="57" spans="1:12" s="30" customFormat="1" ht="19" thickBot="1" x14ac:dyDescent="0.4">
      <c r="A57" s="481" t="s">
        <v>90</v>
      </c>
      <c r="B57" s="98"/>
      <c r="C57" s="99"/>
      <c r="D57" s="355"/>
      <c r="E57" s="99"/>
      <c r="F57" s="100"/>
      <c r="G57" s="100"/>
      <c r="H57" s="100"/>
      <c r="I57" s="100"/>
      <c r="J57" s="100"/>
      <c r="K57" s="31"/>
      <c r="L57" s="249"/>
    </row>
    <row r="58" spans="1:12" ht="24" customHeight="1" x14ac:dyDescent="0.35"/>
    <row r="59" spans="1:12" x14ac:dyDescent="0.35">
      <c r="C59" s="50" t="s">
        <v>91</v>
      </c>
      <c r="D59" s="356"/>
    </row>
    <row r="60" spans="1:12" x14ac:dyDescent="0.35">
      <c r="C60" s="22" t="s">
        <v>92</v>
      </c>
      <c r="D60" s="344" t="s">
        <v>34</v>
      </c>
      <c r="E60" s="482">
        <v>60</v>
      </c>
    </row>
    <row r="61" spans="1:12" x14ac:dyDescent="0.35">
      <c r="C61" s="22" t="s">
        <v>94</v>
      </c>
      <c r="D61" s="344" t="s">
        <v>10</v>
      </c>
      <c r="F61" s="169">
        <f>F45*$E60/365</f>
        <v>616438.35616438359</v>
      </c>
      <c r="G61" s="169">
        <f>G45*$E60/365</f>
        <v>660205.47945205483</v>
      </c>
      <c r="H61" s="169">
        <f t="shared" ref="H61:J61" si="13">H45*$E60/365</f>
        <v>707080.06849315064</v>
      </c>
      <c r="I61" s="169">
        <f t="shared" si="13"/>
        <v>757282.75335616444</v>
      </c>
      <c r="J61" s="169">
        <f t="shared" si="13"/>
        <v>811049.82884445228</v>
      </c>
    </row>
    <row r="62" spans="1:12" x14ac:dyDescent="0.35">
      <c r="C62" s="50" t="s">
        <v>95</v>
      </c>
      <c r="D62" s="356"/>
    </row>
    <row r="63" spans="1:12" x14ac:dyDescent="0.35">
      <c r="C63" s="22" t="s">
        <v>96</v>
      </c>
      <c r="D63" s="344" t="s">
        <v>34</v>
      </c>
      <c r="E63" s="482">
        <v>15</v>
      </c>
    </row>
    <row r="64" spans="1:12" x14ac:dyDescent="0.35">
      <c r="C64" s="22" t="s">
        <v>98</v>
      </c>
      <c r="D64" s="344" t="s">
        <v>10</v>
      </c>
      <c r="F64" s="169">
        <f>F45*$E63/365</f>
        <v>154109.5890410959</v>
      </c>
      <c r="G64" s="169">
        <f t="shared" ref="G64:J64" si="14">G45*$E63/365</f>
        <v>165051.36986301371</v>
      </c>
      <c r="H64" s="169">
        <f t="shared" si="14"/>
        <v>176770.01712328766</v>
      </c>
      <c r="I64" s="169">
        <f t="shared" si="14"/>
        <v>189320.68833904111</v>
      </c>
      <c r="J64" s="169">
        <f t="shared" si="14"/>
        <v>202762.45721111307</v>
      </c>
    </row>
    <row r="65" spans="1:12" x14ac:dyDescent="0.35">
      <c r="C65" s="50" t="s">
        <v>99</v>
      </c>
      <c r="D65" s="356"/>
      <c r="F65" s="259"/>
      <c r="G65" s="259"/>
      <c r="H65" s="259"/>
      <c r="I65" s="259"/>
      <c r="J65" s="259"/>
      <c r="K65" s="162"/>
    </row>
    <row r="66" spans="1:12" s="162" customFormat="1" x14ac:dyDescent="0.35">
      <c r="A66" s="261"/>
      <c r="B66" s="261"/>
      <c r="C66" s="162" t="s">
        <v>100</v>
      </c>
      <c r="D66" s="344" t="s">
        <v>34</v>
      </c>
      <c r="E66" s="482">
        <v>70</v>
      </c>
      <c r="F66" s="259"/>
      <c r="G66" s="259"/>
      <c r="H66" s="259"/>
      <c r="I66" s="259"/>
      <c r="J66" s="259"/>
    </row>
    <row r="67" spans="1:12" s="162" customFormat="1" x14ac:dyDescent="0.35">
      <c r="A67" s="261"/>
      <c r="B67" s="261"/>
      <c r="C67" s="162" t="s">
        <v>101</v>
      </c>
      <c r="D67" s="344" t="s">
        <v>10</v>
      </c>
      <c r="E67" s="22"/>
      <c r="F67" s="169">
        <f>F45*$E66/365</f>
        <v>719178.08219178079</v>
      </c>
      <c r="G67" s="169">
        <f>G45*$E66/365</f>
        <v>770239.72602739721</v>
      </c>
      <c r="H67" s="169">
        <f>H45*$E66/365</f>
        <v>824926.74657534249</v>
      </c>
      <c r="I67" s="169">
        <f>I45*$E66/365</f>
        <v>883496.5455821919</v>
      </c>
      <c r="J67" s="169">
        <f>J45*$E66/365</f>
        <v>946224.8003185275</v>
      </c>
    </row>
    <row r="68" spans="1:12" x14ac:dyDescent="0.35">
      <c r="C68" s="19"/>
      <c r="D68" s="20"/>
      <c r="E68" s="79"/>
      <c r="F68" s="19"/>
      <c r="G68" s="19"/>
      <c r="H68" s="19"/>
      <c r="I68" s="19"/>
      <c r="J68" s="19"/>
      <c r="K68" s="28"/>
      <c r="L68" s="35"/>
    </row>
    <row r="69" spans="1:12" x14ac:dyDescent="0.35">
      <c r="C69" s="19"/>
      <c r="D69" s="20"/>
      <c r="E69" s="79"/>
      <c r="F69" s="19"/>
      <c r="G69" s="19"/>
      <c r="H69" s="19"/>
      <c r="I69" s="19"/>
      <c r="J69" s="19"/>
      <c r="K69" s="28"/>
      <c r="L69" s="35"/>
    </row>
    <row r="70" spans="1:12" x14ac:dyDescent="0.35">
      <c r="C70" s="19"/>
      <c r="D70" s="20"/>
      <c r="E70" s="79"/>
      <c r="F70" s="19"/>
      <c r="G70" s="19"/>
      <c r="H70" s="19"/>
      <c r="I70" s="19"/>
      <c r="J70" s="19"/>
      <c r="K70" s="28"/>
      <c r="L70" s="35"/>
    </row>
    <row r="71" spans="1:12" x14ac:dyDescent="0.35">
      <c r="C71" s="19"/>
      <c r="D71" s="20"/>
      <c r="E71" s="79"/>
      <c r="F71" s="19"/>
      <c r="G71" s="19"/>
      <c r="H71" s="19"/>
      <c r="I71" s="19"/>
      <c r="J71" s="19"/>
      <c r="K71" s="28"/>
      <c r="L71" s="35"/>
    </row>
    <row r="72" spans="1:12" x14ac:dyDescent="0.35">
      <c r="C72" s="26" t="s">
        <v>102</v>
      </c>
      <c r="D72" s="344" t="s">
        <v>10</v>
      </c>
      <c r="E72" s="544">
        <f>'A-INSTRUCTIONS'!D63</f>
        <v>250000</v>
      </c>
      <c r="F72" s="544">
        <f>F61+F64-F67</f>
        <v>51369.863013698719</v>
      </c>
      <c r="G72" s="544">
        <f>G61+G64-G67</f>
        <v>55017.123287671362</v>
      </c>
      <c r="H72" s="544">
        <f>H61+H64-H67</f>
        <v>58923.339041095809</v>
      </c>
      <c r="I72" s="544">
        <f>I61+I64-I67</f>
        <v>63106.896113013616</v>
      </c>
      <c r="J72" s="544">
        <v>0</v>
      </c>
    </row>
    <row r="73" spans="1:12" x14ac:dyDescent="0.35">
      <c r="C73" s="36" t="s">
        <v>103</v>
      </c>
      <c r="D73" s="344" t="s">
        <v>10</v>
      </c>
      <c r="E73" s="544">
        <f>E72</f>
        <v>250000</v>
      </c>
      <c r="F73" s="544">
        <f>F72-E72</f>
        <v>-198630.13698630128</v>
      </c>
      <c r="G73" s="544">
        <f>G72-F72</f>
        <v>3647.2602739726426</v>
      </c>
      <c r="H73" s="544">
        <f>H72-G72</f>
        <v>3906.215753424447</v>
      </c>
      <c r="I73" s="544">
        <f>I72-H72</f>
        <v>4183.5570719178068</v>
      </c>
      <c r="J73" s="544">
        <f>J72-I72</f>
        <v>-63106.896113013616</v>
      </c>
    </row>
    <row r="74" spans="1:12" x14ac:dyDescent="0.35">
      <c r="C74" s="19"/>
      <c r="D74" s="20"/>
      <c r="E74" s="37"/>
      <c r="F74" s="37"/>
      <c r="G74" s="37"/>
      <c r="H74" s="37"/>
      <c r="I74" s="37"/>
      <c r="J74" s="37"/>
      <c r="K74" s="21"/>
      <c r="L74" s="21"/>
    </row>
    <row r="75" spans="1:12" x14ac:dyDescent="0.35">
      <c r="C75" s="19"/>
      <c r="D75" s="20"/>
      <c r="E75" s="37"/>
      <c r="F75" s="37"/>
      <c r="G75" s="37"/>
      <c r="H75" s="37"/>
      <c r="I75" s="37"/>
      <c r="J75" s="37"/>
      <c r="K75" s="21"/>
      <c r="L75" s="21"/>
    </row>
    <row r="76" spans="1:12" ht="19" thickBot="1" x14ac:dyDescent="0.5">
      <c r="A76" s="491" t="s">
        <v>104</v>
      </c>
      <c r="B76" s="100"/>
      <c r="C76" s="100"/>
      <c r="D76" s="103"/>
      <c r="E76" s="473">
        <v>0</v>
      </c>
      <c r="F76" s="473">
        <v>1</v>
      </c>
      <c r="G76" s="473">
        <v>2</v>
      </c>
      <c r="H76" s="473">
        <v>3</v>
      </c>
      <c r="I76" s="473">
        <v>4</v>
      </c>
      <c r="J76" s="473">
        <v>5</v>
      </c>
      <c r="K76" s="21"/>
      <c r="L76" s="21"/>
    </row>
    <row r="77" spans="1:12" x14ac:dyDescent="0.35">
      <c r="A77" s="19"/>
      <c r="B77" s="19"/>
      <c r="C77" s="19"/>
      <c r="D77" s="20"/>
      <c r="E77" s="20"/>
      <c r="F77" s="20"/>
      <c r="G77" s="20"/>
      <c r="H77" s="20"/>
      <c r="I77" s="20"/>
      <c r="J77" s="20"/>
      <c r="K77" s="21"/>
      <c r="L77" s="21"/>
    </row>
    <row r="78" spans="1:12" x14ac:dyDescent="0.35">
      <c r="A78" s="19"/>
      <c r="B78" s="19"/>
      <c r="C78" s="19"/>
      <c r="D78" s="20"/>
      <c r="E78" s="20"/>
      <c r="F78" s="20"/>
      <c r="G78" s="20"/>
      <c r="H78" s="20"/>
      <c r="I78" s="20"/>
      <c r="J78" s="20"/>
      <c r="K78" s="21"/>
      <c r="L78" s="21"/>
    </row>
    <row r="79" spans="1:12" x14ac:dyDescent="0.35">
      <c r="A79" s="19"/>
      <c r="B79" s="19"/>
      <c r="C79" s="19"/>
      <c r="D79" s="20"/>
      <c r="E79" s="20"/>
      <c r="F79" s="20"/>
      <c r="G79" s="20"/>
      <c r="H79" s="20"/>
      <c r="I79" s="20"/>
      <c r="J79" s="20"/>
      <c r="K79" s="21"/>
      <c r="L79" s="21"/>
    </row>
    <row r="80" spans="1:12" x14ac:dyDescent="0.35">
      <c r="A80" s="19"/>
      <c r="B80" s="19"/>
      <c r="C80" s="19"/>
      <c r="D80" s="20"/>
      <c r="E80" s="20"/>
      <c r="F80" s="20"/>
      <c r="G80" s="20"/>
      <c r="H80" s="20"/>
      <c r="I80" s="20"/>
      <c r="J80" s="20"/>
      <c r="K80" s="21"/>
      <c r="L80" s="21"/>
    </row>
    <row r="81" spans="1:12" x14ac:dyDescent="0.35">
      <c r="C81" s="25" t="s">
        <v>80</v>
      </c>
      <c r="D81" s="353" t="s">
        <v>10</v>
      </c>
      <c r="E81" s="483"/>
      <c r="F81" s="483">
        <f>F24*F26</f>
        <v>3750000</v>
      </c>
      <c r="G81" s="483">
        <f>G24*G26</f>
        <v>4016250</v>
      </c>
      <c r="H81" s="483">
        <f>H24*H26</f>
        <v>4301403.75</v>
      </c>
      <c r="I81" s="483">
        <f>I24*I26</f>
        <v>4606803.4162500007</v>
      </c>
      <c r="J81" s="483">
        <f>J24*J26</f>
        <v>4933886.4588037506</v>
      </c>
      <c r="K81" s="21"/>
      <c r="L81" s="21"/>
    </row>
    <row r="82" spans="1:12" x14ac:dyDescent="0.35">
      <c r="C82" s="25" t="s">
        <v>300</v>
      </c>
      <c r="D82" s="353" t="s">
        <v>10</v>
      </c>
      <c r="E82" s="483"/>
      <c r="F82" s="483">
        <f>-F81*$F$32</f>
        <v>-1687499.9999999998</v>
      </c>
      <c r="G82" s="483">
        <f t="shared" ref="G82:J82" si="15">-G81*$F$32</f>
        <v>-1807312.4999999998</v>
      </c>
      <c r="H82" s="483">
        <f t="shared" si="15"/>
        <v>-1935631.6874999998</v>
      </c>
      <c r="I82" s="483">
        <f t="shared" si="15"/>
        <v>-2073061.5373125002</v>
      </c>
      <c r="J82" s="483">
        <f t="shared" si="15"/>
        <v>-2220248.9064616878</v>
      </c>
      <c r="K82" s="21"/>
      <c r="L82" s="21"/>
    </row>
    <row r="83" spans="1:12" x14ac:dyDescent="0.35">
      <c r="C83" s="19" t="s">
        <v>288</v>
      </c>
      <c r="D83" s="353" t="s">
        <v>10</v>
      </c>
      <c r="E83" s="484"/>
      <c r="F83" s="484">
        <f>SUM(F81:F82)</f>
        <v>2062500.0000000002</v>
      </c>
      <c r="G83" s="484">
        <f t="shared" ref="G83:J83" si="16">SUM(G81:G82)</f>
        <v>2208937.5</v>
      </c>
      <c r="H83" s="484">
        <f t="shared" si="16"/>
        <v>2365772.0625</v>
      </c>
      <c r="I83" s="484">
        <f t="shared" si="16"/>
        <v>2533741.8789375005</v>
      </c>
      <c r="J83" s="484">
        <f t="shared" si="16"/>
        <v>2713637.5523420628</v>
      </c>
      <c r="K83" s="21"/>
      <c r="L83" s="21"/>
    </row>
    <row r="84" spans="1:12" s="30" customFormat="1" x14ac:dyDescent="0.35">
      <c r="A84" s="39"/>
      <c r="B84" s="39"/>
      <c r="C84" s="25" t="s">
        <v>83</v>
      </c>
      <c r="D84" s="353" t="s">
        <v>10</v>
      </c>
      <c r="E84" s="483"/>
      <c r="F84" s="483">
        <f>F48</f>
        <v>-500000</v>
      </c>
      <c r="G84" s="483">
        <f>G48</f>
        <v>-500000</v>
      </c>
      <c r="H84" s="483">
        <f>H48</f>
        <v>-500000</v>
      </c>
      <c r="I84" s="483">
        <f>I48</f>
        <v>-500000</v>
      </c>
      <c r="J84" s="483">
        <f>J48</f>
        <v>-500000</v>
      </c>
      <c r="K84" s="31"/>
      <c r="L84" s="31"/>
    </row>
    <row r="85" spans="1:12" x14ac:dyDescent="0.35">
      <c r="C85" s="25" t="s">
        <v>84</v>
      </c>
      <c r="D85" s="353" t="s">
        <v>10</v>
      </c>
      <c r="E85" s="483"/>
      <c r="F85" s="483">
        <f>-$F$14</f>
        <v>-775000</v>
      </c>
      <c r="G85" s="483">
        <f t="shared" ref="G85:J85" si="17">-$F$14</f>
        <v>-775000</v>
      </c>
      <c r="H85" s="483">
        <f t="shared" si="17"/>
        <v>-775000</v>
      </c>
      <c r="I85" s="483">
        <f t="shared" si="17"/>
        <v>-775000</v>
      </c>
      <c r="J85" s="483">
        <f t="shared" si="17"/>
        <v>-775000</v>
      </c>
      <c r="K85" s="21"/>
      <c r="L85" s="40"/>
    </row>
    <row r="86" spans="1:12" s="30" customFormat="1" x14ac:dyDescent="0.35">
      <c r="A86" s="39"/>
      <c r="B86" s="39"/>
      <c r="C86" s="19" t="s">
        <v>85</v>
      </c>
      <c r="D86" s="353" t="s">
        <v>10</v>
      </c>
      <c r="E86" s="484"/>
      <c r="F86" s="483">
        <f>F50</f>
        <v>787500.00000000023</v>
      </c>
      <c r="G86" s="483">
        <f>G50</f>
        <v>933937.5</v>
      </c>
      <c r="H86" s="483">
        <f>H50</f>
        <v>1090772.0625</v>
      </c>
      <c r="I86" s="483">
        <f>I50</f>
        <v>1258741.8789375005</v>
      </c>
      <c r="J86" s="483">
        <f>J50</f>
        <v>1438637.5523420628</v>
      </c>
      <c r="K86" s="31"/>
      <c r="L86" s="31"/>
    </row>
    <row r="87" spans="1:12" x14ac:dyDescent="0.35">
      <c r="C87" s="25" t="s">
        <v>105</v>
      </c>
      <c r="D87" s="353" t="s">
        <v>10</v>
      </c>
      <c r="E87" s="483"/>
      <c r="F87" s="483">
        <f>-F86*tax</f>
        <v>-315000.00000000012</v>
      </c>
      <c r="G87" s="483">
        <f>-G86*tax</f>
        <v>-373575</v>
      </c>
      <c r="H87" s="483">
        <f>-H86*tax</f>
        <v>-436308.82500000001</v>
      </c>
      <c r="I87" s="483">
        <f>-I86*tax</f>
        <v>-503496.75157500023</v>
      </c>
      <c r="J87" s="483">
        <f>-J86*tax</f>
        <v>-575455.0209368252</v>
      </c>
      <c r="K87" s="21"/>
      <c r="L87" s="21"/>
    </row>
    <row r="88" spans="1:12" s="30" customFormat="1" x14ac:dyDescent="0.35">
      <c r="A88" s="39"/>
      <c r="B88" s="39"/>
      <c r="C88" s="95" t="s">
        <v>302</v>
      </c>
      <c r="D88" s="353" t="s">
        <v>10</v>
      </c>
      <c r="E88" s="484"/>
      <c r="F88" s="483">
        <f>SUM(F86:F87)</f>
        <v>472500.00000000012</v>
      </c>
      <c r="G88" s="483">
        <f t="shared" ref="G88:J88" si="18">SUM(G86:G87)</f>
        <v>560362.5</v>
      </c>
      <c r="H88" s="483">
        <f t="shared" si="18"/>
        <v>654463.23750000005</v>
      </c>
      <c r="I88" s="483">
        <f t="shared" si="18"/>
        <v>755245.12736250029</v>
      </c>
      <c r="J88" s="483">
        <f t="shared" si="18"/>
        <v>863182.53140523762</v>
      </c>
      <c r="K88" s="31"/>
    </row>
    <row r="89" spans="1:12" x14ac:dyDescent="0.35">
      <c r="C89" s="25" t="s">
        <v>107</v>
      </c>
      <c r="D89" s="353" t="s">
        <v>10</v>
      </c>
      <c r="E89" s="483"/>
      <c r="F89" s="483">
        <f>-F49</f>
        <v>775000</v>
      </c>
      <c r="G89" s="483">
        <f>-G49</f>
        <v>775000</v>
      </c>
      <c r="H89" s="483">
        <f>-H49</f>
        <v>775000</v>
      </c>
      <c r="I89" s="483">
        <f>-I49</f>
        <v>775000</v>
      </c>
      <c r="J89" s="483">
        <f>-J49</f>
        <v>775000</v>
      </c>
    </row>
    <row r="90" spans="1:12" x14ac:dyDescent="0.35">
      <c r="C90" s="25" t="s">
        <v>301</v>
      </c>
      <c r="D90" s="353" t="s">
        <v>10</v>
      </c>
      <c r="E90" s="485">
        <f t="shared" ref="E90:J90" si="19">-E73</f>
        <v>-250000</v>
      </c>
      <c r="F90" s="485">
        <f t="shared" si="19"/>
        <v>198630.13698630128</v>
      </c>
      <c r="G90" s="485">
        <f t="shared" si="19"/>
        <v>-3647.2602739726426</v>
      </c>
      <c r="H90" s="485">
        <f t="shared" si="19"/>
        <v>-3906.215753424447</v>
      </c>
      <c r="I90" s="485">
        <f t="shared" si="19"/>
        <v>-4183.5570719178068</v>
      </c>
      <c r="J90" s="485">
        <f t="shared" si="19"/>
        <v>63106.896113013616</v>
      </c>
    </row>
    <row r="91" spans="1:12" x14ac:dyDescent="0.35">
      <c r="C91" s="25"/>
      <c r="D91" s="353"/>
      <c r="E91" s="485"/>
      <c r="F91" s="485"/>
      <c r="G91" s="485"/>
      <c r="H91" s="485"/>
      <c r="I91" s="485"/>
      <c r="J91" s="485"/>
    </row>
    <row r="92" spans="1:12" ht="16" thickBot="1" x14ac:dyDescent="0.4">
      <c r="C92" s="25" t="s">
        <v>109</v>
      </c>
      <c r="D92" s="353" t="s">
        <v>10</v>
      </c>
      <c r="E92" s="484">
        <f>-E9</f>
        <v>-6200000</v>
      </c>
      <c r="F92" s="483">
        <v>0</v>
      </c>
      <c r="G92" s="483">
        <v>0</v>
      </c>
      <c r="H92" s="483">
        <v>0</v>
      </c>
      <c r="I92" s="483">
        <v>0</v>
      </c>
      <c r="J92" s="483">
        <v>0</v>
      </c>
    </row>
    <row r="93" spans="1:12" ht="16" thickBot="1" x14ac:dyDescent="0.4">
      <c r="C93" s="25" t="s">
        <v>110</v>
      </c>
      <c r="D93" s="353" t="s">
        <v>10</v>
      </c>
      <c r="E93" s="486">
        <v>0</v>
      </c>
      <c r="F93" s="486">
        <v>0</v>
      </c>
      <c r="G93" s="486">
        <v>0</v>
      </c>
      <c r="H93" s="486">
        <v>0</v>
      </c>
      <c r="I93" s="486">
        <v>0</v>
      </c>
      <c r="J93" s="487">
        <f>J100</f>
        <v>3330000</v>
      </c>
      <c r="K93" s="440"/>
    </row>
    <row r="94" spans="1:12" x14ac:dyDescent="0.35">
      <c r="C94" s="96" t="s">
        <v>111</v>
      </c>
      <c r="D94" s="353" t="s">
        <v>10</v>
      </c>
      <c r="E94" s="488">
        <f t="shared" ref="E94:J94" si="20">SUM(E88:E93)</f>
        <v>-6450000</v>
      </c>
      <c r="F94" s="488">
        <f t="shared" si="20"/>
        <v>1446130.1369863013</v>
      </c>
      <c r="G94" s="488">
        <f t="shared" si="20"/>
        <v>1331715.2397260275</v>
      </c>
      <c r="H94" s="488">
        <f t="shared" si="20"/>
        <v>1425557.0217465756</v>
      </c>
      <c r="I94" s="488">
        <f t="shared" si="20"/>
        <v>1526061.5702905827</v>
      </c>
      <c r="J94" s="488">
        <f t="shared" si="20"/>
        <v>5031289.4275182514</v>
      </c>
      <c r="K94" s="441"/>
    </row>
    <row r="95" spans="1:12" x14ac:dyDescent="0.35">
      <c r="C95" s="19"/>
      <c r="D95" s="20"/>
      <c r="E95" s="37"/>
      <c r="F95" s="37"/>
      <c r="G95" s="37"/>
      <c r="H95" s="37"/>
      <c r="I95" s="37"/>
      <c r="J95" s="37"/>
      <c r="K95" s="441"/>
    </row>
    <row r="96" spans="1:12" x14ac:dyDescent="0.35">
      <c r="C96" s="19"/>
      <c r="D96" s="20"/>
      <c r="E96" s="37"/>
      <c r="F96" s="37"/>
      <c r="G96" s="37"/>
      <c r="H96" s="282" t="s">
        <v>304</v>
      </c>
      <c r="I96" s="282"/>
      <c r="J96" s="489">
        <f>J16</f>
        <v>2325000</v>
      </c>
      <c r="K96" s="441"/>
    </row>
    <row r="97" spans="1:11" x14ac:dyDescent="0.35">
      <c r="C97" s="19"/>
      <c r="D97" s="20"/>
      <c r="E97" s="37"/>
      <c r="F97" s="37"/>
      <c r="G97" s="37"/>
      <c r="H97" s="282" t="s">
        <v>113</v>
      </c>
      <c r="I97" s="282"/>
      <c r="J97" s="489">
        <f>E12</f>
        <v>4000000</v>
      </c>
      <c r="K97" s="441"/>
    </row>
    <row r="98" spans="1:11" x14ac:dyDescent="0.35">
      <c r="C98" s="19"/>
      <c r="D98" s="20"/>
      <c r="E98" s="37"/>
      <c r="F98" s="37"/>
      <c r="G98" s="37"/>
      <c r="H98" s="284" t="s">
        <v>289</v>
      </c>
      <c r="I98" s="284"/>
      <c r="J98" s="489">
        <f>J97-J96</f>
        <v>1675000</v>
      </c>
      <c r="K98" s="441"/>
    </row>
    <row r="99" spans="1:11" ht="16" thickBot="1" x14ac:dyDescent="0.4">
      <c r="C99" s="19"/>
      <c r="D99" s="20"/>
      <c r="E99" s="37"/>
      <c r="F99" s="37"/>
      <c r="G99" s="37"/>
      <c r="H99" s="284" t="s">
        <v>115</v>
      </c>
      <c r="I99" s="284"/>
      <c r="J99" s="489">
        <f>J98*tax</f>
        <v>670000</v>
      </c>
      <c r="K99" s="441"/>
    </row>
    <row r="100" spans="1:11" ht="16" thickBot="1" x14ac:dyDescent="0.4">
      <c r="C100" s="19"/>
      <c r="D100" s="20"/>
      <c r="E100" s="37"/>
      <c r="F100" s="37"/>
      <c r="G100" s="37"/>
      <c r="H100" s="282" t="s">
        <v>116</v>
      </c>
      <c r="I100" s="282"/>
      <c r="J100" s="490">
        <f>J97-J99</f>
        <v>3330000</v>
      </c>
      <c r="K100" s="442"/>
    </row>
    <row r="101" spans="1:11" x14ac:dyDescent="0.35">
      <c r="C101" s="19"/>
      <c r="D101" s="20"/>
      <c r="E101" s="37"/>
      <c r="F101" s="37"/>
      <c r="G101" s="37"/>
      <c r="H101" s="37"/>
      <c r="I101" s="37"/>
      <c r="J101" s="37"/>
    </row>
    <row r="102" spans="1:11" x14ac:dyDescent="0.35">
      <c r="C102" s="19"/>
      <c r="D102" s="20"/>
      <c r="E102" s="37"/>
      <c r="F102" s="37"/>
      <c r="G102" s="37"/>
      <c r="H102" s="37"/>
      <c r="I102" s="37"/>
      <c r="J102" s="37"/>
    </row>
    <row r="103" spans="1:11" x14ac:dyDescent="0.35">
      <c r="C103" s="19"/>
      <c r="D103" s="20"/>
      <c r="E103" s="37"/>
      <c r="F103" s="37"/>
      <c r="G103" s="37"/>
      <c r="H103" s="37"/>
      <c r="I103" s="37"/>
      <c r="J103" s="37"/>
    </row>
    <row r="104" spans="1:11" ht="23" x14ac:dyDescent="0.35">
      <c r="B104" s="346" t="s">
        <v>117</v>
      </c>
      <c r="C104" s="19"/>
      <c r="D104" s="20"/>
      <c r="E104" s="37"/>
      <c r="F104" s="37"/>
      <c r="G104" s="37"/>
      <c r="H104" s="37"/>
      <c r="I104" s="37"/>
      <c r="J104" s="37"/>
    </row>
    <row r="105" spans="1:11" x14ac:dyDescent="0.35">
      <c r="C105" s="19"/>
      <c r="D105" s="20"/>
      <c r="E105" s="37"/>
      <c r="F105" s="37"/>
      <c r="G105" s="37"/>
      <c r="H105" s="37"/>
      <c r="I105" s="37"/>
      <c r="J105" s="37"/>
    </row>
    <row r="106" spans="1:11" x14ac:dyDescent="0.35">
      <c r="C106" s="19"/>
      <c r="D106" s="20"/>
      <c r="E106" s="37"/>
      <c r="F106" s="37"/>
      <c r="G106" s="37"/>
      <c r="H106" s="37"/>
      <c r="I106" s="37"/>
      <c r="J106" s="37"/>
    </row>
    <row r="107" spans="1:11" x14ac:dyDescent="0.35">
      <c r="C107" s="19"/>
      <c r="D107" s="20"/>
      <c r="E107" s="37"/>
      <c r="F107" s="37"/>
      <c r="G107" s="37"/>
      <c r="H107" s="37"/>
      <c r="I107" s="37"/>
      <c r="J107" s="37"/>
    </row>
    <row r="108" spans="1:11" x14ac:dyDescent="0.35">
      <c r="C108" s="19"/>
      <c r="D108" s="20"/>
      <c r="E108" s="37"/>
      <c r="F108" s="37"/>
      <c r="G108" s="37"/>
      <c r="H108" s="37"/>
      <c r="I108" s="37"/>
      <c r="J108" s="37"/>
    </row>
    <row r="109" spans="1:11" s="43" customFormat="1" x14ac:dyDescent="0.35">
      <c r="A109" s="42"/>
      <c r="B109" s="42"/>
      <c r="C109" s="19"/>
      <c r="D109" s="20"/>
      <c r="E109" s="37"/>
      <c r="F109" s="37"/>
      <c r="G109" s="37"/>
      <c r="H109" s="37"/>
      <c r="I109" s="37"/>
      <c r="J109" s="37"/>
    </row>
    <row r="110" spans="1:11" s="43" customFormat="1" x14ac:dyDescent="0.35">
      <c r="A110" s="42"/>
      <c r="B110" s="42"/>
      <c r="C110" s="19"/>
      <c r="D110" s="20"/>
      <c r="E110" s="37"/>
      <c r="F110" s="37"/>
      <c r="G110" s="37"/>
      <c r="H110" s="37"/>
      <c r="I110" s="37"/>
      <c r="J110" s="37"/>
    </row>
    <row r="111" spans="1:11" s="43" customFormat="1" x14ac:dyDescent="0.35">
      <c r="A111" s="42"/>
      <c r="B111" s="42"/>
      <c r="C111" s="19"/>
      <c r="D111" s="20"/>
      <c r="E111" s="37"/>
      <c r="F111" s="37"/>
      <c r="G111" s="37"/>
      <c r="H111" s="37"/>
      <c r="I111" s="37"/>
      <c r="J111" s="37"/>
    </row>
    <row r="112" spans="1:11" s="43" customFormat="1" x14ac:dyDescent="0.35">
      <c r="A112" s="42"/>
      <c r="B112" s="42"/>
      <c r="C112" s="19"/>
      <c r="D112" s="20"/>
      <c r="E112" s="37"/>
      <c r="F112" s="37"/>
      <c r="G112" s="37"/>
      <c r="H112" s="37"/>
      <c r="I112" s="37"/>
      <c r="J112" s="37"/>
    </row>
    <row r="113" spans="1:22" s="43" customFormat="1" x14ac:dyDescent="0.35">
      <c r="A113" s="42"/>
      <c r="B113" s="42"/>
      <c r="C113" s="19"/>
      <c r="D113" s="20"/>
      <c r="E113" s="37"/>
      <c r="F113" s="37"/>
      <c r="G113" s="37"/>
      <c r="H113" s="37"/>
      <c r="I113" s="37"/>
      <c r="J113" s="37"/>
    </row>
    <row r="114" spans="1:22" s="43" customFormat="1" x14ac:dyDescent="0.35">
      <c r="A114" s="42"/>
      <c r="B114" s="42"/>
      <c r="C114" s="19"/>
      <c r="D114" s="20"/>
      <c r="E114" s="37"/>
      <c r="F114" s="37"/>
      <c r="G114" s="37"/>
      <c r="H114" s="37"/>
      <c r="I114" s="37"/>
      <c r="J114" s="37"/>
    </row>
    <row r="115" spans="1:22" s="30" customFormat="1" ht="19" thickBot="1" x14ac:dyDescent="0.4">
      <c r="A115" s="481" t="s">
        <v>118</v>
      </c>
      <c r="B115" s="98"/>
      <c r="C115" s="99"/>
      <c r="D115" s="355"/>
      <c r="E115" s="473">
        <v>0</v>
      </c>
      <c r="F115" s="473">
        <v>1</v>
      </c>
      <c r="G115" s="473">
        <v>2</v>
      </c>
      <c r="H115" s="473">
        <v>3</v>
      </c>
      <c r="I115" s="473">
        <v>4</v>
      </c>
      <c r="J115" s="473">
        <v>5</v>
      </c>
      <c r="K115" s="170"/>
      <c r="L115" s="31"/>
      <c r="M115" s="31"/>
      <c r="N115" s="83"/>
      <c r="O115" s="71"/>
      <c r="P115" s="71"/>
      <c r="Q115" s="71"/>
      <c r="R115" s="71"/>
      <c r="S115" s="71"/>
      <c r="T115" s="71"/>
      <c r="U115" s="71"/>
      <c r="V115" s="71"/>
    </row>
    <row r="116" spans="1:22" s="43" customFormat="1" x14ac:dyDescent="0.35">
      <c r="A116" s="42"/>
      <c r="B116" s="42"/>
      <c r="C116" s="19"/>
      <c r="D116" s="20"/>
      <c r="E116" s="37"/>
      <c r="F116" s="37"/>
      <c r="G116" s="37"/>
      <c r="H116" s="37"/>
      <c r="I116" s="37"/>
      <c r="J116" s="37"/>
    </row>
    <row r="117" spans="1:22" s="43" customFormat="1" x14ac:dyDescent="0.35">
      <c r="A117" s="42"/>
      <c r="B117" s="42"/>
      <c r="C117" s="19"/>
      <c r="D117" s="20"/>
      <c r="E117" s="37"/>
      <c r="F117" s="37"/>
      <c r="G117" s="37"/>
      <c r="H117" s="37"/>
      <c r="I117" s="37"/>
      <c r="J117" s="37"/>
    </row>
    <row r="118" spans="1:22" s="43" customFormat="1" x14ac:dyDescent="0.35">
      <c r="A118" s="42"/>
      <c r="B118" s="42"/>
      <c r="C118" s="443" t="s">
        <v>290</v>
      </c>
      <c r="D118" s="107"/>
      <c r="K118" s="45"/>
    </row>
    <row r="119" spans="1:22" s="43" customFormat="1" x14ac:dyDescent="0.35">
      <c r="A119" s="42"/>
      <c r="B119" s="42"/>
      <c r="C119" s="43" t="s">
        <v>303</v>
      </c>
      <c r="D119" s="353" t="s">
        <v>10</v>
      </c>
      <c r="E119" s="493">
        <f t="shared" ref="E119:J119" si="21">+E94</f>
        <v>-6450000</v>
      </c>
      <c r="F119" s="494">
        <f t="shared" si="21"/>
        <v>1446130.1369863013</v>
      </c>
      <c r="G119" s="493">
        <f t="shared" si="21"/>
        <v>1331715.2397260275</v>
      </c>
      <c r="H119" s="493">
        <f t="shared" si="21"/>
        <v>1425557.0217465756</v>
      </c>
      <c r="I119" s="493">
        <f t="shared" si="21"/>
        <v>1526061.5702905827</v>
      </c>
      <c r="J119" s="493">
        <f t="shared" si="21"/>
        <v>5031289.4275182514</v>
      </c>
    </row>
    <row r="120" spans="1:22" s="43" customFormat="1" x14ac:dyDescent="0.35">
      <c r="A120" s="42"/>
      <c r="B120" s="42"/>
      <c r="C120" s="43" t="s">
        <v>121</v>
      </c>
      <c r="D120" s="354"/>
      <c r="E120" s="549">
        <f t="shared" ref="E120:J120" si="22">1/(1+$E$41)^E2</f>
        <v>1</v>
      </c>
      <c r="F120" s="549">
        <f t="shared" si="22"/>
        <v>0.93628575441224671</v>
      </c>
      <c r="G120" s="549">
        <f t="shared" si="22"/>
        <v>0.87663101391530995</v>
      </c>
      <c r="H120" s="549">
        <f t="shared" si="22"/>
        <v>0.82077713020486875</v>
      </c>
      <c r="I120" s="549">
        <f t="shared" si="22"/>
        <v>0.76848193455818425</v>
      </c>
      <c r="J120" s="549">
        <f t="shared" si="22"/>
        <v>0.7195186878499924</v>
      </c>
      <c r="K120" s="47"/>
    </row>
    <row r="121" spans="1:22" s="43" customFormat="1" ht="16" thickBot="1" x14ac:dyDescent="0.4">
      <c r="A121" s="42"/>
      <c r="B121" s="42"/>
      <c r="C121" s="43" t="s">
        <v>122</v>
      </c>
      <c r="D121" s="353" t="s">
        <v>10</v>
      </c>
      <c r="E121" s="493">
        <f t="shared" ref="E121:J121" si="23">+E119*E120</f>
        <v>-6450000</v>
      </c>
      <c r="F121" s="494">
        <f t="shared" si="23"/>
        <v>1353991.0462865047</v>
      </c>
      <c r="G121" s="493">
        <f t="shared" si="23"/>
        <v>1167422.8808474976</v>
      </c>
      <c r="H121" s="493">
        <f t="shared" si="23"/>
        <v>1170064.601252554</v>
      </c>
      <c r="I121" s="493">
        <f t="shared" si="23"/>
        <v>1172750.7477918074</v>
      </c>
      <c r="J121" s="493">
        <f t="shared" si="23"/>
        <v>3620106.7670814716</v>
      </c>
    </row>
    <row r="122" spans="1:22" s="43" customFormat="1" ht="16" thickBot="1" x14ac:dyDescent="0.4">
      <c r="A122" s="42"/>
      <c r="B122" s="42"/>
      <c r="C122" s="44" t="s">
        <v>123</v>
      </c>
      <c r="D122" s="353" t="s">
        <v>10</v>
      </c>
      <c r="E122" s="495">
        <f>SUM(E121:J121)</f>
        <v>2034336.0432598356</v>
      </c>
      <c r="F122" s="494"/>
      <c r="G122" s="493"/>
      <c r="H122" s="493"/>
      <c r="I122" s="493"/>
      <c r="J122" s="493"/>
    </row>
    <row r="123" spans="1:22" s="43" customFormat="1" ht="16" thickBot="1" x14ac:dyDescent="0.4">
      <c r="A123" s="42"/>
      <c r="B123" s="42"/>
      <c r="D123" s="354"/>
      <c r="E123" s="493"/>
      <c r="F123" s="494"/>
      <c r="G123" s="493"/>
      <c r="H123" s="493"/>
      <c r="I123" s="493"/>
      <c r="J123" s="493"/>
    </row>
    <row r="124" spans="1:22" s="43" customFormat="1" ht="16" thickBot="1" x14ac:dyDescent="0.4">
      <c r="A124" s="42"/>
      <c r="B124" s="42"/>
      <c r="C124" s="44" t="s">
        <v>124</v>
      </c>
      <c r="D124" s="353" t="s">
        <v>10</v>
      </c>
      <c r="E124" s="496">
        <f>NPV(E41,F119:J119)+E119</f>
        <v>2034336.0432598349</v>
      </c>
      <c r="F124" s="494"/>
      <c r="G124" s="493"/>
      <c r="H124" s="493"/>
      <c r="I124" s="493"/>
      <c r="J124" s="493"/>
    </row>
    <row r="125" spans="1:22" s="43" customFormat="1" x14ac:dyDescent="0.35">
      <c r="A125" s="42"/>
      <c r="B125" s="42"/>
      <c r="D125" s="354"/>
      <c r="E125" s="497"/>
      <c r="F125" s="497"/>
      <c r="G125" s="497"/>
      <c r="H125" s="497"/>
      <c r="I125" s="497"/>
      <c r="J125" s="497"/>
      <c r="K125" s="44"/>
    </row>
    <row r="126" spans="1:22" s="43" customFormat="1" x14ac:dyDescent="0.35">
      <c r="A126" s="42"/>
      <c r="B126" s="42"/>
      <c r="C126" s="443" t="s">
        <v>291</v>
      </c>
      <c r="D126" s="107"/>
      <c r="E126" s="498"/>
      <c r="F126" s="498"/>
      <c r="G126" s="498"/>
      <c r="H126" s="498"/>
      <c r="I126" s="498"/>
      <c r="J126" s="498"/>
    </row>
    <row r="127" spans="1:22" s="43" customFormat="1" x14ac:dyDescent="0.35">
      <c r="A127" s="42"/>
      <c r="B127" s="42"/>
      <c r="C127" s="43" t="s">
        <v>122</v>
      </c>
      <c r="D127" s="353" t="s">
        <v>10</v>
      </c>
      <c r="E127" s="499"/>
      <c r="F127" s="500">
        <f t="shared" ref="F127:J127" si="24">IF(F121&lt;0,0,F121)</f>
        <v>1353991.0462865047</v>
      </c>
      <c r="G127" s="499">
        <f t="shared" si="24"/>
        <v>1167422.8808474976</v>
      </c>
      <c r="H127" s="499">
        <f t="shared" si="24"/>
        <v>1170064.601252554</v>
      </c>
      <c r="I127" s="499">
        <f t="shared" si="24"/>
        <v>1172750.7477918074</v>
      </c>
      <c r="J127" s="499">
        <f t="shared" si="24"/>
        <v>3620106.7670814716</v>
      </c>
    </row>
    <row r="128" spans="1:22" s="43" customFormat="1" x14ac:dyDescent="0.35">
      <c r="A128" s="42"/>
      <c r="B128" s="42"/>
      <c r="C128" s="43" t="s">
        <v>126</v>
      </c>
      <c r="D128" s="353" t="s">
        <v>10</v>
      </c>
      <c r="E128" s="501">
        <f>SUM(E127:J127)</f>
        <v>8484336.0432598349</v>
      </c>
      <c r="F128" s="494"/>
      <c r="G128" s="493"/>
      <c r="H128" s="493"/>
      <c r="I128" s="493"/>
      <c r="J128" s="493"/>
      <c r="K128" s="5"/>
    </row>
    <row r="129" spans="1:13" s="43" customFormat="1" ht="16" thickBot="1" x14ac:dyDescent="0.4">
      <c r="A129" s="42"/>
      <c r="B129" s="42"/>
      <c r="C129" s="43" t="s">
        <v>127</v>
      </c>
      <c r="D129" s="353" t="s">
        <v>10</v>
      </c>
      <c r="E129" s="501">
        <f>ABS(E121)</f>
        <v>6450000</v>
      </c>
      <c r="F129" s="494"/>
      <c r="G129" s="493"/>
      <c r="H129" s="493"/>
      <c r="I129" s="493"/>
      <c r="J129" s="493"/>
      <c r="K129" s="5"/>
    </row>
    <row r="130" spans="1:13" s="43" customFormat="1" ht="16" thickBot="1" x14ac:dyDescent="0.4">
      <c r="A130" s="42"/>
      <c r="B130" s="42"/>
      <c r="C130" s="43" t="s">
        <v>125</v>
      </c>
      <c r="D130" s="354"/>
      <c r="E130" s="545">
        <f>E128/E129</f>
        <v>1.3154009369395092</v>
      </c>
    </row>
    <row r="131" spans="1:13" s="43" customFormat="1" ht="20.25" customHeight="1" x14ac:dyDescent="0.35">
      <c r="A131" s="42"/>
      <c r="B131" s="42"/>
      <c r="D131" s="354"/>
      <c r="E131" s="105"/>
      <c r="L131" s="159"/>
    </row>
    <row r="132" spans="1:13" s="43" customFormat="1" ht="20.25" customHeight="1" x14ac:dyDescent="0.35">
      <c r="A132" s="42"/>
      <c r="B132" s="42"/>
      <c r="D132" s="354"/>
      <c r="E132" s="105"/>
      <c r="L132" s="159"/>
    </row>
    <row r="133" spans="1:13" s="43" customFormat="1" ht="20.25" customHeight="1" x14ac:dyDescent="0.35">
      <c r="A133" s="42"/>
      <c r="B133" s="42"/>
      <c r="D133" s="354"/>
      <c r="E133" s="105"/>
      <c r="L133" s="159"/>
    </row>
    <row r="134" spans="1:13" s="43" customFormat="1" ht="20.25" customHeight="1" x14ac:dyDescent="0.35">
      <c r="A134" s="42"/>
      <c r="B134" s="42"/>
      <c r="D134" s="354"/>
      <c r="E134" s="105"/>
      <c r="L134" s="159"/>
    </row>
    <row r="135" spans="1:13" s="43" customFormat="1" ht="20.25" customHeight="1" x14ac:dyDescent="0.35">
      <c r="A135" s="42"/>
      <c r="B135" s="42"/>
      <c r="D135" s="354"/>
      <c r="E135" s="105"/>
      <c r="L135" s="159"/>
    </row>
    <row r="136" spans="1:13" s="43" customFormat="1" x14ac:dyDescent="0.35">
      <c r="A136" s="42"/>
      <c r="B136" s="42"/>
      <c r="C136" s="44"/>
      <c r="D136" s="444"/>
      <c r="E136" s="444">
        <v>0</v>
      </c>
      <c r="F136" s="444">
        <v>1</v>
      </c>
      <c r="G136" s="444">
        <v>2</v>
      </c>
      <c r="H136" s="444">
        <v>3</v>
      </c>
      <c r="I136" s="444">
        <v>4</v>
      </c>
      <c r="J136" s="444">
        <v>5</v>
      </c>
    </row>
    <row r="137" spans="1:13" s="43" customFormat="1" x14ac:dyDescent="0.35">
      <c r="A137" s="42"/>
      <c r="B137" s="42"/>
      <c r="C137" s="443" t="s">
        <v>292</v>
      </c>
      <c r="D137" s="107"/>
      <c r="E137" s="44"/>
      <c r="F137" s="44"/>
      <c r="G137" s="44"/>
      <c r="H137" s="44"/>
      <c r="I137" s="44"/>
      <c r="J137" s="44"/>
    </row>
    <row r="138" spans="1:13" s="43" customFormat="1" x14ac:dyDescent="0.35">
      <c r="A138" s="42"/>
      <c r="B138" s="42"/>
      <c r="C138" s="43" t="str">
        <f>'B-CAPITAL BUDGETING CASE'!C119</f>
        <v>UNLEVERED FREE CASH FLOW</v>
      </c>
      <c r="D138" s="353" t="s">
        <v>10</v>
      </c>
      <c r="E138" s="504">
        <f>E119</f>
        <v>-6450000</v>
      </c>
      <c r="F138" s="504">
        <f>F119</f>
        <v>1446130.1369863013</v>
      </c>
      <c r="G138" s="504">
        <f t="shared" ref="G138:J138" si="25">G119</f>
        <v>1331715.2397260275</v>
      </c>
      <c r="H138" s="504">
        <f t="shared" si="25"/>
        <v>1425557.0217465756</v>
      </c>
      <c r="I138" s="504">
        <f t="shared" si="25"/>
        <v>1526061.5702905827</v>
      </c>
      <c r="J138" s="504">
        <f t="shared" si="25"/>
        <v>5031289.4275182514</v>
      </c>
      <c r="K138" s="9"/>
    </row>
    <row r="139" spans="1:13" s="43" customFormat="1" x14ac:dyDescent="0.35">
      <c r="A139" s="42"/>
      <c r="B139" s="42"/>
      <c r="C139" s="43" t="s">
        <v>130</v>
      </c>
      <c r="D139" s="353" t="s">
        <v>10</v>
      </c>
      <c r="E139" s="501"/>
      <c r="F139" s="504">
        <f>+E138+F138</f>
        <v>-5003869.8630136987</v>
      </c>
      <c r="G139" s="501">
        <f>+F139+G138</f>
        <v>-3672154.6232876712</v>
      </c>
      <c r="H139" s="501">
        <f>+G139+H138</f>
        <v>-2246597.6015410954</v>
      </c>
      <c r="I139" s="501">
        <f>+H139+I138</f>
        <v>-720536.03125051269</v>
      </c>
      <c r="J139" s="501">
        <f>+I139+J138</f>
        <v>4310753.3962677382</v>
      </c>
    </row>
    <row r="140" spans="1:13" s="43" customFormat="1" x14ac:dyDescent="0.35">
      <c r="A140" s="42"/>
      <c r="B140" s="42"/>
      <c r="D140" s="354" t="s">
        <v>15</v>
      </c>
      <c r="E140" s="106"/>
      <c r="F140" s="195" t="str">
        <f>IF(F139&lt;0,"",E$2+ABS(E139)/F138)</f>
        <v/>
      </c>
      <c r="G140" s="195" t="str">
        <f t="shared" ref="G140:I140" si="26">IF(G139&lt;0,"",F$2+ABS(F139)/G138)</f>
        <v/>
      </c>
      <c r="H140" s="195" t="str">
        <f t="shared" si="26"/>
        <v/>
      </c>
      <c r="I140" s="195" t="str">
        <f t="shared" si="26"/>
        <v/>
      </c>
      <c r="J140" s="475">
        <f>IF(J139&lt;0,"",I$136+ABS(I139)/J138)</f>
        <v>4.1432110081581861</v>
      </c>
      <c r="L140" s="44"/>
    </row>
    <row r="141" spans="1:13" s="43" customFormat="1" x14ac:dyDescent="0.35">
      <c r="A141" s="42"/>
      <c r="B141" s="42"/>
      <c r="D141" s="354"/>
      <c r="E141" s="106"/>
      <c r="F141" s="116" t="str">
        <f>IF(F139&lt;0,"",CONCATENATE("Payback will be reached in ",TRUNC(F140,0)," years and ",ROUND((F140-E$2)*365,0)," days"))</f>
        <v/>
      </c>
      <c r="G141" s="116" t="str">
        <f t="shared" ref="G141:I141" si="27">IF(G139&lt;0,"",CONCATENATE("Payback will be reached in ",TRUNC(G140,0)," years and ",ROUND((G140-F$2)*365,0)," days"))</f>
        <v/>
      </c>
      <c r="H141" s="116" t="str">
        <f t="shared" si="27"/>
        <v/>
      </c>
      <c r="I141" s="116" t="str">
        <f t="shared" si="27"/>
        <v/>
      </c>
      <c r="J141" s="445" t="str">
        <f>IF(J139&lt;0,"",CONCATENATE("Payback will be reached in ",TRUNC(J140,0)," years and ",ROUND((J140-I$136)*365,0)," days"))</f>
        <v>Payback will be reached in 4 years and 52 days</v>
      </c>
      <c r="K141" s="446"/>
      <c r="L141" s="447"/>
      <c r="M141" s="446"/>
    </row>
    <row r="142" spans="1:13" s="43" customFormat="1" x14ac:dyDescent="0.35">
      <c r="A142" s="42"/>
      <c r="B142" s="42"/>
      <c r="D142" s="354"/>
      <c r="E142" s="108"/>
      <c r="F142" s="115"/>
      <c r="G142" s="115"/>
      <c r="H142" s="115"/>
      <c r="I142" s="115"/>
      <c r="J142" s="505">
        <f>I136-(I139/J138)</f>
        <v>4.1432110081581861</v>
      </c>
      <c r="L142" s="44"/>
    </row>
    <row r="143" spans="1:13" s="43" customFormat="1" x14ac:dyDescent="0.35">
      <c r="A143" s="42"/>
      <c r="B143" s="42"/>
      <c r="C143" s="443" t="s">
        <v>293</v>
      </c>
      <c r="D143" s="107"/>
      <c r="E143" s="5"/>
      <c r="F143" s="4"/>
      <c r="G143" s="5"/>
      <c r="H143" s="5"/>
      <c r="I143" s="5"/>
      <c r="J143" s="5"/>
    </row>
    <row r="144" spans="1:13" s="43" customFormat="1" x14ac:dyDescent="0.35">
      <c r="A144" s="42"/>
      <c r="B144" s="42"/>
      <c r="C144" s="43" t="s">
        <v>122</v>
      </c>
      <c r="D144" s="353" t="s">
        <v>10</v>
      </c>
      <c r="E144" s="502">
        <f t="shared" ref="E144:J144" si="28">+E121</f>
        <v>-6450000</v>
      </c>
      <c r="F144" s="503">
        <f t="shared" si="28"/>
        <v>1353991.0462865047</v>
      </c>
      <c r="G144" s="502">
        <f t="shared" si="28"/>
        <v>1167422.8808474976</v>
      </c>
      <c r="H144" s="502">
        <f t="shared" si="28"/>
        <v>1170064.601252554</v>
      </c>
      <c r="I144" s="502">
        <f t="shared" si="28"/>
        <v>1172750.7477918074</v>
      </c>
      <c r="J144" s="502">
        <f t="shared" si="28"/>
        <v>3620106.7670814716</v>
      </c>
    </row>
    <row r="145" spans="1:13" s="43" customFormat="1" x14ac:dyDescent="0.35">
      <c r="A145" s="42"/>
      <c r="B145" s="42"/>
      <c r="C145" s="43" t="s">
        <v>132</v>
      </c>
      <c r="D145" s="353" t="s">
        <v>10</v>
      </c>
      <c r="E145" s="502"/>
      <c r="F145" s="503">
        <f>+E144+F144</f>
        <v>-5096008.9537134953</v>
      </c>
      <c r="G145" s="502">
        <f>+F145+G144</f>
        <v>-3928586.0728659974</v>
      </c>
      <c r="H145" s="502">
        <f>+G145+H144</f>
        <v>-2758521.4716134435</v>
      </c>
      <c r="I145" s="502">
        <f>+H145+I144</f>
        <v>-1585770.7238216361</v>
      </c>
      <c r="J145" s="502">
        <f>+I145+J144</f>
        <v>2034336.0432598356</v>
      </c>
    </row>
    <row r="146" spans="1:13" s="43" customFormat="1" x14ac:dyDescent="0.35">
      <c r="A146" s="42"/>
      <c r="B146" s="42"/>
      <c r="D146" s="354" t="s">
        <v>15</v>
      </c>
      <c r="E146" s="106"/>
      <c r="F146" s="195" t="str">
        <f>IF(F145&lt;0,"",E$2+ABS(E145)/F144)</f>
        <v/>
      </c>
      <c r="G146" s="195" t="str">
        <f t="shared" ref="G146:I146" si="29">IF(G145&lt;0,"",F$2+ABS(F145)/G144)</f>
        <v/>
      </c>
      <c r="H146" s="195" t="str">
        <f t="shared" si="29"/>
        <v/>
      </c>
      <c r="I146" s="195" t="str">
        <f t="shared" si="29"/>
        <v/>
      </c>
      <c r="J146" s="475">
        <f>IF(J145&lt;0,"",I$136+ABS(I145)/J144)</f>
        <v>4.4380452914376569</v>
      </c>
      <c r="K146" s="446" t="str">
        <f ca="1">_xlfn.FORMULATEXT(J146)</f>
        <v>=IF(J145&lt;0;"";I$136+ABS(I145)/J144)</v>
      </c>
      <c r="L146" s="447"/>
      <c r="M146" s="446"/>
    </row>
    <row r="147" spans="1:13" s="44" customFormat="1" ht="16.5" customHeight="1" x14ac:dyDescent="0.35">
      <c r="A147" s="46"/>
      <c r="B147" s="46"/>
      <c r="C147" s="43"/>
      <c r="D147" s="354"/>
      <c r="E147" s="106"/>
      <c r="F147" s="116" t="str">
        <f>IF(F145&lt;0,"",CONCATENATE("Payback will be reached in ",TRUNC(F146,0)," years and ",ROUND((F146-E$2)*365,0)," days"))</f>
        <v/>
      </c>
      <c r="G147" s="116" t="str">
        <f t="shared" ref="G147:J147" si="30">IF(G145&lt;0,"",CONCATENATE("Payback will be reached in ",TRUNC(G146,0)," years and ",ROUND((G146-F$2)*365,0)," days"))</f>
        <v/>
      </c>
      <c r="H147" s="116" t="str">
        <f t="shared" si="30"/>
        <v/>
      </c>
      <c r="I147" s="116" t="str">
        <f t="shared" si="30"/>
        <v/>
      </c>
      <c r="J147" s="445" t="str">
        <f t="shared" si="30"/>
        <v>Payback will be reached in 4 years and 160 days</v>
      </c>
      <c r="K147" s="446"/>
      <c r="L147" s="446"/>
      <c r="M147" s="446"/>
    </row>
    <row r="148" spans="1:13" s="43" customFormat="1" ht="21.75" customHeight="1" x14ac:dyDescent="0.35">
      <c r="A148" s="42"/>
      <c r="B148" s="42"/>
      <c r="D148" s="354"/>
      <c r="K148" s="44"/>
      <c r="L148" s="44"/>
      <c r="M148" s="44"/>
    </row>
    <row r="149" spans="1:13" s="43" customFormat="1" ht="21.75" customHeight="1" x14ac:dyDescent="0.35">
      <c r="A149" s="42"/>
      <c r="B149" s="42"/>
      <c r="C149" s="443" t="s">
        <v>294</v>
      </c>
      <c r="D149" s="107"/>
      <c r="E149" s="44"/>
      <c r="F149" s="44"/>
      <c r="G149" s="44"/>
      <c r="H149" s="44"/>
      <c r="I149" s="44"/>
      <c r="J149" s="44"/>
      <c r="M149" s="48"/>
    </row>
    <row r="150" spans="1:13" s="43" customFormat="1" x14ac:dyDescent="0.35">
      <c r="A150" s="42"/>
      <c r="B150" s="42"/>
      <c r="C150" s="43" t="s">
        <v>134</v>
      </c>
      <c r="D150" s="353" t="s">
        <v>10</v>
      </c>
      <c r="E150" s="492">
        <f>E138</f>
        <v>-6450000</v>
      </c>
      <c r="F150" s="492">
        <f t="shared" ref="F150:J150" si="31">F138</f>
        <v>1446130.1369863013</v>
      </c>
      <c r="G150" s="492">
        <f t="shared" si="31"/>
        <v>1331715.2397260275</v>
      </c>
      <c r="H150" s="492">
        <f t="shared" si="31"/>
        <v>1425557.0217465756</v>
      </c>
      <c r="I150" s="492">
        <f t="shared" si="31"/>
        <v>1526061.5702905827</v>
      </c>
      <c r="J150" s="492">
        <f t="shared" si="31"/>
        <v>5031289.4275182514</v>
      </c>
    </row>
    <row r="151" spans="1:13" s="43" customFormat="1" ht="16" thickBot="1" x14ac:dyDescent="0.4">
      <c r="A151" s="42"/>
      <c r="B151" s="42"/>
      <c r="D151" s="354"/>
      <c r="E151" s="12"/>
      <c r="F151" s="13"/>
      <c r="G151" s="12"/>
      <c r="H151" s="12"/>
      <c r="I151" s="12"/>
      <c r="J151" s="12"/>
      <c r="K151" s="109"/>
    </row>
    <row r="152" spans="1:13" s="43" customFormat="1" ht="16" thickBot="1" x14ac:dyDescent="0.4">
      <c r="A152" s="42"/>
      <c r="B152" s="42"/>
      <c r="C152" s="42" t="s">
        <v>135</v>
      </c>
      <c r="D152" s="45" t="s">
        <v>12</v>
      </c>
      <c r="E152" s="506">
        <f>IRR(E150:J150)</f>
        <v>0.15664680703888556</v>
      </c>
      <c r="F152" s="13"/>
      <c r="G152" s="12"/>
      <c r="H152" s="12"/>
      <c r="I152" s="12"/>
      <c r="J152" s="12"/>
      <c r="K152" s="109"/>
    </row>
    <row r="153" spans="1:13" s="43" customFormat="1" ht="16" thickBot="1" x14ac:dyDescent="0.4">
      <c r="A153" s="42"/>
      <c r="B153" s="42"/>
      <c r="C153" s="43" t="s">
        <v>136</v>
      </c>
      <c r="D153" s="354" t="s">
        <v>12</v>
      </c>
      <c r="E153" s="506">
        <f>E41</f>
        <v>6.8049999999999999E-2</v>
      </c>
      <c r="F153" s="13"/>
      <c r="G153" s="12"/>
      <c r="H153" s="12"/>
      <c r="I153" s="12"/>
      <c r="J153" s="12"/>
      <c r="K153" s="109"/>
    </row>
    <row r="154" spans="1:13" s="43" customFormat="1" ht="12.75" customHeight="1" x14ac:dyDescent="0.35">
      <c r="A154" s="42"/>
      <c r="B154" s="42"/>
      <c r="D154" s="354"/>
      <c r="E154" s="111"/>
      <c r="F154" s="13"/>
      <c r="G154" s="12"/>
      <c r="H154" s="12"/>
      <c r="I154" s="12"/>
      <c r="J154" s="12"/>
      <c r="K154" s="109"/>
    </row>
    <row r="155" spans="1:13" s="43" customFormat="1" x14ac:dyDescent="0.35">
      <c r="A155" s="42"/>
      <c r="B155" s="42"/>
      <c r="D155" s="354"/>
      <c r="E155" s="111"/>
      <c r="F155" s="13"/>
      <c r="G155" s="12"/>
      <c r="H155" s="12"/>
      <c r="I155" s="12"/>
      <c r="J155" s="12"/>
      <c r="K155" s="109"/>
    </row>
    <row r="156" spans="1:13" s="43" customFormat="1" x14ac:dyDescent="0.35">
      <c r="A156" s="42"/>
      <c r="B156" s="42"/>
      <c r="D156" s="354"/>
      <c r="E156" s="111"/>
      <c r="F156" s="13"/>
      <c r="G156" s="12"/>
      <c r="H156" s="12"/>
      <c r="I156" s="12"/>
      <c r="J156" s="12"/>
      <c r="K156" s="109"/>
    </row>
    <row r="157" spans="1:13" s="43" customFormat="1" x14ac:dyDescent="0.35">
      <c r="A157" s="42"/>
      <c r="B157" s="42"/>
      <c r="D157" s="354"/>
      <c r="E157" s="111"/>
      <c r="F157" s="13"/>
      <c r="G157" s="12"/>
      <c r="H157" s="12"/>
      <c r="I157" s="12"/>
      <c r="J157" s="12"/>
      <c r="K157" s="109"/>
    </row>
    <row r="158" spans="1:13" s="43" customFormat="1" x14ac:dyDescent="0.35">
      <c r="A158" s="42"/>
      <c r="B158" s="42"/>
      <c r="D158" s="354"/>
      <c r="E158" s="111"/>
      <c r="F158" s="13"/>
      <c r="G158" s="12"/>
      <c r="H158" s="12"/>
      <c r="I158" s="12"/>
      <c r="J158" s="12"/>
      <c r="K158" s="109"/>
    </row>
    <row r="159" spans="1:13" s="43" customFormat="1" x14ac:dyDescent="0.35">
      <c r="A159" s="42"/>
      <c r="B159" s="42"/>
      <c r="D159" s="354"/>
      <c r="E159" s="111"/>
      <c r="F159" s="13"/>
      <c r="G159" s="12"/>
      <c r="H159" s="12"/>
      <c r="I159" s="12"/>
      <c r="J159" s="12"/>
      <c r="K159" s="109"/>
    </row>
    <row r="160" spans="1:13" s="43" customFormat="1" ht="23" x14ac:dyDescent="0.35">
      <c r="A160" s="42"/>
      <c r="B160" s="346" t="s">
        <v>137</v>
      </c>
      <c r="D160" s="354"/>
      <c r="E160" s="111"/>
      <c r="F160" s="13"/>
      <c r="G160" s="12"/>
      <c r="H160" s="12"/>
      <c r="I160" s="12"/>
      <c r="J160" s="12"/>
      <c r="K160" s="109"/>
    </row>
    <row r="161" spans="1:13" s="43" customFormat="1" x14ac:dyDescent="0.35">
      <c r="A161" s="42"/>
      <c r="B161" s="42"/>
      <c r="D161" s="354"/>
      <c r="E161" s="111"/>
      <c r="F161" s="13"/>
      <c r="G161" s="12"/>
      <c r="H161" s="12"/>
      <c r="I161" s="12"/>
      <c r="J161" s="12"/>
      <c r="K161" s="109"/>
    </row>
    <row r="162" spans="1:13" s="43" customFormat="1" x14ac:dyDescent="0.35">
      <c r="A162" s="42"/>
      <c r="D162" s="354"/>
      <c r="E162" s="111"/>
      <c r="F162" s="13"/>
      <c r="G162" s="12"/>
      <c r="H162" s="12"/>
      <c r="I162" s="12"/>
      <c r="J162" s="12"/>
      <c r="K162" s="109"/>
    </row>
    <row r="163" spans="1:13" s="43" customFormat="1" ht="21.75" customHeight="1" x14ac:dyDescent="0.35">
      <c r="A163" s="42"/>
      <c r="B163" s="42"/>
      <c r="D163" s="354"/>
      <c r="E163" s="111"/>
      <c r="F163" s="13"/>
      <c r="G163" s="12"/>
      <c r="H163" s="12"/>
      <c r="I163" s="12"/>
      <c r="J163" s="12"/>
    </row>
    <row r="164" spans="1:13" s="43" customFormat="1" ht="21.75" customHeight="1" x14ac:dyDescent="0.35">
      <c r="A164" s="42"/>
      <c r="B164" s="42"/>
      <c r="D164" s="354"/>
      <c r="E164" s="111"/>
      <c r="F164" s="13"/>
      <c r="G164" s="12"/>
      <c r="H164" s="12"/>
      <c r="I164" s="12"/>
      <c r="J164" s="12"/>
    </row>
    <row r="165" spans="1:13" s="43" customFormat="1" ht="21.75" customHeight="1" x14ac:dyDescent="0.35">
      <c r="A165" s="42"/>
      <c r="B165" s="42"/>
      <c r="D165" s="354"/>
      <c r="E165" s="111"/>
      <c r="F165" s="13"/>
      <c r="G165" s="12"/>
      <c r="H165" s="12"/>
      <c r="I165" s="12"/>
      <c r="J165" s="12"/>
    </row>
    <row r="166" spans="1:13" s="43" customFormat="1" ht="21.75" customHeight="1" x14ac:dyDescent="0.35">
      <c r="A166" s="42"/>
      <c r="B166" s="42"/>
      <c r="D166" s="354"/>
    </row>
    <row r="167" spans="1:13" s="43" customFormat="1" ht="21.75" customHeight="1" x14ac:dyDescent="0.35">
      <c r="A167" s="42"/>
      <c r="B167" s="42"/>
      <c r="D167" s="354"/>
    </row>
    <row r="168" spans="1:13" s="43" customFormat="1" ht="21.75" customHeight="1" x14ac:dyDescent="0.35">
      <c r="A168" s="42"/>
      <c r="B168" s="42"/>
      <c r="D168" s="354"/>
    </row>
    <row r="169" spans="1:13" s="43" customFormat="1" ht="21.75" customHeight="1" x14ac:dyDescent="0.35">
      <c r="A169" s="42"/>
      <c r="B169" s="42"/>
      <c r="D169" s="354"/>
    </row>
    <row r="170" spans="1:13" s="114" customFormat="1" ht="21.75" customHeight="1" x14ac:dyDescent="0.5">
      <c r="A170" s="232">
        <v>2</v>
      </c>
      <c r="B170" s="232"/>
      <c r="C170" s="232" t="s">
        <v>138</v>
      </c>
      <c r="D170" s="231"/>
      <c r="E170" s="232" t="s">
        <v>139</v>
      </c>
      <c r="F170" s="232"/>
      <c r="G170" s="232"/>
      <c r="H170" s="232"/>
      <c r="I170" s="232"/>
      <c r="J170" s="232"/>
      <c r="K170" s="232"/>
    </row>
    <row r="171" spans="1:13" s="43" customFormat="1" ht="21.75" customHeight="1" x14ac:dyDescent="0.35">
      <c r="A171" s="42"/>
      <c r="B171" s="42"/>
      <c r="C171" s="49"/>
      <c r="D171" s="357"/>
      <c r="E171" s="44"/>
      <c r="F171" s="44"/>
      <c r="G171" s="44"/>
      <c r="H171" s="44"/>
      <c r="I171" s="44"/>
      <c r="J171" s="44"/>
      <c r="L171" s="108"/>
    </row>
    <row r="172" spans="1:13" s="43" customFormat="1" ht="19.5" customHeight="1" x14ac:dyDescent="0.35">
      <c r="A172" s="42"/>
      <c r="B172" s="42"/>
      <c r="C172" s="321" t="s">
        <v>140</v>
      </c>
      <c r="D172" s="358"/>
      <c r="E172" s="322"/>
      <c r="F172" s="322"/>
      <c r="G172" s="322"/>
      <c r="H172" s="322"/>
      <c r="I172" s="322"/>
      <c r="J172" s="210"/>
      <c r="K172" s="208"/>
    </row>
    <row r="173" spans="1:13" s="43" customFormat="1" ht="21.75" customHeight="1" x14ac:dyDescent="0.35">
      <c r="A173" s="42"/>
      <c r="B173" s="42"/>
      <c r="C173" s="323" t="s">
        <v>141</v>
      </c>
      <c r="D173" s="359"/>
      <c r="E173" s="323"/>
      <c r="F173" s="323" t="s">
        <v>142</v>
      </c>
      <c r="G173" s="324"/>
      <c r="H173" s="324"/>
      <c r="I173" s="325" t="s">
        <v>12</v>
      </c>
      <c r="J173" s="209"/>
      <c r="K173" s="211"/>
    </row>
    <row r="174" spans="1:13" s="43" customFormat="1" x14ac:dyDescent="0.35">
      <c r="A174" s="42"/>
      <c r="B174" s="42"/>
      <c r="C174" s="326" t="s">
        <v>143</v>
      </c>
      <c r="D174" s="360" t="s">
        <v>10</v>
      </c>
      <c r="E174" s="507">
        <f>ABS(E92)</f>
        <v>6200000</v>
      </c>
      <c r="F174" s="328" t="s">
        <v>144</v>
      </c>
      <c r="G174" s="328"/>
      <c r="H174" s="509">
        <f>$E$177*I174</f>
        <v>2257500</v>
      </c>
      <c r="I174" s="212">
        <v>0.35</v>
      </c>
      <c r="J174" s="209"/>
      <c r="K174" s="211"/>
    </row>
    <row r="175" spans="1:13" s="44" customFormat="1" ht="21.75" customHeight="1" x14ac:dyDescent="0.35">
      <c r="A175" s="46"/>
      <c r="B175" s="46"/>
      <c r="C175" s="326" t="s">
        <v>145</v>
      </c>
      <c r="D175" s="360" t="s">
        <v>10</v>
      </c>
      <c r="E175" s="507">
        <f>ABS(E90)</f>
        <v>250000</v>
      </c>
      <c r="F175" s="329" t="s">
        <v>146</v>
      </c>
      <c r="G175" s="328"/>
      <c r="H175" s="510">
        <f>$E$177*I175</f>
        <v>4192500</v>
      </c>
      <c r="I175" s="340">
        <f>1-I174</f>
        <v>0.65</v>
      </c>
      <c r="J175" s="43"/>
      <c r="K175" s="207"/>
      <c r="L175" s="43"/>
      <c r="M175" s="43"/>
    </row>
    <row r="176" spans="1:13" s="43" customFormat="1" ht="18.5" x14ac:dyDescent="0.65">
      <c r="A176" s="42"/>
      <c r="B176" s="42"/>
      <c r="C176" s="330"/>
      <c r="D176" s="360"/>
      <c r="E176" s="507"/>
      <c r="F176" s="331"/>
      <c r="G176" s="328"/>
      <c r="H176" s="507"/>
      <c r="I176" s="332"/>
      <c r="K176" s="207"/>
      <c r="L176" s="44"/>
      <c r="M176" s="44"/>
    </row>
    <row r="177" spans="1:14" s="30" customFormat="1" ht="19.5" customHeight="1" x14ac:dyDescent="0.35">
      <c r="A177" s="39"/>
      <c r="B177" s="39"/>
      <c r="C177" s="333" t="s">
        <v>147</v>
      </c>
      <c r="D177" s="361" t="s">
        <v>10</v>
      </c>
      <c r="E177" s="508">
        <f>SUM(E174:E176)</f>
        <v>6450000</v>
      </c>
      <c r="F177" s="335" t="s">
        <v>147</v>
      </c>
      <c r="G177" s="336"/>
      <c r="H177" s="508">
        <f>SUM(H174:H176)</f>
        <v>6450000</v>
      </c>
      <c r="I177" s="337">
        <f>SUM(I174:I175)</f>
        <v>1</v>
      </c>
      <c r="J177" s="44"/>
      <c r="K177" s="43"/>
      <c r="L177" s="43"/>
      <c r="M177" s="43"/>
    </row>
    <row r="178" spans="1:14" x14ac:dyDescent="0.35">
      <c r="C178" s="43"/>
      <c r="D178" s="354"/>
      <c r="E178" s="43"/>
      <c r="F178" s="43"/>
      <c r="G178" s="43"/>
      <c r="H178" s="43"/>
      <c r="I178" s="43"/>
      <c r="J178" s="43"/>
      <c r="K178" s="30"/>
      <c r="L178" s="30"/>
      <c r="M178" s="30"/>
    </row>
    <row r="179" spans="1:14" ht="16" thickBot="1" x14ac:dyDescent="0.4">
      <c r="C179" s="99" t="s">
        <v>148</v>
      </c>
      <c r="D179" s="355"/>
      <c r="E179" s="99"/>
      <c r="F179" s="99"/>
      <c r="G179" s="99"/>
      <c r="H179" s="99"/>
      <c r="I179" s="99"/>
      <c r="J179" s="99"/>
      <c r="K179" s="99"/>
      <c r="L179" s="51"/>
    </row>
    <row r="180" spans="1:14" x14ac:dyDescent="0.35">
      <c r="L180" s="51"/>
    </row>
    <row r="181" spans="1:14" x14ac:dyDescent="0.35">
      <c r="C181" s="22" t="s">
        <v>149</v>
      </c>
      <c r="D181" s="344" t="s">
        <v>10</v>
      </c>
      <c r="E181" s="550">
        <f>'B-CAPITAL BUDGETING CASE'!H175</f>
        <v>4192500</v>
      </c>
    </row>
    <row r="182" spans="1:14" x14ac:dyDescent="0.35">
      <c r="C182" s="22" t="s">
        <v>150</v>
      </c>
      <c r="E182" s="551">
        <f>+'A-INSTRUCTIONS'!D70</f>
        <v>6.5000000000000002E-2</v>
      </c>
    </row>
    <row r="183" spans="1:14" s="30" customFormat="1" ht="16" thickBot="1" x14ac:dyDescent="0.4">
      <c r="A183" s="39"/>
      <c r="B183" s="39"/>
      <c r="C183" s="22"/>
      <c r="D183" s="344"/>
      <c r="L183" s="22"/>
      <c r="M183" s="22"/>
    </row>
    <row r="184" spans="1:14" s="30" customFormat="1" ht="3.75" customHeight="1" x14ac:dyDescent="0.35">
      <c r="A184" s="39"/>
      <c r="B184" s="22"/>
      <c r="C184" s="171"/>
      <c r="D184" s="362"/>
      <c r="E184" s="299"/>
      <c r="F184" s="300"/>
      <c r="G184" s="299"/>
      <c r="H184" s="299"/>
      <c r="I184" s="301"/>
      <c r="J184" s="302"/>
      <c r="L184" s="22"/>
      <c r="M184" s="22"/>
      <c r="N184" s="22"/>
    </row>
    <row r="185" spans="1:14" s="30" customFormat="1" ht="48" customHeight="1" x14ac:dyDescent="0.35">
      <c r="A185" s="39"/>
      <c r="B185" s="22"/>
      <c r="C185" s="552" t="s">
        <v>151</v>
      </c>
      <c r="D185" s="553"/>
      <c r="E185" s="554" t="s">
        <v>152</v>
      </c>
      <c r="F185" s="554" t="s">
        <v>153</v>
      </c>
      <c r="G185" s="554" t="s">
        <v>154</v>
      </c>
      <c r="H185" s="554" t="s">
        <v>155</v>
      </c>
      <c r="I185" s="554" t="s">
        <v>156</v>
      </c>
      <c r="J185" s="555" t="s">
        <v>157</v>
      </c>
      <c r="L185" s="22"/>
      <c r="M185" s="22"/>
      <c r="N185" s="22"/>
    </row>
    <row r="186" spans="1:14" s="30" customFormat="1" x14ac:dyDescent="0.35">
      <c r="A186" s="39"/>
      <c r="B186" s="22">
        <v>0</v>
      </c>
      <c r="C186" s="298">
        <f>DATE('A-INSTRUCTIONS'!$D$46+B186,1,1)</f>
        <v>45292</v>
      </c>
      <c r="D186" s="348" t="s">
        <v>10</v>
      </c>
      <c r="E186" s="122">
        <v>0</v>
      </c>
      <c r="F186" s="511">
        <v>0</v>
      </c>
      <c r="G186" s="512">
        <f>F186*$E$182</f>
        <v>0</v>
      </c>
      <c r="H186" s="512">
        <f t="shared" ref="H186:H189" si="32">E186*$E$181</f>
        <v>0</v>
      </c>
      <c r="I186" s="512">
        <f>E181-H186</f>
        <v>4192500</v>
      </c>
      <c r="J186" s="517">
        <f t="shared" ref="J186:J193" si="33">+G186+H186</f>
        <v>0</v>
      </c>
      <c r="L186" s="22"/>
      <c r="M186" s="22"/>
      <c r="N186" s="22"/>
    </row>
    <row r="187" spans="1:14" s="30" customFormat="1" x14ac:dyDescent="0.35">
      <c r="A187" s="39"/>
      <c r="B187" s="22">
        <f>B186+1</f>
        <v>1</v>
      </c>
      <c r="C187" s="298">
        <f>DATE('A-INSTRUCTIONS'!$D$46+B187,1,1)</f>
        <v>45658</v>
      </c>
      <c r="D187" s="348" t="s">
        <v>10</v>
      </c>
      <c r="E187" s="122">
        <v>0</v>
      </c>
      <c r="F187" s="511">
        <f>I186</f>
        <v>4192500</v>
      </c>
      <c r="G187" s="512">
        <f t="shared" ref="G187:G193" si="34">F187*$E$182</f>
        <v>272512.5</v>
      </c>
      <c r="H187" s="512">
        <f t="shared" si="32"/>
        <v>0</v>
      </c>
      <c r="I187" s="512">
        <f t="shared" ref="I187:I192" si="35">F187-H187</f>
        <v>4192500</v>
      </c>
      <c r="J187" s="513">
        <f t="shared" si="33"/>
        <v>272512.5</v>
      </c>
      <c r="L187" s="22"/>
      <c r="M187" s="22"/>
      <c r="N187" s="22"/>
    </row>
    <row r="188" spans="1:14" s="30" customFormat="1" x14ac:dyDescent="0.35">
      <c r="A188" s="39"/>
      <c r="B188" s="22">
        <f t="shared" ref="B188:B193" si="36">B187+1</f>
        <v>2</v>
      </c>
      <c r="C188" s="298">
        <f>DATE('A-INSTRUCTIONS'!$D$46+B188,1,1)</f>
        <v>46023</v>
      </c>
      <c r="D188" s="348" t="s">
        <v>10</v>
      </c>
      <c r="E188" s="122">
        <v>0</v>
      </c>
      <c r="F188" s="511">
        <f t="shared" ref="F188:F193" si="37">I187</f>
        <v>4192500</v>
      </c>
      <c r="G188" s="512">
        <f t="shared" si="34"/>
        <v>272512.5</v>
      </c>
      <c r="H188" s="512">
        <f t="shared" si="32"/>
        <v>0</v>
      </c>
      <c r="I188" s="512">
        <f t="shared" si="35"/>
        <v>4192500</v>
      </c>
      <c r="J188" s="513">
        <f t="shared" si="33"/>
        <v>272512.5</v>
      </c>
      <c r="L188" s="22"/>
      <c r="M188" s="22"/>
      <c r="N188" s="22"/>
    </row>
    <row r="189" spans="1:14" s="30" customFormat="1" x14ac:dyDescent="0.35">
      <c r="A189" s="39"/>
      <c r="B189" s="22">
        <f t="shared" si="36"/>
        <v>3</v>
      </c>
      <c r="C189" s="298">
        <f>DATE('A-INSTRUCTIONS'!$D$46+B189,1,1)</f>
        <v>46388</v>
      </c>
      <c r="D189" s="348" t="s">
        <v>10</v>
      </c>
      <c r="E189" s="122">
        <v>0</v>
      </c>
      <c r="F189" s="511">
        <f t="shared" si="37"/>
        <v>4192500</v>
      </c>
      <c r="G189" s="512">
        <f t="shared" si="34"/>
        <v>272512.5</v>
      </c>
      <c r="H189" s="512">
        <f t="shared" si="32"/>
        <v>0</v>
      </c>
      <c r="I189" s="512">
        <f t="shared" si="35"/>
        <v>4192500</v>
      </c>
      <c r="J189" s="513">
        <f t="shared" si="33"/>
        <v>272512.5</v>
      </c>
      <c r="L189" s="22"/>
      <c r="M189" s="22"/>
      <c r="N189" s="22"/>
    </row>
    <row r="190" spans="1:14" s="30" customFormat="1" x14ac:dyDescent="0.35">
      <c r="A190" s="39"/>
      <c r="B190" s="22">
        <f t="shared" si="36"/>
        <v>4</v>
      </c>
      <c r="C190" s="298">
        <f>DATE('A-INSTRUCTIONS'!$D$46+B190,1,1)</f>
        <v>46753</v>
      </c>
      <c r="D190" s="348" t="s">
        <v>10</v>
      </c>
      <c r="E190" s="157">
        <f>+'A-INSTRUCTIONS'!D71</f>
        <v>0.2</v>
      </c>
      <c r="F190" s="511">
        <f t="shared" si="37"/>
        <v>4192500</v>
      </c>
      <c r="G190" s="512">
        <f t="shared" si="34"/>
        <v>272512.5</v>
      </c>
      <c r="H190" s="512">
        <f>E181*E190</f>
        <v>838500</v>
      </c>
      <c r="I190" s="512">
        <f t="shared" si="35"/>
        <v>3354000</v>
      </c>
      <c r="J190" s="513">
        <f t="shared" si="33"/>
        <v>1111012.5</v>
      </c>
      <c r="L190" s="22"/>
      <c r="M190" s="22"/>
      <c r="N190" s="22"/>
    </row>
    <row r="191" spans="1:14" s="30" customFormat="1" x14ac:dyDescent="0.35">
      <c r="A191" s="39"/>
      <c r="B191" s="22">
        <f t="shared" si="36"/>
        <v>5</v>
      </c>
      <c r="C191" s="298">
        <f>DATE('A-INSTRUCTIONS'!$D$46+B191,1,1)</f>
        <v>47119</v>
      </c>
      <c r="D191" s="348" t="s">
        <v>10</v>
      </c>
      <c r="E191" s="157">
        <f>+'A-INSTRUCTIONS'!D72</f>
        <v>0.25</v>
      </c>
      <c r="F191" s="511">
        <f t="shared" si="37"/>
        <v>3354000</v>
      </c>
      <c r="G191" s="512">
        <f t="shared" si="34"/>
        <v>218010</v>
      </c>
      <c r="H191" s="512">
        <f>E181*E191</f>
        <v>1048125</v>
      </c>
      <c r="I191" s="512">
        <f t="shared" si="35"/>
        <v>2305875</v>
      </c>
      <c r="J191" s="513">
        <f t="shared" si="33"/>
        <v>1266135</v>
      </c>
      <c r="L191" s="22"/>
      <c r="M191" s="22"/>
      <c r="N191" s="22"/>
    </row>
    <row r="192" spans="1:14" s="30" customFormat="1" x14ac:dyDescent="0.35">
      <c r="A192" s="39"/>
      <c r="B192" s="22">
        <f t="shared" si="36"/>
        <v>6</v>
      </c>
      <c r="C192" s="298">
        <f>DATE('A-INSTRUCTIONS'!$D$46+B192,1,1)</f>
        <v>47484</v>
      </c>
      <c r="D192" s="348" t="s">
        <v>10</v>
      </c>
      <c r="E192" s="157">
        <f>+'A-INSTRUCTIONS'!D73</f>
        <v>0.25</v>
      </c>
      <c r="F192" s="511">
        <f t="shared" si="37"/>
        <v>2305875</v>
      </c>
      <c r="G192" s="512">
        <f t="shared" si="34"/>
        <v>149881.875</v>
      </c>
      <c r="H192" s="512">
        <f>E181*E192</f>
        <v>1048125</v>
      </c>
      <c r="I192" s="512">
        <f t="shared" si="35"/>
        <v>1257750</v>
      </c>
      <c r="J192" s="513">
        <f t="shared" si="33"/>
        <v>1198006.875</v>
      </c>
      <c r="L192" s="22"/>
      <c r="M192" s="22"/>
      <c r="N192" s="22"/>
    </row>
    <row r="193" spans="1:14" s="30" customFormat="1" x14ac:dyDescent="0.35">
      <c r="A193" s="39"/>
      <c r="B193" s="22">
        <f t="shared" si="36"/>
        <v>7</v>
      </c>
      <c r="C193" s="298">
        <f>DATE('A-INSTRUCTIONS'!$D$46+B193,1,1)</f>
        <v>47849</v>
      </c>
      <c r="D193" s="348" t="s">
        <v>10</v>
      </c>
      <c r="E193" s="158">
        <f>+'A-INSTRUCTIONS'!D74</f>
        <v>0.3</v>
      </c>
      <c r="F193" s="511">
        <f t="shared" si="37"/>
        <v>1257750</v>
      </c>
      <c r="G193" s="512">
        <f t="shared" si="34"/>
        <v>81753.75</v>
      </c>
      <c r="H193" s="512">
        <f>E181*E193</f>
        <v>1257750</v>
      </c>
      <c r="I193" s="512">
        <f>F193-H193</f>
        <v>0</v>
      </c>
      <c r="J193" s="513">
        <f t="shared" si="33"/>
        <v>1339503.75</v>
      </c>
      <c r="L193" s="22"/>
      <c r="M193" s="22"/>
      <c r="N193" s="22"/>
    </row>
    <row r="194" spans="1:14" s="30" customFormat="1" ht="16" thickBot="1" x14ac:dyDescent="0.4">
      <c r="A194" s="39"/>
      <c r="B194" s="22"/>
      <c r="C194" s="119"/>
      <c r="D194" s="363" t="s">
        <v>10</v>
      </c>
      <c r="E194" s="123">
        <f>SUM(E190:E193)</f>
        <v>1</v>
      </c>
      <c r="F194" s="514"/>
      <c r="G194" s="514"/>
      <c r="H194" s="515">
        <f>SUM(H186:H193)</f>
        <v>4192500</v>
      </c>
      <c r="I194" s="514"/>
      <c r="J194" s="516"/>
      <c r="L194" s="22"/>
      <c r="M194" s="22"/>
      <c r="N194" s="22"/>
    </row>
    <row r="195" spans="1:14" s="30" customFormat="1" x14ac:dyDescent="0.35">
      <c r="A195" s="39"/>
      <c r="B195" s="39"/>
      <c r="C195" s="22"/>
      <c r="D195" s="344"/>
      <c r="E195" s="15"/>
      <c r="F195" s="52"/>
      <c r="G195" s="41"/>
      <c r="H195" s="41"/>
      <c r="I195" s="124"/>
      <c r="J195" s="41"/>
      <c r="K195" s="22"/>
      <c r="L195" s="22"/>
      <c r="M195" s="22"/>
    </row>
    <row r="196" spans="1:14" x14ac:dyDescent="0.35">
      <c r="K196" s="30"/>
      <c r="L196" s="30"/>
      <c r="M196" s="30"/>
      <c r="N196" s="30"/>
    </row>
    <row r="197" spans="1:14" s="30" customFormat="1" x14ac:dyDescent="0.35">
      <c r="A197" s="125"/>
      <c r="B197" s="125"/>
      <c r="C197" s="117" t="s">
        <v>158</v>
      </c>
      <c r="D197" s="345"/>
      <c r="E197" s="117"/>
      <c r="F197" s="81"/>
      <c r="G197" s="81"/>
      <c r="H197" s="81"/>
      <c r="I197" s="81"/>
      <c r="J197" s="81"/>
      <c r="K197" s="81"/>
      <c r="N197" s="22"/>
    </row>
    <row r="198" spans="1:14" s="217" customFormat="1" x14ac:dyDescent="0.35">
      <c r="A198" s="274"/>
      <c r="B198" s="274"/>
      <c r="D198" s="367"/>
      <c r="F198" s="162"/>
      <c r="G198" s="162"/>
      <c r="H198" s="162"/>
      <c r="I198" s="162"/>
      <c r="J198" s="162"/>
      <c r="K198" s="162"/>
      <c r="N198" s="162"/>
    </row>
    <row r="199" spans="1:14" s="217" customFormat="1" x14ac:dyDescent="0.35">
      <c r="A199" s="274"/>
      <c r="B199" s="274"/>
      <c r="D199" s="367"/>
      <c r="F199" s="162"/>
      <c r="G199" s="162"/>
      <c r="H199" s="162"/>
      <c r="I199" s="162"/>
      <c r="J199" s="162"/>
      <c r="K199" s="162"/>
      <c r="N199" s="162"/>
    </row>
    <row r="200" spans="1:14" s="217" customFormat="1" x14ac:dyDescent="0.35">
      <c r="A200" s="274"/>
      <c r="B200" s="274"/>
      <c r="D200" s="367"/>
      <c r="F200" s="162"/>
      <c r="G200" s="162"/>
      <c r="H200" s="162"/>
      <c r="I200" s="162"/>
      <c r="J200" s="162"/>
      <c r="K200" s="162"/>
      <c r="N200" s="162"/>
    </row>
    <row r="201" spans="1:14" s="217" customFormat="1" x14ac:dyDescent="0.35">
      <c r="A201" s="274"/>
      <c r="B201" s="274"/>
      <c r="D201" s="367"/>
      <c r="F201" s="162"/>
      <c r="G201" s="162"/>
      <c r="H201" s="162"/>
      <c r="I201" s="162"/>
      <c r="J201" s="162"/>
      <c r="K201" s="162"/>
      <c r="N201" s="162"/>
    </row>
    <row r="202" spans="1:14" s="217" customFormat="1" x14ac:dyDescent="0.35">
      <c r="A202" s="274"/>
      <c r="B202" s="274"/>
      <c r="D202" s="367"/>
      <c r="F202" s="162"/>
      <c r="G202" s="162"/>
      <c r="H202" s="162"/>
      <c r="I202" s="162"/>
      <c r="J202" s="162"/>
      <c r="K202" s="162"/>
      <c r="N202" s="162"/>
    </row>
    <row r="203" spans="1:14" x14ac:dyDescent="0.35">
      <c r="E203" s="233">
        <f>'B-CAPITAL BUDGETING CASE'!C186</f>
        <v>45292</v>
      </c>
      <c r="F203" s="233">
        <f>'B-CAPITAL BUDGETING CASE'!C187</f>
        <v>45658</v>
      </c>
      <c r="G203" s="233">
        <f>'B-CAPITAL BUDGETING CASE'!C188</f>
        <v>46023</v>
      </c>
      <c r="H203" s="233">
        <f>'B-CAPITAL BUDGETING CASE'!C189</f>
        <v>46388</v>
      </c>
      <c r="I203" s="233">
        <f>'B-CAPITAL BUDGETING CASE'!C190</f>
        <v>46753</v>
      </c>
      <c r="J203" s="233">
        <f>'B-CAPITAL BUDGETING CASE'!C191</f>
        <v>47119</v>
      </c>
      <c r="K203" s="30"/>
      <c r="L203" s="30"/>
      <c r="M203" s="30"/>
      <c r="N203" s="30"/>
    </row>
    <row r="204" spans="1:14" x14ac:dyDescent="0.35">
      <c r="E204" s="233"/>
      <c r="F204" s="233"/>
      <c r="G204" s="233"/>
      <c r="H204" s="233"/>
      <c r="I204" s="233"/>
      <c r="J204" s="233"/>
      <c r="K204" s="30"/>
      <c r="L204" s="30"/>
      <c r="M204" s="30"/>
      <c r="N204" s="30"/>
    </row>
    <row r="205" spans="1:14" x14ac:dyDescent="0.35">
      <c r="E205" s="233"/>
      <c r="F205" s="233"/>
      <c r="G205" s="233"/>
      <c r="H205" s="233"/>
      <c r="I205" s="233"/>
      <c r="J205" s="233"/>
      <c r="K205" s="30"/>
      <c r="L205" s="30"/>
      <c r="M205" s="30"/>
      <c r="N205" s="30"/>
    </row>
    <row r="206" spans="1:14" x14ac:dyDescent="0.35">
      <c r="E206" s="233"/>
      <c r="F206" s="233"/>
      <c r="G206" s="233"/>
      <c r="H206" s="233"/>
      <c r="I206" s="233"/>
      <c r="J206" s="233"/>
      <c r="K206" s="30"/>
      <c r="L206" s="30"/>
      <c r="M206" s="30"/>
      <c r="N206" s="30"/>
    </row>
    <row r="207" spans="1:14" s="30" customFormat="1" x14ac:dyDescent="0.35">
      <c r="A207" s="39"/>
      <c r="B207" s="39"/>
      <c r="C207" s="50" t="s">
        <v>159</v>
      </c>
      <c r="D207" s="364"/>
      <c r="E207" s="474">
        <v>0</v>
      </c>
      <c r="F207" s="474">
        <v>1</v>
      </c>
      <c r="G207" s="474">
        <v>2</v>
      </c>
      <c r="H207" s="474">
        <v>3</v>
      </c>
      <c r="I207" s="474">
        <v>4</v>
      </c>
      <c r="J207" s="474">
        <v>5</v>
      </c>
      <c r="K207" s="22"/>
      <c r="M207" s="22"/>
      <c r="N207" s="22"/>
    </row>
    <row r="208" spans="1:14" s="54" customFormat="1" x14ac:dyDescent="0.35">
      <c r="A208" s="53"/>
      <c r="B208" s="53"/>
      <c r="C208" s="22" t="str">
        <f>C94</f>
        <v>Unlevered Free Cash Flows (Free Cash Flow to the Firm)</v>
      </c>
      <c r="D208" s="344" t="s">
        <v>10</v>
      </c>
      <c r="E208" s="448">
        <f>E94</f>
        <v>-6450000</v>
      </c>
      <c r="F208" s="448">
        <f t="shared" ref="F208:J208" si="38">F94</f>
        <v>1446130.1369863013</v>
      </c>
      <c r="G208" s="448">
        <f t="shared" si="38"/>
        <v>1331715.2397260275</v>
      </c>
      <c r="H208" s="448">
        <f t="shared" si="38"/>
        <v>1425557.0217465756</v>
      </c>
      <c r="I208" s="448">
        <f t="shared" si="38"/>
        <v>1526061.5702905827</v>
      </c>
      <c r="J208" s="448">
        <f t="shared" si="38"/>
        <v>5031289.4275182514</v>
      </c>
      <c r="K208" s="30"/>
      <c r="L208" s="30"/>
      <c r="M208" s="30"/>
      <c r="N208" s="30"/>
    </row>
    <row r="209" spans="1:14" s="54" customFormat="1" x14ac:dyDescent="0.35">
      <c r="A209" s="53"/>
      <c r="B209" s="53"/>
      <c r="C209" s="50" t="s">
        <v>160</v>
      </c>
      <c r="D209" s="356"/>
      <c r="E209" s="518"/>
      <c r="F209" s="519"/>
      <c r="G209" s="518"/>
      <c r="H209" s="518"/>
      <c r="I209" s="518"/>
      <c r="J209" s="518"/>
      <c r="L209" s="30"/>
    </row>
    <row r="210" spans="1:14" s="30" customFormat="1" x14ac:dyDescent="0.35">
      <c r="A210" s="39"/>
      <c r="B210" s="39"/>
      <c r="C210" s="59" t="s">
        <v>161</v>
      </c>
      <c r="D210" s="344" t="s">
        <v>10</v>
      </c>
      <c r="E210" s="449">
        <f t="array" ref="E210:J210">TRANSPOSE(G186:G191)</f>
        <v>0</v>
      </c>
      <c r="F210" s="450">
        <v>272512.5</v>
      </c>
      <c r="G210" s="448">
        <v>272512.5</v>
      </c>
      <c r="H210" s="448">
        <v>272512.5</v>
      </c>
      <c r="I210" s="448">
        <v>272512.5</v>
      </c>
      <c r="J210" s="448">
        <v>218010</v>
      </c>
      <c r="K210" s="54"/>
      <c r="M210" s="54"/>
      <c r="N210" s="54"/>
    </row>
    <row r="211" spans="1:14" s="30" customFormat="1" x14ac:dyDescent="0.35">
      <c r="A211" s="39"/>
      <c r="B211" s="39"/>
      <c r="C211" s="59" t="s">
        <v>162</v>
      </c>
      <c r="D211" s="344" t="s">
        <v>10</v>
      </c>
      <c r="E211" s="449"/>
      <c r="F211" s="450">
        <f>-F210*tax</f>
        <v>-109005</v>
      </c>
      <c r="G211" s="449">
        <f>-G210*tax</f>
        <v>-109005</v>
      </c>
      <c r="H211" s="449">
        <f>-H210*tax</f>
        <v>-109005</v>
      </c>
      <c r="I211" s="449">
        <f>-I210*tax</f>
        <v>-109005</v>
      </c>
      <c r="J211" s="449">
        <f>-J210*tax</f>
        <v>-87204</v>
      </c>
      <c r="K211" s="54"/>
      <c r="M211" s="54"/>
      <c r="N211" s="54"/>
    </row>
    <row r="212" spans="1:14" x14ac:dyDescent="0.35">
      <c r="C212" s="59" t="s">
        <v>163</v>
      </c>
      <c r="D212" s="344" t="s">
        <v>10</v>
      </c>
      <c r="E212" s="449">
        <f t="array" ref="E212:J212">TRANSPOSE(H186:H191)</f>
        <v>0</v>
      </c>
      <c r="F212" s="450">
        <v>0</v>
      </c>
      <c r="G212" s="448">
        <v>0</v>
      </c>
      <c r="H212" s="448">
        <v>0</v>
      </c>
      <c r="I212" s="448">
        <v>838500</v>
      </c>
      <c r="J212" s="448">
        <v>1048125</v>
      </c>
      <c r="K212" s="30"/>
      <c r="L212" s="30"/>
      <c r="M212" s="30"/>
      <c r="N212" s="30"/>
    </row>
    <row r="213" spans="1:14" s="60" customFormat="1" ht="20" x14ac:dyDescent="0.8">
      <c r="A213" s="58"/>
      <c r="B213" s="58"/>
      <c r="C213" s="59" t="s">
        <v>164</v>
      </c>
      <c r="D213" s="344" t="s">
        <v>10</v>
      </c>
      <c r="E213" s="451"/>
      <c r="F213" s="521">
        <v>0</v>
      </c>
      <c r="G213" s="452">
        <v>0</v>
      </c>
      <c r="H213" s="452">
        <v>0</v>
      </c>
      <c r="I213" s="452">
        <v>0</v>
      </c>
      <c r="J213" s="453">
        <f>'B-CAPITAL BUDGETING CASE'!I191</f>
        <v>2305875</v>
      </c>
      <c r="K213" s="30"/>
      <c r="L213" s="30"/>
      <c r="M213" s="57"/>
      <c r="N213" s="57"/>
    </row>
    <row r="214" spans="1:14" ht="14.25" customHeight="1" x14ac:dyDescent="0.35">
      <c r="C214" s="30" t="s">
        <v>260</v>
      </c>
      <c r="D214" s="344" t="s">
        <v>10</v>
      </c>
      <c r="E214" s="454">
        <f>SUM(E212:E212)</f>
        <v>0</v>
      </c>
      <c r="F214" s="454">
        <f t="shared" ref="F214:J214" si="39">SUM(F210:F213)</f>
        <v>163507.5</v>
      </c>
      <c r="G214" s="454">
        <f t="shared" ref="G214" si="40">SUM(G210:G213)</f>
        <v>163507.5</v>
      </c>
      <c r="H214" s="454">
        <f t="shared" ref="H214" si="41">SUM(H210:H213)</f>
        <v>163507.5</v>
      </c>
      <c r="I214" s="454">
        <f t="shared" ref="I214" si="42">SUM(I210:I213)</f>
        <v>1002007.5</v>
      </c>
      <c r="J214" s="454">
        <f t="shared" si="39"/>
        <v>3484806</v>
      </c>
      <c r="L214" s="30"/>
    </row>
    <row r="215" spans="1:14" s="30" customFormat="1" x14ac:dyDescent="0.35">
      <c r="A215" s="39"/>
      <c r="B215" s="39"/>
      <c r="C215" s="22"/>
      <c r="D215" s="344"/>
      <c r="E215" s="66"/>
      <c r="F215" s="66"/>
      <c r="G215" s="66"/>
      <c r="H215" s="66"/>
      <c r="I215" s="66"/>
      <c r="J215" s="66"/>
      <c r="K215" s="22"/>
      <c r="M215" s="22"/>
      <c r="N215" s="22"/>
    </row>
    <row r="216" spans="1:14" s="57" customFormat="1" x14ac:dyDescent="0.35">
      <c r="A216" s="56"/>
      <c r="B216" s="56"/>
      <c r="C216" s="30" t="s">
        <v>165</v>
      </c>
      <c r="D216" s="356"/>
      <c r="E216" s="454"/>
      <c r="F216" s="454">
        <f t="shared" ref="F216" si="43">F208-F214</f>
        <v>1282622.6369863013</v>
      </c>
      <c r="G216" s="455">
        <f>G208-G214</f>
        <v>1168207.7397260275</v>
      </c>
      <c r="H216" s="455">
        <f t="shared" ref="H216:J216" si="44">H208-H214</f>
        <v>1262049.5217465756</v>
      </c>
      <c r="I216" s="455">
        <f t="shared" si="44"/>
        <v>524054.07029058272</v>
      </c>
      <c r="J216" s="455">
        <f t="shared" si="44"/>
        <v>1546483.4275182514</v>
      </c>
      <c r="K216" s="30"/>
      <c r="L216" s="30"/>
      <c r="M216" s="30"/>
      <c r="N216" s="30"/>
    </row>
    <row r="217" spans="1:14" x14ac:dyDescent="0.35">
      <c r="E217" s="66"/>
      <c r="F217" s="66"/>
      <c r="G217" s="66"/>
      <c r="H217" s="66"/>
      <c r="I217" s="66"/>
      <c r="J217" s="66"/>
      <c r="L217" s="30"/>
    </row>
    <row r="218" spans="1:14" x14ac:dyDescent="0.35">
      <c r="C218" s="55"/>
      <c r="D218" s="67"/>
      <c r="E218" s="456"/>
      <c r="F218" s="457"/>
      <c r="G218" s="458"/>
      <c r="H218" s="458"/>
      <c r="I218" s="458"/>
      <c r="J218" s="458"/>
      <c r="L218" s="30"/>
      <c r="N218" s="30"/>
    </row>
    <row r="219" spans="1:14" x14ac:dyDescent="0.35">
      <c r="C219" s="50" t="s">
        <v>166</v>
      </c>
      <c r="D219" s="364"/>
      <c r="E219" s="520">
        <v>0</v>
      </c>
      <c r="F219" s="520">
        <v>1</v>
      </c>
      <c r="G219" s="520">
        <v>2</v>
      </c>
      <c r="H219" s="520">
        <v>3</v>
      </c>
      <c r="I219" s="520">
        <v>4</v>
      </c>
      <c r="J219" s="520">
        <v>5</v>
      </c>
      <c r="L219" s="30"/>
    </row>
    <row r="220" spans="1:14" x14ac:dyDescent="0.35">
      <c r="C220" s="22" t="s">
        <v>167</v>
      </c>
      <c r="D220" s="344" t="s">
        <v>10</v>
      </c>
      <c r="E220" s="448">
        <f>-H174</f>
        <v>-2257500</v>
      </c>
      <c r="F220" s="459">
        <v>0</v>
      </c>
      <c r="G220" s="451">
        <v>0</v>
      </c>
      <c r="H220" s="451">
        <v>0</v>
      </c>
      <c r="I220" s="451">
        <v>0</v>
      </c>
      <c r="J220" s="451">
        <v>0</v>
      </c>
      <c r="K220" s="63"/>
      <c r="L220" s="30"/>
      <c r="M220" s="63"/>
    </row>
    <row r="221" spans="1:14" x14ac:dyDescent="0.35">
      <c r="C221" s="59" t="s">
        <v>168</v>
      </c>
      <c r="D221" s="344" t="s">
        <v>10</v>
      </c>
      <c r="E221" s="451"/>
      <c r="F221" s="451">
        <f>F216</f>
        <v>1282622.6369863013</v>
      </c>
      <c r="G221" s="451">
        <f t="shared" ref="G221:J221" si="45">G216</f>
        <v>1168207.7397260275</v>
      </c>
      <c r="H221" s="451">
        <f t="shared" si="45"/>
        <v>1262049.5217465756</v>
      </c>
      <c r="I221" s="451">
        <f t="shared" si="45"/>
        <v>524054.07029058272</v>
      </c>
      <c r="J221" s="451">
        <f t="shared" si="45"/>
        <v>1546483.4275182514</v>
      </c>
      <c r="L221" s="30"/>
    </row>
    <row r="222" spans="1:14" ht="16" thickBot="1" x14ac:dyDescent="0.4">
      <c r="C222" s="22" t="s">
        <v>169</v>
      </c>
      <c r="D222" s="344" t="s">
        <v>10</v>
      </c>
      <c r="E222" s="454">
        <f>SUM(E220:E221)</f>
        <v>-2257500</v>
      </c>
      <c r="F222" s="454">
        <f t="shared" ref="F222:J222" si="46">SUM(F220:F221)</f>
        <v>1282622.6369863013</v>
      </c>
      <c r="G222" s="454">
        <f t="shared" si="46"/>
        <v>1168207.7397260275</v>
      </c>
      <c r="H222" s="454">
        <f t="shared" si="46"/>
        <v>1262049.5217465756</v>
      </c>
      <c r="I222" s="454">
        <f t="shared" si="46"/>
        <v>524054.07029058272</v>
      </c>
      <c r="J222" s="454">
        <f t="shared" si="46"/>
        <v>1546483.4275182514</v>
      </c>
      <c r="L222" s="30"/>
    </row>
    <row r="223" spans="1:14" ht="16" thickBot="1" x14ac:dyDescent="0.4">
      <c r="C223" s="22" t="s">
        <v>170</v>
      </c>
      <c r="D223" s="344" t="s">
        <v>12</v>
      </c>
      <c r="E223" s="127">
        <f>IRR(E222:J222)</f>
        <v>0.43739538216781515</v>
      </c>
      <c r="L223" s="30"/>
    </row>
    <row r="225" spans="1:5" s="162" customFormat="1" x14ac:dyDescent="0.35">
      <c r="A225" s="274"/>
      <c r="B225" s="274"/>
      <c r="C225" s="566" t="s">
        <v>171</v>
      </c>
      <c r="D225" s="566"/>
      <c r="E225" s="566"/>
    </row>
    <row r="226" spans="1:5" ht="16" thickBot="1" x14ac:dyDescent="0.4"/>
    <row r="227" spans="1:5" ht="16" thickBot="1" x14ac:dyDescent="0.4">
      <c r="C227" s="22" t="s">
        <v>172</v>
      </c>
      <c r="E227" s="433">
        <f>E223</f>
        <v>0.43739538216781515</v>
      </c>
    </row>
    <row r="228" spans="1:5" x14ac:dyDescent="0.35">
      <c r="C228" s="50" t="s">
        <v>173</v>
      </c>
      <c r="D228" s="356"/>
    </row>
    <row r="229" spans="1:5" x14ac:dyDescent="0.35">
      <c r="C229" s="22" t="s">
        <v>46</v>
      </c>
      <c r="D229" s="344" t="s">
        <v>12</v>
      </c>
      <c r="E229" s="522">
        <f>'A-INSTRUCTIONS'!D76</f>
        <v>8.0000000000000002E-3</v>
      </c>
    </row>
    <row r="230" spans="1:5" x14ac:dyDescent="0.35">
      <c r="C230" s="22" t="s">
        <v>174</v>
      </c>
      <c r="D230" s="344" t="s">
        <v>12</v>
      </c>
      <c r="E230" s="522">
        <f>'A-INSTRUCTIONS'!D77</f>
        <v>5.7000000000000002E-2</v>
      </c>
    </row>
    <row r="231" spans="1:5" ht="16" thickBot="1" x14ac:dyDescent="0.4">
      <c r="C231" s="22" t="s">
        <v>175</v>
      </c>
      <c r="D231" s="344" t="s">
        <v>12</v>
      </c>
      <c r="E231" s="524">
        <f>'A-INSTRUCTIONS'!D78</f>
        <v>2</v>
      </c>
    </row>
    <row r="232" spans="1:5" ht="16" thickBot="1" x14ac:dyDescent="0.4">
      <c r="C232" s="30" t="s">
        <v>176</v>
      </c>
      <c r="D232" s="344" t="s">
        <v>12</v>
      </c>
      <c r="E232" s="523">
        <f>(E229+(E231*E230))</f>
        <v>0.122</v>
      </c>
    </row>
    <row r="233" spans="1:5" x14ac:dyDescent="0.35">
      <c r="C233" s="30"/>
      <c r="D233" s="356"/>
      <c r="E233" s="130"/>
    </row>
    <row r="234" spans="1:5" x14ac:dyDescent="0.35">
      <c r="C234" s="30"/>
      <c r="D234" s="356"/>
      <c r="E234" s="130"/>
    </row>
    <row r="235" spans="1:5" x14ac:dyDescent="0.35">
      <c r="C235" s="30"/>
      <c r="D235" s="356"/>
      <c r="E235" s="130"/>
    </row>
    <row r="236" spans="1:5" x14ac:dyDescent="0.35">
      <c r="C236" s="30"/>
      <c r="D236" s="356"/>
      <c r="E236" s="130"/>
    </row>
    <row r="237" spans="1:5" x14ac:dyDescent="0.35">
      <c r="C237" s="30"/>
      <c r="D237" s="356"/>
      <c r="E237" s="130"/>
    </row>
    <row r="238" spans="1:5" x14ac:dyDescent="0.35">
      <c r="C238" s="30"/>
      <c r="D238" s="356"/>
      <c r="E238" s="130"/>
    </row>
    <row r="239" spans="1:5" ht="23" x14ac:dyDescent="0.35">
      <c r="B239" s="346" t="s">
        <v>258</v>
      </c>
      <c r="C239" s="30"/>
      <c r="D239" s="356"/>
      <c r="E239" s="130"/>
    </row>
    <row r="240" spans="1:5" x14ac:dyDescent="0.35">
      <c r="C240" s="30"/>
      <c r="D240" s="356"/>
      <c r="E240" s="130"/>
    </row>
    <row r="241" spans="1:11" x14ac:dyDescent="0.35">
      <c r="C241" s="30"/>
      <c r="D241" s="356"/>
      <c r="E241" s="130"/>
    </row>
    <row r="242" spans="1:11" x14ac:dyDescent="0.35">
      <c r="C242" s="30"/>
      <c r="D242" s="356"/>
      <c r="E242" s="130"/>
    </row>
    <row r="243" spans="1:11" x14ac:dyDescent="0.35">
      <c r="C243" s="30"/>
      <c r="D243" s="356"/>
      <c r="E243" s="130"/>
    </row>
    <row r="244" spans="1:11" x14ac:dyDescent="0.35">
      <c r="C244" s="30"/>
      <c r="D244" s="356"/>
      <c r="E244" s="130"/>
    </row>
    <row r="245" spans="1:11" x14ac:dyDescent="0.35">
      <c r="C245" s="30"/>
      <c r="D245" s="356"/>
      <c r="E245" s="130"/>
    </row>
    <row r="246" spans="1:11" x14ac:dyDescent="0.35">
      <c r="C246" s="30"/>
      <c r="D246" s="356"/>
      <c r="E246" s="130"/>
    </row>
    <row r="247" spans="1:11" x14ac:dyDescent="0.35">
      <c r="C247" s="30"/>
      <c r="D247" s="356"/>
      <c r="E247" s="130"/>
    </row>
    <row r="248" spans="1:11" x14ac:dyDescent="0.35">
      <c r="C248" s="30"/>
      <c r="D248" s="356"/>
      <c r="E248" s="130"/>
    </row>
    <row r="250" spans="1:11" s="114" customFormat="1" ht="21" x14ac:dyDescent="0.5">
      <c r="A250" s="232">
        <v>3</v>
      </c>
      <c r="B250" s="232"/>
      <c r="C250" s="232" t="s">
        <v>177</v>
      </c>
      <c r="D250" s="231"/>
      <c r="E250" s="232" t="s">
        <v>178</v>
      </c>
      <c r="F250" s="232"/>
      <c r="G250" s="232"/>
      <c r="H250" s="232"/>
      <c r="I250" s="232"/>
      <c r="J250" s="232"/>
      <c r="K250" s="232"/>
    </row>
    <row r="252" spans="1:11" ht="18" x14ac:dyDescent="0.4">
      <c r="C252" s="527" t="s">
        <v>179</v>
      </c>
      <c r="D252" s="364"/>
      <c r="E252" s="525">
        <f>'B-CAPITAL BUDGETING CASE'!E219</f>
        <v>0</v>
      </c>
      <c r="F252" s="525">
        <f>'B-CAPITAL BUDGETING CASE'!F219</f>
        <v>1</v>
      </c>
      <c r="G252" s="525">
        <f>'B-CAPITAL BUDGETING CASE'!G219</f>
        <v>2</v>
      </c>
      <c r="H252" s="525">
        <f>'B-CAPITAL BUDGETING CASE'!H219</f>
        <v>3</v>
      </c>
      <c r="I252" s="525">
        <f>'B-CAPITAL BUDGETING CASE'!I219</f>
        <v>4</v>
      </c>
      <c r="J252" s="525">
        <f>'B-CAPITAL BUDGETING CASE'!J219</f>
        <v>5</v>
      </c>
    </row>
    <row r="253" spans="1:11" x14ac:dyDescent="0.35">
      <c r="K253" s="62"/>
    </row>
    <row r="254" spans="1:11" x14ac:dyDescent="0.35">
      <c r="C254" s="22" t="s">
        <v>180</v>
      </c>
      <c r="D254" s="344" t="s">
        <v>12</v>
      </c>
      <c r="E254" s="10"/>
      <c r="F254" s="176">
        <f>IF(F86/F81&lt;0,0,F86/F81)</f>
        <v>0.21000000000000008</v>
      </c>
      <c r="G254" s="177">
        <f>IF(G86/G81&lt;0,0,G86/G81)</f>
        <v>0.23253968253968255</v>
      </c>
      <c r="H254" s="177">
        <f>IF(H86/H81&lt;0,0,H86/H81)</f>
        <v>0.2535851377588072</v>
      </c>
      <c r="I254" s="177">
        <f>IF(I86/I81&lt;0,0,I86/I81)</f>
        <v>0.27323542274398444</v>
      </c>
      <c r="J254" s="177">
        <f>IF(J86/J81&lt;0,0,J86/J81)</f>
        <v>0.29158302777216094</v>
      </c>
      <c r="K254" s="62"/>
    </row>
    <row r="255" spans="1:11" x14ac:dyDescent="0.35">
      <c r="C255" s="22" t="s">
        <v>181</v>
      </c>
      <c r="D255" s="344" t="s">
        <v>295</v>
      </c>
      <c r="F255" s="460">
        <f>IF(F86/F210&lt;0,0,F86/F210)</f>
        <v>2.8897756983624614</v>
      </c>
      <c r="G255" s="460">
        <f>IF(G86/G210&lt;0,0,G86/G210)</f>
        <v>3.4271363698912896</v>
      </c>
      <c r="H255" s="460">
        <f>IF(H86/H210&lt;0,0,H86/H210)</f>
        <v>4.0026496490986654</v>
      </c>
      <c r="I255" s="460">
        <f>IF(I86/I210&lt;0,0,I86/I210)</f>
        <v>4.6190243711297665</v>
      </c>
      <c r="J255" s="460">
        <f>IF(J86/J210&lt;0,0,J86/J210)</f>
        <v>6.5989521230313422</v>
      </c>
      <c r="K255" s="62"/>
    </row>
    <row r="256" spans="1:11" x14ac:dyDescent="0.35">
      <c r="C256" s="22" t="s">
        <v>182</v>
      </c>
      <c r="D256" s="344" t="s">
        <v>295</v>
      </c>
      <c r="F256" s="460">
        <f>F208/F214</f>
        <v>8.8444269344605058</v>
      </c>
      <c r="G256" s="461">
        <f>G208/G214</f>
        <v>8.1446737288872217</v>
      </c>
      <c r="H256" s="461">
        <f>H208/H214</f>
        <v>8.7186032551814172</v>
      </c>
      <c r="I256" s="461">
        <f>I208/I214</f>
        <v>1.5230041394805756</v>
      </c>
      <c r="J256" s="461">
        <f>J208/J214</f>
        <v>1.4437789155316685</v>
      </c>
    </row>
    <row r="257" spans="1:14" s="30" customFormat="1" x14ac:dyDescent="0.35">
      <c r="A257" s="39"/>
      <c r="B257" s="39"/>
      <c r="C257" s="22"/>
      <c r="D257" s="344"/>
      <c r="E257" s="22"/>
      <c r="F257" s="22"/>
      <c r="G257" s="22"/>
      <c r="H257" s="22"/>
      <c r="I257" s="22"/>
      <c r="J257" s="22"/>
      <c r="K257" s="22"/>
      <c r="L257" s="22"/>
      <c r="M257" s="22"/>
      <c r="N257" s="22"/>
    </row>
    <row r="258" spans="1:14" ht="18" x14ac:dyDescent="0.4">
      <c r="C258" s="527" t="s">
        <v>183</v>
      </c>
      <c r="D258" s="364"/>
      <c r="E258" s="525">
        <f>'B-CAPITAL BUDGETING CASE'!E252</f>
        <v>0</v>
      </c>
      <c r="F258" s="525">
        <f>'B-CAPITAL BUDGETING CASE'!F252</f>
        <v>1</v>
      </c>
      <c r="G258" s="525">
        <f>'B-CAPITAL BUDGETING CASE'!G252</f>
        <v>2</v>
      </c>
      <c r="H258" s="525">
        <f>'B-CAPITAL BUDGETING CASE'!H252</f>
        <v>3</v>
      </c>
      <c r="I258" s="525">
        <f>'B-CAPITAL BUDGETING CASE'!I252</f>
        <v>4</v>
      </c>
      <c r="J258" s="525">
        <f>'B-CAPITAL BUDGETING CASE'!J252</f>
        <v>5</v>
      </c>
    </row>
    <row r="259" spans="1:14" x14ac:dyDescent="0.35">
      <c r="C259" s="65" t="s">
        <v>184</v>
      </c>
      <c r="D259" s="356"/>
      <c r="E259" s="30"/>
      <c r="F259" s="30"/>
      <c r="G259" s="30"/>
      <c r="H259" s="30"/>
      <c r="I259" s="30"/>
      <c r="J259" s="30"/>
    </row>
    <row r="260" spans="1:14" x14ac:dyDescent="0.35">
      <c r="C260" s="59" t="s">
        <v>185</v>
      </c>
      <c r="E260" s="66"/>
      <c r="F260" s="459">
        <f>'B-CAPITAL BUDGETING CASE'!F81</f>
        <v>3750000</v>
      </c>
      <c r="G260" s="451">
        <f>'B-CAPITAL BUDGETING CASE'!G81</f>
        <v>4016250</v>
      </c>
      <c r="H260" s="451">
        <f>'B-CAPITAL BUDGETING CASE'!H81</f>
        <v>4301403.75</v>
      </c>
      <c r="I260" s="451">
        <f>'B-CAPITAL BUDGETING CASE'!I81</f>
        <v>4606803.4162500007</v>
      </c>
      <c r="J260" s="451">
        <f>'B-CAPITAL BUDGETING CASE'!J81</f>
        <v>4933886.4588037506</v>
      </c>
    </row>
    <row r="261" spans="1:14" x14ac:dyDescent="0.35">
      <c r="C261" s="59" t="s">
        <v>186</v>
      </c>
      <c r="E261" s="66"/>
      <c r="F261" s="459">
        <f>'B-CAPITAL BUDGETING CASE'!F82</f>
        <v>-1687499.9999999998</v>
      </c>
      <c r="G261" s="451">
        <f>'B-CAPITAL BUDGETING CASE'!G82</f>
        <v>-1807312.4999999998</v>
      </c>
      <c r="H261" s="451">
        <f>'B-CAPITAL BUDGETING CASE'!H82</f>
        <v>-1935631.6874999998</v>
      </c>
      <c r="I261" s="451">
        <f>'B-CAPITAL BUDGETING CASE'!I82</f>
        <v>-2073061.5373125002</v>
      </c>
      <c r="J261" s="451">
        <f>'B-CAPITAL BUDGETING CASE'!J82</f>
        <v>-2220248.9064616878</v>
      </c>
    </row>
    <row r="262" spans="1:14" x14ac:dyDescent="0.35">
      <c r="C262" s="59" t="s">
        <v>187</v>
      </c>
      <c r="E262" s="66"/>
      <c r="F262" s="459">
        <f>F84+F85</f>
        <v>-1275000</v>
      </c>
      <c r="G262" s="451">
        <f>G84+G85</f>
        <v>-1275000</v>
      </c>
      <c r="H262" s="451">
        <f>H84+H85</f>
        <v>-1275000</v>
      </c>
      <c r="I262" s="451">
        <f>I84+I85</f>
        <v>-1275000</v>
      </c>
      <c r="J262" s="451">
        <f>J84+J85</f>
        <v>-1275000</v>
      </c>
    </row>
    <row r="263" spans="1:14" s="30" customFormat="1" x14ac:dyDescent="0.35">
      <c r="A263" s="39"/>
      <c r="B263" s="39"/>
      <c r="C263" s="54" t="s">
        <v>188</v>
      </c>
      <c r="D263" s="67"/>
      <c r="E263" s="67" t="s">
        <v>189</v>
      </c>
      <c r="F263" s="462">
        <f>F260+F261</f>
        <v>2062500.0000000002</v>
      </c>
      <c r="G263" s="462">
        <f t="shared" ref="G263:J263" si="47">G260+G261</f>
        <v>2208937.5</v>
      </c>
      <c r="H263" s="462">
        <f t="shared" si="47"/>
        <v>2365772.0625</v>
      </c>
      <c r="I263" s="462">
        <f t="shared" si="47"/>
        <v>2533741.8789375005</v>
      </c>
      <c r="J263" s="462">
        <f t="shared" si="47"/>
        <v>2713637.5523420628</v>
      </c>
    </row>
    <row r="264" spans="1:14" s="30" customFormat="1" x14ac:dyDescent="0.35">
      <c r="A264" s="39"/>
      <c r="B264" s="39"/>
      <c r="C264" s="54" t="s">
        <v>190</v>
      </c>
      <c r="D264" s="67"/>
      <c r="E264" s="67" t="s">
        <v>191</v>
      </c>
      <c r="F264" s="462">
        <f>SUM(F260:F262)</f>
        <v>787500.00000000023</v>
      </c>
      <c r="G264" s="462">
        <f t="shared" ref="G264:J264" si="48">SUM(G260:G262)</f>
        <v>933937.5</v>
      </c>
      <c r="H264" s="462">
        <f t="shared" si="48"/>
        <v>1090772.0625</v>
      </c>
      <c r="I264" s="462">
        <f t="shared" si="48"/>
        <v>1258741.8789375005</v>
      </c>
      <c r="J264" s="462">
        <f t="shared" si="48"/>
        <v>1438637.5523420628</v>
      </c>
    </row>
    <row r="265" spans="1:14" x14ac:dyDescent="0.35">
      <c r="C265" s="30" t="s">
        <v>192</v>
      </c>
      <c r="D265" s="356" t="s">
        <v>295</v>
      </c>
      <c r="E265" s="356" t="s">
        <v>305</v>
      </c>
      <c r="F265" s="463">
        <f>F264/F263</f>
        <v>0.38181818181818189</v>
      </c>
      <c r="G265" s="464">
        <f t="shared" ref="G265:J265" si="49">G264/G263</f>
        <v>0.42279942279942279</v>
      </c>
      <c r="H265" s="464">
        <f t="shared" si="49"/>
        <v>0.46106388683419497</v>
      </c>
      <c r="I265" s="464">
        <f t="shared" si="49"/>
        <v>0.49679167771633526</v>
      </c>
      <c r="J265" s="465">
        <f t="shared" si="49"/>
        <v>0.53015095958574721</v>
      </c>
    </row>
    <row r="266" spans="1:14" x14ac:dyDescent="0.35">
      <c r="C266" s="65" t="s">
        <v>194</v>
      </c>
      <c r="D266" s="356"/>
      <c r="E266" s="30"/>
      <c r="F266" s="30"/>
      <c r="G266" s="30"/>
      <c r="H266" s="30"/>
      <c r="I266" s="30"/>
      <c r="J266" s="30"/>
    </row>
    <row r="267" spans="1:14" s="30" customFormat="1" x14ac:dyDescent="0.35">
      <c r="A267" s="39"/>
      <c r="B267" s="39"/>
      <c r="C267" s="54" t="s">
        <v>195</v>
      </c>
      <c r="D267" s="67"/>
      <c r="E267" s="67" t="s">
        <v>196</v>
      </c>
      <c r="F267" s="449">
        <f>'B-CAPITAL BUDGETING CASE'!F86</f>
        <v>787500.00000000023</v>
      </c>
      <c r="G267" s="449">
        <f>'B-CAPITAL BUDGETING CASE'!G86</f>
        <v>933937.5</v>
      </c>
      <c r="H267" s="449">
        <f>'B-CAPITAL BUDGETING CASE'!H86</f>
        <v>1090772.0625</v>
      </c>
      <c r="I267" s="449">
        <f>'B-CAPITAL BUDGETING CASE'!I86</f>
        <v>1258741.8789375005</v>
      </c>
      <c r="J267" s="449">
        <f>'B-CAPITAL BUDGETING CASE'!J86</f>
        <v>1438637.5523420628</v>
      </c>
    </row>
    <row r="268" spans="1:14" s="30" customFormat="1" x14ac:dyDescent="0.35">
      <c r="A268" s="39"/>
      <c r="B268" s="39"/>
      <c r="C268" s="54" t="s">
        <v>197</v>
      </c>
      <c r="D268" s="67"/>
      <c r="E268" s="67" t="s">
        <v>198</v>
      </c>
      <c r="F268" s="449">
        <f>F86-F210</f>
        <v>514987.50000000023</v>
      </c>
      <c r="G268" s="449">
        <f>G86-G210</f>
        <v>661425</v>
      </c>
      <c r="H268" s="449">
        <f>H86-H210</f>
        <v>818259.5625</v>
      </c>
      <c r="I268" s="449">
        <f>I86-I210</f>
        <v>986229.37893750053</v>
      </c>
      <c r="J268" s="449">
        <f>J86-J210</f>
        <v>1220627.5523420628</v>
      </c>
    </row>
    <row r="269" spans="1:14" ht="16" thickBot="1" x14ac:dyDescent="0.4">
      <c r="C269" s="30" t="s">
        <v>199</v>
      </c>
      <c r="D269" s="356"/>
      <c r="E269" s="356" t="s">
        <v>306</v>
      </c>
      <c r="F269" s="466">
        <f>F268/F267</f>
        <v>0.65395238095238106</v>
      </c>
      <c r="G269" s="467">
        <f t="shared" ref="G269:J269" si="50">G268/G267</f>
        <v>0.70821120256976511</v>
      </c>
      <c r="H269" s="467">
        <f t="shared" si="50"/>
        <v>0.75016549344377803</v>
      </c>
      <c r="I269" s="467">
        <f t="shared" si="50"/>
        <v>0.78350406500336123</v>
      </c>
      <c r="J269" s="468">
        <f t="shared" si="50"/>
        <v>0.84846078871979558</v>
      </c>
    </row>
    <row r="270" spans="1:14" ht="16" thickBot="1" x14ac:dyDescent="0.4">
      <c r="C270" s="30"/>
      <c r="D270" s="356"/>
      <c r="E270" s="30"/>
      <c r="F270" s="469"/>
      <c r="G270" s="469"/>
      <c r="H270" s="470"/>
      <c r="I270" s="470"/>
      <c r="J270" s="470"/>
    </row>
    <row r="271" spans="1:14" ht="16" thickBot="1" x14ac:dyDescent="0.4">
      <c r="C271" s="68" t="s">
        <v>201</v>
      </c>
      <c r="D271" s="365"/>
      <c r="E271" s="526" t="s">
        <v>307</v>
      </c>
      <c r="F271" s="471">
        <f>F265*F269</f>
        <v>0.24969090909090919</v>
      </c>
      <c r="G271" s="471">
        <f>G265*G269</f>
        <v>0.29943128766658178</v>
      </c>
      <c r="H271" s="471">
        <f>H265*H269</f>
        <v>0.34587421817608011</v>
      </c>
      <c r="I271" s="471">
        <f>I265*I269</f>
        <v>0.38923829895058842</v>
      </c>
      <c r="J271" s="472">
        <f>J265*J269</f>
        <v>0.44981230131067956</v>
      </c>
    </row>
    <row r="272" spans="1:14" ht="24" customHeight="1" x14ac:dyDescent="0.35"/>
    <row r="273" spans="1:10" ht="18" x14ac:dyDescent="0.4">
      <c r="A273" s="50"/>
      <c r="B273" s="50"/>
      <c r="C273" s="527" t="s">
        <v>203</v>
      </c>
      <c r="D273" s="364"/>
      <c r="E273" s="525">
        <v>0</v>
      </c>
      <c r="F273" s="525">
        <v>1</v>
      </c>
      <c r="G273" s="525">
        <v>2</v>
      </c>
      <c r="H273" s="525">
        <v>3</v>
      </c>
      <c r="I273" s="525">
        <v>4</v>
      </c>
      <c r="J273" s="525">
        <v>5</v>
      </c>
    </row>
    <row r="274" spans="1:10" x14ac:dyDescent="0.35">
      <c r="C274" s="30"/>
      <c r="D274" s="356"/>
      <c r="E274" s="30"/>
      <c r="F274" s="30"/>
      <c r="G274" s="30"/>
      <c r="H274" s="30"/>
      <c r="I274" s="30"/>
      <c r="J274" s="30"/>
    </row>
    <row r="275" spans="1:10" x14ac:dyDescent="0.35">
      <c r="C275" s="30"/>
      <c r="D275" s="356"/>
      <c r="E275" s="30"/>
      <c r="F275" s="30"/>
      <c r="G275" s="30"/>
      <c r="H275" s="30"/>
      <c r="I275" s="30"/>
      <c r="J275" s="30"/>
    </row>
    <row r="276" spans="1:10" x14ac:dyDescent="0.35">
      <c r="C276" s="30"/>
      <c r="D276" s="356"/>
      <c r="E276" s="30"/>
      <c r="F276" s="30"/>
      <c r="G276" s="30"/>
      <c r="H276" s="30"/>
      <c r="I276" s="30"/>
      <c r="J276" s="30"/>
    </row>
    <row r="277" spans="1:10" x14ac:dyDescent="0.35">
      <c r="C277" s="30"/>
      <c r="D277" s="356"/>
      <c r="E277" s="30"/>
      <c r="F277" s="30"/>
      <c r="G277" s="30"/>
      <c r="H277" s="30"/>
      <c r="I277" s="30"/>
      <c r="J277" s="30"/>
    </row>
    <row r="278" spans="1:10" x14ac:dyDescent="0.35">
      <c r="C278" s="30"/>
      <c r="D278" s="356"/>
      <c r="E278" s="30"/>
      <c r="F278" s="30"/>
      <c r="G278" s="30"/>
      <c r="H278" s="30"/>
      <c r="I278" s="30"/>
      <c r="J278" s="30"/>
    </row>
    <row r="279" spans="1:10" x14ac:dyDescent="0.35">
      <c r="C279" s="30"/>
      <c r="D279" s="356"/>
      <c r="E279" s="30"/>
      <c r="F279" s="30"/>
      <c r="G279" s="30"/>
      <c r="H279" s="30"/>
      <c r="I279" s="30"/>
      <c r="J279" s="30"/>
    </row>
    <row r="280" spans="1:10" x14ac:dyDescent="0.35">
      <c r="C280" s="22" t="s">
        <v>204</v>
      </c>
      <c r="D280" s="344" t="s">
        <v>298</v>
      </c>
      <c r="F280" s="454">
        <f>F24</f>
        <v>3000000</v>
      </c>
      <c r="G280" s="454">
        <f>G24</f>
        <v>3060000</v>
      </c>
      <c r="H280" s="454">
        <f>H24</f>
        <v>3121200</v>
      </c>
      <c r="I280" s="454">
        <f>I24</f>
        <v>3183624</v>
      </c>
      <c r="J280" s="454">
        <f>J24</f>
        <v>3247296.48</v>
      </c>
    </row>
    <row r="281" spans="1:10" x14ac:dyDescent="0.35">
      <c r="C281" s="22" t="s">
        <v>205</v>
      </c>
      <c r="D281" s="344" t="s">
        <v>10</v>
      </c>
      <c r="F281" s="531">
        <f>F26</f>
        <v>1.25</v>
      </c>
      <c r="G281" s="531">
        <f>G26</f>
        <v>1.3125</v>
      </c>
      <c r="H281" s="531">
        <f>H26</f>
        <v>1.378125</v>
      </c>
      <c r="I281" s="531">
        <f>I26</f>
        <v>1.4470312500000002</v>
      </c>
      <c r="J281" s="531">
        <f>J26</f>
        <v>1.5193828125000002</v>
      </c>
    </row>
    <row r="282" spans="1:10" x14ac:dyDescent="0.35">
      <c r="C282" s="22" t="s">
        <v>206</v>
      </c>
      <c r="D282" s="344" t="s">
        <v>10</v>
      </c>
      <c r="F282" s="531">
        <f>F281*$F$32</f>
        <v>0.5625</v>
      </c>
      <c r="G282" s="531">
        <f t="shared" ref="G282:H282" si="51">G281*$F$32</f>
        <v>0.59062499999999996</v>
      </c>
      <c r="H282" s="531">
        <f t="shared" si="51"/>
        <v>0.62015624999999996</v>
      </c>
      <c r="I282" s="531">
        <f>I281*$F$32</f>
        <v>0.65116406250000003</v>
      </c>
      <c r="J282" s="531">
        <f t="shared" ref="J282" si="52">J281*$F$32</f>
        <v>0.68372226562500005</v>
      </c>
    </row>
    <row r="283" spans="1:10" x14ac:dyDescent="0.35">
      <c r="C283" s="22" t="s">
        <v>75</v>
      </c>
      <c r="D283" s="344" t="s">
        <v>10</v>
      </c>
      <c r="F283" s="448">
        <f>-F262</f>
        <v>1275000</v>
      </c>
      <c r="G283" s="448">
        <f t="shared" ref="G283:J283" si="53">-G262</f>
        <v>1275000</v>
      </c>
      <c r="H283" s="448">
        <f t="shared" si="53"/>
        <v>1275000</v>
      </c>
      <c r="I283" s="448">
        <f t="shared" si="53"/>
        <v>1275000</v>
      </c>
      <c r="J283" s="448">
        <f t="shared" si="53"/>
        <v>1275000</v>
      </c>
    </row>
    <row r="284" spans="1:10" x14ac:dyDescent="0.35">
      <c r="C284" s="22" t="s">
        <v>207</v>
      </c>
      <c r="D284" s="344" t="s">
        <v>10</v>
      </c>
      <c r="F284" s="448">
        <f>F210</f>
        <v>272512.5</v>
      </c>
      <c r="G284" s="448">
        <f>G210</f>
        <v>272512.5</v>
      </c>
      <c r="H284" s="448">
        <f>H210</f>
        <v>272512.5</v>
      </c>
      <c r="I284" s="448">
        <f>I210</f>
        <v>272512.5</v>
      </c>
      <c r="J284" s="448">
        <f>J210</f>
        <v>218010</v>
      </c>
    </row>
    <row r="285" spans="1:10" x14ac:dyDescent="0.35">
      <c r="C285" s="22" t="s">
        <v>208</v>
      </c>
      <c r="D285" s="344" t="s">
        <v>10</v>
      </c>
      <c r="F285" s="528">
        <f>(F283+F284)/(F281-F282)</f>
        <v>2250927.2727272729</v>
      </c>
      <c r="G285" s="529">
        <f>(G283+G284)/(G281-G282)</f>
        <v>2143740.2597402595</v>
      </c>
      <c r="H285" s="529">
        <f>(H283+H284)/(H281-H282)</f>
        <v>2041657.3902288186</v>
      </c>
      <c r="I285" s="529">
        <f>(I283+I284)/(I281-I282)</f>
        <v>1944435.6097417318</v>
      </c>
      <c r="J285" s="529">
        <f>(J283+J284)/(J281-J282)</f>
        <v>1786622.577293131</v>
      </c>
    </row>
    <row r="286" spans="1:10" x14ac:dyDescent="0.35">
      <c r="C286" s="22" t="s">
        <v>209</v>
      </c>
      <c r="D286" s="344" t="s">
        <v>12</v>
      </c>
      <c r="F286" s="530">
        <f>F280/F285-1</f>
        <v>0.33278406474907296</v>
      </c>
      <c r="G286" s="530">
        <f t="shared" ref="G286:J286" si="54">G280/G285-1</f>
        <v>0.42741173334625748</v>
      </c>
      <c r="H286" s="530">
        <f t="shared" si="54"/>
        <v>0.52875796641384176</v>
      </c>
      <c r="I286" s="530">
        <f t="shared" si="54"/>
        <v>0.63729978202922477</v>
      </c>
      <c r="J286" s="530">
        <f t="shared" si="54"/>
        <v>0.81756153832999301</v>
      </c>
    </row>
    <row r="301" spans="1:15" s="114" customFormat="1" ht="21" x14ac:dyDescent="0.5">
      <c r="A301" s="232">
        <v>4</v>
      </c>
      <c r="B301" s="232" t="s">
        <v>210</v>
      </c>
      <c r="C301" s="232" t="s">
        <v>211</v>
      </c>
      <c r="D301" s="231"/>
      <c r="E301" s="232" t="s">
        <v>212</v>
      </c>
      <c r="F301" s="232"/>
      <c r="G301" s="232"/>
      <c r="H301" s="232"/>
      <c r="I301" s="232"/>
      <c r="J301" s="232"/>
      <c r="K301" s="232"/>
      <c r="L301" s="232"/>
      <c r="M301" s="232"/>
      <c r="N301" s="232"/>
      <c r="O301" s="232"/>
    </row>
    <row r="302" spans="1:15" s="41" customFormat="1" ht="14" x14ac:dyDescent="0.3">
      <c r="A302" s="131"/>
      <c r="B302" s="131"/>
      <c r="D302" s="279"/>
    </row>
    <row r="303" spans="1:15" s="41" customFormat="1" ht="14" x14ac:dyDescent="0.3">
      <c r="A303" s="131"/>
      <c r="B303" s="131"/>
      <c r="D303" s="279"/>
    </row>
    <row r="304" spans="1:15" s="41" customFormat="1" ht="14" x14ac:dyDescent="0.3">
      <c r="A304" s="131"/>
      <c r="B304" s="131"/>
      <c r="C304" s="132"/>
      <c r="D304" s="279"/>
    </row>
    <row r="305" spans="1:12" s="41" customFormat="1" ht="14" x14ac:dyDescent="0.3">
      <c r="A305" s="131"/>
      <c r="B305" s="131"/>
      <c r="C305" s="132"/>
      <c r="D305" s="279"/>
    </row>
    <row r="306" spans="1:12" s="41" customFormat="1" ht="14" x14ac:dyDescent="0.3">
      <c r="A306" s="131"/>
      <c r="B306" s="131"/>
      <c r="C306" s="132"/>
      <c r="D306" s="279"/>
      <c r="E306" s="312" t="s">
        <v>213</v>
      </c>
      <c r="F306" s="313"/>
      <c r="G306" s="314"/>
      <c r="H306" s="133"/>
      <c r="I306" s="533" t="s">
        <v>214</v>
      </c>
      <c r="J306" s="534"/>
      <c r="K306" s="535"/>
      <c r="L306" s="536"/>
    </row>
    <row r="307" spans="1:12" s="41" customFormat="1" ht="14" x14ac:dyDescent="0.3">
      <c r="A307" s="131"/>
      <c r="B307" s="131"/>
      <c r="C307" s="132"/>
      <c r="D307" s="279"/>
      <c r="E307" s="315"/>
      <c r="F307" s="316"/>
      <c r="G307" s="317"/>
      <c r="H307" s="133"/>
      <c r="I307" s="537"/>
      <c r="J307" s="538"/>
      <c r="K307" s="539"/>
      <c r="L307" s="536"/>
    </row>
    <row r="308" spans="1:12" s="41" customFormat="1" ht="14" x14ac:dyDescent="0.3">
      <c r="A308" s="131"/>
      <c r="B308" s="131"/>
      <c r="C308" s="132"/>
      <c r="D308" s="279"/>
      <c r="E308" s="315" t="s">
        <v>215</v>
      </c>
      <c r="F308" s="316"/>
      <c r="G308" s="532">
        <f>I338</f>
        <v>2.8574681396255497</v>
      </c>
      <c r="H308" s="133"/>
      <c r="I308" s="537" t="s">
        <v>215</v>
      </c>
      <c r="J308" s="538"/>
      <c r="K308" s="539">
        <f>K338</f>
        <v>1.5540351202599949</v>
      </c>
      <c r="L308" s="536"/>
    </row>
    <row r="309" spans="1:12" s="41" customFormat="1" ht="14" x14ac:dyDescent="0.3">
      <c r="A309" s="131"/>
      <c r="B309" s="131"/>
      <c r="C309" s="132"/>
      <c r="D309" s="279"/>
      <c r="E309" s="315" t="s">
        <v>216</v>
      </c>
      <c r="F309" s="318"/>
      <c r="G309" s="532">
        <f>I346</f>
        <v>2.8574681396255559</v>
      </c>
      <c r="H309" s="133"/>
      <c r="I309" s="537" t="s">
        <v>216</v>
      </c>
      <c r="J309" s="540"/>
      <c r="K309" s="539">
        <f>K346</f>
        <v>1.5505846650755599</v>
      </c>
      <c r="L309" s="536"/>
    </row>
    <row r="310" spans="1:12" s="41" customFormat="1" ht="14" x14ac:dyDescent="0.3">
      <c r="A310" s="131"/>
      <c r="B310" s="131"/>
      <c r="C310" s="132"/>
      <c r="D310" s="279"/>
      <c r="E310" s="315" t="s">
        <v>217</v>
      </c>
      <c r="F310" s="319"/>
      <c r="G310" s="532"/>
      <c r="H310" s="133"/>
      <c r="I310" s="537" t="s">
        <v>217</v>
      </c>
      <c r="J310" s="541"/>
      <c r="K310" s="539"/>
      <c r="L310" s="536"/>
    </row>
    <row r="311" spans="1:12" s="41" customFormat="1" ht="14" x14ac:dyDescent="0.3">
      <c r="A311" s="131"/>
      <c r="B311" s="131"/>
      <c r="C311" s="132"/>
      <c r="D311" s="279"/>
      <c r="E311" s="315" t="s">
        <v>218</v>
      </c>
      <c r="F311" s="316"/>
      <c r="G311" s="532"/>
      <c r="H311" s="133"/>
      <c r="I311" s="537" t="s">
        <v>218</v>
      </c>
      <c r="J311" s="538"/>
      <c r="K311" s="539"/>
      <c r="L311" s="536"/>
    </row>
    <row r="312" spans="1:12" s="41" customFormat="1" ht="14" x14ac:dyDescent="0.3">
      <c r="A312" s="131"/>
      <c r="B312" s="131"/>
      <c r="C312" s="132"/>
      <c r="D312" s="279"/>
      <c r="E312" s="315" t="s">
        <v>219</v>
      </c>
      <c r="F312" s="316"/>
      <c r="G312" s="532"/>
      <c r="H312" s="133"/>
      <c r="I312" s="537" t="s">
        <v>219</v>
      </c>
      <c r="J312" s="538"/>
      <c r="K312" s="539"/>
      <c r="L312" s="536"/>
    </row>
    <row r="313" spans="1:12" s="41" customFormat="1" ht="14" x14ac:dyDescent="0.3">
      <c r="A313" s="131"/>
      <c r="B313" s="131"/>
      <c r="C313" s="132"/>
      <c r="D313" s="279"/>
      <c r="E313" s="315" t="s">
        <v>220</v>
      </c>
      <c r="F313" s="316"/>
      <c r="G313" s="532">
        <f>I328</f>
        <v>-2.3428788675369807</v>
      </c>
      <c r="H313" s="133"/>
      <c r="I313" s="537" t="s">
        <v>220</v>
      </c>
      <c r="J313" s="538"/>
      <c r="K313" s="539">
        <f>K328</f>
        <v>-1.30031033891184</v>
      </c>
      <c r="L313" s="536"/>
    </row>
    <row r="314" spans="1:12" s="41" customFormat="1" ht="14" x14ac:dyDescent="0.3">
      <c r="A314" s="131"/>
      <c r="B314" s="131"/>
      <c r="C314" s="132"/>
      <c r="D314" s="279"/>
      <c r="H314" s="133"/>
    </row>
    <row r="315" spans="1:12" s="41" customFormat="1" ht="14" x14ac:dyDescent="0.3">
      <c r="A315" s="131"/>
      <c r="B315" s="131"/>
      <c r="C315" s="132"/>
      <c r="D315" s="279"/>
    </row>
    <row r="316" spans="1:12" s="41" customFormat="1" ht="14" x14ac:dyDescent="0.3">
      <c r="A316" s="131"/>
      <c r="B316" s="131"/>
      <c r="C316" s="132"/>
      <c r="D316" s="279"/>
    </row>
    <row r="317" spans="1:12" s="41" customFormat="1" ht="14" x14ac:dyDescent="0.3">
      <c r="A317" s="131"/>
      <c r="B317" s="131"/>
      <c r="C317" s="132"/>
      <c r="D317" s="279"/>
    </row>
    <row r="318" spans="1:12" s="41" customFormat="1" ht="14" x14ac:dyDescent="0.3">
      <c r="A318" s="131"/>
      <c r="B318" s="131"/>
      <c r="C318" s="132"/>
      <c r="D318" s="279"/>
    </row>
    <row r="319" spans="1:12" s="41" customFormat="1" ht="14" x14ac:dyDescent="0.3">
      <c r="A319" s="131"/>
      <c r="B319" s="131"/>
      <c r="C319" s="132"/>
      <c r="D319" s="279"/>
    </row>
    <row r="320" spans="1:12" s="41" customFormat="1" ht="14" x14ac:dyDescent="0.3">
      <c r="A320" s="131"/>
      <c r="B320" s="131"/>
      <c r="C320" s="132"/>
      <c r="D320" s="279"/>
    </row>
    <row r="321" spans="1:12" s="41" customFormat="1" ht="14" x14ac:dyDescent="0.3">
      <c r="A321" s="131"/>
      <c r="B321" s="131"/>
      <c r="C321" s="132"/>
      <c r="D321" s="279"/>
    </row>
    <row r="322" spans="1:12" s="41" customFormat="1" ht="23" x14ac:dyDescent="0.5">
      <c r="A322" s="131"/>
      <c r="B322" s="131"/>
      <c r="C322" s="132"/>
      <c r="D322" s="279"/>
      <c r="E322" s="277" t="s">
        <v>221</v>
      </c>
    </row>
    <row r="323" spans="1:12" s="41" customFormat="1" ht="14" x14ac:dyDescent="0.3">
      <c r="A323" s="131"/>
      <c r="B323" s="131"/>
      <c r="C323" s="132"/>
      <c r="D323" s="279"/>
      <c r="E323" s="57"/>
    </row>
    <row r="324" spans="1:12" s="41" customFormat="1" ht="14" x14ac:dyDescent="0.3">
      <c r="A324" s="131"/>
      <c r="B324" s="131"/>
      <c r="C324" s="132"/>
      <c r="D324" s="279"/>
    </row>
    <row r="325" spans="1:12" s="41" customFormat="1" ht="23" x14ac:dyDescent="0.3">
      <c r="A325" s="131"/>
      <c r="B325" s="346" t="s">
        <v>270</v>
      </c>
      <c r="C325" s="132"/>
      <c r="D325" s="279"/>
      <c r="E325" s="556" t="s">
        <v>222</v>
      </c>
      <c r="F325" s="557">
        <v>0.05</v>
      </c>
      <c r="G325" s="307"/>
    </row>
    <row r="326" spans="1:12" s="41" customFormat="1" ht="14" x14ac:dyDescent="0.3">
      <c r="A326" s="131"/>
      <c r="B326" s="131"/>
      <c r="C326" s="132"/>
      <c r="D326" s="279"/>
      <c r="E326" s="306" t="s">
        <v>223</v>
      </c>
      <c r="F326" s="558" t="s">
        <v>224</v>
      </c>
      <c r="G326" s="558" t="s">
        <v>225</v>
      </c>
    </row>
    <row r="327" spans="1:12" s="41" customFormat="1" ht="14" x14ac:dyDescent="0.3">
      <c r="A327" s="131"/>
      <c r="B327" s="131"/>
      <c r="C327" s="132"/>
      <c r="D327" s="279"/>
      <c r="E327" s="561">
        <v>0.45</v>
      </c>
      <c r="F327" s="562">
        <f>E122</f>
        <v>2034336.0432598356</v>
      </c>
      <c r="G327" s="563">
        <f>IRR</f>
        <v>0.15664680703888556</v>
      </c>
      <c r="I327" s="306" t="s">
        <v>226</v>
      </c>
      <c r="J327" s="307"/>
      <c r="K327" s="306" t="s">
        <v>227</v>
      </c>
      <c r="L327" s="307"/>
    </row>
    <row r="328" spans="1:12" s="41" customFormat="1" ht="14" x14ac:dyDescent="0.3">
      <c r="A328" s="131"/>
      <c r="B328" s="131"/>
      <c r="C328" s="132"/>
      <c r="D328" s="279"/>
      <c r="E328" s="278">
        <v>0.3</v>
      </c>
      <c r="F328" s="281">
        <f t="dataTable" ref="F328:G333" dt2D="0" dtr="0" r1="F32"/>
        <v>3623070.3516672556</v>
      </c>
      <c r="G328" s="280">
        <v>0.22299657667449302</v>
      </c>
      <c r="I328" s="308">
        <f>((F332-F331)/F331)/((E332-E331)/E331)</f>
        <v>-2.3428788675369807</v>
      </c>
      <c r="J328" s="307"/>
      <c r="K328" s="308">
        <f>((G332-G331)/G331)/((E332-E331)/E331)</f>
        <v>-1.30031033891184</v>
      </c>
      <c r="L328" s="307"/>
    </row>
    <row r="329" spans="1:12" s="41" customFormat="1" ht="14" x14ac:dyDescent="0.3">
      <c r="A329" s="131"/>
      <c r="B329" s="131"/>
      <c r="C329" s="132"/>
      <c r="D329" s="279"/>
      <c r="E329" s="278">
        <f>E328+$F$325</f>
        <v>0.35</v>
      </c>
      <c r="F329" s="281">
        <v>3093492.2488647825</v>
      </c>
      <c r="G329" s="280">
        <v>0.20112022256731854</v>
      </c>
      <c r="I329" s="308">
        <f>(F333/F331-1)/(E333/E331-1)</f>
        <v>-2.3428788675369807</v>
      </c>
      <c r="J329" s="308"/>
      <c r="K329" s="308">
        <f>(G333/G331-1)/(E333/E331-1)</f>
        <v>-1.3086360006205087</v>
      </c>
      <c r="L329" s="308"/>
    </row>
    <row r="330" spans="1:12" s="41" customFormat="1" ht="14" x14ac:dyDescent="0.3">
      <c r="A330" s="131"/>
      <c r="B330" s="131"/>
      <c r="C330" s="132"/>
      <c r="D330" s="279"/>
      <c r="E330" s="278">
        <f>E329+$F$325</f>
        <v>0.39999999999999997</v>
      </c>
      <c r="F330" s="281">
        <v>2563914.1460623089</v>
      </c>
      <c r="G330" s="280">
        <v>0.17900922257252261</v>
      </c>
    </row>
    <row r="331" spans="1:12" s="41" customFormat="1" ht="14" x14ac:dyDescent="0.3">
      <c r="A331" s="131"/>
      <c r="B331" s="131"/>
      <c r="C331" s="132"/>
      <c r="D331" s="279"/>
      <c r="E331" s="278">
        <f>E330+$F$325</f>
        <v>0.44999999999999996</v>
      </c>
      <c r="F331" s="281">
        <v>2034336.0432598356</v>
      </c>
      <c r="G331" s="280">
        <v>0.15664680703888556</v>
      </c>
    </row>
    <row r="332" spans="1:12" s="41" customFormat="1" ht="14" x14ac:dyDescent="0.3">
      <c r="A332" s="131"/>
      <c r="B332" s="131"/>
      <c r="C332" s="132"/>
      <c r="D332" s="279"/>
      <c r="E332" s="278">
        <f>E331+$F$325</f>
        <v>0.49999999999999994</v>
      </c>
      <c r="F332" s="281">
        <v>1504757.9404573618</v>
      </c>
      <c r="G332" s="280">
        <v>0.13401464451108658</v>
      </c>
    </row>
    <row r="333" spans="1:12" s="41" customFormat="1" ht="14" x14ac:dyDescent="0.3">
      <c r="A333" s="131"/>
      <c r="B333" s="131"/>
      <c r="C333" s="132"/>
      <c r="D333" s="279"/>
      <c r="E333" s="278">
        <f>E332+$F$325</f>
        <v>0.54999999999999993</v>
      </c>
      <c r="F333" s="281">
        <v>975179.83765488816</v>
      </c>
      <c r="G333" s="280">
        <v>0.11109266235592119</v>
      </c>
    </row>
    <row r="334" spans="1:12" s="41" customFormat="1" ht="14" x14ac:dyDescent="0.3">
      <c r="A334" s="131"/>
      <c r="B334" s="131"/>
      <c r="C334" s="132"/>
      <c r="D334" s="279"/>
    </row>
    <row r="335" spans="1:12" s="41" customFormat="1" ht="14" x14ac:dyDescent="0.3">
      <c r="A335" s="131"/>
      <c r="B335" s="131"/>
      <c r="C335" s="132"/>
      <c r="D335" s="279"/>
      <c r="E335" s="556" t="s">
        <v>222</v>
      </c>
      <c r="F335" s="559">
        <v>500000</v>
      </c>
      <c r="G335" s="307"/>
    </row>
    <row r="336" spans="1:12" s="41" customFormat="1" ht="14" x14ac:dyDescent="0.3">
      <c r="A336" s="131"/>
      <c r="B336" s="131"/>
      <c r="C336" s="132"/>
      <c r="D336" s="279"/>
      <c r="E336" s="558" t="s">
        <v>261</v>
      </c>
      <c r="F336" s="558" t="s">
        <v>224</v>
      </c>
      <c r="G336" s="558" t="s">
        <v>225</v>
      </c>
    </row>
    <row r="337" spans="1:21" s="41" customFormat="1" ht="14" x14ac:dyDescent="0.3">
      <c r="A337" s="131"/>
      <c r="B337" s="131"/>
      <c r="C337" s="132"/>
      <c r="D337" s="279"/>
      <c r="E337" s="564">
        <f>F24</f>
        <v>3000000</v>
      </c>
      <c r="F337" s="562">
        <f>E122</f>
        <v>2034336.0432598356</v>
      </c>
      <c r="G337" s="563">
        <f>IRR</f>
        <v>0.15664680703888556</v>
      </c>
      <c r="I337" s="306" t="s">
        <v>262</v>
      </c>
      <c r="J337" s="307"/>
      <c r="K337" s="306" t="s">
        <v>263</v>
      </c>
      <c r="L337" s="307"/>
    </row>
    <row r="338" spans="1:21" s="41" customFormat="1" ht="14" x14ac:dyDescent="0.3">
      <c r="A338" s="131"/>
      <c r="B338" s="131"/>
      <c r="C338" s="132"/>
      <c r="D338" s="279"/>
      <c r="E338" s="281">
        <v>2500000</v>
      </c>
      <c r="F338" s="281">
        <f t="dataTable" ref="F338:G341" dt2D="0" dtr="0" r1="F24" ca="1"/>
        <v>1065494.3051086864</v>
      </c>
      <c r="G338" s="280">
        <v>0.11508153734167403</v>
      </c>
      <c r="I338" s="308">
        <f>(F340/F339-1)/(E340/E339-1)</f>
        <v>2.8574681396255497</v>
      </c>
      <c r="J338" s="307"/>
      <c r="K338" s="308">
        <f>(G340/G339-1)/(E340/E339-1)</f>
        <v>1.5540351202599949</v>
      </c>
      <c r="L338" s="307"/>
    </row>
    <row r="339" spans="1:21" s="41" customFormat="1" ht="14" x14ac:dyDescent="0.3">
      <c r="A339" s="131"/>
      <c r="B339" s="131"/>
      <c r="C339" s="132"/>
      <c r="D339" s="279"/>
      <c r="E339" s="281">
        <f>E338+$F$335</f>
        <v>3000000</v>
      </c>
      <c r="F339" s="281">
        <v>2034336.0432598356</v>
      </c>
      <c r="G339" s="280">
        <v>0.15664680703888556</v>
      </c>
    </row>
    <row r="340" spans="1:21" s="41" customFormat="1" ht="14" x14ac:dyDescent="0.3">
      <c r="A340" s="131"/>
      <c r="B340" s="131"/>
      <c r="C340" s="132"/>
      <c r="D340" s="279"/>
      <c r="E340" s="281">
        <f>E339+$F$335</f>
        <v>3500000</v>
      </c>
      <c r="F340" s="281">
        <v>3003177.7814109833</v>
      </c>
      <c r="G340" s="280">
        <v>0.19721924697472204</v>
      </c>
    </row>
    <row r="341" spans="1:21" s="41" customFormat="1" ht="14" x14ac:dyDescent="0.3">
      <c r="A341" s="131"/>
      <c r="B341" s="131"/>
      <c r="C341" s="132"/>
      <c r="D341" s="279"/>
      <c r="E341" s="281">
        <f>E340+$F$335</f>
        <v>4000000</v>
      </c>
      <c r="F341" s="281">
        <v>3972019.5195621327</v>
      </c>
      <c r="G341" s="280">
        <v>0.23692026995686866</v>
      </c>
    </row>
    <row r="342" spans="1:21" s="41" customFormat="1" ht="14" x14ac:dyDescent="0.3">
      <c r="A342" s="131"/>
      <c r="B342" s="131"/>
      <c r="C342" s="132"/>
      <c r="D342" s="279"/>
    </row>
    <row r="343" spans="1:21" s="41" customFormat="1" ht="14" x14ac:dyDescent="0.3">
      <c r="A343" s="131"/>
      <c r="B343" s="131"/>
      <c r="C343" s="132"/>
      <c r="D343" s="279"/>
      <c r="E343" s="556" t="s">
        <v>222</v>
      </c>
      <c r="F343" s="560">
        <v>0.25</v>
      </c>
      <c r="G343" s="307"/>
    </row>
    <row r="344" spans="1:21" s="41" customFormat="1" ht="14" x14ac:dyDescent="0.3">
      <c r="A344" s="131"/>
      <c r="B344" s="131"/>
      <c r="C344" s="132"/>
      <c r="D344" s="279"/>
      <c r="E344" s="558" t="s">
        <v>264</v>
      </c>
      <c r="F344" s="558" t="s">
        <v>224</v>
      </c>
      <c r="G344" s="558" t="s">
        <v>225</v>
      </c>
    </row>
    <row r="345" spans="1:21" s="41" customFormat="1" ht="14" x14ac:dyDescent="0.3">
      <c r="A345" s="131"/>
      <c r="B345" s="131"/>
      <c r="C345" s="132"/>
      <c r="D345" s="279"/>
      <c r="E345" s="565">
        <f>F26</f>
        <v>1.25</v>
      </c>
      <c r="F345" s="562">
        <f>E122</f>
        <v>2034336.0432598356</v>
      </c>
      <c r="G345" s="563">
        <f>IRR</f>
        <v>0.15664680703888556</v>
      </c>
      <c r="I345" s="306" t="s">
        <v>265</v>
      </c>
      <c r="J345" s="307"/>
      <c r="K345" s="306" t="s">
        <v>266</v>
      </c>
      <c r="L345" s="307"/>
    </row>
    <row r="346" spans="1:21" s="41" customFormat="1" ht="14" x14ac:dyDescent="0.3">
      <c r="A346" s="131"/>
      <c r="B346" s="131"/>
      <c r="C346" s="132"/>
      <c r="D346" s="279"/>
      <c r="E346" s="371">
        <v>1</v>
      </c>
      <c r="F346" s="281">
        <f t="dataTable" ref="F346:G349" dt2D="0" dtr="0" r1="F26" ca="1"/>
        <v>871725.9574784562</v>
      </c>
      <c r="G346" s="280">
        <v>0.10663708583074882</v>
      </c>
      <c r="I346" s="308">
        <f>(F348/$F$347-1)/(E348/$E$347-1)</f>
        <v>2.8574681396255559</v>
      </c>
      <c r="J346" s="307"/>
      <c r="K346" s="308">
        <f>(G348/$G$347-1)/(E348/$E$347-1)</f>
        <v>1.5505846650755599</v>
      </c>
      <c r="L346" s="307"/>
    </row>
    <row r="347" spans="1:21" s="41" customFormat="1" ht="14" x14ac:dyDescent="0.3">
      <c r="A347" s="131"/>
      <c r="B347" s="131"/>
      <c r="C347" s="132"/>
      <c r="D347" s="279"/>
      <c r="E347" s="371">
        <f>E346+$F$343</f>
        <v>1.25</v>
      </c>
      <c r="F347" s="281">
        <v>2034336.0432598356</v>
      </c>
      <c r="G347" s="280">
        <v>0.15664680703888556</v>
      </c>
      <c r="I347" s="308">
        <f>(F349/$F$347-1)/(E349/$E$347-1)</f>
        <v>2.8574681396255546</v>
      </c>
      <c r="J347" s="307"/>
      <c r="K347" s="308">
        <f>(G349/$G$347-1)/(E349/$E$347-1)</f>
        <v>1.5310464578114762</v>
      </c>
      <c r="L347" s="307"/>
    </row>
    <row r="348" spans="1:21" s="41" customFormat="1" ht="14" x14ac:dyDescent="0.3">
      <c r="A348" s="131"/>
      <c r="B348" s="131"/>
      <c r="C348" s="132"/>
      <c r="D348" s="279"/>
      <c r="E348" s="371">
        <f>E347+$F$343</f>
        <v>1.5</v>
      </c>
      <c r="F348" s="281">
        <v>3196946.1290412145</v>
      </c>
      <c r="G348" s="280">
        <v>0.20522563440439479</v>
      </c>
    </row>
    <row r="349" spans="1:21" s="41" customFormat="1" ht="14" x14ac:dyDescent="0.3">
      <c r="A349" s="131"/>
      <c r="B349" s="131"/>
      <c r="C349" s="132"/>
      <c r="D349" s="279"/>
      <c r="E349" s="371">
        <f>E348+$F$343</f>
        <v>1.75</v>
      </c>
      <c r="F349" s="281">
        <v>4359556.2148225931</v>
      </c>
      <c r="G349" s="280">
        <v>0.25258022265663094</v>
      </c>
    </row>
    <row r="350" spans="1:21" s="41" customFormat="1" ht="14" x14ac:dyDescent="0.3">
      <c r="A350" s="131"/>
      <c r="B350" s="131"/>
      <c r="D350" s="279"/>
    </row>
    <row r="351" spans="1:21" s="41" customFormat="1" ht="14" x14ac:dyDescent="0.3">
      <c r="A351" s="131"/>
      <c r="B351" s="131"/>
      <c r="D351" s="279"/>
      <c r="T351" s="161"/>
      <c r="U351" s="134"/>
    </row>
    <row r="352" spans="1:21" s="41" customFormat="1" ht="14" x14ac:dyDescent="0.3">
      <c r="A352" s="131"/>
      <c r="B352" s="131"/>
      <c r="D352" s="279"/>
      <c r="T352" s="161"/>
      <c r="U352" s="134"/>
    </row>
    <row r="353" spans="1:21" s="41" customFormat="1" ht="14" x14ac:dyDescent="0.3">
      <c r="A353" s="131"/>
      <c r="B353" s="131"/>
      <c r="D353" s="279"/>
      <c r="T353" s="161"/>
      <c r="U353" s="134"/>
    </row>
    <row r="354" spans="1:21" s="41" customFormat="1" ht="14" x14ac:dyDescent="0.3">
      <c r="A354" s="131"/>
      <c r="B354" s="131"/>
      <c r="D354" s="279"/>
      <c r="T354" s="161"/>
      <c r="U354" s="134"/>
    </row>
    <row r="355" spans="1:21" s="41" customFormat="1" ht="14" x14ac:dyDescent="0.3">
      <c r="A355" s="131"/>
      <c r="B355" s="131"/>
      <c r="D355" s="279"/>
    </row>
    <row r="356" spans="1:21" s="41" customFormat="1" ht="14" x14ac:dyDescent="0.3">
      <c r="A356" s="131"/>
      <c r="B356" s="131"/>
      <c r="D356" s="279"/>
    </row>
    <row r="357" spans="1:21" s="41" customFormat="1" ht="14" x14ac:dyDescent="0.3">
      <c r="A357" s="131"/>
      <c r="B357" s="131"/>
      <c r="D357" s="279"/>
      <c r="E357" s="41" t="s">
        <v>228</v>
      </c>
    </row>
    <row r="358" spans="1:21" s="41" customFormat="1" ht="14" x14ac:dyDescent="0.3">
      <c r="A358" s="131"/>
      <c r="B358" s="131"/>
      <c r="D358" s="279"/>
    </row>
    <row r="359" spans="1:21" s="41" customFormat="1" ht="14" x14ac:dyDescent="0.3">
      <c r="A359" s="131"/>
      <c r="B359" s="131"/>
      <c r="D359" s="279"/>
    </row>
    <row r="360" spans="1:21" s="41" customFormat="1" ht="14" x14ac:dyDescent="0.3">
      <c r="A360" s="131"/>
      <c r="B360" s="131"/>
      <c r="D360" s="279"/>
    </row>
    <row r="361" spans="1:21" s="41" customFormat="1" ht="14" x14ac:dyDescent="0.3">
      <c r="A361" s="131"/>
      <c r="B361" s="131"/>
      <c r="D361" s="279"/>
      <c r="E361" s="41" t="s">
        <v>229</v>
      </c>
    </row>
    <row r="362" spans="1:21" s="41" customFormat="1" ht="14" x14ac:dyDescent="0.3">
      <c r="A362" s="131"/>
      <c r="B362" s="131"/>
      <c r="D362" s="279"/>
      <c r="F362" s="41" t="s">
        <v>230</v>
      </c>
      <c r="G362" s="41" t="s">
        <v>224</v>
      </c>
    </row>
    <row r="363" spans="1:21" s="41" customFormat="1" ht="14" x14ac:dyDescent="0.3">
      <c r="A363" s="131"/>
      <c r="B363" s="131"/>
      <c r="D363" s="279"/>
      <c r="F363" s="41" t="s">
        <v>231</v>
      </c>
      <c r="G363" s="52">
        <v>0</v>
      </c>
    </row>
    <row r="364" spans="1:21" s="41" customFormat="1" ht="14" x14ac:dyDescent="0.3">
      <c r="A364" s="131"/>
      <c r="B364" s="131"/>
      <c r="D364" s="279"/>
      <c r="F364" s="41" t="s">
        <v>232</v>
      </c>
      <c r="G364" s="41" t="s">
        <v>233</v>
      </c>
    </row>
    <row r="365" spans="1:21" s="41" customFormat="1" ht="14" x14ac:dyDescent="0.3">
      <c r="A365" s="131"/>
      <c r="B365" s="131"/>
      <c r="D365" s="279"/>
    </row>
    <row r="366" spans="1:21" s="41" customFormat="1" ht="14" x14ac:dyDescent="0.3">
      <c r="A366" s="131"/>
      <c r="B366" s="131"/>
      <c r="D366" s="279"/>
    </row>
    <row r="367" spans="1:21" s="41" customFormat="1" ht="14" x14ac:dyDescent="0.3">
      <c r="A367" s="131"/>
      <c r="B367" s="131"/>
      <c r="D367" s="279"/>
      <c r="E367" s="41" t="s">
        <v>234</v>
      </c>
      <c r="F367" s="135"/>
      <c r="G367" s="41" t="s">
        <v>6</v>
      </c>
    </row>
    <row r="368" spans="1:21" s="41" customFormat="1" ht="14" x14ac:dyDescent="0.3">
      <c r="A368" s="131"/>
      <c r="B368" s="131"/>
      <c r="D368" s="279"/>
    </row>
    <row r="369" spans="1:16" s="41" customFormat="1" x14ac:dyDescent="0.35">
      <c r="A369" s="131"/>
      <c r="B369" s="131"/>
      <c r="C369" s="22"/>
      <c r="D369" s="344"/>
      <c r="E369" s="22"/>
      <c r="F369" s="22"/>
      <c r="G369" s="22"/>
      <c r="H369" s="22"/>
      <c r="I369" s="22"/>
      <c r="J369" s="22"/>
      <c r="K369" s="22"/>
      <c r="L369" s="22"/>
      <c r="M369" s="22"/>
      <c r="N369" s="22"/>
      <c r="O369" s="22"/>
      <c r="P369" s="22"/>
    </row>
    <row r="370" spans="1:16" s="41" customFormat="1" x14ac:dyDescent="0.35">
      <c r="A370" s="131"/>
      <c r="B370" s="131"/>
      <c r="C370" s="22"/>
      <c r="D370" s="344"/>
      <c r="E370" s="22"/>
      <c r="F370" s="22"/>
      <c r="G370" s="22"/>
      <c r="H370" s="22"/>
      <c r="I370" s="22"/>
      <c r="J370" s="22"/>
      <c r="K370" s="22"/>
      <c r="L370" s="22"/>
      <c r="M370" s="22"/>
      <c r="N370" s="22"/>
      <c r="O370" s="22"/>
      <c r="P370" s="22"/>
    </row>
    <row r="371" spans="1:16" s="41" customFormat="1" x14ac:dyDescent="0.35">
      <c r="A371" s="131"/>
      <c r="B371" s="131"/>
      <c r="C371" s="22"/>
      <c r="D371" s="344"/>
      <c r="E371" s="22"/>
      <c r="F371" s="22"/>
      <c r="G371" s="22"/>
      <c r="H371" s="22"/>
      <c r="I371" s="22"/>
      <c r="J371" s="22"/>
      <c r="K371" s="22"/>
      <c r="L371" s="22"/>
      <c r="M371" s="22"/>
      <c r="N371" s="22"/>
      <c r="O371" s="22"/>
      <c r="P371" s="22"/>
    </row>
    <row r="372" spans="1:16" s="41" customFormat="1" x14ac:dyDescent="0.35">
      <c r="A372" s="131"/>
      <c r="B372" s="131"/>
      <c r="C372" s="22"/>
      <c r="D372" s="344"/>
      <c r="E372" s="22"/>
      <c r="F372" s="22"/>
      <c r="G372" s="22"/>
      <c r="H372" s="22"/>
      <c r="I372" s="22"/>
      <c r="J372" s="22"/>
      <c r="K372" s="22"/>
      <c r="L372" s="22"/>
      <c r="M372" s="22"/>
      <c r="N372" s="22"/>
      <c r="O372" s="22"/>
      <c r="P372" s="22"/>
    </row>
    <row r="373" spans="1:16" s="41" customFormat="1" x14ac:dyDescent="0.35">
      <c r="A373" s="131"/>
      <c r="B373" s="131"/>
      <c r="C373" s="22"/>
      <c r="D373" s="344"/>
      <c r="E373" s="22"/>
      <c r="F373" s="22"/>
      <c r="G373" s="22"/>
      <c r="H373" s="22"/>
      <c r="I373" s="22"/>
      <c r="J373" s="22"/>
      <c r="K373" s="22"/>
      <c r="L373" s="22"/>
      <c r="M373" s="22"/>
      <c r="N373" s="22"/>
      <c r="O373" s="22"/>
      <c r="P373" s="22"/>
    </row>
    <row r="374" spans="1:16" s="41" customFormat="1" x14ac:dyDescent="0.35">
      <c r="A374" s="131"/>
      <c r="B374" s="131"/>
      <c r="C374" s="22"/>
      <c r="D374" s="344"/>
      <c r="E374" s="22"/>
      <c r="F374" s="22"/>
      <c r="G374" s="22"/>
      <c r="H374" s="22"/>
      <c r="I374" s="22"/>
      <c r="J374" s="22"/>
      <c r="K374" s="22"/>
      <c r="L374" s="22"/>
      <c r="M374" s="22"/>
      <c r="N374" s="22"/>
      <c r="O374" s="22"/>
      <c r="P374" s="22"/>
    </row>
    <row r="375" spans="1:16" s="41" customFormat="1" x14ac:dyDescent="0.35">
      <c r="A375" s="131"/>
      <c r="B375" s="131"/>
      <c r="C375" s="22"/>
      <c r="D375" s="344"/>
      <c r="E375" s="22"/>
      <c r="F375" s="22"/>
      <c r="G375" s="22"/>
      <c r="H375" s="22"/>
      <c r="I375" s="22"/>
      <c r="J375" s="22"/>
      <c r="K375" s="22"/>
      <c r="L375" s="22"/>
      <c r="M375" s="22"/>
      <c r="N375" s="22"/>
      <c r="O375" s="22"/>
      <c r="P375" s="22"/>
    </row>
    <row r="376" spans="1:16" s="41" customFormat="1" x14ac:dyDescent="0.35">
      <c r="A376" s="131"/>
      <c r="B376" s="131"/>
      <c r="C376" s="22"/>
      <c r="D376" s="344"/>
      <c r="E376" s="22"/>
      <c r="F376" s="22"/>
      <c r="G376" s="22"/>
      <c r="H376" s="22"/>
      <c r="I376" s="22"/>
      <c r="J376" s="22"/>
      <c r="K376" s="22"/>
      <c r="L376" s="22"/>
      <c r="M376" s="22"/>
      <c r="N376" s="22"/>
      <c r="O376" s="22"/>
      <c r="P376" s="22"/>
    </row>
    <row r="377" spans="1:16" s="41" customFormat="1" x14ac:dyDescent="0.35">
      <c r="A377" s="131"/>
      <c r="B377" s="131"/>
      <c r="C377" s="22"/>
      <c r="D377" s="344"/>
      <c r="E377" s="22"/>
      <c r="F377" s="22"/>
      <c r="G377" s="22"/>
      <c r="H377" s="22"/>
      <c r="I377" s="22"/>
      <c r="J377" s="22"/>
      <c r="K377" s="22"/>
      <c r="L377" s="22"/>
      <c r="M377" s="22"/>
      <c r="N377" s="22"/>
      <c r="O377" s="22"/>
      <c r="P377" s="22"/>
    </row>
    <row r="378" spans="1:16" s="41" customFormat="1" x14ac:dyDescent="0.35">
      <c r="A378" s="131"/>
      <c r="B378" s="131"/>
      <c r="C378" s="22"/>
      <c r="D378" s="344"/>
      <c r="E378" s="22"/>
      <c r="F378" s="22"/>
      <c r="G378" s="22"/>
      <c r="H378" s="22"/>
      <c r="I378" s="22"/>
      <c r="J378" s="22"/>
      <c r="K378" s="22"/>
      <c r="L378" s="22"/>
      <c r="M378" s="22"/>
      <c r="N378" s="22"/>
      <c r="O378" s="22"/>
      <c r="P378" s="22"/>
    </row>
    <row r="379" spans="1:16" s="41" customFormat="1" x14ac:dyDescent="0.35">
      <c r="A379" s="131"/>
      <c r="B379" s="131"/>
      <c r="C379" s="22"/>
      <c r="D379" s="344"/>
      <c r="E379" s="22"/>
      <c r="F379" s="22"/>
      <c r="G379" s="22"/>
      <c r="H379" s="22"/>
      <c r="I379" s="22"/>
      <c r="J379" s="22"/>
      <c r="K379" s="22"/>
      <c r="L379" s="22"/>
      <c r="M379" s="22"/>
      <c r="N379" s="22"/>
      <c r="O379" s="22"/>
      <c r="P379" s="22"/>
    </row>
    <row r="380" spans="1:16" s="41" customFormat="1" x14ac:dyDescent="0.35">
      <c r="A380" s="131"/>
      <c r="B380" s="131"/>
      <c r="C380" s="22"/>
      <c r="D380" s="344"/>
      <c r="E380" s="22"/>
      <c r="F380" s="22"/>
      <c r="G380" s="22"/>
      <c r="H380" s="22"/>
      <c r="I380" s="22"/>
      <c r="J380" s="22"/>
      <c r="K380" s="22"/>
      <c r="L380" s="22"/>
      <c r="M380" s="22"/>
      <c r="N380" s="22"/>
      <c r="O380" s="22"/>
      <c r="P380" s="22"/>
    </row>
    <row r="381" spans="1:16" s="41" customFormat="1" x14ac:dyDescent="0.35">
      <c r="A381" s="131"/>
      <c r="B381" s="131"/>
      <c r="C381" s="22"/>
      <c r="D381" s="344"/>
      <c r="E381" s="22"/>
      <c r="F381" s="22"/>
      <c r="G381" s="22"/>
      <c r="H381" s="22"/>
      <c r="I381" s="22"/>
      <c r="J381" s="22"/>
      <c r="K381" s="22"/>
      <c r="L381" s="22"/>
      <c r="M381" s="22"/>
      <c r="N381" s="22"/>
      <c r="O381" s="22"/>
      <c r="P381" s="22"/>
    </row>
    <row r="382" spans="1:16" s="41" customFormat="1" x14ac:dyDescent="0.35">
      <c r="A382" s="131"/>
      <c r="B382" s="131"/>
      <c r="C382" s="22"/>
      <c r="D382" s="344"/>
      <c r="E382" s="22"/>
      <c r="F382" s="22"/>
      <c r="G382" s="22"/>
      <c r="H382" s="22"/>
      <c r="I382" s="22"/>
      <c r="J382" s="22"/>
      <c r="K382" s="22"/>
      <c r="L382" s="22"/>
      <c r="M382" s="22"/>
      <c r="N382" s="22"/>
      <c r="O382" s="22"/>
      <c r="P382" s="22"/>
    </row>
    <row r="383" spans="1:16" s="41" customFormat="1" x14ac:dyDescent="0.35">
      <c r="A383" s="131"/>
      <c r="B383" s="131"/>
      <c r="C383" s="22"/>
      <c r="D383" s="344"/>
      <c r="E383" s="22"/>
      <c r="F383" s="22"/>
      <c r="G383" s="22"/>
      <c r="H383" s="22"/>
      <c r="I383" s="22"/>
      <c r="J383" s="22"/>
      <c r="K383" s="22"/>
      <c r="L383" s="22"/>
      <c r="M383" s="22"/>
      <c r="N383" s="22"/>
      <c r="O383" s="22"/>
      <c r="P383" s="22"/>
    </row>
    <row r="384" spans="1:16" s="41" customFormat="1" x14ac:dyDescent="0.35">
      <c r="A384" s="131"/>
      <c r="B384" s="131"/>
      <c r="C384" s="22"/>
      <c r="D384" s="344"/>
      <c r="E384" s="22"/>
      <c r="F384" s="22"/>
      <c r="G384" s="22"/>
      <c r="H384" s="22"/>
      <c r="I384" s="22"/>
      <c r="J384" s="22"/>
      <c r="K384" s="22"/>
      <c r="L384" s="22"/>
      <c r="M384" s="22"/>
      <c r="N384" s="22"/>
      <c r="O384" s="22"/>
      <c r="P384" s="22"/>
    </row>
    <row r="385" spans="1:16" s="41" customFormat="1" x14ac:dyDescent="0.35">
      <c r="A385" s="131"/>
      <c r="B385" s="131"/>
      <c r="C385" s="22"/>
      <c r="D385" s="344"/>
      <c r="E385" s="22"/>
      <c r="F385" s="22"/>
      <c r="G385" s="22"/>
      <c r="H385" s="22"/>
      <c r="I385" s="22"/>
      <c r="J385" s="22"/>
      <c r="K385" s="22"/>
      <c r="L385" s="22"/>
      <c r="M385" s="22"/>
      <c r="N385" s="22"/>
      <c r="O385" s="22"/>
      <c r="P385" s="22"/>
    </row>
    <row r="386" spans="1:16" s="41" customFormat="1" x14ac:dyDescent="0.35">
      <c r="A386" s="131"/>
      <c r="B386" s="131"/>
      <c r="C386" s="22"/>
      <c r="D386" s="344"/>
      <c r="E386" s="22"/>
      <c r="F386" s="22"/>
      <c r="G386" s="22"/>
      <c r="H386" s="22"/>
      <c r="I386" s="22"/>
      <c r="J386" s="22"/>
      <c r="K386" s="22"/>
      <c r="L386" s="22"/>
      <c r="M386" s="22"/>
      <c r="N386" s="22"/>
      <c r="O386" s="22"/>
      <c r="P386" s="22"/>
    </row>
    <row r="387" spans="1:16" s="41" customFormat="1" x14ac:dyDescent="0.35">
      <c r="A387" s="131"/>
      <c r="B387" s="131"/>
      <c r="C387" s="22"/>
      <c r="D387" s="344"/>
      <c r="E387" s="22"/>
      <c r="F387" s="22"/>
      <c r="G387" s="22"/>
      <c r="H387" s="22"/>
      <c r="I387" s="22"/>
      <c r="J387" s="22"/>
      <c r="K387" s="22"/>
      <c r="L387" s="22"/>
      <c r="M387" s="22"/>
      <c r="N387" s="22"/>
      <c r="O387" s="22"/>
      <c r="P387" s="22"/>
    </row>
    <row r="388" spans="1:16" s="41" customFormat="1" x14ac:dyDescent="0.35">
      <c r="A388" s="131"/>
      <c r="B388" s="131"/>
      <c r="C388" s="22"/>
      <c r="D388" s="344"/>
      <c r="E388" s="22"/>
      <c r="F388" s="22"/>
      <c r="G388" s="22"/>
      <c r="H388" s="22"/>
      <c r="I388" s="22"/>
      <c r="J388" s="22"/>
      <c r="K388" s="22"/>
      <c r="L388" s="22"/>
      <c r="M388" s="22"/>
      <c r="N388" s="22"/>
      <c r="O388" s="22"/>
      <c r="P388" s="22"/>
    </row>
    <row r="389" spans="1:16" s="41" customFormat="1" x14ac:dyDescent="0.35">
      <c r="A389" s="131"/>
      <c r="B389" s="131"/>
      <c r="C389" s="22"/>
      <c r="D389" s="344"/>
      <c r="E389" s="22"/>
      <c r="F389" s="22"/>
      <c r="G389" s="22"/>
      <c r="H389" s="22"/>
      <c r="I389" s="22"/>
      <c r="J389" s="22"/>
      <c r="K389" s="22"/>
      <c r="L389" s="22"/>
      <c r="M389" s="22"/>
      <c r="N389" s="22"/>
      <c r="O389" s="22"/>
      <c r="P389" s="22"/>
    </row>
    <row r="390" spans="1:16" s="41" customFormat="1" x14ac:dyDescent="0.35">
      <c r="A390" s="131"/>
      <c r="B390" s="131"/>
      <c r="C390" s="22"/>
      <c r="D390" s="344"/>
      <c r="E390" s="22"/>
      <c r="F390" s="22"/>
      <c r="G390" s="22"/>
      <c r="H390" s="22"/>
      <c r="I390" s="22"/>
      <c r="J390" s="22"/>
      <c r="K390" s="22"/>
      <c r="L390" s="22"/>
      <c r="M390" s="22"/>
      <c r="N390" s="22"/>
      <c r="O390" s="22"/>
      <c r="P390" s="22"/>
    </row>
  </sheetData>
  <mergeCells count="1">
    <mergeCell ref="C225:E225"/>
  </mergeCells>
  <phoneticPr fontId="80" type="noConversion"/>
  <conditionalFormatting sqref="A115:B115 E115:L115 W115:XFD115">
    <cfRule type="containsText" dxfId="77" priority="144" operator="containsText" text="FALSE">
      <formula>NOT(ISERROR(SEARCH("FALSE",A115)))</formula>
    </cfRule>
    <cfRule type="cellIs" dxfId="76" priority="145" operator="equal">
      <formula>TRUE</formula>
    </cfRule>
  </conditionalFormatting>
  <conditionalFormatting sqref="A184:J194">
    <cfRule type="containsText" dxfId="75" priority="158" operator="containsText" text="FALSE">
      <formula>NOT(ISERROR(SEARCH("FALSE",A184)))</formula>
    </cfRule>
    <cfRule type="cellIs" dxfId="74" priority="159" operator="equal">
      <formula>TRUE</formula>
    </cfRule>
  </conditionalFormatting>
  <conditionalFormatting sqref="A28:XFD41">
    <cfRule type="containsText" dxfId="73" priority="35" operator="containsText" text="FALSE">
      <formula>NOT(ISERROR(SEARCH("FALSE",A28)))</formula>
    </cfRule>
    <cfRule type="cellIs" dxfId="72" priority="36" operator="equal">
      <formula>TRUE</formula>
    </cfRule>
  </conditionalFormatting>
  <conditionalFormatting sqref="A43:XFD43">
    <cfRule type="containsText" dxfId="71" priority="45" operator="containsText" text="FALSE">
      <formula>NOT(ISERROR(SEARCH("FALSE",A43)))</formula>
    </cfRule>
    <cfRule type="cellIs" dxfId="70" priority="46" operator="equal">
      <formula>TRUE</formula>
    </cfRule>
  </conditionalFormatting>
  <conditionalFormatting sqref="A45:XFD54">
    <cfRule type="containsText" dxfId="69" priority="41" operator="containsText" text="FALSE">
      <formula>NOT(ISERROR(SEARCH("FALSE",A45)))</formula>
    </cfRule>
    <cfRule type="cellIs" dxfId="68" priority="42" operator="equal">
      <formula>TRUE</formula>
    </cfRule>
  </conditionalFormatting>
  <conditionalFormatting sqref="A57:XFD57">
    <cfRule type="containsText" dxfId="67" priority="33" operator="containsText" text="FALSE">
      <formula>NOT(ISERROR(SEARCH("FALSE",A57)))</formula>
    </cfRule>
    <cfRule type="cellIs" dxfId="66" priority="34" operator="equal">
      <formula>TRUE</formula>
    </cfRule>
  </conditionalFormatting>
  <conditionalFormatting sqref="A226:XFD303">
    <cfRule type="containsText" dxfId="65" priority="47" operator="containsText" text="FALSE">
      <formula>NOT(ISERROR(SEARCH("FALSE",A226)))</formula>
    </cfRule>
    <cfRule type="cellIs" dxfId="64" priority="48" operator="equal">
      <formula>TRUE</formula>
    </cfRule>
  </conditionalFormatting>
  <conditionalFormatting sqref="B1:B2 E1:J2 A3:B3 E3:G3 I3:XFD3 A4:XFD9 A10:I10 K10:XFD10 A11:XFD26 A27:F27 H27:XFD27 F64:J67 A68:K71 L68:XFD89 A72:C73 E72:K73 A74:K102 L98:XFD101 N102:XFD102 A103:XFD114 A116:XFD117 A118:D118 K118:XFD118 A119:J119 L119:XFD119 A120:XFD125 A126:J136 L126:XFD136 K128:K129 A137:XFD138 L139:XFD139 A139:J147 L140:L144 M140:XFD146 L146 K147:XFD147 A148:XFD148 A149:J150 M149:XFD150 A151:XFD161 A162 C166:M169 N163:XFD183 A170:M170 A171:J171 L171:M171 A172:M178 F179:K180 A179:E182 L179:M183 A183:D183 L184:XFD194 A195:XFD206 A207:K216 M207:XFD216 L207:L223 G218:J218 N218:XFD218 A218:F219 G219:K219 A225:D225 F225:XFD225 C304:P312 Q304:XFD350 A304:B1048576 E313:P313 C313:D314 H314 L314:P314 C315:P317 C318:D319 F318:P319 C320:P323 C324:D324 F324:P324 C325:P325 C326:H326 M326:P326 C327:I327 K327:P327 C328:P333 F334:P334 C334:D349 H335:H336 M335:P336 E335:G341 H337:P341 M342:P349 E343:G349 C350:P1048576 Q351:Q354 V351:XFD354 Q355:XFD1048576 N90:XFD97 K163:M165 K162:XFD162 C162:J165">
    <cfRule type="cellIs" dxfId="63" priority="163" operator="equal">
      <formula>TRUE</formula>
    </cfRule>
  </conditionalFormatting>
  <conditionalFormatting sqref="C10:D12">
    <cfRule type="containsText" dxfId="62" priority="78" operator="containsText" text="FALSE">
      <formula>NOT(ISERROR(SEARCH("FALSE",C10)))</formula>
    </cfRule>
    <cfRule type="cellIs" dxfId="61" priority="79" operator="equal">
      <formula>TRUE</formula>
    </cfRule>
  </conditionalFormatting>
  <conditionalFormatting sqref="C304:P312 E313:P313 A10:I10 A11:XFD26 H337:P341 B1:B2 E1:J2 A3:B3 E3:G3 I3:XFD3 A4:XFD9 K10:XFD10 A27:F27 H27:XFD27 F64:J67 A68:K71 L68:XFD89 A72:C73 E72:K73 A74:K102 L98:XFD101 N102:XFD102 A103:XFD114 A116:XFD117 A118:D118 K118:XFD118 A119:J119 L119:XFD119 A120:XFD125 A126:J136 L126:XFD136 K128:K129 A137:XFD138 L139:XFD139 A139:J147 L140:L144 M140:XFD146 L146 K147:XFD147 A148:XFD148 A149:J150 M149:XFD150 A151:XFD161 A162 C166:M169 N163:XFD183 A170:M170 A171:J171 L171:M171 A172:M178 F179:K180 A179:E182 L179:M183 A183:D183 L184:XFD194 A195:XFD206 A207:K216 M207:XFD216 L207:L223 G218:J218 N218:XFD218 A218:F219 G219:K219 A225:D225 F225:XFD225 Q304:XFD350 A304:B1048576 C313:D314 H314 L314:P314 C315:P317 C318:D319 F318:P319 C320:P323 C324:D324 F324:P324 C325:P325 C326:H326 M326:P326 C327:I327 K327:P327 C328:P333 F334:P334 C334:D349 H335:H336 M335:P336 E335:G341 M342:P349 E343:G349 C350:P1048576 Q351:Q354 V351:XFD354 Q355:XFD1048576 N90:XFD97 K163:M165 K162:XFD162 C162:J165">
    <cfRule type="containsText" dxfId="60" priority="162" operator="containsText" text="FALSE">
      <formula>NOT(ISERROR(SEARCH("FALSE",A1)))</formula>
    </cfRule>
  </conditionalFormatting>
  <conditionalFormatting sqref="D14:D16">
    <cfRule type="containsText" dxfId="59" priority="23" operator="containsText" text="FALSE">
      <formula>NOT(ISERROR(SEARCH("FALSE",D14)))</formula>
    </cfRule>
    <cfRule type="cellIs" dxfId="58" priority="24" operator="equal">
      <formula>TRUE</formula>
    </cfRule>
  </conditionalFormatting>
  <conditionalFormatting sqref="F312:F313 J312:J313">
    <cfRule type="containsText" dxfId="57" priority="128" stopIfTrue="1" operator="containsText" text="FALSE">
      <formula>NOT(ISERROR(SEARCH("FALSE",F312)))</formula>
    </cfRule>
    <cfRule type="cellIs" dxfId="56" priority="191" stopIfTrue="1" operator="equal">
      <formula>$F$26</formula>
    </cfRule>
  </conditionalFormatting>
  <conditionalFormatting sqref="F61:J61">
    <cfRule type="containsText" dxfId="55" priority="31" operator="containsText" text="FALSE">
      <formula>NOT(ISERROR(SEARCH("FALSE",F61)))</formula>
    </cfRule>
    <cfRule type="cellIs" dxfId="54" priority="32" operator="equal">
      <formula>TRUE</formula>
    </cfRule>
  </conditionalFormatting>
  <conditionalFormatting sqref="F342:L342 H343:H344 H345:L349">
    <cfRule type="cellIs" dxfId="53" priority="18" operator="equal">
      <formula>TRUE</formula>
    </cfRule>
  </conditionalFormatting>
  <conditionalFormatting sqref="H345:L349 F342:L342 H343:H344">
    <cfRule type="containsText" dxfId="52" priority="17" operator="containsText" text="FALSE">
      <formula>NOT(ISERROR(SEARCH("FALSE",F342)))</formula>
    </cfRule>
  </conditionalFormatting>
  <conditionalFormatting sqref="I306">
    <cfRule type="containsText" dxfId="51" priority="82" operator="containsText" text="FALSE">
      <formula>NOT(ISERROR(SEARCH("FALSE",I306)))</formula>
    </cfRule>
    <cfRule type="cellIs" dxfId="50" priority="83" operator="equal">
      <formula>TRUE</formula>
    </cfRule>
  </conditionalFormatting>
  <conditionalFormatting sqref="I337 K337:L337 I338:L338">
    <cfRule type="containsText" dxfId="49" priority="19" operator="containsText" text="FALSE">
      <formula>NOT(ISERROR(SEARCH("FALSE",I337)))</formula>
    </cfRule>
    <cfRule type="cellIs" dxfId="48" priority="20" operator="equal">
      <formula>TRUE</formula>
    </cfRule>
  </conditionalFormatting>
  <conditionalFormatting sqref="I345 K345:L345 I346:L347">
    <cfRule type="containsText" dxfId="47" priority="13" operator="containsText" text="FALSE">
      <formula>NOT(ISERROR(SEARCH("FALSE",I345)))</formula>
    </cfRule>
    <cfRule type="cellIs" dxfId="46" priority="14" operator="equal">
      <formula>TRUE</formula>
    </cfRule>
  </conditionalFormatting>
  <conditionalFormatting sqref="M219:XFD223 A220:K223 A224:XFD224">
    <cfRule type="containsText" dxfId="45" priority="154" operator="containsText" text="FALSE">
      <formula>NOT(ISERROR(SEARCH("FALSE",A219)))</formula>
    </cfRule>
    <cfRule type="cellIs" dxfId="44" priority="155" operator="equal">
      <formula>TRUE</formula>
    </cfRule>
  </conditionalFormatting>
  <pageMargins left="0.39370078740157483" right="0.39370078740157483" top="0.39370078740157483" bottom="0.39370078740157483" header="0.51181102362204722" footer="0.51181102362204722"/>
  <pageSetup paperSize="9" orientation="landscape" horizontalDpi="4294967294" r:id="rId1"/>
  <headerFooter alignWithMargins="0"/>
  <ignoredErrors>
    <ignoredError sqref="F53 F85:J85" formula="1"/>
  </ignoredError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910AA70D-7B40-494B-97F9-83C0B3D00A82}">
          <x14:formula1>
            <xm:f>'A-INSTRUCTIONS'!$G$64:$G$68</xm:f>
          </x14:formula1>
          <xm:sqref>I174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4F24F-2DF6-4621-AE34-57C7D59BBC7B}">
  <sheetPr>
    <tabColor theme="7" tint="0.59999389629810485"/>
  </sheetPr>
  <dimension ref="A1:X395"/>
  <sheetViews>
    <sheetView showGridLines="0" tabSelected="1" zoomScale="80" zoomScaleNormal="80" workbookViewId="0">
      <pane xSplit="3" ySplit="1" topLeftCell="E118" activePane="bottomRight" state="frozenSplit"/>
      <selection pane="topRight" activeCell="F1" sqref="F1"/>
      <selection pane="bottomLeft" activeCell="A14" sqref="A14"/>
      <selection pane="bottomRight" activeCell="E126" sqref="E126"/>
    </sheetView>
  </sheetViews>
  <sheetFormatPr defaultColWidth="11.453125" defaultRowHeight="15.5" outlineLevelRow="1" x14ac:dyDescent="0.35"/>
  <cols>
    <col min="1" max="1" width="3.453125" style="16" customWidth="1"/>
    <col min="2" max="2" width="46.453125" style="16" customWidth="1"/>
    <col min="3" max="3" width="52.453125" style="22" customWidth="1"/>
    <col min="4" max="4" width="6.6328125" style="344" customWidth="1"/>
    <col min="5" max="5" width="15.453125" style="22" customWidth="1"/>
    <col min="6" max="8" width="16" style="22" customWidth="1"/>
    <col min="9" max="9" width="20.1796875" style="22" customWidth="1"/>
    <col min="10" max="10" width="17" style="22" customWidth="1"/>
    <col min="11" max="11" width="7.453125" style="22" customWidth="1"/>
    <col min="12" max="12" width="14" style="22" customWidth="1"/>
    <col min="13" max="13" width="15.453125" style="22" customWidth="1"/>
    <col min="14" max="14" width="19.453125" style="22" customWidth="1"/>
    <col min="15" max="15" width="15.81640625" style="22" bestFit="1" customWidth="1"/>
    <col min="16" max="16" width="20.453125" style="22" customWidth="1"/>
    <col min="17" max="17" width="14.6328125" style="22" customWidth="1"/>
    <col min="18" max="18" width="24.453125" style="22" customWidth="1"/>
    <col min="19" max="19" width="22.453125" style="22" customWidth="1"/>
    <col min="20" max="20" width="16.1796875" style="22" bestFit="1" customWidth="1"/>
    <col min="21" max="21" width="15.453125" style="22" bestFit="1" customWidth="1"/>
    <col min="22" max="22" width="16.1796875" style="22" bestFit="1" customWidth="1"/>
    <col min="23" max="23" width="11.453125" style="22"/>
    <col min="24" max="24" width="21.1796875" style="22" customWidth="1"/>
    <col min="25" max="16384" width="11.453125" style="22"/>
  </cols>
  <sheetData>
    <row r="1" spans="1:24" x14ac:dyDescent="0.35">
      <c r="B1" s="23" t="s">
        <v>49</v>
      </c>
      <c r="E1" s="24">
        <f>'A-INSTRUCTIONS'!D46</f>
        <v>2024</v>
      </c>
      <c r="F1" s="24">
        <f>E1+1</f>
        <v>2025</v>
      </c>
      <c r="G1" s="24">
        <f t="shared" ref="G1:J2" si="0">F1+1</f>
        <v>2026</v>
      </c>
      <c r="H1" s="24">
        <f t="shared" si="0"/>
        <v>2027</v>
      </c>
      <c r="I1" s="24">
        <f t="shared" si="0"/>
        <v>2028</v>
      </c>
      <c r="J1" s="24">
        <f t="shared" si="0"/>
        <v>2029</v>
      </c>
    </row>
    <row r="2" spans="1:24" x14ac:dyDescent="0.35">
      <c r="B2" s="23"/>
      <c r="E2" s="18">
        <v>0</v>
      </c>
      <c r="F2" s="18">
        <f>E2+1</f>
        <v>1</v>
      </c>
      <c r="G2" s="18">
        <f t="shared" si="0"/>
        <v>2</v>
      </c>
      <c r="H2" s="18">
        <f t="shared" si="0"/>
        <v>3</v>
      </c>
      <c r="I2" s="18">
        <f t="shared" si="0"/>
        <v>4</v>
      </c>
      <c r="J2" s="18">
        <f t="shared" si="0"/>
        <v>5</v>
      </c>
    </row>
    <row r="3" spans="1:24" ht="21" x14ac:dyDescent="0.5">
      <c r="B3" s="17" t="s">
        <v>50</v>
      </c>
      <c r="E3" s="168" t="s">
        <v>51</v>
      </c>
      <c r="F3" s="168"/>
      <c r="G3" s="168"/>
      <c r="I3" s="19"/>
      <c r="J3" s="20"/>
      <c r="K3" s="21"/>
      <c r="L3" s="21"/>
    </row>
    <row r="4" spans="1:24" ht="15" customHeight="1" x14ac:dyDescent="0.35">
      <c r="C4" s="19"/>
      <c r="D4" s="20"/>
      <c r="E4" s="19"/>
      <c r="F4" s="19"/>
      <c r="G4" s="19"/>
      <c r="H4" s="19"/>
      <c r="I4" s="19"/>
      <c r="J4" s="20"/>
      <c r="K4" s="21"/>
      <c r="L4" s="21"/>
    </row>
    <row r="5" spans="1:24" s="113" customFormat="1" ht="23.5" x14ac:dyDescent="0.55000000000000004">
      <c r="A5" s="231">
        <v>1</v>
      </c>
      <c r="B5" s="231"/>
      <c r="C5" s="228" t="s">
        <v>52</v>
      </c>
      <c r="D5" s="349"/>
      <c r="E5" s="229" t="s">
        <v>53</v>
      </c>
      <c r="F5" s="230"/>
      <c r="G5" s="230"/>
      <c r="H5" s="230"/>
      <c r="I5" s="230"/>
      <c r="J5" s="230"/>
      <c r="K5" s="230"/>
      <c r="L5" s="112"/>
      <c r="M5" s="232">
        <v>5</v>
      </c>
      <c r="N5" s="232" t="s">
        <v>235</v>
      </c>
      <c r="O5" s="232"/>
      <c r="P5" s="232"/>
      <c r="Q5" s="232"/>
      <c r="R5" s="232"/>
      <c r="S5" s="232"/>
      <c r="T5" s="232"/>
      <c r="U5" s="232"/>
      <c r="V5" s="232"/>
      <c r="W5" s="232"/>
      <c r="X5" s="232"/>
    </row>
    <row r="6" spans="1:24" s="152" customFormat="1" ht="23.5" outlineLevel="1" x14ac:dyDescent="0.55000000000000004">
      <c r="A6" s="250"/>
      <c r="B6" s="250"/>
      <c r="C6" s="251"/>
      <c r="D6" s="350"/>
      <c r="E6" s="252"/>
      <c r="F6" s="253"/>
      <c r="G6" s="253"/>
      <c r="H6" s="253"/>
      <c r="I6" s="253"/>
      <c r="J6" s="253"/>
      <c r="K6" s="253"/>
      <c r="L6" s="254"/>
      <c r="M6" s="21"/>
      <c r="N6" s="21"/>
      <c r="O6" s="22"/>
      <c r="P6" s="22"/>
      <c r="Q6" s="22"/>
      <c r="R6" s="22"/>
      <c r="S6" s="22"/>
      <c r="T6" s="22"/>
      <c r="U6" s="22"/>
      <c r="V6" s="22"/>
      <c r="W6" s="22"/>
      <c r="X6" s="22"/>
    </row>
    <row r="7" spans="1:24" ht="20.5" outlineLevel="1" x14ac:dyDescent="0.45">
      <c r="C7" s="23" t="s">
        <v>49</v>
      </c>
      <c r="D7" s="351"/>
      <c r="E7" s="18">
        <v>0</v>
      </c>
      <c r="F7" s="18">
        <v>1</v>
      </c>
      <c r="G7" s="18">
        <v>2</v>
      </c>
      <c r="H7" s="18">
        <v>3</v>
      </c>
      <c r="I7" s="18">
        <v>4</v>
      </c>
      <c r="J7" s="18">
        <v>5</v>
      </c>
      <c r="K7" s="21"/>
      <c r="L7" s="21"/>
      <c r="M7" s="21"/>
      <c r="N7" s="30"/>
      <c r="O7" s="140"/>
      <c r="P7" s="140"/>
      <c r="R7" s="140"/>
      <c r="S7" s="140"/>
      <c r="T7" s="140"/>
      <c r="U7" s="140"/>
      <c r="V7" s="140"/>
    </row>
    <row r="8" spans="1:24" ht="16" outlineLevel="1" thickBot="1" x14ac:dyDescent="0.4">
      <c r="A8" s="98" t="s">
        <v>54</v>
      </c>
      <c r="B8" s="98"/>
      <c r="C8" s="101"/>
      <c r="D8" s="352"/>
      <c r="E8" s="102"/>
      <c r="F8" s="102"/>
      <c r="G8" s="102"/>
      <c r="H8" s="102"/>
      <c r="I8" s="102"/>
      <c r="J8" s="102"/>
      <c r="L8" s="86"/>
      <c r="M8" s="86"/>
      <c r="N8" s="43"/>
      <c r="O8" s="43"/>
      <c r="P8" s="43"/>
      <c r="R8" s="43"/>
      <c r="S8" s="43"/>
      <c r="T8" s="43"/>
      <c r="U8" s="43"/>
      <c r="V8" s="43"/>
      <c r="W8" s="43"/>
      <c r="X8" s="43"/>
    </row>
    <row r="9" spans="1:24" outlineLevel="1" x14ac:dyDescent="0.35">
      <c r="C9" s="26" t="s">
        <v>55</v>
      </c>
      <c r="D9" s="353" t="s">
        <v>10</v>
      </c>
      <c r="E9" s="383">
        <f>VLOOKUP($O$10,$N$17:$T$19,3)</f>
        <v>6200000</v>
      </c>
      <c r="F9" s="3">
        <v>0</v>
      </c>
      <c r="G9" s="3">
        <v>0</v>
      </c>
      <c r="H9" s="3">
        <v>0</v>
      </c>
      <c r="I9" s="3">
        <v>0</v>
      </c>
      <c r="J9" s="3">
        <v>0</v>
      </c>
      <c r="K9" s="22" t="s">
        <v>56</v>
      </c>
      <c r="L9" s="87"/>
      <c r="M9" s="86"/>
      <c r="N9" s="376" t="s">
        <v>236</v>
      </c>
      <c r="O9" s="372" t="str">
        <f>VLOOKUP(O10,N17:O19,2)</f>
        <v>Base scenario</v>
      </c>
      <c r="P9" s="373"/>
    </row>
    <row r="10" spans="1:24" outlineLevel="1" x14ac:dyDescent="0.35">
      <c r="C10" s="27" t="s">
        <v>57</v>
      </c>
      <c r="D10" s="354" t="s">
        <v>12</v>
      </c>
      <c r="E10" s="77">
        <v>0.25</v>
      </c>
      <c r="F10" s="3"/>
      <c r="G10" s="3"/>
      <c r="H10" s="3"/>
      <c r="I10" s="3"/>
      <c r="K10" s="28"/>
      <c r="L10" s="21"/>
      <c r="M10" s="86"/>
      <c r="N10" s="377" t="s">
        <v>267</v>
      </c>
      <c r="O10" s="374">
        <v>1</v>
      </c>
      <c r="P10" s="375"/>
      <c r="S10" s="30"/>
      <c r="T10" s="30"/>
    </row>
    <row r="11" spans="1:24" outlineLevel="1" x14ac:dyDescent="0.35">
      <c r="C11" s="27" t="s">
        <v>58</v>
      </c>
      <c r="D11" s="354" t="s">
        <v>10</v>
      </c>
      <c r="E11" s="343">
        <f>E10*E9</f>
        <v>1550000</v>
      </c>
      <c r="F11" s="3"/>
      <c r="G11" s="3"/>
      <c r="H11" s="3"/>
      <c r="I11" s="3"/>
      <c r="J11" s="77"/>
      <c r="K11" s="28"/>
      <c r="L11" s="21"/>
      <c r="M11" s="86"/>
      <c r="N11" s="43"/>
      <c r="O11" s="43"/>
      <c r="P11" s="43"/>
      <c r="R11" s="43"/>
      <c r="S11" s="43"/>
      <c r="T11" s="43"/>
      <c r="U11" s="156"/>
      <c r="V11" s="156"/>
      <c r="W11" s="156"/>
      <c r="X11" s="156"/>
    </row>
    <row r="12" spans="1:24" outlineLevel="1" x14ac:dyDescent="0.35">
      <c r="C12" s="27" t="s">
        <v>59</v>
      </c>
      <c r="D12" s="354" t="s">
        <v>10</v>
      </c>
      <c r="E12" s="288">
        <f>'A-INSTRUCTIONS'!D51</f>
        <v>4000000</v>
      </c>
      <c r="F12" s="3"/>
      <c r="G12" s="3"/>
      <c r="H12" s="3"/>
      <c r="I12" s="3"/>
      <c r="J12" s="77"/>
      <c r="K12" s="28"/>
      <c r="L12" s="21"/>
      <c r="M12" s="86"/>
      <c r="N12" s="43"/>
      <c r="O12" s="43"/>
      <c r="P12" s="43"/>
      <c r="R12" s="43"/>
      <c r="S12" s="43"/>
      <c r="T12" s="43"/>
      <c r="U12" s="174"/>
      <c r="V12" s="175"/>
      <c r="X12" s="43"/>
    </row>
    <row r="13" spans="1:24" ht="21" outlineLevel="1" thickBot="1" x14ac:dyDescent="0.5">
      <c r="C13" s="27" t="s">
        <v>60</v>
      </c>
      <c r="D13" s="354" t="s">
        <v>15</v>
      </c>
      <c r="E13" s="1">
        <v>6</v>
      </c>
      <c r="F13" s="29"/>
      <c r="G13" s="29"/>
      <c r="H13" s="29"/>
      <c r="I13" s="29"/>
      <c r="J13" s="29"/>
      <c r="M13" s="87"/>
      <c r="N13" s="143" t="s">
        <v>237</v>
      </c>
      <c r="O13" s="144"/>
      <c r="P13" s="145"/>
      <c r="Q13" s="146"/>
      <c r="R13" s="146"/>
      <c r="S13" s="146"/>
      <c r="T13" s="146"/>
      <c r="U13" s="43"/>
      <c r="V13" s="43"/>
      <c r="W13" s="43"/>
      <c r="X13" s="43"/>
    </row>
    <row r="14" spans="1:24" ht="16" outlineLevel="1" thickTop="1" x14ac:dyDescent="0.35">
      <c r="C14" s="27" t="s">
        <v>61</v>
      </c>
      <c r="D14" s="354" t="s">
        <v>10</v>
      </c>
      <c r="F14" s="169">
        <f>SLN(E9,E11,E13)</f>
        <v>775000</v>
      </c>
      <c r="G14" s="259"/>
      <c r="H14" s="259"/>
      <c r="I14" s="259"/>
      <c r="J14" s="259"/>
      <c r="K14" s="162"/>
      <c r="L14" s="162"/>
      <c r="M14" s="21"/>
      <c r="N14" s="43"/>
      <c r="O14" s="141"/>
      <c r="P14" s="142"/>
      <c r="Q14" s="142"/>
      <c r="R14" s="142"/>
      <c r="S14" s="142"/>
      <c r="T14" s="142"/>
      <c r="U14" s="43"/>
      <c r="V14" s="43"/>
      <c r="W14" s="43"/>
      <c r="X14" s="43"/>
    </row>
    <row r="15" spans="1:24" outlineLevel="1" x14ac:dyDescent="0.35">
      <c r="C15" s="27" t="s">
        <v>62</v>
      </c>
      <c r="D15" s="354" t="s">
        <v>10</v>
      </c>
      <c r="F15" s="169">
        <f>E15+$F$14</f>
        <v>775000</v>
      </c>
      <c r="G15" s="169">
        <f t="shared" ref="G15:J15" si="1">F15+$F$14</f>
        <v>1550000</v>
      </c>
      <c r="H15" s="169">
        <f t="shared" si="1"/>
        <v>2325000</v>
      </c>
      <c r="I15" s="169">
        <f t="shared" si="1"/>
        <v>3100000</v>
      </c>
      <c r="J15" s="169">
        <f t="shared" si="1"/>
        <v>3875000</v>
      </c>
      <c r="K15" s="162"/>
      <c r="L15" s="162"/>
      <c r="M15" s="21"/>
      <c r="N15" s="154"/>
      <c r="O15" s="172"/>
      <c r="P15" s="382" t="s">
        <v>238</v>
      </c>
      <c r="Q15" s="366"/>
      <c r="R15" s="366"/>
      <c r="S15" s="366"/>
      <c r="T15" s="366"/>
      <c r="U15" s="378"/>
      <c r="V15" s="378"/>
      <c r="W15" s="378"/>
      <c r="X15" s="378"/>
    </row>
    <row r="16" spans="1:24" outlineLevel="1" x14ac:dyDescent="0.35">
      <c r="C16" s="27" t="s">
        <v>63</v>
      </c>
      <c r="D16" s="354" t="s">
        <v>10</v>
      </c>
      <c r="F16" s="169">
        <f>$E$9-F15</f>
        <v>5425000</v>
      </c>
      <c r="G16" s="169">
        <f t="shared" ref="G16:J16" si="2">$E$9-G15</f>
        <v>4650000</v>
      </c>
      <c r="H16" s="169">
        <f t="shared" si="2"/>
        <v>3875000</v>
      </c>
      <c r="I16" s="169">
        <f t="shared" si="2"/>
        <v>3100000</v>
      </c>
      <c r="J16" s="169">
        <f t="shared" si="2"/>
        <v>2325000</v>
      </c>
      <c r="K16" s="222"/>
      <c r="L16" s="162"/>
      <c r="N16" s="294" t="s">
        <v>239</v>
      </c>
      <c r="O16" s="295" t="s">
        <v>240</v>
      </c>
      <c r="P16" s="296" t="s">
        <v>241</v>
      </c>
      <c r="Q16" s="292" t="s">
        <v>242</v>
      </c>
      <c r="R16" s="292" t="s">
        <v>243</v>
      </c>
      <c r="S16" s="292" t="s">
        <v>244</v>
      </c>
      <c r="T16" s="293" t="s">
        <v>245</v>
      </c>
      <c r="U16" s="142"/>
      <c r="V16" s="142"/>
      <c r="W16" s="142"/>
      <c r="X16" s="142"/>
    </row>
    <row r="17" spans="1:24" outlineLevel="1" x14ac:dyDescent="0.35">
      <c r="J17" s="28"/>
      <c r="K17" s="222"/>
      <c r="L17" s="162"/>
      <c r="N17" s="164">
        <v>1</v>
      </c>
      <c r="O17" s="165" t="s">
        <v>246</v>
      </c>
      <c r="P17" s="285">
        <f>'A-INSTRUCTIONS'!D48</f>
        <v>6200000</v>
      </c>
      <c r="Q17" s="287">
        <f>'A-INSTRUCTIONS'!D54</f>
        <v>1.25</v>
      </c>
      <c r="R17" s="286">
        <f>'A-INSTRUCTIONS'!D52</f>
        <v>3000000</v>
      </c>
      <c r="S17" s="163">
        <f>'A-INSTRUCTIONS'!D53</f>
        <v>0.02</v>
      </c>
      <c r="T17" s="173">
        <f>'A-INSTRUCTIONS'!D62</f>
        <v>6.8049999999999999E-2</v>
      </c>
      <c r="U17" s="379"/>
      <c r="V17" s="380"/>
      <c r="W17" s="380"/>
      <c r="X17" s="289"/>
    </row>
    <row r="18" spans="1:24" outlineLevel="1" x14ac:dyDescent="0.35">
      <c r="N18" s="166">
        <f>N17+1</f>
        <v>2</v>
      </c>
      <c r="O18" s="167" t="s">
        <v>247</v>
      </c>
      <c r="P18" s="285">
        <v>6000000</v>
      </c>
      <c r="Q18" s="287">
        <v>1.5</v>
      </c>
      <c r="R18" s="286">
        <v>3500000</v>
      </c>
      <c r="S18" s="163">
        <v>0.03</v>
      </c>
      <c r="T18" s="173">
        <v>6.7000000000000004E-2</v>
      </c>
      <c r="U18" s="379"/>
      <c r="V18" s="380"/>
      <c r="W18" s="380"/>
      <c r="X18" s="381"/>
    </row>
    <row r="19" spans="1:24" outlineLevel="1" x14ac:dyDescent="0.35">
      <c r="N19" s="166">
        <f>N18+1</f>
        <v>3</v>
      </c>
      <c r="O19" s="167" t="s">
        <v>248</v>
      </c>
      <c r="P19" s="285">
        <v>6500000</v>
      </c>
      <c r="Q19" s="287">
        <v>1</v>
      </c>
      <c r="R19" s="286">
        <v>2500000</v>
      </c>
      <c r="S19" s="163">
        <v>0.01</v>
      </c>
      <c r="T19" s="173">
        <v>7.0000000000000007E-2</v>
      </c>
      <c r="U19" s="162"/>
      <c r="V19" s="290"/>
      <c r="W19" s="291"/>
    </row>
    <row r="20" spans="1:24" outlineLevel="1" x14ac:dyDescent="0.35">
      <c r="U20" s="162"/>
      <c r="V20" s="290"/>
      <c r="W20" s="291"/>
    </row>
    <row r="21" spans="1:24" outlineLevel="1" x14ac:dyDescent="0.35">
      <c r="U21" s="162"/>
      <c r="V21" s="290"/>
      <c r="W21" s="291"/>
    </row>
    <row r="22" spans="1:24" ht="21" outlineLevel="1" thickBot="1" x14ac:dyDescent="0.5">
      <c r="N22" s="143" t="s">
        <v>268</v>
      </c>
      <c r="O22" s="144"/>
      <c r="P22" s="145"/>
      <c r="Q22" s="146"/>
      <c r="R22" s="146"/>
      <c r="S22" s="146"/>
      <c r="T22" s="146"/>
    </row>
    <row r="23" spans="1:24" s="30" customFormat="1" ht="16.5" outlineLevel="1" thickTop="1" thickBot="1" x14ac:dyDescent="0.4">
      <c r="A23" s="98" t="s">
        <v>64</v>
      </c>
      <c r="B23" s="98"/>
      <c r="C23" s="99"/>
      <c r="D23" s="355"/>
      <c r="E23" s="99"/>
      <c r="F23" s="100"/>
      <c r="G23" s="100"/>
      <c r="H23" s="100"/>
      <c r="I23" s="100"/>
      <c r="J23" s="100"/>
      <c r="K23" s="31"/>
      <c r="L23" s="31"/>
      <c r="N23" s="43"/>
      <c r="O23" s="141"/>
      <c r="P23" s="142"/>
      <c r="Q23" s="142"/>
      <c r="R23" s="142"/>
      <c r="S23" s="142"/>
      <c r="T23" s="142"/>
    </row>
    <row r="24" spans="1:24" outlineLevel="1" x14ac:dyDescent="0.35">
      <c r="C24" s="32" t="s">
        <v>65</v>
      </c>
      <c r="D24" s="353" t="s">
        <v>66</v>
      </c>
      <c r="E24" s="6"/>
      <c r="F24" s="383">
        <f>VLOOKUP($O$10,$N$17:$T$19,5)</f>
        <v>3000000</v>
      </c>
      <c r="G24" s="91">
        <f>F24*(1+$F$25)</f>
        <v>3060000</v>
      </c>
      <c r="H24" s="91">
        <f t="shared" ref="H24:J24" si="3">G24*(1+$F$25)</f>
        <v>3121200</v>
      </c>
      <c r="I24" s="91">
        <f t="shared" si="3"/>
        <v>3183624</v>
      </c>
      <c r="J24" s="91">
        <f t="shared" si="3"/>
        <v>3247296.48</v>
      </c>
      <c r="K24" s="21"/>
      <c r="L24" s="21"/>
      <c r="N24" s="154"/>
      <c r="O24" s="172"/>
      <c r="P24" s="382" t="s">
        <v>238</v>
      </c>
      <c r="Q24" s="366"/>
      <c r="R24" s="366"/>
      <c r="S24" s="366"/>
      <c r="T24" s="366"/>
      <c r="U24" s="117" t="s">
        <v>249</v>
      </c>
      <c r="V24" s="393"/>
      <c r="W24" s="393"/>
    </row>
    <row r="25" spans="1:24" outlineLevel="1" x14ac:dyDescent="0.35">
      <c r="C25" s="92" t="s">
        <v>67</v>
      </c>
      <c r="D25" s="353" t="s">
        <v>12</v>
      </c>
      <c r="E25" s="6"/>
      <c r="F25" s="385">
        <f>VLOOKUP($O$10,$N$17:$T$19,6)</f>
        <v>0.02</v>
      </c>
      <c r="G25" s="78"/>
      <c r="H25" s="78"/>
      <c r="I25" s="78"/>
      <c r="J25" s="78"/>
      <c r="K25" s="33"/>
      <c r="L25" s="21"/>
      <c r="N25" s="294" t="s">
        <v>239</v>
      </c>
      <c r="O25" s="295" t="s">
        <v>240</v>
      </c>
      <c r="P25" s="296" t="s">
        <v>241</v>
      </c>
      <c r="Q25" s="292" t="s">
        <v>242</v>
      </c>
      <c r="R25" s="292" t="s">
        <v>243</v>
      </c>
      <c r="S25" s="292" t="s">
        <v>244</v>
      </c>
      <c r="T25" s="293" t="s">
        <v>245</v>
      </c>
      <c r="U25" s="293" t="s">
        <v>224</v>
      </c>
      <c r="V25" s="293" t="s">
        <v>225</v>
      </c>
      <c r="W25" s="293" t="s">
        <v>269</v>
      </c>
    </row>
    <row r="26" spans="1:24" outlineLevel="1" x14ac:dyDescent="0.35">
      <c r="C26" s="32" t="s">
        <v>68</v>
      </c>
      <c r="D26" s="353" t="s">
        <v>10</v>
      </c>
      <c r="E26" s="6"/>
      <c r="F26" s="384">
        <f>VLOOKUP($O$10,$N$17:$T$19,4)</f>
        <v>1.25</v>
      </c>
      <c r="G26" s="260">
        <f>F26*(1+$F$27)</f>
        <v>1.3125</v>
      </c>
      <c r="H26" s="260">
        <f t="shared" ref="H26:J26" si="4">G26*(1+$F$27)</f>
        <v>1.378125</v>
      </c>
      <c r="I26" s="260">
        <f t="shared" si="4"/>
        <v>1.4470312500000002</v>
      </c>
      <c r="J26" s="260">
        <f t="shared" si="4"/>
        <v>1.5193828125000002</v>
      </c>
      <c r="K26" s="21"/>
      <c r="L26" s="21"/>
      <c r="N26" s="387">
        <f>O10</f>
        <v>1</v>
      </c>
      <c r="O26" s="388" t="str">
        <f>O9</f>
        <v>Base scenario</v>
      </c>
      <c r="P26" s="389">
        <f>E9</f>
        <v>6200000</v>
      </c>
      <c r="Q26" s="391">
        <f>F26</f>
        <v>1.25</v>
      </c>
      <c r="R26" s="389">
        <f>F24</f>
        <v>3000000</v>
      </c>
      <c r="S26" s="390">
        <f>F25</f>
        <v>0.02</v>
      </c>
      <c r="T26" s="392">
        <f>E41</f>
        <v>6.8049999999999999E-2</v>
      </c>
      <c r="U26" s="389">
        <f>E126</f>
        <v>2034336.0432598356</v>
      </c>
      <c r="V26" s="392">
        <f>IRR</f>
        <v>0.15664680703888556</v>
      </c>
      <c r="W26" s="391">
        <f>E134</f>
        <v>1.3154009369395092</v>
      </c>
    </row>
    <row r="27" spans="1:24" outlineLevel="1" x14ac:dyDescent="0.35">
      <c r="C27" s="32" t="s">
        <v>69</v>
      </c>
      <c r="D27" s="353" t="s">
        <v>12</v>
      </c>
      <c r="E27" s="6"/>
      <c r="F27" s="7">
        <f>'A-INSTRUCTIONS'!$D$55</f>
        <v>0.05</v>
      </c>
      <c r="H27" s="7"/>
      <c r="I27" s="7"/>
      <c r="J27" s="7"/>
      <c r="K27" s="21"/>
      <c r="L27" s="21"/>
      <c r="N27" s="164">
        <v>1</v>
      </c>
      <c r="O27" s="165" t="str">
        <f t="dataTable" ref="O27:W29" dt2D="0" dtr="0" r1="O10" ca="1"/>
        <v>Base scenario</v>
      </c>
      <c r="P27" s="285">
        <v>6200000</v>
      </c>
      <c r="Q27" s="287">
        <v>1.25</v>
      </c>
      <c r="R27" s="286">
        <v>3000000</v>
      </c>
      <c r="S27" s="163">
        <v>0.02</v>
      </c>
      <c r="T27" s="173">
        <v>6.8049999999999999E-2</v>
      </c>
      <c r="U27" s="286">
        <v>2034336.0432598356</v>
      </c>
      <c r="V27" s="173">
        <v>0.15664680703888556</v>
      </c>
      <c r="W27" s="394">
        <v>1.3154009369395092</v>
      </c>
    </row>
    <row r="28" spans="1:24" outlineLevel="1" x14ac:dyDescent="0.35">
      <c r="C28" s="262" t="s">
        <v>70</v>
      </c>
      <c r="D28" s="353"/>
      <c r="E28" s="6"/>
      <c r="F28" s="34"/>
      <c r="G28" s="7"/>
      <c r="H28" s="7"/>
      <c r="I28" s="7"/>
      <c r="J28" s="7"/>
      <c r="K28" s="21"/>
      <c r="L28" s="21"/>
      <c r="N28" s="166">
        <f>N27+1</f>
        <v>2</v>
      </c>
      <c r="O28" s="167" t="str">
        <v>Optimistic scenario</v>
      </c>
      <c r="P28" s="285">
        <v>6000000</v>
      </c>
      <c r="Q28" s="287">
        <v>1.5</v>
      </c>
      <c r="R28" s="286">
        <v>3500000</v>
      </c>
      <c r="S28" s="163">
        <v>0.03</v>
      </c>
      <c r="T28" s="173">
        <v>6.7000000000000004E-2</v>
      </c>
      <c r="U28" s="286">
        <v>4695371.7292261338</v>
      </c>
      <c r="V28" s="173">
        <v>0.26880451980403275</v>
      </c>
      <c r="W28" s="394">
        <v>1.7512594766761815</v>
      </c>
    </row>
    <row r="29" spans="1:24" outlineLevel="1" x14ac:dyDescent="0.35">
      <c r="C29" s="32" t="s">
        <v>71</v>
      </c>
      <c r="D29" s="353" t="s">
        <v>12</v>
      </c>
      <c r="E29" s="6"/>
      <c r="F29" s="263">
        <v>0.15</v>
      </c>
      <c r="G29" s="7"/>
      <c r="H29" s="7"/>
      <c r="I29" s="7"/>
      <c r="J29" s="7"/>
      <c r="K29" s="21"/>
      <c r="L29" s="21"/>
      <c r="N29" s="166">
        <f>N28+1</f>
        <v>3</v>
      </c>
      <c r="O29" s="167" t="str">
        <v>Pessimistic scenario</v>
      </c>
      <c r="P29" s="285">
        <v>6500000</v>
      </c>
      <c r="Q29" s="287">
        <v>1</v>
      </c>
      <c r="R29" s="286">
        <v>2500000</v>
      </c>
      <c r="S29" s="163">
        <v>0.01</v>
      </c>
      <c r="T29" s="173">
        <v>7.0000000000000007E-2</v>
      </c>
      <c r="U29" s="286">
        <v>-228496.88701410126</v>
      </c>
      <c r="V29" s="173">
        <v>6.0043210983562023E-2</v>
      </c>
      <c r="W29" s="394">
        <v>0.96614860933124425</v>
      </c>
    </row>
    <row r="30" spans="1:24" outlineLevel="1" x14ac:dyDescent="0.35">
      <c r="C30" s="32" t="s">
        <v>72</v>
      </c>
      <c r="D30" s="353" t="s">
        <v>12</v>
      </c>
      <c r="E30" s="6"/>
      <c r="F30" s="263">
        <v>0.2</v>
      </c>
      <c r="G30" s="7"/>
      <c r="H30" s="7"/>
      <c r="I30" s="7"/>
      <c r="J30" s="7"/>
      <c r="K30" s="21"/>
      <c r="L30" s="21"/>
    </row>
    <row r="31" spans="1:24" outlineLevel="1" x14ac:dyDescent="0.35">
      <c r="C31" s="32" t="s">
        <v>73</v>
      </c>
      <c r="D31" s="353" t="s">
        <v>12</v>
      </c>
      <c r="E31" s="6"/>
      <c r="F31" s="263">
        <v>0.1</v>
      </c>
      <c r="G31" s="7"/>
      <c r="H31" s="7"/>
      <c r="I31" s="7"/>
      <c r="J31" s="7"/>
      <c r="K31" s="21"/>
      <c r="L31" s="21"/>
    </row>
    <row r="32" spans="1:24" outlineLevel="1" x14ac:dyDescent="0.35">
      <c r="C32" s="264" t="s">
        <v>74</v>
      </c>
      <c r="D32" s="20" t="s">
        <v>12</v>
      </c>
      <c r="E32" s="30"/>
      <c r="F32" s="265">
        <f>SUM(F29:F31)</f>
        <v>0.44999999999999996</v>
      </c>
      <c r="G32" s="29"/>
      <c r="H32" s="29"/>
      <c r="I32" s="29"/>
      <c r="J32" s="29"/>
      <c r="K32" s="21"/>
      <c r="L32" s="21"/>
    </row>
    <row r="33" spans="1:20" outlineLevel="1" x14ac:dyDescent="0.35">
      <c r="C33" s="268" t="s">
        <v>75</v>
      </c>
      <c r="D33" s="353" t="s">
        <v>10</v>
      </c>
      <c r="E33" s="14"/>
      <c r="F33" s="2">
        <f>'A-INSTRUCTIONS'!$D$60</f>
        <v>500000</v>
      </c>
      <c r="G33" s="29"/>
      <c r="H33" s="29"/>
      <c r="I33" s="29"/>
      <c r="J33" s="29"/>
      <c r="K33" s="21"/>
      <c r="L33" s="21"/>
    </row>
    <row r="34" spans="1:20" outlineLevel="1" x14ac:dyDescent="0.35">
      <c r="C34" s="32"/>
      <c r="D34" s="353"/>
      <c r="E34" s="14"/>
      <c r="F34" s="2"/>
      <c r="G34" s="29"/>
      <c r="H34" s="29"/>
      <c r="I34" s="29"/>
      <c r="J34" s="29"/>
      <c r="K34" s="21"/>
      <c r="L34" s="21"/>
    </row>
    <row r="35" spans="1:20" outlineLevel="1" x14ac:dyDescent="0.35">
      <c r="C35" s="32"/>
      <c r="D35" s="353"/>
      <c r="E35" s="14"/>
      <c r="F35" s="2"/>
      <c r="G35" s="2"/>
      <c r="H35" s="2"/>
      <c r="I35" s="2"/>
      <c r="J35" s="2"/>
      <c r="K35" s="21"/>
      <c r="L35" s="21"/>
    </row>
    <row r="36" spans="1:20" outlineLevel="1" x14ac:dyDescent="0.35">
      <c r="C36" s="32"/>
      <c r="D36" s="353"/>
      <c r="E36" s="14"/>
      <c r="F36" s="2"/>
      <c r="G36" s="2"/>
      <c r="H36" s="2"/>
      <c r="I36" s="2"/>
      <c r="J36" s="2"/>
      <c r="K36" s="21"/>
      <c r="L36" s="21"/>
    </row>
    <row r="37" spans="1:20" outlineLevel="1" x14ac:dyDescent="0.35">
      <c r="C37" s="32"/>
      <c r="D37" s="353"/>
      <c r="E37" s="14"/>
      <c r="F37" s="2"/>
      <c r="G37" s="2"/>
      <c r="H37" s="2"/>
      <c r="I37" s="2"/>
      <c r="J37" s="2"/>
      <c r="K37" s="21"/>
      <c r="L37" s="21"/>
    </row>
    <row r="38" spans="1:20" outlineLevel="1" x14ac:dyDescent="0.35">
      <c r="C38" s="32"/>
      <c r="D38" s="353"/>
      <c r="E38" s="14"/>
      <c r="F38" s="2"/>
      <c r="G38" s="2"/>
      <c r="H38" s="2"/>
      <c r="I38" s="2"/>
      <c r="J38" s="2"/>
      <c r="K38" s="21"/>
      <c r="L38" s="21"/>
    </row>
    <row r="39" spans="1:20" ht="16" outlineLevel="1" thickBot="1" x14ac:dyDescent="0.4">
      <c r="A39" s="98" t="s">
        <v>76</v>
      </c>
      <c r="B39" s="98"/>
      <c r="C39" s="101"/>
      <c r="D39" s="352"/>
      <c r="E39" s="102"/>
      <c r="F39" s="102"/>
      <c r="G39" s="102"/>
      <c r="H39" s="102"/>
      <c r="I39" s="102"/>
      <c r="J39" s="102"/>
      <c r="L39" s="86"/>
    </row>
    <row r="40" spans="1:20" outlineLevel="1" x14ac:dyDescent="0.35">
      <c r="C40" s="32" t="s">
        <v>77</v>
      </c>
      <c r="D40" s="353" t="s">
        <v>12</v>
      </c>
      <c r="E40" s="255">
        <f>'A-INSTRUCTIONS'!$D$61</f>
        <v>0.4</v>
      </c>
      <c r="F40" s="7"/>
      <c r="G40" s="7"/>
      <c r="H40" s="7"/>
      <c r="I40" s="7"/>
      <c r="J40" s="7"/>
      <c r="K40" s="28"/>
    </row>
    <row r="41" spans="1:20" outlineLevel="1" x14ac:dyDescent="0.35">
      <c r="C41" s="32" t="s">
        <v>78</v>
      </c>
      <c r="D41" s="353" t="s">
        <v>12</v>
      </c>
      <c r="E41" s="386">
        <f>VLOOKUP($O$10,$N$17:$T$19,7)</f>
        <v>6.8049999999999999E-2</v>
      </c>
      <c r="F41" s="7"/>
      <c r="G41" s="7"/>
      <c r="H41" s="7"/>
      <c r="I41" s="7"/>
      <c r="J41" s="7"/>
      <c r="K41" s="28"/>
    </row>
    <row r="42" spans="1:20" outlineLevel="1" x14ac:dyDescent="0.35"/>
    <row r="43" spans="1:20" s="30" customFormat="1" ht="16" outlineLevel="1" thickBot="1" x14ac:dyDescent="0.4">
      <c r="A43" s="98" t="s">
        <v>79</v>
      </c>
      <c r="B43" s="98"/>
      <c r="C43" s="99"/>
      <c r="D43" s="355"/>
      <c r="E43" s="99"/>
      <c r="F43" s="100"/>
      <c r="G43" s="100"/>
      <c r="H43" s="100"/>
      <c r="I43" s="100"/>
      <c r="J43" s="100"/>
      <c r="K43" s="31"/>
      <c r="L43" s="249"/>
      <c r="N43" s="22"/>
      <c r="O43" s="22"/>
      <c r="P43" s="22"/>
      <c r="Q43" s="22"/>
      <c r="R43" s="22"/>
      <c r="S43" s="22"/>
      <c r="T43" s="22"/>
    </row>
    <row r="44" spans="1:20" outlineLevel="1" x14ac:dyDescent="0.35">
      <c r="N44" s="30"/>
      <c r="O44" s="30"/>
      <c r="P44" s="30"/>
      <c r="Q44" s="30"/>
      <c r="R44" s="30"/>
      <c r="S44" s="30"/>
      <c r="T44" s="30"/>
    </row>
    <row r="45" spans="1:20" outlineLevel="1" x14ac:dyDescent="0.35">
      <c r="C45" s="25" t="s">
        <v>80</v>
      </c>
      <c r="D45" s="353" t="s">
        <v>10</v>
      </c>
      <c r="E45" s="93"/>
      <c r="F45" s="269">
        <f>F24*F26</f>
        <v>3750000</v>
      </c>
      <c r="G45" s="269">
        <f>G24*G26</f>
        <v>4016250</v>
      </c>
      <c r="H45" s="269">
        <f>H24*H26</f>
        <v>4301403.75</v>
      </c>
      <c r="I45" s="269">
        <f>I24*I26</f>
        <v>4606803.4162500007</v>
      </c>
      <c r="J45" s="269">
        <f>J24*J26</f>
        <v>4933886.4588037506</v>
      </c>
      <c r="K45" s="21"/>
      <c r="L45" s="21"/>
    </row>
    <row r="46" spans="1:20" outlineLevel="1" x14ac:dyDescent="0.35">
      <c r="C46" s="25" t="s">
        <v>81</v>
      </c>
      <c r="D46" s="353" t="s">
        <v>10</v>
      </c>
      <c r="E46" s="93"/>
      <c r="F46" s="269">
        <f>-F45*$F$32</f>
        <v>-1687499.9999999998</v>
      </c>
      <c r="G46" s="269">
        <f t="shared" ref="G46:J46" si="5">-G45*$F$32</f>
        <v>-1807312.4999999998</v>
      </c>
      <c r="H46" s="269">
        <f t="shared" si="5"/>
        <v>-1935631.6874999998</v>
      </c>
      <c r="I46" s="269">
        <f t="shared" si="5"/>
        <v>-2073061.5373125002</v>
      </c>
      <c r="J46" s="269">
        <f t="shared" si="5"/>
        <v>-2220248.9064616878</v>
      </c>
      <c r="K46" s="21"/>
      <c r="L46" s="21"/>
    </row>
    <row r="47" spans="1:20" outlineLevel="1" x14ac:dyDescent="0.35">
      <c r="C47" s="19" t="s">
        <v>82</v>
      </c>
      <c r="D47" s="353" t="s">
        <v>10</v>
      </c>
      <c r="E47" s="94"/>
      <c r="F47" s="270">
        <f>SUM(F45:F46)</f>
        <v>2062500.0000000002</v>
      </c>
      <c r="G47" s="270">
        <f t="shared" ref="G47:J47" si="6">SUM(G45:G46)</f>
        <v>2208937.5</v>
      </c>
      <c r="H47" s="270">
        <f t="shared" si="6"/>
        <v>2365772.0625</v>
      </c>
      <c r="I47" s="270">
        <f t="shared" si="6"/>
        <v>2533741.8789375005</v>
      </c>
      <c r="J47" s="270">
        <f t="shared" si="6"/>
        <v>2713637.5523420628</v>
      </c>
      <c r="K47" s="21"/>
      <c r="L47" s="21"/>
    </row>
    <row r="48" spans="1:20" s="30" customFormat="1" outlineLevel="1" x14ac:dyDescent="0.35">
      <c r="A48" s="39"/>
      <c r="B48" s="39"/>
      <c r="C48" s="25" t="s">
        <v>83</v>
      </c>
      <c r="D48" s="353" t="s">
        <v>10</v>
      </c>
      <c r="E48" s="93"/>
      <c r="F48" s="269">
        <f>-$F$33</f>
        <v>-500000</v>
      </c>
      <c r="G48" s="269">
        <f t="shared" ref="G48:J48" si="7">-$F$33</f>
        <v>-500000</v>
      </c>
      <c r="H48" s="269">
        <f t="shared" si="7"/>
        <v>-500000</v>
      </c>
      <c r="I48" s="269">
        <f t="shared" si="7"/>
        <v>-500000</v>
      </c>
      <c r="J48" s="269">
        <f t="shared" si="7"/>
        <v>-500000</v>
      </c>
      <c r="K48" s="31"/>
      <c r="L48" s="31"/>
      <c r="N48" s="22"/>
      <c r="O48" s="22"/>
      <c r="P48" s="22"/>
      <c r="Q48" s="22"/>
      <c r="R48" s="22"/>
      <c r="S48" s="22"/>
      <c r="T48" s="22"/>
    </row>
    <row r="49" spans="1:20" outlineLevel="1" x14ac:dyDescent="0.35">
      <c r="C49" s="25" t="s">
        <v>84</v>
      </c>
      <c r="D49" s="353" t="s">
        <v>10</v>
      </c>
      <c r="E49" s="93"/>
      <c r="F49" s="269">
        <f>-$F$14</f>
        <v>-775000</v>
      </c>
      <c r="G49" s="269">
        <f t="shared" ref="G49:J49" si="8">-$F$14</f>
        <v>-775000</v>
      </c>
      <c r="H49" s="269">
        <f t="shared" si="8"/>
        <v>-775000</v>
      </c>
      <c r="I49" s="269">
        <f t="shared" si="8"/>
        <v>-775000</v>
      </c>
      <c r="J49" s="269">
        <f t="shared" si="8"/>
        <v>-775000</v>
      </c>
      <c r="K49" s="21"/>
      <c r="L49" s="40"/>
      <c r="N49" s="30"/>
      <c r="O49" s="30"/>
      <c r="P49" s="30"/>
      <c r="Q49" s="30"/>
      <c r="R49" s="30"/>
      <c r="S49" s="30"/>
      <c r="T49" s="30"/>
    </row>
    <row r="50" spans="1:20" s="30" customFormat="1" outlineLevel="1" x14ac:dyDescent="0.35">
      <c r="A50" s="39"/>
      <c r="B50" s="39"/>
      <c r="C50" s="19" t="s">
        <v>85</v>
      </c>
      <c r="D50" s="353" t="s">
        <v>10</v>
      </c>
      <c r="E50" s="94"/>
      <c r="F50" s="270">
        <f>SUM(F47:F49)</f>
        <v>787500.00000000023</v>
      </c>
      <c r="G50" s="270">
        <f>SUM(G47:G49)</f>
        <v>933937.5</v>
      </c>
      <c r="H50" s="270">
        <f>SUM(H47:H49)</f>
        <v>1090772.0625</v>
      </c>
      <c r="I50" s="270">
        <f>SUM(I47:I49)</f>
        <v>1258741.8789375005</v>
      </c>
      <c r="J50" s="270">
        <f>SUM(J47:J49)</f>
        <v>1438637.5523420628</v>
      </c>
      <c r="K50" s="31"/>
      <c r="L50" s="31"/>
      <c r="N50" s="22"/>
      <c r="O50" s="22"/>
      <c r="P50" s="22"/>
      <c r="Q50" s="22"/>
      <c r="R50" s="22"/>
      <c r="S50" s="22"/>
      <c r="T50" s="22"/>
    </row>
    <row r="51" spans="1:20" s="30" customFormat="1" outlineLevel="1" x14ac:dyDescent="0.35">
      <c r="A51" s="39"/>
      <c r="B51" s="39"/>
      <c r="C51" s="25" t="s">
        <v>309</v>
      </c>
      <c r="D51" s="353"/>
      <c r="E51" s="94"/>
      <c r="F51" s="270"/>
      <c r="G51" s="270"/>
      <c r="H51" s="270"/>
      <c r="I51" s="270"/>
      <c r="J51" s="269">
        <f>J102</f>
        <v>1675000</v>
      </c>
      <c r="K51" s="31"/>
      <c r="L51" s="31"/>
      <c r="N51" s="22"/>
      <c r="O51" s="22"/>
      <c r="P51" s="22"/>
      <c r="Q51" s="22"/>
      <c r="R51" s="22"/>
      <c r="S51" s="22"/>
      <c r="T51" s="22"/>
    </row>
    <row r="52" spans="1:20" s="30" customFormat="1" outlineLevel="1" x14ac:dyDescent="0.35">
      <c r="A52" s="39"/>
      <c r="B52" s="39"/>
      <c r="C52" s="25" t="s">
        <v>86</v>
      </c>
      <c r="D52" s="353" t="s">
        <v>10</v>
      </c>
      <c r="E52" s="93"/>
      <c r="F52" s="269">
        <v>0</v>
      </c>
      <c r="G52" s="269">
        <v>0</v>
      </c>
      <c r="H52" s="269">
        <v>0</v>
      </c>
      <c r="I52" s="269">
        <v>0</v>
      </c>
      <c r="J52" s="269">
        <v>0</v>
      </c>
      <c r="K52" s="31"/>
      <c r="L52" s="31"/>
    </row>
    <row r="53" spans="1:20" s="30" customFormat="1" outlineLevel="1" x14ac:dyDescent="0.35">
      <c r="A53" s="39"/>
      <c r="B53" s="39"/>
      <c r="C53" s="19" t="s">
        <v>87</v>
      </c>
      <c r="D53" s="353" t="s">
        <v>10</v>
      </c>
      <c r="E53" s="94"/>
      <c r="F53" s="270">
        <f>SUM(F50:F52)</f>
        <v>787500.00000000023</v>
      </c>
      <c r="G53" s="270">
        <f t="shared" ref="G53:J53" si="9">SUM(G50:G52)</f>
        <v>933937.5</v>
      </c>
      <c r="H53" s="270">
        <f t="shared" si="9"/>
        <v>1090772.0625</v>
      </c>
      <c r="I53" s="270">
        <f t="shared" si="9"/>
        <v>1258741.8789375005</v>
      </c>
      <c r="J53" s="270">
        <f t="shared" si="9"/>
        <v>3113637.5523420628</v>
      </c>
      <c r="K53" s="31"/>
      <c r="L53" s="31"/>
    </row>
    <row r="54" spans="1:20" s="30" customFormat="1" outlineLevel="1" x14ac:dyDescent="0.35">
      <c r="A54" s="39"/>
      <c r="B54" s="39"/>
      <c r="C54" s="25" t="s">
        <v>88</v>
      </c>
      <c r="D54" s="353" t="s">
        <v>10</v>
      </c>
      <c r="E54" s="93"/>
      <c r="F54" s="269">
        <f>-F53*tax</f>
        <v>-315000.00000000012</v>
      </c>
      <c r="G54" s="269">
        <f>-G53*tax</f>
        <v>-373575</v>
      </c>
      <c r="H54" s="269">
        <f>-H53*tax</f>
        <v>-436308.82500000001</v>
      </c>
      <c r="I54" s="269">
        <f>-I53*tax</f>
        <v>-503496.75157500023</v>
      </c>
      <c r="J54" s="269">
        <f>-J53*tax</f>
        <v>-1245455.0209368251</v>
      </c>
      <c r="K54" s="31"/>
      <c r="L54" s="31"/>
    </row>
    <row r="55" spans="1:20" s="30" customFormat="1" outlineLevel="1" x14ac:dyDescent="0.35">
      <c r="A55" s="39"/>
      <c r="B55" s="39"/>
      <c r="C55" s="19" t="s">
        <v>89</v>
      </c>
      <c r="D55" s="353" t="s">
        <v>10</v>
      </c>
      <c r="E55" s="94"/>
      <c r="F55" s="270">
        <f>SUM(F53:F54)</f>
        <v>472500.00000000012</v>
      </c>
      <c r="G55" s="270">
        <f t="shared" ref="G55:J55" si="10">SUM(G53:G54)</f>
        <v>560362.5</v>
      </c>
      <c r="H55" s="270">
        <f t="shared" si="10"/>
        <v>654463.23750000005</v>
      </c>
      <c r="I55" s="270">
        <f t="shared" si="10"/>
        <v>755245.12736250029</v>
      </c>
      <c r="J55" s="270">
        <f t="shared" si="10"/>
        <v>1868182.5314052377</v>
      </c>
      <c r="K55" s="31"/>
      <c r="L55" s="31"/>
    </row>
    <row r="56" spans="1:20" outlineLevel="1" x14ac:dyDescent="0.35">
      <c r="N56" s="30"/>
      <c r="O56" s="30"/>
      <c r="P56" s="30"/>
      <c r="Q56" s="30"/>
      <c r="R56" s="30"/>
      <c r="S56" s="30"/>
      <c r="T56" s="30"/>
    </row>
    <row r="57" spans="1:20" outlineLevel="1" x14ac:dyDescent="0.35"/>
    <row r="58" spans="1:20" s="30" customFormat="1" ht="16" outlineLevel="1" thickBot="1" x14ac:dyDescent="0.4">
      <c r="A58" s="98" t="s">
        <v>90</v>
      </c>
      <c r="B58" s="98"/>
      <c r="C58" s="99"/>
      <c r="D58" s="355"/>
      <c r="E58" s="99"/>
      <c r="F58" s="100"/>
      <c r="G58" s="100"/>
      <c r="H58" s="100"/>
      <c r="I58" s="100"/>
      <c r="J58" s="100"/>
      <c r="K58" s="31"/>
      <c r="L58" s="249"/>
      <c r="N58" s="22"/>
      <c r="O58" s="22"/>
      <c r="P58" s="22"/>
      <c r="Q58" s="22"/>
      <c r="R58" s="22"/>
      <c r="S58" s="22"/>
      <c r="T58" s="22"/>
    </row>
    <row r="59" spans="1:20" outlineLevel="1" x14ac:dyDescent="0.35">
      <c r="N59" s="30"/>
      <c r="O59" s="30"/>
      <c r="P59" s="30"/>
      <c r="Q59" s="30"/>
      <c r="R59" s="30"/>
      <c r="S59" s="30"/>
      <c r="T59" s="30"/>
    </row>
    <row r="60" spans="1:20" outlineLevel="1" x14ac:dyDescent="0.35">
      <c r="C60" s="50" t="s">
        <v>91</v>
      </c>
      <c r="D60" s="356"/>
    </row>
    <row r="61" spans="1:20" outlineLevel="1" x14ac:dyDescent="0.35">
      <c r="C61" s="22" t="s">
        <v>92</v>
      </c>
      <c r="D61" s="344" t="s">
        <v>34</v>
      </c>
      <c r="E61" s="22">
        <v>60</v>
      </c>
    </row>
    <row r="62" spans="1:20" outlineLevel="1" x14ac:dyDescent="0.35">
      <c r="C62" s="22" t="s">
        <v>93</v>
      </c>
    </row>
    <row r="63" spans="1:20" outlineLevel="1" x14ac:dyDescent="0.35">
      <c r="C63" s="22" t="s">
        <v>94</v>
      </c>
      <c r="D63" s="344" t="s">
        <v>10</v>
      </c>
      <c r="F63" s="169">
        <f>F$45/365*$E61</f>
        <v>616438.35616438359</v>
      </c>
      <c r="G63" s="169">
        <f t="shared" ref="G63:J63" si="11">G$45/365*$E61</f>
        <v>660205.47945205471</v>
      </c>
      <c r="H63" s="169">
        <f t="shared" si="11"/>
        <v>707080.06849315064</v>
      </c>
      <c r="I63" s="169">
        <f t="shared" si="11"/>
        <v>757282.75335616455</v>
      </c>
      <c r="J63" s="169">
        <f t="shared" si="11"/>
        <v>811049.82884445216</v>
      </c>
    </row>
    <row r="64" spans="1:20" outlineLevel="1" x14ac:dyDescent="0.35">
      <c r="C64" s="50" t="s">
        <v>95</v>
      </c>
      <c r="D64" s="356"/>
    </row>
    <row r="65" spans="1:20" outlineLevel="1" x14ac:dyDescent="0.35">
      <c r="C65" s="22" t="s">
        <v>96</v>
      </c>
      <c r="D65" s="344" t="s">
        <v>34</v>
      </c>
      <c r="E65" s="22">
        <v>15</v>
      </c>
    </row>
    <row r="66" spans="1:20" outlineLevel="1" x14ac:dyDescent="0.35">
      <c r="C66" s="22" t="s">
        <v>97</v>
      </c>
    </row>
    <row r="67" spans="1:20" outlineLevel="1" x14ac:dyDescent="0.35">
      <c r="C67" s="22" t="s">
        <v>98</v>
      </c>
      <c r="D67" s="344" t="s">
        <v>10</v>
      </c>
      <c r="F67" s="169">
        <f>F$45/365*$E65</f>
        <v>154109.5890410959</v>
      </c>
      <c r="G67" s="169">
        <f t="shared" ref="G67:J67" si="12">G$45/365*$E65</f>
        <v>165051.36986301368</v>
      </c>
      <c r="H67" s="169">
        <f t="shared" si="12"/>
        <v>176770.01712328766</v>
      </c>
      <c r="I67" s="169">
        <f t="shared" si="12"/>
        <v>189320.68833904114</v>
      </c>
      <c r="J67" s="169">
        <f t="shared" si="12"/>
        <v>202762.45721111304</v>
      </c>
    </row>
    <row r="68" spans="1:20" outlineLevel="1" x14ac:dyDescent="0.35">
      <c r="C68" s="50" t="s">
        <v>99</v>
      </c>
      <c r="D68" s="356"/>
      <c r="F68" s="259"/>
      <c r="G68" s="259"/>
      <c r="H68" s="259"/>
      <c r="I68" s="259"/>
      <c r="J68" s="259"/>
      <c r="K68" s="162"/>
    </row>
    <row r="69" spans="1:20" s="162" customFormat="1" outlineLevel="1" x14ac:dyDescent="0.35">
      <c r="A69" s="261"/>
      <c r="B69" s="261"/>
      <c r="C69" s="162" t="s">
        <v>100</v>
      </c>
      <c r="D69" s="344" t="s">
        <v>34</v>
      </c>
      <c r="E69" s="22">
        <v>70</v>
      </c>
      <c r="F69" s="259"/>
      <c r="G69" s="259"/>
      <c r="H69" s="259"/>
      <c r="I69" s="259"/>
      <c r="J69" s="259"/>
      <c r="N69" s="22"/>
      <c r="O69" s="22"/>
      <c r="P69" s="22"/>
      <c r="Q69" s="22"/>
      <c r="R69" s="22"/>
      <c r="S69" s="22"/>
      <c r="T69" s="22"/>
    </row>
    <row r="70" spans="1:20" s="162" customFormat="1" outlineLevel="1" x14ac:dyDescent="0.35">
      <c r="A70" s="261"/>
      <c r="B70" s="261"/>
      <c r="C70" s="162" t="s">
        <v>101</v>
      </c>
      <c r="D70" s="344" t="s">
        <v>10</v>
      </c>
      <c r="E70" s="22"/>
      <c r="F70" s="169">
        <f>F$45/365*$E69</f>
        <v>719178.08219178091</v>
      </c>
      <c r="G70" s="169">
        <f t="shared" ref="G70:J70" si="13">G$45/365*$E69</f>
        <v>770239.72602739721</v>
      </c>
      <c r="H70" s="169">
        <f t="shared" si="13"/>
        <v>824926.74657534237</v>
      </c>
      <c r="I70" s="169">
        <f t="shared" si="13"/>
        <v>883496.5455821919</v>
      </c>
      <c r="J70" s="169">
        <f t="shared" si="13"/>
        <v>946224.8003185275</v>
      </c>
    </row>
    <row r="71" spans="1:20" outlineLevel="1" x14ac:dyDescent="0.35">
      <c r="C71" s="19"/>
      <c r="D71" s="20"/>
      <c r="E71" s="79"/>
      <c r="F71" s="19"/>
      <c r="G71" s="19"/>
      <c r="H71" s="19"/>
      <c r="I71" s="19"/>
      <c r="J71" s="19"/>
      <c r="K71" s="28"/>
      <c r="L71" s="35"/>
      <c r="N71" s="162"/>
      <c r="O71" s="162"/>
      <c r="P71" s="162"/>
      <c r="Q71" s="162"/>
      <c r="R71" s="162"/>
      <c r="S71" s="162"/>
      <c r="T71" s="162"/>
    </row>
    <row r="72" spans="1:20" outlineLevel="1" x14ac:dyDescent="0.35">
      <c r="C72" s="19"/>
      <c r="D72" s="20"/>
      <c r="E72" s="79"/>
      <c r="F72" s="19"/>
      <c r="G72" s="19"/>
      <c r="H72" s="19"/>
      <c r="I72" s="19"/>
      <c r="J72" s="19"/>
      <c r="K72" s="28"/>
      <c r="L72" s="35"/>
    </row>
    <row r="73" spans="1:20" outlineLevel="1" x14ac:dyDescent="0.35">
      <c r="C73" s="19"/>
      <c r="D73" s="20"/>
      <c r="E73" s="79"/>
      <c r="F73" s="19"/>
      <c r="G73" s="19"/>
      <c r="H73" s="19"/>
      <c r="I73" s="19"/>
      <c r="J73" s="19"/>
      <c r="K73" s="28"/>
      <c r="L73" s="35"/>
    </row>
    <row r="74" spans="1:20" outlineLevel="1" x14ac:dyDescent="0.35">
      <c r="C74" s="19"/>
      <c r="D74" s="20"/>
      <c r="E74" s="79"/>
      <c r="F74" s="19"/>
      <c r="G74" s="19"/>
      <c r="H74" s="19"/>
      <c r="I74" s="19"/>
      <c r="J74" s="19"/>
      <c r="K74" s="28"/>
      <c r="L74" s="35"/>
    </row>
    <row r="75" spans="1:20" outlineLevel="1" x14ac:dyDescent="0.35">
      <c r="C75" s="26" t="s">
        <v>102</v>
      </c>
      <c r="D75" s="344" t="s">
        <v>10</v>
      </c>
      <c r="E75" s="266">
        <f>'A-INSTRUCTIONS'!D63</f>
        <v>250000</v>
      </c>
      <c r="F75" s="267">
        <f>F63+F67-F70</f>
        <v>51369.863013698603</v>
      </c>
      <c r="G75" s="267">
        <f>G63+G67-G70</f>
        <v>55017.123287671246</v>
      </c>
      <c r="H75" s="267">
        <f>H63+H67-H70</f>
        <v>58923.339041095925</v>
      </c>
      <c r="I75" s="267">
        <f>I63+I67-I70</f>
        <v>63106.896113013732</v>
      </c>
      <c r="J75" s="267">
        <v>0</v>
      </c>
    </row>
    <row r="76" spans="1:20" outlineLevel="1" x14ac:dyDescent="0.35">
      <c r="C76" s="36" t="s">
        <v>103</v>
      </c>
      <c r="D76" s="344" t="s">
        <v>10</v>
      </c>
      <c r="E76" s="267">
        <f>E75</f>
        <v>250000</v>
      </c>
      <c r="F76" s="267">
        <f>F75-E75</f>
        <v>-198630.1369863014</v>
      </c>
      <c r="G76" s="267">
        <f>G75-F75</f>
        <v>3647.2602739726426</v>
      </c>
      <c r="H76" s="267">
        <f>H75-G75</f>
        <v>3906.2157534246799</v>
      </c>
      <c r="I76" s="267">
        <f>I75-H75</f>
        <v>4183.5570719178068</v>
      </c>
      <c r="J76" s="267">
        <f>J75-I75</f>
        <v>-63106.896113013732</v>
      </c>
    </row>
    <row r="77" spans="1:20" outlineLevel="1" x14ac:dyDescent="0.35">
      <c r="C77" s="19"/>
      <c r="D77" s="20"/>
      <c r="E77" s="37"/>
      <c r="F77" s="37"/>
      <c r="G77" s="37"/>
      <c r="H77" s="37"/>
      <c r="I77" s="37"/>
      <c r="J77" s="37"/>
      <c r="K77" s="21"/>
      <c r="L77" s="21"/>
    </row>
    <row r="78" spans="1:20" outlineLevel="1" x14ac:dyDescent="0.35">
      <c r="C78" s="19"/>
      <c r="D78" s="20"/>
      <c r="E78" s="37"/>
      <c r="F78" s="37"/>
      <c r="G78" s="37"/>
      <c r="H78" s="37"/>
      <c r="I78" s="37"/>
      <c r="J78" s="37"/>
      <c r="K78" s="21"/>
      <c r="L78" s="21"/>
    </row>
    <row r="79" spans="1:20" ht="16" outlineLevel="1" thickBot="1" x14ac:dyDescent="0.4">
      <c r="A79" s="100" t="s">
        <v>104</v>
      </c>
      <c r="B79" s="100"/>
      <c r="C79" s="100"/>
      <c r="D79" s="103"/>
      <c r="E79" s="103">
        <v>0</v>
      </c>
      <c r="F79" s="103">
        <v>1</v>
      </c>
      <c r="G79" s="103">
        <v>2</v>
      </c>
      <c r="H79" s="103">
        <v>3</v>
      </c>
      <c r="I79" s="103">
        <v>4</v>
      </c>
      <c r="J79" s="103">
        <v>5</v>
      </c>
      <c r="K79" s="21"/>
      <c r="L79" s="21"/>
    </row>
    <row r="80" spans="1:20" outlineLevel="1" x14ac:dyDescent="0.35">
      <c r="A80" s="19"/>
      <c r="B80" s="19"/>
      <c r="C80" s="19"/>
      <c r="D80" s="20"/>
      <c r="E80" s="20"/>
      <c r="F80" s="20"/>
      <c r="G80" s="20"/>
      <c r="H80" s="20"/>
      <c r="I80" s="20"/>
      <c r="J80" s="20"/>
      <c r="K80" s="21"/>
      <c r="L80" s="21"/>
    </row>
    <row r="81" spans="1:20" outlineLevel="1" x14ac:dyDescent="0.35">
      <c r="A81" s="19"/>
      <c r="B81" s="19"/>
      <c r="C81" s="19"/>
      <c r="D81" s="20"/>
      <c r="E81" s="20"/>
      <c r="F81" s="20"/>
      <c r="G81" s="20"/>
      <c r="H81" s="20"/>
      <c r="I81" s="20"/>
      <c r="J81" s="20"/>
      <c r="K81" s="21"/>
      <c r="L81" s="21"/>
    </row>
    <row r="82" spans="1:20" outlineLevel="1" x14ac:dyDescent="0.35">
      <c r="A82" s="19"/>
      <c r="B82" s="19"/>
      <c r="C82" s="19"/>
      <c r="D82" s="20"/>
      <c r="E82" s="20"/>
      <c r="F82" s="20"/>
      <c r="G82" s="20"/>
      <c r="H82" s="20"/>
      <c r="I82" s="20"/>
      <c r="J82" s="20"/>
      <c r="K82" s="21"/>
      <c r="L82" s="21"/>
    </row>
    <row r="83" spans="1:20" outlineLevel="1" x14ac:dyDescent="0.35">
      <c r="A83" s="19"/>
      <c r="B83" s="19"/>
      <c r="C83" s="19"/>
      <c r="D83" s="20"/>
      <c r="E83" s="20"/>
      <c r="F83" s="20"/>
      <c r="G83" s="20"/>
      <c r="H83" s="20"/>
      <c r="I83" s="20"/>
      <c r="J83" s="20"/>
      <c r="K83" s="21"/>
      <c r="L83" s="21"/>
    </row>
    <row r="84" spans="1:20" outlineLevel="1" x14ac:dyDescent="0.35">
      <c r="C84" s="25" t="s">
        <v>80</v>
      </c>
      <c r="D84" s="353" t="s">
        <v>10</v>
      </c>
      <c r="E84" s="269"/>
      <c r="F84" s="269">
        <f>F24*F26</f>
        <v>3750000</v>
      </c>
      <c r="G84" s="269">
        <f>G24*G26</f>
        <v>4016250</v>
      </c>
      <c r="H84" s="269">
        <f>H24*H26</f>
        <v>4301403.75</v>
      </c>
      <c r="I84" s="269">
        <f>I24*I26</f>
        <v>4606803.4162500007</v>
      </c>
      <c r="J84" s="269">
        <f>J24*J26</f>
        <v>4933886.4588037506</v>
      </c>
      <c r="K84" s="21"/>
      <c r="L84" s="21"/>
    </row>
    <row r="85" spans="1:20" outlineLevel="1" x14ac:dyDescent="0.35">
      <c r="C85" s="25" t="s">
        <v>81</v>
      </c>
      <c r="D85" s="353" t="s">
        <v>10</v>
      </c>
      <c r="E85" s="269"/>
      <c r="F85" s="269">
        <f>-F84*$F$32</f>
        <v>-1687499.9999999998</v>
      </c>
      <c r="G85" s="269">
        <f t="shared" ref="G85:J85" si="14">-G84*$F$32</f>
        <v>-1807312.4999999998</v>
      </c>
      <c r="H85" s="269">
        <f t="shared" si="14"/>
        <v>-1935631.6874999998</v>
      </c>
      <c r="I85" s="269">
        <f t="shared" si="14"/>
        <v>-2073061.5373125002</v>
      </c>
      <c r="J85" s="269">
        <f t="shared" si="14"/>
        <v>-2220248.9064616878</v>
      </c>
      <c r="K85" s="21"/>
      <c r="L85" s="21"/>
    </row>
    <row r="86" spans="1:20" outlineLevel="1" x14ac:dyDescent="0.35">
      <c r="C86" s="19" t="s">
        <v>82</v>
      </c>
      <c r="D86" s="353" t="s">
        <v>10</v>
      </c>
      <c r="E86" s="270"/>
      <c r="F86" s="270">
        <f>SUM(F84:F85)</f>
        <v>2062500.0000000002</v>
      </c>
      <c r="G86" s="270">
        <f t="shared" ref="G86:J86" si="15">SUM(G84:G85)</f>
        <v>2208937.5</v>
      </c>
      <c r="H86" s="270">
        <f t="shared" si="15"/>
        <v>2365772.0625</v>
      </c>
      <c r="I86" s="270">
        <f t="shared" si="15"/>
        <v>2533741.8789375005</v>
      </c>
      <c r="J86" s="270">
        <f t="shared" si="15"/>
        <v>2713637.5523420628</v>
      </c>
      <c r="K86" s="21"/>
      <c r="L86" s="21"/>
    </row>
    <row r="87" spans="1:20" s="30" customFormat="1" outlineLevel="1" x14ac:dyDescent="0.35">
      <c r="A87" s="39"/>
      <c r="B87" s="39"/>
      <c r="C87" s="25" t="s">
        <v>83</v>
      </c>
      <c r="D87" s="353" t="s">
        <v>10</v>
      </c>
      <c r="E87" s="269"/>
      <c r="F87" s="269">
        <f>F48</f>
        <v>-500000</v>
      </c>
      <c r="G87" s="269">
        <f>G48</f>
        <v>-500000</v>
      </c>
      <c r="H87" s="269">
        <f>H48</f>
        <v>-500000</v>
      </c>
      <c r="I87" s="269">
        <f>I48</f>
        <v>-500000</v>
      </c>
      <c r="J87" s="269">
        <f>J48</f>
        <v>-500000</v>
      </c>
      <c r="K87" s="31"/>
      <c r="L87" s="31"/>
      <c r="N87" s="22"/>
      <c r="O87" s="22"/>
      <c r="P87" s="22"/>
      <c r="Q87" s="22"/>
      <c r="R87" s="22"/>
      <c r="S87" s="22"/>
      <c r="T87" s="22"/>
    </row>
    <row r="88" spans="1:20" outlineLevel="1" x14ac:dyDescent="0.35">
      <c r="C88" s="25" t="s">
        <v>84</v>
      </c>
      <c r="D88" s="353" t="s">
        <v>10</v>
      </c>
      <c r="E88" s="269"/>
      <c r="F88" s="269">
        <f>-$F$14</f>
        <v>-775000</v>
      </c>
      <c r="G88" s="269">
        <f t="shared" ref="G88:J88" si="16">-$F$14</f>
        <v>-775000</v>
      </c>
      <c r="H88" s="269">
        <f t="shared" si="16"/>
        <v>-775000</v>
      </c>
      <c r="I88" s="269">
        <f t="shared" si="16"/>
        <v>-775000</v>
      </c>
      <c r="J88" s="269">
        <f t="shared" si="16"/>
        <v>-775000</v>
      </c>
      <c r="K88" s="21"/>
      <c r="L88" s="40"/>
      <c r="N88" s="30"/>
      <c r="O88" s="30"/>
      <c r="P88" s="30"/>
      <c r="Q88" s="30"/>
      <c r="R88" s="30"/>
      <c r="S88" s="30"/>
      <c r="T88" s="30"/>
    </row>
    <row r="89" spans="1:20" s="30" customFormat="1" outlineLevel="1" x14ac:dyDescent="0.35">
      <c r="A89" s="39"/>
      <c r="B89" s="39"/>
      <c r="C89" s="19" t="s">
        <v>85</v>
      </c>
      <c r="D89" s="353" t="s">
        <v>10</v>
      </c>
      <c r="E89" s="270"/>
      <c r="F89" s="269">
        <f>F50</f>
        <v>787500.00000000023</v>
      </c>
      <c r="G89" s="269">
        <f>G50</f>
        <v>933937.5</v>
      </c>
      <c r="H89" s="269">
        <f>H50</f>
        <v>1090772.0625</v>
      </c>
      <c r="I89" s="269">
        <f>I50</f>
        <v>1258741.8789375005</v>
      </c>
      <c r="J89" s="269">
        <f>J50</f>
        <v>1438637.5523420628</v>
      </c>
      <c r="K89" s="31"/>
      <c r="L89" s="31"/>
      <c r="N89" s="22"/>
      <c r="O89" s="22"/>
      <c r="P89" s="22"/>
      <c r="Q89" s="22"/>
      <c r="R89" s="22"/>
      <c r="S89" s="22"/>
      <c r="T89" s="22"/>
    </row>
    <row r="90" spans="1:20" outlineLevel="1" x14ac:dyDescent="0.35">
      <c r="C90" s="25" t="s">
        <v>105</v>
      </c>
      <c r="D90" s="353" t="s">
        <v>10</v>
      </c>
      <c r="E90" s="269"/>
      <c r="F90" s="269">
        <f>-F89*tax</f>
        <v>-315000.00000000012</v>
      </c>
      <c r="G90" s="269">
        <f>-G89*tax</f>
        <v>-373575</v>
      </c>
      <c r="H90" s="269">
        <f>-H89*tax</f>
        <v>-436308.82500000001</v>
      </c>
      <c r="I90" s="269">
        <f>-I89*tax</f>
        <v>-503496.75157500023</v>
      </c>
      <c r="J90" s="269">
        <f>-J89*tax</f>
        <v>-575455.0209368252</v>
      </c>
      <c r="K90" s="21"/>
      <c r="L90" s="21"/>
      <c r="N90" s="30"/>
      <c r="O90" s="30"/>
      <c r="P90" s="30"/>
      <c r="Q90" s="30"/>
      <c r="R90" s="30"/>
      <c r="S90" s="30"/>
      <c r="T90" s="30"/>
    </row>
    <row r="91" spans="1:20" s="30" customFormat="1" outlineLevel="1" x14ac:dyDescent="0.35">
      <c r="A91" s="39"/>
      <c r="B91" s="39"/>
      <c r="C91" s="95" t="s">
        <v>106</v>
      </c>
      <c r="D91" s="353" t="s">
        <v>10</v>
      </c>
      <c r="E91" s="270"/>
      <c r="F91" s="269">
        <f>SUM(F89:F90)</f>
        <v>472500.00000000012</v>
      </c>
      <c r="G91" s="269">
        <f t="shared" ref="G91:J91" si="17">SUM(G89:G90)</f>
        <v>560362.5</v>
      </c>
      <c r="H91" s="269">
        <f t="shared" si="17"/>
        <v>654463.23750000005</v>
      </c>
      <c r="I91" s="269">
        <f t="shared" si="17"/>
        <v>755245.12736250029</v>
      </c>
      <c r="J91" s="269">
        <f t="shared" si="17"/>
        <v>863182.53140523762</v>
      </c>
      <c r="K91" s="31"/>
      <c r="N91" s="22"/>
      <c r="O91" s="22"/>
      <c r="P91" s="22"/>
      <c r="Q91" s="22"/>
      <c r="R91" s="22"/>
      <c r="S91" s="22"/>
      <c r="T91" s="22"/>
    </row>
    <row r="92" spans="1:20" outlineLevel="1" x14ac:dyDescent="0.35">
      <c r="C92" s="25" t="s">
        <v>107</v>
      </c>
      <c r="D92" s="353" t="s">
        <v>10</v>
      </c>
      <c r="E92" s="269"/>
      <c r="F92" s="269">
        <f>-F49</f>
        <v>775000</v>
      </c>
      <c r="G92" s="269">
        <f>-G49</f>
        <v>775000</v>
      </c>
      <c r="H92" s="269">
        <f>-H49</f>
        <v>775000</v>
      </c>
      <c r="I92" s="269">
        <f>-I49</f>
        <v>775000</v>
      </c>
      <c r="J92" s="269">
        <f>-J49</f>
        <v>775000</v>
      </c>
      <c r="N92" s="30"/>
      <c r="O92" s="30"/>
      <c r="P92" s="30"/>
      <c r="Q92" s="30"/>
      <c r="R92" s="30"/>
      <c r="S92" s="30"/>
      <c r="T92" s="30"/>
    </row>
    <row r="93" spans="1:20" outlineLevel="1" x14ac:dyDescent="0.35">
      <c r="C93" s="25" t="s">
        <v>108</v>
      </c>
      <c r="D93" s="353" t="s">
        <v>10</v>
      </c>
      <c r="E93" s="271">
        <f t="shared" ref="E93:J93" si="18">-E76</f>
        <v>-250000</v>
      </c>
      <c r="F93" s="271">
        <f t="shared" si="18"/>
        <v>198630.1369863014</v>
      </c>
      <c r="G93" s="271">
        <f t="shared" si="18"/>
        <v>-3647.2602739726426</v>
      </c>
      <c r="H93" s="271">
        <f t="shared" si="18"/>
        <v>-3906.2157534246799</v>
      </c>
      <c r="I93" s="271">
        <f t="shared" si="18"/>
        <v>-4183.5570719178068</v>
      </c>
      <c r="J93" s="271">
        <f t="shared" si="18"/>
        <v>63106.896113013732</v>
      </c>
    </row>
    <row r="94" spans="1:20" outlineLevel="1" x14ac:dyDescent="0.35">
      <c r="C94" s="25"/>
      <c r="D94" s="353"/>
      <c r="E94" s="271"/>
      <c r="F94" s="271"/>
      <c r="G94" s="271"/>
      <c r="H94" s="271"/>
      <c r="I94" s="271"/>
      <c r="J94" s="271"/>
    </row>
    <row r="95" spans="1:20" outlineLevel="1" x14ac:dyDescent="0.35">
      <c r="C95" s="25" t="s">
        <v>109</v>
      </c>
      <c r="D95" s="353" t="s">
        <v>10</v>
      </c>
      <c r="E95" s="270">
        <f>-E9</f>
        <v>-6200000</v>
      </c>
      <c r="F95" s="269">
        <v>0</v>
      </c>
      <c r="G95" s="269">
        <v>0</v>
      </c>
      <c r="H95" s="269">
        <v>0</v>
      </c>
      <c r="I95" s="269">
        <v>0</v>
      </c>
      <c r="J95" s="269">
        <v>0</v>
      </c>
    </row>
    <row r="96" spans="1:20" outlineLevel="1" x14ac:dyDescent="0.35">
      <c r="C96" s="25" t="s">
        <v>308</v>
      </c>
      <c r="D96" s="353" t="s">
        <v>10</v>
      </c>
      <c r="E96" s="272">
        <v>0</v>
      </c>
      <c r="F96" s="272">
        <v>0</v>
      </c>
      <c r="G96" s="272">
        <v>0</v>
      </c>
      <c r="H96" s="272">
        <v>0</v>
      </c>
      <c r="I96" s="272">
        <v>0</v>
      </c>
      <c r="J96" s="269">
        <f>J104</f>
        <v>3330000</v>
      </c>
    </row>
    <row r="97" spans="2:10" outlineLevel="1" x14ac:dyDescent="0.35">
      <c r="C97" s="96" t="s">
        <v>111</v>
      </c>
      <c r="D97" s="353" t="s">
        <v>10</v>
      </c>
      <c r="E97" s="273">
        <f t="shared" ref="E97:J97" si="19">SUM(E91:E96)</f>
        <v>-6450000</v>
      </c>
      <c r="F97" s="273">
        <f t="shared" si="19"/>
        <v>1446130.1369863013</v>
      </c>
      <c r="G97" s="273">
        <f t="shared" si="19"/>
        <v>1331715.2397260275</v>
      </c>
      <c r="H97" s="273">
        <f t="shared" si="19"/>
        <v>1425557.0217465754</v>
      </c>
      <c r="I97" s="273">
        <f t="shared" si="19"/>
        <v>1526061.5702905827</v>
      </c>
      <c r="J97" s="273">
        <f t="shared" si="19"/>
        <v>5031289.4275182514</v>
      </c>
    </row>
    <row r="98" spans="2:10" outlineLevel="1" x14ac:dyDescent="0.35">
      <c r="C98" s="19"/>
      <c r="D98" s="20"/>
      <c r="E98" s="37"/>
      <c r="F98" s="37"/>
      <c r="G98" s="37"/>
      <c r="H98" s="37"/>
      <c r="I98" s="37"/>
      <c r="J98" s="37"/>
    </row>
    <row r="99" spans="2:10" outlineLevel="1" x14ac:dyDescent="0.35">
      <c r="C99" s="19"/>
      <c r="D99" s="20"/>
      <c r="E99" s="37"/>
      <c r="F99" s="37"/>
      <c r="G99" s="37"/>
      <c r="H99" s="37"/>
      <c r="I99" s="282" t="s">
        <v>112</v>
      </c>
      <c r="J99" s="283">
        <f>J16</f>
        <v>2325000</v>
      </c>
    </row>
    <row r="100" spans="2:10" outlineLevel="1" x14ac:dyDescent="0.35">
      <c r="C100" s="19"/>
      <c r="D100" s="20"/>
      <c r="E100" s="37"/>
      <c r="F100" s="37"/>
      <c r="G100" s="37"/>
      <c r="H100" s="37"/>
      <c r="I100" s="282"/>
      <c r="J100" s="283"/>
    </row>
    <row r="101" spans="2:10" outlineLevel="1" x14ac:dyDescent="0.35">
      <c r="C101" s="19"/>
      <c r="D101" s="20"/>
      <c r="E101" s="37"/>
      <c r="F101" s="37"/>
      <c r="G101" s="37"/>
      <c r="H101" s="37"/>
      <c r="I101" s="282" t="s">
        <v>113</v>
      </c>
      <c r="J101" s="283">
        <f>E12</f>
        <v>4000000</v>
      </c>
    </row>
    <row r="102" spans="2:10" outlineLevel="1" x14ac:dyDescent="0.35">
      <c r="C102" s="19"/>
      <c r="D102" s="20"/>
      <c r="E102" s="37"/>
      <c r="F102" s="37"/>
      <c r="G102" s="37"/>
      <c r="H102" s="37"/>
      <c r="I102" s="284" t="s">
        <v>114</v>
      </c>
      <c r="J102" s="283">
        <f>J101-J99</f>
        <v>1675000</v>
      </c>
    </row>
    <row r="103" spans="2:10" outlineLevel="1" x14ac:dyDescent="0.35">
      <c r="C103" s="19"/>
      <c r="D103" s="20"/>
      <c r="E103" s="37"/>
      <c r="F103" s="37"/>
      <c r="G103" s="37"/>
      <c r="H103" s="37"/>
      <c r="I103" s="284" t="s">
        <v>115</v>
      </c>
      <c r="J103" s="283">
        <f>J102*tax</f>
        <v>670000</v>
      </c>
    </row>
    <row r="104" spans="2:10" outlineLevel="1" x14ac:dyDescent="0.35">
      <c r="C104" s="19"/>
      <c r="D104" s="20"/>
      <c r="E104" s="37"/>
      <c r="F104" s="37"/>
      <c r="G104" s="37"/>
      <c r="H104" s="37"/>
      <c r="I104" s="282" t="s">
        <v>116</v>
      </c>
      <c r="J104" s="283">
        <f>J101-J103</f>
        <v>3330000</v>
      </c>
    </row>
    <row r="105" spans="2:10" outlineLevel="1" x14ac:dyDescent="0.35">
      <c r="C105" s="19"/>
      <c r="D105" s="20"/>
      <c r="E105" s="37"/>
      <c r="F105" s="37"/>
      <c r="G105" s="37"/>
      <c r="H105" s="37"/>
      <c r="I105" s="37"/>
      <c r="J105" s="37"/>
    </row>
    <row r="106" spans="2:10" outlineLevel="1" x14ac:dyDescent="0.35">
      <c r="C106" s="19"/>
      <c r="D106" s="20"/>
      <c r="E106" s="37"/>
      <c r="F106" s="37"/>
      <c r="G106" s="37"/>
      <c r="H106" s="37"/>
      <c r="I106" s="37"/>
      <c r="J106" s="37"/>
    </row>
    <row r="107" spans="2:10" outlineLevel="1" x14ac:dyDescent="0.35">
      <c r="C107" s="19"/>
      <c r="D107" s="20"/>
      <c r="E107" s="37"/>
      <c r="F107" s="37"/>
      <c r="G107" s="37"/>
      <c r="H107" s="37"/>
      <c r="I107" s="37"/>
      <c r="J107" s="37"/>
    </row>
    <row r="108" spans="2:10" ht="23" outlineLevel="1" x14ac:dyDescent="0.35">
      <c r="B108" s="346" t="s">
        <v>117</v>
      </c>
      <c r="C108" s="19"/>
      <c r="D108" s="20"/>
      <c r="E108" s="37"/>
      <c r="F108" s="37"/>
      <c r="G108" s="37"/>
      <c r="H108" s="37"/>
      <c r="I108" s="37"/>
      <c r="J108" s="37"/>
    </row>
    <row r="109" spans="2:10" outlineLevel="1" x14ac:dyDescent="0.35">
      <c r="C109" s="19"/>
      <c r="D109" s="20"/>
      <c r="E109" s="37"/>
      <c r="F109" s="37"/>
      <c r="G109" s="37"/>
      <c r="H109" s="37"/>
      <c r="I109" s="37"/>
      <c r="J109" s="37"/>
    </row>
    <row r="110" spans="2:10" outlineLevel="1" x14ac:dyDescent="0.35">
      <c r="C110" s="19"/>
      <c r="D110" s="20"/>
      <c r="E110" s="37"/>
      <c r="F110" s="37"/>
      <c r="G110" s="37"/>
      <c r="H110" s="37"/>
      <c r="I110" s="37"/>
      <c r="J110" s="37"/>
    </row>
    <row r="111" spans="2:10" outlineLevel="1" x14ac:dyDescent="0.35">
      <c r="C111" s="19"/>
      <c r="D111" s="20"/>
      <c r="E111" s="37"/>
      <c r="F111" s="37"/>
      <c r="G111" s="37"/>
      <c r="H111" s="37"/>
      <c r="I111" s="37"/>
      <c r="J111" s="37"/>
    </row>
    <row r="112" spans="2:10" outlineLevel="1" x14ac:dyDescent="0.35">
      <c r="C112" s="19"/>
      <c r="D112" s="20"/>
      <c r="E112" s="37"/>
      <c r="F112" s="37"/>
      <c r="G112" s="37"/>
      <c r="H112" s="37"/>
      <c r="I112" s="37"/>
      <c r="J112" s="37"/>
    </row>
    <row r="113" spans="1:22" s="43" customFormat="1" outlineLevel="1" x14ac:dyDescent="0.35">
      <c r="A113" s="42"/>
      <c r="B113" s="42"/>
      <c r="C113" s="19"/>
      <c r="D113" s="20"/>
      <c r="E113" s="37"/>
      <c r="F113" s="37"/>
      <c r="G113" s="37"/>
      <c r="H113" s="37"/>
      <c r="I113" s="37"/>
      <c r="J113" s="37"/>
      <c r="N113" s="22"/>
      <c r="O113" s="22"/>
      <c r="P113" s="22"/>
      <c r="Q113" s="22"/>
      <c r="R113" s="22"/>
      <c r="S113" s="22"/>
      <c r="T113" s="22"/>
    </row>
    <row r="114" spans="1:22" s="43" customFormat="1" outlineLevel="1" x14ac:dyDescent="0.35">
      <c r="A114" s="42"/>
      <c r="B114" s="42"/>
      <c r="C114" s="19"/>
      <c r="D114" s="20"/>
      <c r="E114" s="37"/>
      <c r="F114" s="37"/>
      <c r="G114" s="37"/>
      <c r="H114" s="37"/>
      <c r="I114" s="37"/>
      <c r="J114" s="37"/>
    </row>
    <row r="115" spans="1:22" s="43" customFormat="1" outlineLevel="1" x14ac:dyDescent="0.35">
      <c r="A115" s="42"/>
      <c r="B115" s="42"/>
      <c r="C115" s="19"/>
      <c r="D115" s="20"/>
      <c r="E115" s="37"/>
      <c r="F115" s="37"/>
      <c r="G115" s="37"/>
      <c r="H115" s="37"/>
      <c r="I115" s="37"/>
      <c r="J115" s="37"/>
    </row>
    <row r="116" spans="1:22" s="43" customFormat="1" outlineLevel="1" x14ac:dyDescent="0.35">
      <c r="A116" s="42"/>
      <c r="B116" s="42"/>
      <c r="C116" s="19"/>
      <c r="D116" s="20"/>
      <c r="E116" s="37"/>
      <c r="F116" s="37"/>
      <c r="G116" s="37"/>
      <c r="H116" s="37"/>
      <c r="I116" s="37"/>
      <c r="J116" s="37"/>
    </row>
    <row r="117" spans="1:22" s="43" customFormat="1" outlineLevel="1" x14ac:dyDescent="0.35">
      <c r="A117" s="42"/>
      <c r="B117" s="42"/>
      <c r="C117" s="19"/>
      <c r="D117" s="20"/>
      <c r="E117" s="37"/>
      <c r="F117" s="37"/>
      <c r="G117" s="37"/>
      <c r="H117" s="37"/>
      <c r="I117" s="37"/>
      <c r="J117" s="37"/>
    </row>
    <row r="118" spans="1:22" s="43" customFormat="1" outlineLevel="1" x14ac:dyDescent="0.35">
      <c r="A118" s="42"/>
      <c r="B118" s="42"/>
      <c r="C118" s="19"/>
      <c r="D118" s="20"/>
      <c r="E118" s="37"/>
      <c r="F118" s="37"/>
      <c r="G118" s="37"/>
      <c r="H118" s="37"/>
      <c r="I118" s="37"/>
      <c r="J118" s="37"/>
    </row>
    <row r="119" spans="1:22" s="30" customFormat="1" ht="16" outlineLevel="1" thickBot="1" x14ac:dyDescent="0.4">
      <c r="A119" s="98" t="s">
        <v>118</v>
      </c>
      <c r="B119" s="98"/>
      <c r="C119" s="99"/>
      <c r="D119" s="355"/>
      <c r="E119" s="103">
        <v>0</v>
      </c>
      <c r="F119" s="103">
        <v>1</v>
      </c>
      <c r="G119" s="103">
        <v>2</v>
      </c>
      <c r="H119" s="103">
        <v>3</v>
      </c>
      <c r="I119" s="103">
        <v>4</v>
      </c>
      <c r="J119" s="103">
        <v>5</v>
      </c>
      <c r="K119" s="170"/>
      <c r="L119" s="31"/>
      <c r="M119" s="31"/>
      <c r="N119" s="43"/>
      <c r="O119" s="43"/>
      <c r="P119" s="43"/>
      <c r="Q119" s="43"/>
      <c r="R119" s="43"/>
      <c r="S119" s="43"/>
      <c r="T119" s="43"/>
      <c r="U119" s="71"/>
      <c r="V119" s="71"/>
    </row>
    <row r="120" spans="1:22" s="43" customFormat="1" outlineLevel="1" x14ac:dyDescent="0.35">
      <c r="A120" s="42"/>
      <c r="B120" s="42"/>
      <c r="C120" s="19"/>
      <c r="D120" s="20"/>
      <c r="E120" s="37"/>
      <c r="F120" s="37"/>
      <c r="G120" s="37"/>
      <c r="H120" s="37"/>
      <c r="I120" s="37"/>
      <c r="J120" s="37"/>
      <c r="N120" s="83"/>
      <c r="O120" s="71"/>
      <c r="P120" s="71"/>
      <c r="Q120" s="71"/>
      <c r="R120" s="71"/>
      <c r="S120" s="71"/>
      <c r="T120" s="71"/>
    </row>
    <row r="121" spans="1:22" s="43" customFormat="1" outlineLevel="1" x14ac:dyDescent="0.35">
      <c r="A121" s="42"/>
      <c r="B121" s="42"/>
      <c r="C121" s="19"/>
      <c r="D121" s="20"/>
      <c r="E121" s="37"/>
      <c r="F121" s="37"/>
      <c r="G121" s="37"/>
      <c r="H121" s="37"/>
      <c r="I121" s="37"/>
      <c r="J121" s="37"/>
    </row>
    <row r="122" spans="1:22" s="43" customFormat="1" outlineLevel="1" x14ac:dyDescent="0.35">
      <c r="A122" s="42"/>
      <c r="B122" s="42"/>
      <c r="C122" s="44" t="s">
        <v>119</v>
      </c>
      <c r="D122" s="107"/>
      <c r="K122" s="45"/>
    </row>
    <row r="123" spans="1:22" s="43" customFormat="1" outlineLevel="1" x14ac:dyDescent="0.35">
      <c r="A123" s="42"/>
      <c r="B123" s="42"/>
      <c r="C123" s="43" t="s">
        <v>120</v>
      </c>
      <c r="D123" s="354"/>
      <c r="E123" s="5">
        <f t="shared" ref="E123:J123" si="20">+E97</f>
        <v>-6450000</v>
      </c>
      <c r="F123" s="4">
        <f t="shared" si="20"/>
        <v>1446130.1369863013</v>
      </c>
      <c r="G123" s="5">
        <f t="shared" si="20"/>
        <v>1331715.2397260275</v>
      </c>
      <c r="H123" s="5">
        <f t="shared" si="20"/>
        <v>1425557.0217465754</v>
      </c>
      <c r="I123" s="5">
        <f t="shared" si="20"/>
        <v>1526061.5702905827</v>
      </c>
      <c r="J123" s="5">
        <f t="shared" si="20"/>
        <v>5031289.4275182514</v>
      </c>
    </row>
    <row r="124" spans="1:22" s="43" customFormat="1" outlineLevel="1" x14ac:dyDescent="0.35">
      <c r="A124" s="42"/>
      <c r="B124" s="42"/>
      <c r="C124" s="43" t="s">
        <v>121</v>
      </c>
      <c r="D124" s="354"/>
      <c r="E124" s="8">
        <f>1/(1+$E$41)^E2</f>
        <v>1</v>
      </c>
      <c r="F124" s="8">
        <f>1/(1+$E$41)^F2</f>
        <v>0.93628575441224671</v>
      </c>
      <c r="G124" s="8">
        <f>1/(1+$E$41)^G2</f>
        <v>0.87663101391530995</v>
      </c>
      <c r="H124" s="8">
        <f>1/(1+$E$41)^H2</f>
        <v>0.82077713020486875</v>
      </c>
      <c r="I124" s="8">
        <f>1/(1+$E$41)^I2</f>
        <v>0.76848193455818425</v>
      </c>
      <c r="J124" s="8">
        <f>1/(1+$E$41)^J2</f>
        <v>0.7195186878499924</v>
      </c>
      <c r="K124" s="47"/>
    </row>
    <row r="125" spans="1:22" s="43" customFormat="1" ht="16" outlineLevel="1" thickBot="1" x14ac:dyDescent="0.4">
      <c r="A125" s="42"/>
      <c r="B125" s="42"/>
      <c r="C125" s="43" t="s">
        <v>122</v>
      </c>
      <c r="D125" s="354"/>
      <c r="E125" s="5">
        <f t="shared" ref="E125:J125" si="21">+E123*E124</f>
        <v>-6450000</v>
      </c>
      <c r="F125" s="4">
        <f t="shared" si="21"/>
        <v>1353991.0462865047</v>
      </c>
      <c r="G125" s="5">
        <f t="shared" si="21"/>
        <v>1167422.8808474976</v>
      </c>
      <c r="H125" s="5">
        <f t="shared" si="21"/>
        <v>1170064.6012525538</v>
      </c>
      <c r="I125" s="5">
        <f t="shared" si="21"/>
        <v>1172750.7477918074</v>
      </c>
      <c r="J125" s="5">
        <f t="shared" si="21"/>
        <v>3620106.7670814716</v>
      </c>
    </row>
    <row r="126" spans="1:22" s="43" customFormat="1" ht="16" outlineLevel="1" thickBot="1" x14ac:dyDescent="0.4">
      <c r="A126" s="42"/>
      <c r="B126" s="42"/>
      <c r="C126" s="44" t="s">
        <v>123</v>
      </c>
      <c r="D126" s="107"/>
      <c r="E126" s="97">
        <f>SUM(E125:J125)</f>
        <v>2034336.0432598356</v>
      </c>
      <c r="F126" s="4"/>
      <c r="G126" s="5"/>
      <c r="H126" s="5"/>
      <c r="I126" s="5"/>
      <c r="J126" s="5"/>
    </row>
    <row r="127" spans="1:22" s="43" customFormat="1" ht="16" outlineLevel="1" thickBot="1" x14ac:dyDescent="0.4">
      <c r="A127" s="42"/>
      <c r="B127" s="42"/>
      <c r="D127" s="354"/>
      <c r="E127" s="5"/>
      <c r="F127" s="4"/>
      <c r="G127" s="5"/>
      <c r="H127" s="5"/>
      <c r="I127" s="5"/>
      <c r="J127" s="5"/>
    </row>
    <row r="128" spans="1:22" s="43" customFormat="1" ht="16" outlineLevel="1" thickBot="1" x14ac:dyDescent="0.4">
      <c r="A128" s="42"/>
      <c r="B128" s="42"/>
      <c r="C128" s="44" t="s">
        <v>124</v>
      </c>
      <c r="D128" s="107"/>
      <c r="E128" s="104">
        <f>NPV(E41,F123:J123)+E123</f>
        <v>2034336.0432598349</v>
      </c>
      <c r="F128" s="4"/>
      <c r="G128" s="5"/>
      <c r="H128" s="5"/>
      <c r="I128" s="5"/>
      <c r="J128" s="5"/>
    </row>
    <row r="129" spans="1:12" s="43" customFormat="1" outlineLevel="1" x14ac:dyDescent="0.35">
      <c r="A129" s="42"/>
      <c r="B129" s="42"/>
      <c r="D129" s="354"/>
      <c r="K129" s="44"/>
    </row>
    <row r="130" spans="1:12" s="43" customFormat="1" outlineLevel="1" x14ac:dyDescent="0.35">
      <c r="A130" s="42"/>
      <c r="B130" s="42"/>
      <c r="C130" s="44" t="s">
        <v>125</v>
      </c>
      <c r="D130" s="107"/>
      <c r="E130" s="44"/>
      <c r="F130" s="44"/>
      <c r="G130" s="44"/>
      <c r="H130" s="44"/>
      <c r="I130" s="44"/>
      <c r="J130" s="44"/>
    </row>
    <row r="131" spans="1:12" s="43" customFormat="1" outlineLevel="1" x14ac:dyDescent="0.35">
      <c r="A131" s="42"/>
      <c r="B131" s="42"/>
      <c r="C131" s="43" t="s">
        <v>122</v>
      </c>
      <c r="D131" s="354"/>
      <c r="E131" s="5">
        <f t="shared" ref="E131:J131" si="22">IF(E125&lt;0,0,E125)</f>
        <v>0</v>
      </c>
      <c r="F131" s="4">
        <f t="shared" si="22"/>
        <v>1353991.0462865047</v>
      </c>
      <c r="G131" s="5">
        <f t="shared" si="22"/>
        <v>1167422.8808474976</v>
      </c>
      <c r="H131" s="5">
        <f t="shared" si="22"/>
        <v>1170064.6012525538</v>
      </c>
      <c r="I131" s="5">
        <f t="shared" si="22"/>
        <v>1172750.7477918074</v>
      </c>
      <c r="J131" s="5">
        <f t="shared" si="22"/>
        <v>3620106.7670814716</v>
      </c>
    </row>
    <row r="132" spans="1:12" s="43" customFormat="1" outlineLevel="1" x14ac:dyDescent="0.35">
      <c r="A132" s="42"/>
      <c r="B132" s="42"/>
      <c r="C132" s="43" t="s">
        <v>126</v>
      </c>
      <c r="D132" s="354"/>
      <c r="E132" s="5">
        <f>SUM(E131:J131)</f>
        <v>8484336.0432598349</v>
      </c>
      <c r="F132" s="4"/>
      <c r="G132" s="5"/>
      <c r="H132" s="5"/>
      <c r="I132" s="5"/>
      <c r="J132" s="5"/>
      <c r="K132" s="5"/>
    </row>
    <row r="133" spans="1:12" s="43" customFormat="1" ht="16" outlineLevel="1" thickBot="1" x14ac:dyDescent="0.4">
      <c r="A133" s="42"/>
      <c r="B133" s="42"/>
      <c r="C133" s="43" t="s">
        <v>127</v>
      </c>
      <c r="D133" s="354"/>
      <c r="E133" s="5">
        <f>ABS(E125)</f>
        <v>6450000</v>
      </c>
      <c r="F133" s="4"/>
      <c r="G133" s="5"/>
      <c r="H133" s="5"/>
      <c r="I133" s="5"/>
      <c r="J133" s="5"/>
      <c r="K133" s="5"/>
    </row>
    <row r="134" spans="1:12" s="43" customFormat="1" ht="16" outlineLevel="1" thickBot="1" x14ac:dyDescent="0.4">
      <c r="A134" s="42"/>
      <c r="B134" s="42"/>
      <c r="C134" s="43" t="s">
        <v>125</v>
      </c>
      <c r="D134" s="354"/>
      <c r="E134" s="223">
        <f>E132/E133</f>
        <v>1.3154009369395092</v>
      </c>
    </row>
    <row r="135" spans="1:12" s="43" customFormat="1" ht="20.25" customHeight="1" outlineLevel="1" x14ac:dyDescent="0.35">
      <c r="A135" s="42"/>
      <c r="B135" s="42"/>
      <c r="D135" s="354"/>
      <c r="E135" s="105"/>
      <c r="L135" s="159"/>
    </row>
    <row r="136" spans="1:12" s="43" customFormat="1" ht="20.25" customHeight="1" outlineLevel="1" x14ac:dyDescent="0.35">
      <c r="A136" s="42"/>
      <c r="B136" s="42"/>
      <c r="D136" s="354"/>
      <c r="E136" s="105"/>
      <c r="L136" s="159"/>
    </row>
    <row r="137" spans="1:12" s="43" customFormat="1" ht="20.25" customHeight="1" outlineLevel="1" x14ac:dyDescent="0.35">
      <c r="A137" s="42"/>
      <c r="B137" s="42"/>
      <c r="D137" s="354"/>
      <c r="E137" s="105"/>
      <c r="L137" s="159"/>
    </row>
    <row r="138" spans="1:12" s="43" customFormat="1" ht="20.25" customHeight="1" outlineLevel="1" x14ac:dyDescent="0.35">
      <c r="A138" s="42"/>
      <c r="B138" s="42"/>
      <c r="D138" s="354"/>
      <c r="E138" s="105"/>
      <c r="L138" s="159"/>
    </row>
    <row r="139" spans="1:12" s="43" customFormat="1" ht="20.25" customHeight="1" outlineLevel="1" x14ac:dyDescent="0.35">
      <c r="A139" s="42"/>
      <c r="B139" s="42"/>
      <c r="D139" s="354"/>
      <c r="E139" s="105"/>
      <c r="L139" s="159"/>
    </row>
    <row r="140" spans="1:12" s="43" customFormat="1" outlineLevel="1" x14ac:dyDescent="0.35">
      <c r="A140" s="42"/>
      <c r="B140" s="42"/>
      <c r="C140" s="44" t="s">
        <v>128</v>
      </c>
      <c r="D140" s="107"/>
      <c r="E140" s="107">
        <f>E1</f>
        <v>2024</v>
      </c>
      <c r="F140" s="107">
        <f>F1</f>
        <v>2025</v>
      </c>
      <c r="G140" s="107">
        <f>G1</f>
        <v>2026</v>
      </c>
      <c r="H140" s="107">
        <f>H1</f>
        <v>2027</v>
      </c>
      <c r="I140" s="107">
        <f>I1</f>
        <v>2028</v>
      </c>
      <c r="J140" s="107">
        <f>J1</f>
        <v>2029</v>
      </c>
    </row>
    <row r="141" spans="1:12" s="43" customFormat="1" outlineLevel="1" x14ac:dyDescent="0.35">
      <c r="A141" s="42"/>
      <c r="B141" s="42"/>
      <c r="C141" s="44" t="s">
        <v>129</v>
      </c>
      <c r="D141" s="107"/>
      <c r="E141" s="44"/>
      <c r="F141" s="44"/>
      <c r="G141" s="44"/>
      <c r="H141" s="44"/>
      <c r="I141" s="44"/>
      <c r="J141" s="44"/>
    </row>
    <row r="142" spans="1:12" s="43" customFormat="1" outlineLevel="1" x14ac:dyDescent="0.35">
      <c r="A142" s="42"/>
      <c r="B142" s="42"/>
      <c r="C142" s="43" t="str">
        <f>'C-SCENARIOS'!C123</f>
        <v>CASH FLOWS</v>
      </c>
      <c r="D142" s="354"/>
      <c r="E142" s="4">
        <f>E123</f>
        <v>-6450000</v>
      </c>
      <c r="F142" s="4">
        <f>F123</f>
        <v>1446130.1369863013</v>
      </c>
      <c r="G142" s="4">
        <f t="shared" ref="G142:J142" si="23">G123</f>
        <v>1331715.2397260275</v>
      </c>
      <c r="H142" s="4">
        <f t="shared" si="23"/>
        <v>1425557.0217465754</v>
      </c>
      <c r="I142" s="4">
        <f t="shared" si="23"/>
        <v>1526061.5702905827</v>
      </c>
      <c r="J142" s="4">
        <f t="shared" si="23"/>
        <v>5031289.4275182514</v>
      </c>
      <c r="K142" s="9"/>
    </row>
    <row r="143" spans="1:12" s="43" customFormat="1" outlineLevel="1" x14ac:dyDescent="0.35">
      <c r="A143" s="42"/>
      <c r="B143" s="42"/>
      <c r="C143" s="43" t="s">
        <v>130</v>
      </c>
      <c r="D143" s="354"/>
      <c r="E143" s="90"/>
      <c r="F143" s="89">
        <f>+E142+F142</f>
        <v>-5003869.8630136987</v>
      </c>
      <c r="G143" s="90">
        <f>+F143+G142</f>
        <v>-3672154.6232876712</v>
      </c>
      <c r="H143" s="90">
        <f>+G143+H142</f>
        <v>-2246597.6015410959</v>
      </c>
      <c r="I143" s="90">
        <f>+H143+I142</f>
        <v>-720536.03125051316</v>
      </c>
      <c r="J143" s="90">
        <f>+I143+J142</f>
        <v>4310753.3962677382</v>
      </c>
    </row>
    <row r="144" spans="1:12" s="43" customFormat="1" outlineLevel="1" x14ac:dyDescent="0.35">
      <c r="A144" s="42"/>
      <c r="B144" s="42"/>
      <c r="D144" s="354"/>
      <c r="E144" s="106"/>
      <c r="F144" s="195" t="str">
        <f>IF(F143&lt;0,"",E$2+ABS(E143)/F142)</f>
        <v/>
      </c>
      <c r="G144" s="195" t="str">
        <f t="shared" ref="G144:J144" si="24">IF(G143&lt;0,"",F$2+ABS(F143)/G142)</f>
        <v/>
      </c>
      <c r="H144" s="195" t="str">
        <f t="shared" si="24"/>
        <v/>
      </c>
      <c r="I144" s="195" t="str">
        <f t="shared" si="24"/>
        <v/>
      </c>
      <c r="J144" s="195">
        <f t="shared" si="24"/>
        <v>4.1432110081581861</v>
      </c>
      <c r="L144" s="44"/>
    </row>
    <row r="145" spans="1:20" s="43" customFormat="1" outlineLevel="1" x14ac:dyDescent="0.35">
      <c r="A145" s="42"/>
      <c r="B145" s="42"/>
      <c r="D145" s="354"/>
      <c r="E145" s="106"/>
      <c r="F145" s="116" t="str">
        <f>IF(F143&lt;0,"",CONCATENATE("Payback will be reached in ",TRUNC(F144,0)," years and ",ROUND((F144-E$2)*365,0)," days"))</f>
        <v/>
      </c>
      <c r="G145" s="116" t="str">
        <f t="shared" ref="G145:J145" si="25">IF(G143&lt;0,"",CONCATENATE("Payback will be reached in ",TRUNC(G144,0)," years and ",ROUND((G144-F$2)*365,0)," days"))</f>
        <v/>
      </c>
      <c r="H145" s="116" t="str">
        <f t="shared" si="25"/>
        <v/>
      </c>
      <c r="I145" s="116" t="str">
        <f t="shared" si="25"/>
        <v/>
      </c>
      <c r="J145" s="116" t="str">
        <f t="shared" si="25"/>
        <v>Payback will be reached in 4 years and 52 days</v>
      </c>
      <c r="L145" s="44"/>
    </row>
    <row r="146" spans="1:20" s="43" customFormat="1" outlineLevel="1" x14ac:dyDescent="0.35">
      <c r="A146" s="42"/>
      <c r="B146" s="42"/>
      <c r="D146" s="354"/>
      <c r="E146" s="108"/>
      <c r="F146" s="115"/>
      <c r="G146" s="115"/>
      <c r="H146" s="115"/>
      <c r="I146" s="115"/>
      <c r="J146" s="115">
        <f>I140-(I143/J142)</f>
        <v>2028.1432110081582</v>
      </c>
      <c r="L146" s="44"/>
    </row>
    <row r="147" spans="1:20" s="43" customFormat="1" outlineLevel="1" x14ac:dyDescent="0.35">
      <c r="A147" s="42"/>
      <c r="B147" s="42"/>
      <c r="C147" s="44" t="s">
        <v>131</v>
      </c>
      <c r="D147" s="107"/>
      <c r="E147" s="5"/>
      <c r="F147" s="4"/>
      <c r="G147" s="5"/>
      <c r="H147" s="5"/>
      <c r="I147" s="5"/>
      <c r="J147" s="5"/>
    </row>
    <row r="148" spans="1:20" s="43" customFormat="1" outlineLevel="1" x14ac:dyDescent="0.35">
      <c r="A148" s="42"/>
      <c r="B148" s="42"/>
      <c r="C148" s="43" t="s">
        <v>122</v>
      </c>
      <c r="D148" s="354"/>
      <c r="E148" s="5">
        <f t="shared" ref="E148:J148" si="26">+E125</f>
        <v>-6450000</v>
      </c>
      <c r="F148" s="4">
        <f t="shared" si="26"/>
        <v>1353991.0462865047</v>
      </c>
      <c r="G148" s="5">
        <f t="shared" si="26"/>
        <v>1167422.8808474976</v>
      </c>
      <c r="H148" s="5">
        <f t="shared" si="26"/>
        <v>1170064.6012525538</v>
      </c>
      <c r="I148" s="5">
        <f t="shared" si="26"/>
        <v>1172750.7477918074</v>
      </c>
      <c r="J148" s="5">
        <f t="shared" si="26"/>
        <v>3620106.7670814716</v>
      </c>
    </row>
    <row r="149" spans="1:20" s="43" customFormat="1" outlineLevel="1" x14ac:dyDescent="0.35">
      <c r="A149" s="42"/>
      <c r="B149" s="42"/>
      <c r="C149" s="43" t="s">
        <v>132</v>
      </c>
      <c r="D149" s="354"/>
      <c r="E149" s="90"/>
      <c r="F149" s="89">
        <f>+E148+F148</f>
        <v>-5096008.9537134953</v>
      </c>
      <c r="G149" s="90">
        <f>+F149+G148</f>
        <v>-3928586.0728659974</v>
      </c>
      <c r="H149" s="90">
        <f>+G149+H148</f>
        <v>-2758521.4716134435</v>
      </c>
      <c r="I149" s="90">
        <f>+H149+I148</f>
        <v>-1585770.7238216361</v>
      </c>
      <c r="J149" s="90">
        <f>+I149+J148</f>
        <v>2034336.0432598356</v>
      </c>
    </row>
    <row r="150" spans="1:20" s="43" customFormat="1" outlineLevel="1" x14ac:dyDescent="0.35">
      <c r="A150" s="42"/>
      <c r="B150" s="42"/>
      <c r="D150" s="354"/>
      <c r="E150" s="106"/>
      <c r="F150" s="195" t="str">
        <f>IF(F149&lt;0,"",E$2+ABS(E149)/F148)</f>
        <v/>
      </c>
      <c r="G150" s="195" t="str">
        <f t="shared" ref="G150:J150" si="27">IF(G149&lt;0,"",F$2+ABS(F149)/G148)</f>
        <v/>
      </c>
      <c r="H150" s="195" t="str">
        <f t="shared" si="27"/>
        <v/>
      </c>
      <c r="I150" s="195" t="str">
        <f t="shared" si="27"/>
        <v/>
      </c>
      <c r="J150" s="195">
        <f t="shared" si="27"/>
        <v>4.4380452914376569</v>
      </c>
      <c r="K150" s="43" t="str">
        <f ca="1">_xlfn.FORMULATEXT(J150)</f>
        <v>=IF(J149&lt;0;"";I$2+ABS(I149)/J148)</v>
      </c>
      <c r="L150" s="44"/>
    </row>
    <row r="151" spans="1:20" s="44" customFormat="1" ht="16.5" customHeight="1" outlineLevel="1" x14ac:dyDescent="0.35">
      <c r="A151" s="46"/>
      <c r="B151" s="46"/>
      <c r="C151" s="43"/>
      <c r="D151" s="354"/>
      <c r="E151" s="106"/>
      <c r="F151" s="116" t="str">
        <f>IF(F149&lt;0,"",CONCATENATE("Payback will be reached in ",TRUNC(F150,0)," years and ",ROUND((F150-E$2)*365,0)," days"))</f>
        <v/>
      </c>
      <c r="G151" s="116" t="str">
        <f t="shared" ref="G151:J151" si="28">IF(G149&lt;0,"",CONCATENATE("Payback will be reached in ",TRUNC(G150,0)," years and ",ROUND((G150-F$2)*365,0)," days"))</f>
        <v/>
      </c>
      <c r="H151" s="116" t="str">
        <f t="shared" si="28"/>
        <v/>
      </c>
      <c r="I151" s="116" t="str">
        <f t="shared" si="28"/>
        <v/>
      </c>
      <c r="J151" s="116" t="str">
        <f t="shared" si="28"/>
        <v>Payback will be reached in 4 years and 160 days</v>
      </c>
      <c r="K151" s="43"/>
      <c r="L151" s="43"/>
      <c r="M151" s="43"/>
      <c r="N151" s="43"/>
      <c r="O151" s="43"/>
      <c r="P151" s="43"/>
      <c r="Q151" s="43"/>
      <c r="R151" s="43"/>
      <c r="S151" s="43"/>
      <c r="T151" s="43"/>
    </row>
    <row r="152" spans="1:20" s="43" customFormat="1" ht="21.75" customHeight="1" outlineLevel="1" x14ac:dyDescent="0.35">
      <c r="A152" s="42"/>
      <c r="B152" s="42"/>
      <c r="D152" s="354"/>
      <c r="K152" s="44"/>
      <c r="L152" s="44"/>
      <c r="M152" s="44"/>
      <c r="N152" s="44"/>
      <c r="O152" s="44"/>
      <c r="P152" s="44"/>
      <c r="Q152" s="44"/>
      <c r="R152" s="44"/>
      <c r="S152" s="44"/>
      <c r="T152" s="44"/>
    </row>
    <row r="153" spans="1:20" s="43" customFormat="1" ht="21.75" customHeight="1" outlineLevel="1" x14ac:dyDescent="0.35">
      <c r="A153" s="42"/>
      <c r="B153" s="42"/>
      <c r="C153" s="44" t="s">
        <v>133</v>
      </c>
      <c r="D153" s="107"/>
      <c r="E153" s="44"/>
      <c r="F153" s="44"/>
      <c r="G153" s="44"/>
      <c r="H153" s="44"/>
      <c r="I153" s="44"/>
      <c r="J153" s="44"/>
      <c r="M153" s="48"/>
    </row>
    <row r="154" spans="1:20" s="43" customFormat="1" outlineLevel="1" x14ac:dyDescent="0.35">
      <c r="A154" s="42"/>
      <c r="B154" s="42"/>
      <c r="C154" s="43" t="s">
        <v>134</v>
      </c>
      <c r="D154" s="354"/>
      <c r="E154" s="5">
        <f>E142</f>
        <v>-6450000</v>
      </c>
      <c r="F154" s="5">
        <f t="shared" ref="F154:J154" si="29">F142</f>
        <v>1446130.1369863013</v>
      </c>
      <c r="G154" s="5">
        <f t="shared" si="29"/>
        <v>1331715.2397260275</v>
      </c>
      <c r="H154" s="5">
        <f t="shared" si="29"/>
        <v>1425557.0217465754</v>
      </c>
      <c r="I154" s="5">
        <f t="shared" si="29"/>
        <v>1526061.5702905827</v>
      </c>
      <c r="J154" s="5">
        <f t="shared" si="29"/>
        <v>5031289.4275182514</v>
      </c>
    </row>
    <row r="155" spans="1:20" s="43" customFormat="1" ht="16" outlineLevel="1" thickBot="1" x14ac:dyDescent="0.4">
      <c r="A155" s="42"/>
      <c r="B155" s="42"/>
      <c r="D155" s="354"/>
      <c r="E155" s="12"/>
      <c r="F155" s="13"/>
      <c r="G155" s="12"/>
      <c r="H155" s="12"/>
      <c r="I155" s="12"/>
      <c r="J155" s="12"/>
      <c r="K155" s="109"/>
    </row>
    <row r="156" spans="1:20" s="43" customFormat="1" ht="16" outlineLevel="1" thickBot="1" x14ac:dyDescent="0.4">
      <c r="A156" s="42"/>
      <c r="B156" s="42"/>
      <c r="C156" s="42" t="s">
        <v>135</v>
      </c>
      <c r="D156" s="45"/>
      <c r="E156" s="110">
        <f>IRR(E154:J154)</f>
        <v>0.15664680703888556</v>
      </c>
      <c r="F156" s="13"/>
      <c r="G156" s="12"/>
      <c r="H156" s="12"/>
      <c r="I156" s="12"/>
      <c r="J156" s="12"/>
      <c r="K156" s="109"/>
    </row>
    <row r="157" spans="1:20" s="43" customFormat="1" ht="16" outlineLevel="1" thickBot="1" x14ac:dyDescent="0.4">
      <c r="A157" s="42"/>
      <c r="B157" s="42"/>
      <c r="C157" s="43" t="s">
        <v>136</v>
      </c>
      <c r="D157" s="354"/>
      <c r="E157" s="110">
        <f>E41</f>
        <v>6.8049999999999999E-2</v>
      </c>
      <c r="F157" s="13"/>
      <c r="G157" s="12"/>
      <c r="H157" s="12"/>
      <c r="I157" s="12"/>
      <c r="J157" s="12"/>
      <c r="K157" s="109"/>
    </row>
    <row r="158" spans="1:20" s="43" customFormat="1" ht="12.75" customHeight="1" outlineLevel="1" x14ac:dyDescent="0.35">
      <c r="A158" s="42"/>
      <c r="B158" s="42"/>
      <c r="D158" s="354"/>
      <c r="E158" s="111"/>
      <c r="F158" s="13"/>
      <c r="G158" s="12"/>
      <c r="H158" s="12"/>
      <c r="I158" s="12"/>
      <c r="J158" s="12"/>
      <c r="K158" s="109"/>
    </row>
    <row r="159" spans="1:20" s="43" customFormat="1" outlineLevel="1" x14ac:dyDescent="0.35">
      <c r="A159" s="42"/>
      <c r="B159" s="42"/>
      <c r="D159" s="354"/>
      <c r="E159" s="111"/>
      <c r="F159" s="13"/>
      <c r="G159" s="12"/>
      <c r="H159" s="12"/>
      <c r="I159" s="12"/>
      <c r="J159" s="12"/>
      <c r="K159" s="109"/>
    </row>
    <row r="160" spans="1:20" s="43" customFormat="1" outlineLevel="1" x14ac:dyDescent="0.35">
      <c r="A160" s="42"/>
      <c r="B160" s="42"/>
      <c r="D160" s="354"/>
      <c r="E160" s="111"/>
      <c r="F160" s="13"/>
      <c r="G160" s="12"/>
      <c r="H160" s="12"/>
      <c r="I160" s="12"/>
      <c r="J160" s="12"/>
      <c r="K160" s="109"/>
    </row>
    <row r="161" spans="1:20" s="43" customFormat="1" outlineLevel="1" x14ac:dyDescent="0.35">
      <c r="A161" s="42"/>
      <c r="B161" s="42"/>
      <c r="D161" s="354"/>
      <c r="E161" s="111"/>
      <c r="F161" s="13"/>
      <c r="G161" s="12"/>
      <c r="H161" s="12"/>
      <c r="I161" s="12"/>
      <c r="J161" s="12"/>
      <c r="K161" s="109"/>
    </row>
    <row r="162" spans="1:20" s="43" customFormat="1" outlineLevel="1" x14ac:dyDescent="0.35">
      <c r="A162" s="42"/>
      <c r="B162" s="42"/>
      <c r="D162" s="354"/>
      <c r="E162" s="111"/>
      <c r="F162" s="13"/>
      <c r="G162" s="12"/>
      <c r="H162" s="12"/>
      <c r="I162" s="12"/>
      <c r="J162" s="12"/>
      <c r="K162" s="109"/>
    </row>
    <row r="163" spans="1:20" s="43" customFormat="1" outlineLevel="1" x14ac:dyDescent="0.35">
      <c r="A163" s="42"/>
      <c r="B163" s="42"/>
      <c r="D163" s="354"/>
      <c r="E163" s="111"/>
      <c r="F163" s="13"/>
      <c r="G163" s="12"/>
      <c r="H163" s="12"/>
      <c r="I163" s="12"/>
      <c r="J163" s="12"/>
      <c r="K163" s="109"/>
    </row>
    <row r="164" spans="1:20" s="43" customFormat="1" ht="23" outlineLevel="1" x14ac:dyDescent="0.35">
      <c r="A164" s="42"/>
      <c r="B164" s="346" t="s">
        <v>137</v>
      </c>
      <c r="D164" s="354"/>
      <c r="E164" s="111"/>
      <c r="F164" s="13"/>
      <c r="G164" s="12"/>
      <c r="H164" s="12"/>
      <c r="I164" s="12"/>
      <c r="J164" s="12"/>
      <c r="K164" s="109"/>
    </row>
    <row r="165" spans="1:20" s="43" customFormat="1" outlineLevel="1" x14ac:dyDescent="0.35">
      <c r="A165" s="42"/>
      <c r="B165" s="42"/>
      <c r="D165" s="354"/>
      <c r="E165" s="111"/>
      <c r="F165" s="13"/>
      <c r="G165" s="12"/>
      <c r="H165" s="12"/>
      <c r="I165" s="12"/>
      <c r="J165" s="12"/>
      <c r="K165" s="109"/>
    </row>
    <row r="166" spans="1:20" s="43" customFormat="1" outlineLevel="1" x14ac:dyDescent="0.35">
      <c r="A166" s="42"/>
      <c r="D166" s="354"/>
      <c r="E166" s="111"/>
      <c r="F166" s="13"/>
      <c r="G166" s="12"/>
      <c r="H166" s="12"/>
      <c r="I166" s="12"/>
      <c r="J166" s="12"/>
      <c r="K166" s="109"/>
    </row>
    <row r="167" spans="1:20" s="43" customFormat="1" ht="21.75" customHeight="1" outlineLevel="1" x14ac:dyDescent="0.35">
      <c r="A167" s="42"/>
      <c r="B167" s="42"/>
      <c r="D167" s="354"/>
    </row>
    <row r="168" spans="1:20" s="43" customFormat="1" ht="21.75" customHeight="1" outlineLevel="1" x14ac:dyDescent="0.35">
      <c r="A168" s="42"/>
      <c r="B168" s="42"/>
      <c r="D168" s="354"/>
    </row>
    <row r="169" spans="1:20" s="43" customFormat="1" ht="21.75" customHeight="1" outlineLevel="1" x14ac:dyDescent="0.35">
      <c r="A169" s="42"/>
      <c r="B169" s="42"/>
      <c r="D169" s="354"/>
    </row>
    <row r="170" spans="1:20" s="43" customFormat="1" ht="21.75" customHeight="1" outlineLevel="1" x14ac:dyDescent="0.35">
      <c r="A170" s="42"/>
      <c r="B170" s="42"/>
      <c r="D170" s="354"/>
    </row>
    <row r="171" spans="1:20" s="43" customFormat="1" ht="21.75" customHeight="1" outlineLevel="1" x14ac:dyDescent="0.35">
      <c r="A171" s="42"/>
      <c r="B171" s="42"/>
      <c r="D171" s="354"/>
    </row>
    <row r="172" spans="1:20" s="43" customFormat="1" ht="21.75" customHeight="1" x14ac:dyDescent="0.35">
      <c r="A172" s="42"/>
      <c r="B172" s="42"/>
      <c r="D172" s="354"/>
    </row>
    <row r="173" spans="1:20" s="43" customFormat="1" ht="21.75" customHeight="1" x14ac:dyDescent="0.35">
      <c r="A173" s="42"/>
      <c r="B173" s="42"/>
      <c r="D173" s="354"/>
    </row>
    <row r="174" spans="1:20" s="114" customFormat="1" ht="21.75" customHeight="1" x14ac:dyDescent="0.5">
      <c r="A174" s="232">
        <v>2</v>
      </c>
      <c r="B174" s="232"/>
      <c r="C174" s="232" t="s">
        <v>138</v>
      </c>
      <c r="D174" s="231"/>
      <c r="E174" s="232" t="s">
        <v>139</v>
      </c>
      <c r="F174" s="232"/>
      <c r="G174" s="232"/>
      <c r="H174" s="232"/>
      <c r="I174" s="232"/>
      <c r="J174" s="232"/>
      <c r="K174" s="232"/>
      <c r="N174" s="43"/>
      <c r="O174" s="43"/>
      <c r="P174" s="43"/>
      <c r="Q174" s="43"/>
      <c r="R174" s="43"/>
      <c r="S174" s="43"/>
      <c r="T174" s="43"/>
    </row>
    <row r="175" spans="1:20" s="43" customFormat="1" ht="21.75" customHeight="1" x14ac:dyDescent="0.5">
      <c r="A175" s="42"/>
      <c r="B175" s="42"/>
      <c r="C175" s="49"/>
      <c r="D175" s="357"/>
      <c r="E175" s="44"/>
      <c r="F175" s="44"/>
      <c r="G175" s="44"/>
      <c r="H175" s="44"/>
      <c r="I175" s="44"/>
      <c r="J175" s="44"/>
      <c r="L175" s="108"/>
      <c r="N175" s="114"/>
      <c r="O175" s="114"/>
      <c r="P175" s="114"/>
      <c r="Q175" s="114"/>
      <c r="R175" s="114"/>
      <c r="S175" s="114"/>
      <c r="T175" s="114"/>
    </row>
    <row r="176" spans="1:20" s="43" customFormat="1" ht="19.5" customHeight="1" x14ac:dyDescent="0.35">
      <c r="A176" s="42"/>
      <c r="B176" s="42"/>
      <c r="C176" s="321" t="s">
        <v>140</v>
      </c>
      <c r="D176" s="358"/>
      <c r="E176" s="322"/>
      <c r="F176" s="322"/>
      <c r="G176" s="322"/>
      <c r="H176" s="322"/>
      <c r="I176" s="322"/>
      <c r="J176" s="210"/>
      <c r="K176" s="208"/>
    </row>
    <row r="177" spans="1:20" s="43" customFormat="1" ht="21.75" customHeight="1" x14ac:dyDescent="0.35">
      <c r="A177" s="42"/>
      <c r="B177" s="42"/>
      <c r="C177" s="323" t="s">
        <v>141</v>
      </c>
      <c r="D177" s="359"/>
      <c r="E177" s="323"/>
      <c r="F177" s="323" t="s">
        <v>142</v>
      </c>
      <c r="G177" s="324"/>
      <c r="H177" s="324"/>
      <c r="I177" s="325" t="s">
        <v>12</v>
      </c>
      <c r="J177" s="209"/>
      <c r="K177" s="211"/>
    </row>
    <row r="178" spans="1:20" s="43" customFormat="1" x14ac:dyDescent="0.35">
      <c r="A178" s="42"/>
      <c r="B178" s="42"/>
      <c r="C178" s="326" t="s">
        <v>143</v>
      </c>
      <c r="D178" s="360"/>
      <c r="E178" s="327">
        <f>ABS(E95)</f>
        <v>6200000</v>
      </c>
      <c r="F178" s="328" t="s">
        <v>144</v>
      </c>
      <c r="G178" s="328"/>
      <c r="H178" s="338">
        <f>$E$181*I178</f>
        <v>2257500</v>
      </c>
      <c r="I178" s="212">
        <v>0.35</v>
      </c>
      <c r="J178" s="209"/>
      <c r="K178" s="211"/>
    </row>
    <row r="179" spans="1:20" s="44" customFormat="1" ht="21.75" customHeight="1" x14ac:dyDescent="0.35">
      <c r="A179" s="46"/>
      <c r="B179" s="46"/>
      <c r="C179" s="326" t="s">
        <v>145</v>
      </c>
      <c r="D179" s="360"/>
      <c r="E179" s="327">
        <f>ABS(E93)</f>
        <v>250000</v>
      </c>
      <c r="F179" s="329" t="s">
        <v>146</v>
      </c>
      <c r="G179" s="328"/>
      <c r="H179" s="339">
        <f>$E$181*I179</f>
        <v>4192500</v>
      </c>
      <c r="I179" s="340">
        <f>1-I178</f>
        <v>0.65</v>
      </c>
      <c r="J179" s="43"/>
      <c r="K179" s="207"/>
      <c r="L179" s="43"/>
      <c r="M179" s="43"/>
      <c r="N179" s="43"/>
      <c r="O179" s="43"/>
      <c r="P179" s="43"/>
      <c r="Q179" s="43"/>
      <c r="R179" s="43"/>
      <c r="S179" s="43"/>
      <c r="T179" s="43"/>
    </row>
    <row r="180" spans="1:20" s="43" customFormat="1" ht="18.5" x14ac:dyDescent="0.65">
      <c r="A180" s="42"/>
      <c r="B180" s="42"/>
      <c r="C180" s="330"/>
      <c r="D180" s="360"/>
      <c r="E180" s="327"/>
      <c r="F180" s="331"/>
      <c r="G180" s="328"/>
      <c r="H180" s="327"/>
      <c r="I180" s="332"/>
      <c r="K180" s="207"/>
      <c r="L180" s="44"/>
      <c r="M180" s="44"/>
      <c r="N180" s="44"/>
      <c r="O180" s="44"/>
      <c r="P180" s="44"/>
      <c r="Q180" s="44"/>
      <c r="R180" s="44"/>
      <c r="S180" s="44"/>
      <c r="T180" s="44"/>
    </row>
    <row r="181" spans="1:20" s="30" customFormat="1" ht="19.5" customHeight="1" x14ac:dyDescent="0.35">
      <c r="A181" s="39"/>
      <c r="B181" s="39"/>
      <c r="C181" s="333" t="s">
        <v>147</v>
      </c>
      <c r="D181" s="361"/>
      <c r="E181" s="334">
        <f>SUM(E178:E180)</f>
        <v>6450000</v>
      </c>
      <c r="F181" s="335" t="s">
        <v>147</v>
      </c>
      <c r="G181" s="336"/>
      <c r="H181" s="334">
        <f>SUM(H178:H180)</f>
        <v>6450000</v>
      </c>
      <c r="I181" s="337">
        <f>SUM(I178:I179)</f>
        <v>1</v>
      </c>
      <c r="J181" s="44"/>
      <c r="K181" s="43"/>
      <c r="L181" s="43"/>
      <c r="M181" s="43"/>
      <c r="N181" s="43"/>
      <c r="O181" s="43"/>
      <c r="P181" s="43"/>
      <c r="Q181" s="43"/>
      <c r="R181" s="43"/>
      <c r="S181" s="43"/>
      <c r="T181" s="43"/>
    </row>
    <row r="182" spans="1:20" x14ac:dyDescent="0.35">
      <c r="C182" s="43"/>
      <c r="D182" s="354"/>
      <c r="E182" s="43"/>
      <c r="F182" s="43"/>
      <c r="G182" s="43"/>
      <c r="H182" s="43"/>
      <c r="I182" s="43"/>
      <c r="J182" s="43"/>
      <c r="K182" s="30"/>
      <c r="L182" s="30"/>
      <c r="M182" s="30"/>
      <c r="N182" s="30"/>
      <c r="O182" s="30"/>
      <c r="P182" s="30"/>
      <c r="Q182" s="30"/>
      <c r="R182" s="30"/>
      <c r="S182" s="30"/>
      <c r="T182" s="30"/>
    </row>
    <row r="183" spans="1:20" ht="16" thickBot="1" x14ac:dyDescent="0.4">
      <c r="C183" s="99" t="s">
        <v>148</v>
      </c>
      <c r="D183" s="355"/>
      <c r="E183" s="99"/>
      <c r="F183" s="99"/>
      <c r="G183" s="99"/>
      <c r="H183" s="99"/>
      <c r="I183" s="99"/>
      <c r="J183" s="99"/>
      <c r="K183" s="99"/>
      <c r="L183" s="51"/>
    </row>
    <row r="184" spans="1:20" x14ac:dyDescent="0.35">
      <c r="L184" s="51"/>
    </row>
    <row r="185" spans="1:20" x14ac:dyDescent="0.35">
      <c r="C185" s="22" t="s">
        <v>149</v>
      </c>
      <c r="E185" s="342">
        <f>'C-SCENARIOS'!H179</f>
        <v>4192500</v>
      </c>
    </row>
    <row r="186" spans="1:20" x14ac:dyDescent="0.35">
      <c r="C186" s="22" t="s">
        <v>150</v>
      </c>
      <c r="E186" s="80">
        <f>+'A-INSTRUCTIONS'!D70</f>
        <v>6.5000000000000002E-2</v>
      </c>
    </row>
    <row r="187" spans="1:20" s="30" customFormat="1" ht="16" thickBot="1" x14ac:dyDescent="0.4">
      <c r="A187" s="39"/>
      <c r="B187" s="39"/>
      <c r="C187" s="22"/>
      <c r="D187" s="344"/>
      <c r="L187" s="22"/>
      <c r="M187" s="22"/>
      <c r="N187" s="22"/>
      <c r="O187" s="22"/>
      <c r="P187" s="22"/>
      <c r="Q187" s="22"/>
      <c r="R187" s="22"/>
      <c r="S187" s="22"/>
      <c r="T187" s="22"/>
    </row>
    <row r="188" spans="1:20" s="30" customFormat="1" ht="3.75" customHeight="1" x14ac:dyDescent="0.35">
      <c r="A188" s="39"/>
      <c r="B188" s="22"/>
      <c r="C188" s="171"/>
      <c r="D188" s="362"/>
      <c r="E188" s="299"/>
      <c r="F188" s="300"/>
      <c r="G188" s="299"/>
      <c r="H188" s="299"/>
      <c r="I188" s="301"/>
      <c r="J188" s="302"/>
      <c r="L188" s="22"/>
      <c r="M188" s="22"/>
    </row>
    <row r="189" spans="1:20" s="30" customFormat="1" ht="48" customHeight="1" x14ac:dyDescent="0.35">
      <c r="A189" s="39"/>
      <c r="B189" s="22"/>
      <c r="C189" s="297" t="s">
        <v>151</v>
      </c>
      <c r="D189" s="347"/>
      <c r="E189" s="303" t="s">
        <v>152</v>
      </c>
      <c r="F189" s="304" t="s">
        <v>153</v>
      </c>
      <c r="G189" s="304" t="s">
        <v>154</v>
      </c>
      <c r="H189" s="304" t="s">
        <v>155</v>
      </c>
      <c r="I189" s="304" t="s">
        <v>156</v>
      </c>
      <c r="J189" s="305" t="s">
        <v>157</v>
      </c>
      <c r="L189" s="22"/>
      <c r="M189" s="22"/>
      <c r="N189" s="22"/>
    </row>
    <row r="190" spans="1:20" s="30" customFormat="1" x14ac:dyDescent="0.35">
      <c r="A190" s="39"/>
      <c r="B190" s="22">
        <v>0</v>
      </c>
      <c r="C190" s="298">
        <f>DATE('A-INSTRUCTIONS'!$D$46+B190,1,1)</f>
        <v>45292</v>
      </c>
      <c r="D190" s="348"/>
      <c r="E190" s="122">
        <v>0</v>
      </c>
      <c r="F190" s="148">
        <v>0</v>
      </c>
      <c r="G190" s="149">
        <f>F190*$E$186</f>
        <v>0</v>
      </c>
      <c r="H190" s="149">
        <f t="shared" ref="H190:H197" si="30">E190*$E$185</f>
        <v>0</v>
      </c>
      <c r="I190" s="149">
        <f>E185-H190</f>
        <v>4192500</v>
      </c>
      <c r="J190" s="118">
        <f t="shared" ref="J190:J197" si="31">+G190+H190</f>
        <v>0</v>
      </c>
      <c r="L190" s="22"/>
      <c r="M190" s="22"/>
      <c r="N190" s="22"/>
    </row>
    <row r="191" spans="1:20" s="30" customFormat="1" x14ac:dyDescent="0.35">
      <c r="A191" s="39"/>
      <c r="B191" s="22">
        <f>B190+1</f>
        <v>1</v>
      </c>
      <c r="C191" s="298">
        <f>DATE('A-INSTRUCTIONS'!$D$46+B191,1,1)</f>
        <v>45658</v>
      </c>
      <c r="D191" s="348"/>
      <c r="E191" s="122">
        <v>0</v>
      </c>
      <c r="F191" s="150">
        <f>'C-SCENARIOS'!I190</f>
        <v>4192500</v>
      </c>
      <c r="G191" s="149">
        <f t="shared" ref="G191:G197" si="32">F191*$E$186</f>
        <v>272512.5</v>
      </c>
      <c r="H191" s="149">
        <f t="shared" si="30"/>
        <v>0</v>
      </c>
      <c r="I191" s="149">
        <f t="shared" ref="I191:I196" si="33">F191-H191</f>
        <v>4192500</v>
      </c>
      <c r="J191" s="82">
        <f t="shared" si="31"/>
        <v>272512.5</v>
      </c>
      <c r="L191" s="22"/>
      <c r="M191" s="22"/>
      <c r="N191" s="22"/>
    </row>
    <row r="192" spans="1:20" s="30" customFormat="1" x14ac:dyDescent="0.35">
      <c r="A192" s="39"/>
      <c r="B192" s="22">
        <f t="shared" ref="B192:B197" si="34">B191+1</f>
        <v>2</v>
      </c>
      <c r="C192" s="298">
        <f>DATE('A-INSTRUCTIONS'!$D$46+B192,1,1)</f>
        <v>46023</v>
      </c>
      <c r="D192" s="348"/>
      <c r="E192" s="122">
        <v>0</v>
      </c>
      <c r="F192" s="150">
        <f>'C-SCENARIOS'!I191</f>
        <v>4192500</v>
      </c>
      <c r="G192" s="149">
        <f t="shared" si="32"/>
        <v>272512.5</v>
      </c>
      <c r="H192" s="149">
        <f t="shared" si="30"/>
        <v>0</v>
      </c>
      <c r="I192" s="149">
        <f t="shared" si="33"/>
        <v>4192500</v>
      </c>
      <c r="J192" s="82">
        <f t="shared" si="31"/>
        <v>272512.5</v>
      </c>
      <c r="L192" s="22"/>
      <c r="M192" s="22"/>
      <c r="N192" s="22"/>
    </row>
    <row r="193" spans="1:20" s="30" customFormat="1" x14ac:dyDescent="0.35">
      <c r="A193" s="39"/>
      <c r="B193" s="22">
        <f t="shared" si="34"/>
        <v>3</v>
      </c>
      <c r="C193" s="298">
        <f>DATE('A-INSTRUCTIONS'!$D$46+B193,1,1)</f>
        <v>46388</v>
      </c>
      <c r="D193" s="348"/>
      <c r="E193" s="122">
        <v>0</v>
      </c>
      <c r="F193" s="150">
        <f>'C-SCENARIOS'!I192</f>
        <v>4192500</v>
      </c>
      <c r="G193" s="149">
        <f t="shared" si="32"/>
        <v>272512.5</v>
      </c>
      <c r="H193" s="149">
        <f t="shared" si="30"/>
        <v>0</v>
      </c>
      <c r="I193" s="149">
        <f t="shared" si="33"/>
        <v>4192500</v>
      </c>
      <c r="J193" s="82">
        <f t="shared" si="31"/>
        <v>272512.5</v>
      </c>
      <c r="L193" s="22"/>
      <c r="M193" s="22"/>
      <c r="N193" s="22"/>
    </row>
    <row r="194" spans="1:20" s="30" customFormat="1" x14ac:dyDescent="0.35">
      <c r="A194" s="39"/>
      <c r="B194" s="22">
        <f t="shared" si="34"/>
        <v>4</v>
      </c>
      <c r="C194" s="298">
        <f>DATE('A-INSTRUCTIONS'!$D$46+B194,1,1)</f>
        <v>46753</v>
      </c>
      <c r="D194" s="348"/>
      <c r="E194" s="157">
        <f>+'A-INSTRUCTIONS'!D71</f>
        <v>0.2</v>
      </c>
      <c r="F194" s="150">
        <f>'C-SCENARIOS'!I193</f>
        <v>4192500</v>
      </c>
      <c r="G194" s="149">
        <f t="shared" si="32"/>
        <v>272512.5</v>
      </c>
      <c r="H194" s="149">
        <f t="shared" si="30"/>
        <v>838500</v>
      </c>
      <c r="I194" s="149">
        <f t="shared" si="33"/>
        <v>3354000</v>
      </c>
      <c r="J194" s="82">
        <f t="shared" si="31"/>
        <v>1111012.5</v>
      </c>
      <c r="L194" s="22"/>
      <c r="M194" s="22"/>
      <c r="N194" s="22"/>
    </row>
    <row r="195" spans="1:20" s="30" customFormat="1" x14ac:dyDescent="0.35">
      <c r="A195" s="39"/>
      <c r="B195" s="22">
        <f t="shared" si="34"/>
        <v>5</v>
      </c>
      <c r="C195" s="298">
        <f>DATE('A-INSTRUCTIONS'!$D$46+B195,1,1)</f>
        <v>47119</v>
      </c>
      <c r="D195" s="348"/>
      <c r="E195" s="157">
        <f>+'A-INSTRUCTIONS'!D72</f>
        <v>0.25</v>
      </c>
      <c r="F195" s="150">
        <f>'C-SCENARIOS'!I194</f>
        <v>3354000</v>
      </c>
      <c r="G195" s="149">
        <f t="shared" si="32"/>
        <v>218010</v>
      </c>
      <c r="H195" s="149">
        <f t="shared" si="30"/>
        <v>1048125</v>
      </c>
      <c r="I195" s="149">
        <f t="shared" si="33"/>
        <v>2305875</v>
      </c>
      <c r="J195" s="82">
        <f t="shared" si="31"/>
        <v>1266135</v>
      </c>
      <c r="L195" s="22"/>
      <c r="M195" s="22"/>
      <c r="N195" s="22"/>
    </row>
    <row r="196" spans="1:20" s="30" customFormat="1" x14ac:dyDescent="0.35">
      <c r="A196" s="39"/>
      <c r="B196" s="22">
        <f t="shared" si="34"/>
        <v>6</v>
      </c>
      <c r="C196" s="298">
        <f>DATE('A-INSTRUCTIONS'!$D$46+B196,1,1)</f>
        <v>47484</v>
      </c>
      <c r="D196" s="348"/>
      <c r="E196" s="157">
        <f>+'A-INSTRUCTIONS'!D73</f>
        <v>0.25</v>
      </c>
      <c r="F196" s="150">
        <f>'C-SCENARIOS'!I195</f>
        <v>2305875</v>
      </c>
      <c r="G196" s="149">
        <f t="shared" si="32"/>
        <v>149881.875</v>
      </c>
      <c r="H196" s="149">
        <f t="shared" si="30"/>
        <v>1048125</v>
      </c>
      <c r="I196" s="149">
        <f t="shared" si="33"/>
        <v>1257750</v>
      </c>
      <c r="J196" s="82">
        <f t="shared" si="31"/>
        <v>1198006.875</v>
      </c>
      <c r="L196" s="22"/>
      <c r="M196" s="22"/>
      <c r="N196" s="22"/>
    </row>
    <row r="197" spans="1:20" s="30" customFormat="1" ht="17" x14ac:dyDescent="0.35">
      <c r="A197" s="39"/>
      <c r="B197" s="22">
        <f t="shared" si="34"/>
        <v>7</v>
      </c>
      <c r="C197" s="298">
        <f>DATE('A-INSTRUCTIONS'!$D$46+B197,1,1)</f>
        <v>47849</v>
      </c>
      <c r="D197" s="348"/>
      <c r="E197" s="158">
        <f>+'A-INSTRUCTIONS'!D74</f>
        <v>0.3</v>
      </c>
      <c r="F197" s="150">
        <f>'C-SCENARIOS'!I196</f>
        <v>1257750</v>
      </c>
      <c r="G197" s="149">
        <f t="shared" si="32"/>
        <v>81753.75</v>
      </c>
      <c r="H197" s="151">
        <f t="shared" si="30"/>
        <v>1257750</v>
      </c>
      <c r="I197" s="149">
        <f>F197-H197</f>
        <v>0</v>
      </c>
      <c r="J197" s="82">
        <f t="shared" si="31"/>
        <v>1339503.75</v>
      </c>
      <c r="L197" s="22"/>
      <c r="M197" s="22"/>
      <c r="N197" s="22"/>
    </row>
    <row r="198" spans="1:20" s="30" customFormat="1" ht="16" thickBot="1" x14ac:dyDescent="0.4">
      <c r="A198" s="39"/>
      <c r="B198" s="22"/>
      <c r="C198" s="119"/>
      <c r="D198" s="363"/>
      <c r="E198" s="123">
        <f>SUM(E194:E197)</f>
        <v>1</v>
      </c>
      <c r="F198" s="120"/>
      <c r="G198" s="120"/>
      <c r="H198" s="341">
        <f>SUM(H190:H197)</f>
        <v>4192500</v>
      </c>
      <c r="I198" s="120"/>
      <c r="J198" s="121"/>
      <c r="L198" s="22"/>
      <c r="M198" s="22"/>
      <c r="N198" s="22"/>
    </row>
    <row r="199" spans="1:20" s="30" customFormat="1" x14ac:dyDescent="0.35">
      <c r="A199" s="39"/>
      <c r="B199" s="39"/>
      <c r="C199" s="22"/>
      <c r="D199" s="344"/>
      <c r="E199" s="15"/>
      <c r="F199" s="52"/>
      <c r="G199" s="41"/>
      <c r="H199" s="41"/>
      <c r="I199" s="124"/>
      <c r="J199" s="41"/>
      <c r="K199" s="22"/>
      <c r="L199" s="22"/>
      <c r="M199" s="22"/>
      <c r="N199" s="22"/>
    </row>
    <row r="200" spans="1:20" x14ac:dyDescent="0.35">
      <c r="K200" s="30"/>
      <c r="L200" s="30"/>
      <c r="M200" s="30"/>
      <c r="N200" s="30"/>
      <c r="O200" s="30"/>
      <c r="P200" s="30"/>
      <c r="Q200" s="30"/>
      <c r="R200" s="30"/>
      <c r="S200" s="30"/>
      <c r="T200" s="30"/>
    </row>
    <row r="201" spans="1:20" s="30" customFormat="1" x14ac:dyDescent="0.35">
      <c r="A201" s="125"/>
      <c r="B201" s="125"/>
      <c r="C201" s="117" t="s">
        <v>158</v>
      </c>
      <c r="D201" s="345"/>
      <c r="E201" s="117"/>
      <c r="F201" s="81"/>
      <c r="G201" s="81"/>
      <c r="H201" s="81"/>
      <c r="I201" s="81"/>
      <c r="J201" s="81"/>
      <c r="K201" s="81"/>
      <c r="O201" s="22"/>
      <c r="P201" s="22"/>
      <c r="Q201" s="22"/>
      <c r="R201" s="22"/>
      <c r="S201" s="22"/>
      <c r="T201" s="22"/>
    </row>
    <row r="202" spans="1:20" s="217" customFormat="1" x14ac:dyDescent="0.35">
      <c r="A202" s="274"/>
      <c r="B202" s="274"/>
      <c r="D202" s="367"/>
      <c r="F202" s="162"/>
      <c r="G202" s="162"/>
      <c r="H202" s="162"/>
      <c r="I202" s="162"/>
      <c r="J202" s="162"/>
      <c r="K202" s="162"/>
      <c r="N202" s="22"/>
      <c r="O202" s="30"/>
      <c r="P202" s="30"/>
      <c r="Q202" s="30"/>
      <c r="R202" s="30"/>
      <c r="S202" s="30"/>
      <c r="T202" s="30"/>
    </row>
    <row r="203" spans="1:20" s="217" customFormat="1" x14ac:dyDescent="0.35">
      <c r="A203" s="274"/>
      <c r="B203" s="274"/>
      <c r="D203" s="367"/>
      <c r="F203" s="162"/>
      <c r="G203" s="162"/>
      <c r="H203" s="162"/>
      <c r="I203" s="162"/>
      <c r="J203" s="162"/>
      <c r="K203" s="162"/>
      <c r="N203" s="162"/>
    </row>
    <row r="204" spans="1:20" s="217" customFormat="1" x14ac:dyDescent="0.35">
      <c r="A204" s="274"/>
      <c r="B204" s="274"/>
      <c r="D204" s="367"/>
      <c r="F204" s="162"/>
      <c r="G204" s="162"/>
      <c r="H204" s="162"/>
      <c r="I204" s="162"/>
      <c r="J204" s="162"/>
      <c r="K204" s="162"/>
      <c r="N204" s="162"/>
    </row>
    <row r="205" spans="1:20" s="217" customFormat="1" x14ac:dyDescent="0.35">
      <c r="A205" s="274"/>
      <c r="B205" s="274"/>
      <c r="D205" s="367"/>
      <c r="F205" s="162"/>
      <c r="G205" s="162"/>
      <c r="H205" s="162"/>
      <c r="I205" s="162"/>
      <c r="J205" s="162"/>
      <c r="K205" s="162"/>
      <c r="N205" s="162"/>
    </row>
    <row r="206" spans="1:20" s="217" customFormat="1" x14ac:dyDescent="0.35">
      <c r="A206" s="274"/>
      <c r="B206" s="274"/>
      <c r="D206" s="367"/>
      <c r="F206" s="162"/>
      <c r="G206" s="162"/>
      <c r="H206" s="162"/>
      <c r="I206" s="162"/>
      <c r="J206" s="162"/>
      <c r="K206" s="162"/>
      <c r="N206" s="162"/>
    </row>
    <row r="207" spans="1:20" x14ac:dyDescent="0.35">
      <c r="E207" s="233">
        <f>'C-SCENARIOS'!C190</f>
        <v>45292</v>
      </c>
      <c r="F207" s="233">
        <f>'C-SCENARIOS'!C191</f>
        <v>45658</v>
      </c>
      <c r="G207" s="233">
        <f>'C-SCENARIOS'!C192</f>
        <v>46023</v>
      </c>
      <c r="H207" s="233">
        <f>'C-SCENARIOS'!C193</f>
        <v>46388</v>
      </c>
      <c r="I207" s="233">
        <f>'C-SCENARIOS'!C194</f>
        <v>46753</v>
      </c>
      <c r="J207" s="233">
        <f>'C-SCENARIOS'!C195</f>
        <v>47119</v>
      </c>
      <c r="K207" s="30"/>
      <c r="L207" s="30"/>
      <c r="M207" s="30"/>
      <c r="N207" s="162"/>
      <c r="O207" s="217"/>
      <c r="P207" s="217"/>
      <c r="Q207" s="217"/>
      <c r="R207" s="217"/>
      <c r="S207" s="217"/>
      <c r="T207" s="217"/>
    </row>
    <row r="208" spans="1:20" x14ac:dyDescent="0.35">
      <c r="E208" s="233"/>
      <c r="F208" s="233"/>
      <c r="G208" s="233"/>
      <c r="H208" s="233"/>
      <c r="I208" s="233"/>
      <c r="J208" s="233"/>
      <c r="K208" s="30"/>
      <c r="L208" s="30"/>
      <c r="M208" s="30"/>
      <c r="N208" s="30"/>
    </row>
    <row r="209" spans="1:20" x14ac:dyDescent="0.35">
      <c r="E209" s="233"/>
      <c r="F209" s="233"/>
      <c r="G209" s="233"/>
      <c r="H209" s="233"/>
      <c r="I209" s="233"/>
      <c r="J209" s="233"/>
      <c r="K209" s="30"/>
      <c r="L209" s="30"/>
      <c r="M209" s="30"/>
      <c r="N209" s="30"/>
    </row>
    <row r="210" spans="1:20" x14ac:dyDescent="0.35">
      <c r="E210" s="233"/>
      <c r="F210" s="233"/>
      <c r="G210" s="233"/>
      <c r="H210" s="233"/>
      <c r="I210" s="233"/>
      <c r="J210" s="233"/>
      <c r="K210" s="30"/>
      <c r="L210" s="30"/>
      <c r="M210" s="30"/>
      <c r="N210" s="30"/>
    </row>
    <row r="211" spans="1:20" s="30" customFormat="1" x14ac:dyDescent="0.35">
      <c r="A211" s="39"/>
      <c r="B211" s="39"/>
      <c r="C211" s="50" t="s">
        <v>159</v>
      </c>
      <c r="D211" s="364"/>
      <c r="E211" s="38">
        <v>0</v>
      </c>
      <c r="F211" s="38">
        <v>1</v>
      </c>
      <c r="G211" s="38">
        <v>2</v>
      </c>
      <c r="H211" s="38">
        <v>3</v>
      </c>
      <c r="I211" s="38">
        <v>4</v>
      </c>
      <c r="J211" s="38">
        <v>5</v>
      </c>
      <c r="K211" s="22"/>
      <c r="L211" s="22"/>
      <c r="M211" s="22"/>
      <c r="O211" s="22"/>
      <c r="P211" s="22"/>
      <c r="Q211" s="22"/>
      <c r="R211" s="22"/>
      <c r="S211" s="22"/>
      <c r="T211" s="22"/>
    </row>
    <row r="212" spans="1:20" s="54" customFormat="1" x14ac:dyDescent="0.35">
      <c r="A212" s="53"/>
      <c r="B212" s="53"/>
      <c r="C212" s="22" t="str">
        <f>C97</f>
        <v>Unlevered Free Cash Flows (Free Cash Flow to the Firm)</v>
      </c>
      <c r="D212" s="344"/>
      <c r="E212" s="234">
        <f>'C-SCENARIOS'!E97</f>
        <v>-6450000</v>
      </c>
      <c r="F212" s="234">
        <f>'C-SCENARIOS'!F97</f>
        <v>1446130.1369863013</v>
      </c>
      <c r="G212" s="234">
        <f>'C-SCENARIOS'!G97</f>
        <v>1331715.2397260275</v>
      </c>
      <c r="H212" s="234">
        <f>'C-SCENARIOS'!H97</f>
        <v>1425557.0217465754</v>
      </c>
      <c r="I212" s="234">
        <f>'C-SCENARIOS'!I97</f>
        <v>1526061.5702905827</v>
      </c>
      <c r="J212" s="234">
        <f>'C-SCENARIOS'!J97</f>
        <v>5031289.4275182514</v>
      </c>
      <c r="K212" s="30"/>
      <c r="L212" s="30"/>
      <c r="M212" s="30"/>
      <c r="N212" s="22"/>
      <c r="O212" s="30"/>
      <c r="P212" s="30"/>
      <c r="Q212" s="30"/>
      <c r="R212" s="30"/>
      <c r="S212" s="30"/>
      <c r="T212" s="30"/>
    </row>
    <row r="213" spans="1:20" s="54" customFormat="1" x14ac:dyDescent="0.35">
      <c r="A213" s="53"/>
      <c r="B213" s="53"/>
      <c r="C213" s="50" t="s">
        <v>160</v>
      </c>
      <c r="D213" s="356"/>
      <c r="E213" s="30"/>
      <c r="F213" s="160"/>
      <c r="G213" s="30"/>
      <c r="H213" s="30"/>
      <c r="I213" s="30"/>
      <c r="J213" s="30"/>
      <c r="N213" s="30"/>
    </row>
    <row r="214" spans="1:20" s="30" customFormat="1" x14ac:dyDescent="0.35">
      <c r="A214" s="39"/>
      <c r="B214" s="39"/>
      <c r="C214" s="59" t="s">
        <v>161</v>
      </c>
      <c r="D214" s="344"/>
      <c r="E214" s="235">
        <f t="array" ref="E214:J214">TRANSPOSE(G190:G195)</f>
        <v>0</v>
      </c>
      <c r="F214" s="235">
        <v>272512.5</v>
      </c>
      <c r="G214" s="191">
        <v>272512.5</v>
      </c>
      <c r="H214" s="191">
        <v>272512.5</v>
      </c>
      <c r="I214" s="191">
        <v>272512.5</v>
      </c>
      <c r="J214" s="191">
        <v>218010</v>
      </c>
      <c r="K214" s="54"/>
      <c r="L214" s="54"/>
      <c r="M214" s="54"/>
      <c r="N214" s="54"/>
      <c r="O214" s="54"/>
      <c r="P214" s="54"/>
      <c r="Q214" s="54"/>
      <c r="R214" s="54"/>
      <c r="S214" s="54"/>
      <c r="T214" s="54"/>
    </row>
    <row r="215" spans="1:20" s="30" customFormat="1" x14ac:dyDescent="0.35">
      <c r="A215" s="39"/>
      <c r="B215" s="39"/>
      <c r="C215" s="59" t="s">
        <v>162</v>
      </c>
      <c r="D215" s="344"/>
      <c r="E215" s="235"/>
      <c r="F215" s="235">
        <f>-F214*tax</f>
        <v>-109005</v>
      </c>
      <c r="G215" s="235">
        <f>-G214*tax</f>
        <v>-109005</v>
      </c>
      <c r="H215" s="235">
        <f>-H214*tax</f>
        <v>-109005</v>
      </c>
      <c r="I215" s="235">
        <f>-I214*tax</f>
        <v>-109005</v>
      </c>
      <c r="J215" s="235">
        <f>-J214*tax</f>
        <v>-87204</v>
      </c>
      <c r="K215" s="54"/>
      <c r="L215" s="54"/>
      <c r="M215" s="54"/>
      <c r="N215" s="54"/>
    </row>
    <row r="216" spans="1:20" x14ac:dyDescent="0.35">
      <c r="C216" s="59" t="s">
        <v>163</v>
      </c>
      <c r="E216" s="235">
        <f t="array" ref="E216:J216">TRANSPOSE(H190:H195)</f>
        <v>0</v>
      </c>
      <c r="F216" s="235">
        <v>0</v>
      </c>
      <c r="G216" s="191">
        <v>0</v>
      </c>
      <c r="H216" s="191">
        <v>0</v>
      </c>
      <c r="I216" s="191">
        <v>838500</v>
      </c>
      <c r="J216" s="191">
        <v>1048125</v>
      </c>
      <c r="K216" s="30"/>
      <c r="L216" s="30"/>
      <c r="M216" s="30"/>
      <c r="N216" s="54"/>
      <c r="O216" s="30"/>
      <c r="P216" s="30"/>
      <c r="Q216" s="30"/>
      <c r="R216" s="30"/>
      <c r="S216" s="30"/>
      <c r="T216" s="30"/>
    </row>
    <row r="217" spans="1:20" s="60" customFormat="1" ht="20" x14ac:dyDescent="0.8">
      <c r="A217" s="58"/>
      <c r="B217" s="58"/>
      <c r="C217" s="59" t="s">
        <v>164</v>
      </c>
      <c r="D217" s="344"/>
      <c r="E217" s="247"/>
      <c r="F217" s="237">
        <v>0</v>
      </c>
      <c r="G217" s="236">
        <v>0</v>
      </c>
      <c r="H217" s="236">
        <v>0</v>
      </c>
      <c r="I217" s="236">
        <v>0</v>
      </c>
      <c r="J217" s="238">
        <f>'C-SCENARIOS'!I195</f>
        <v>2305875</v>
      </c>
      <c r="K217" s="30"/>
      <c r="L217" s="57"/>
      <c r="M217" s="57"/>
      <c r="N217" s="30"/>
      <c r="O217" s="22"/>
      <c r="P217" s="22"/>
      <c r="Q217" s="22"/>
      <c r="R217" s="22"/>
      <c r="S217" s="22"/>
      <c r="T217" s="22"/>
    </row>
    <row r="218" spans="1:20" ht="14.25" customHeight="1" x14ac:dyDescent="0.35">
      <c r="C218" s="30" t="s">
        <v>260</v>
      </c>
      <c r="D218" s="356"/>
      <c r="E218" s="239">
        <f>SUM(E216:E216)</f>
        <v>0</v>
      </c>
      <c r="F218" s="239">
        <f t="shared" ref="F218:J218" si="35">SUM(F214:F217)</f>
        <v>163507.5</v>
      </c>
      <c r="G218" s="239">
        <f t="shared" si="35"/>
        <v>163507.5</v>
      </c>
      <c r="H218" s="239">
        <f t="shared" si="35"/>
        <v>163507.5</v>
      </c>
      <c r="I218" s="239">
        <f t="shared" si="35"/>
        <v>1002007.5</v>
      </c>
      <c r="J218" s="239">
        <f t="shared" si="35"/>
        <v>3484806</v>
      </c>
      <c r="N218" s="57"/>
      <c r="O218" s="60"/>
      <c r="P218" s="60"/>
      <c r="Q218" s="60"/>
      <c r="R218" s="60"/>
      <c r="S218" s="60"/>
      <c r="T218" s="60"/>
    </row>
    <row r="219" spans="1:20" s="30" customFormat="1" x14ac:dyDescent="0.35">
      <c r="A219" s="39"/>
      <c r="B219" s="39"/>
      <c r="C219" s="22"/>
      <c r="D219" s="344"/>
      <c r="E219" s="22"/>
      <c r="F219" s="22"/>
      <c r="G219" s="22"/>
      <c r="H219" s="22"/>
      <c r="I219" s="22"/>
      <c r="J219" s="22"/>
      <c r="K219" s="22"/>
      <c r="L219" s="22"/>
      <c r="M219" s="22"/>
      <c r="N219" s="22"/>
      <c r="O219" s="22"/>
      <c r="P219" s="22"/>
      <c r="Q219" s="22"/>
      <c r="R219" s="22"/>
      <c r="S219" s="22"/>
      <c r="T219" s="22"/>
    </row>
    <row r="220" spans="1:20" s="57" customFormat="1" x14ac:dyDescent="0.35">
      <c r="A220" s="56"/>
      <c r="B220" s="56"/>
      <c r="C220" s="30" t="s">
        <v>165</v>
      </c>
      <c r="D220" s="356"/>
      <c r="E220" s="240"/>
      <c r="F220" s="240">
        <f t="shared" ref="F220" si="36">F212-F218</f>
        <v>1282622.6369863013</v>
      </c>
      <c r="G220" s="241">
        <f>G212-G218</f>
        <v>1168207.7397260275</v>
      </c>
      <c r="H220" s="241">
        <f t="shared" ref="H220:J220" si="37">H212-H218</f>
        <v>1262049.5217465754</v>
      </c>
      <c r="I220" s="241">
        <f t="shared" si="37"/>
        <v>524054.07029058272</v>
      </c>
      <c r="J220" s="241">
        <f t="shared" si="37"/>
        <v>1546483.4275182514</v>
      </c>
      <c r="K220" s="30"/>
      <c r="L220" s="30"/>
      <c r="M220" s="30"/>
      <c r="N220" s="22"/>
      <c r="O220" s="30"/>
      <c r="P220" s="30"/>
      <c r="Q220" s="30"/>
      <c r="R220" s="30"/>
      <c r="S220" s="30"/>
      <c r="T220" s="30"/>
    </row>
    <row r="221" spans="1:20" x14ac:dyDescent="0.35">
      <c r="N221" s="30"/>
      <c r="O221" s="57"/>
      <c r="P221" s="57"/>
      <c r="Q221" s="57"/>
      <c r="R221" s="57"/>
      <c r="S221" s="57"/>
      <c r="T221" s="57"/>
    </row>
    <row r="222" spans="1:20" x14ac:dyDescent="0.35">
      <c r="C222" s="55"/>
      <c r="D222" s="67"/>
      <c r="E222" s="54"/>
      <c r="F222" s="242"/>
      <c r="G222" s="243"/>
      <c r="H222" s="243"/>
      <c r="I222" s="243"/>
      <c r="J222" s="243"/>
    </row>
    <row r="223" spans="1:20" x14ac:dyDescent="0.35">
      <c r="C223" s="50" t="s">
        <v>166</v>
      </c>
      <c r="D223" s="364"/>
      <c r="E223" s="38">
        <v>0</v>
      </c>
      <c r="F223" s="38">
        <v>1</v>
      </c>
      <c r="G223" s="38">
        <v>2</v>
      </c>
      <c r="H223" s="38">
        <v>3</v>
      </c>
      <c r="I223" s="38">
        <v>4</v>
      </c>
      <c r="J223" s="38">
        <v>5</v>
      </c>
      <c r="N223" s="30"/>
    </row>
    <row r="224" spans="1:20" x14ac:dyDescent="0.35">
      <c r="C224" s="22" t="s">
        <v>167</v>
      </c>
      <c r="E224" s="244">
        <f>-H178</f>
        <v>-2257500</v>
      </c>
      <c r="F224" s="245">
        <v>0</v>
      </c>
      <c r="G224" s="246">
        <v>0</v>
      </c>
      <c r="H224" s="246">
        <v>0</v>
      </c>
      <c r="I224" s="246">
        <v>0</v>
      </c>
      <c r="J224" s="246">
        <v>0</v>
      </c>
      <c r="K224" s="63"/>
      <c r="L224" s="63"/>
      <c r="M224" s="63"/>
    </row>
    <row r="225" spans="1:20" x14ac:dyDescent="0.35">
      <c r="C225" s="59" t="s">
        <v>168</v>
      </c>
      <c r="E225" s="181"/>
      <c r="F225" s="181">
        <f>F220</f>
        <v>1282622.6369863013</v>
      </c>
      <c r="G225" s="181">
        <f t="shared" ref="G225:J225" si="38">G220</f>
        <v>1168207.7397260275</v>
      </c>
      <c r="H225" s="181">
        <f t="shared" si="38"/>
        <v>1262049.5217465754</v>
      </c>
      <c r="I225" s="181">
        <f t="shared" si="38"/>
        <v>524054.07029058272</v>
      </c>
      <c r="J225" s="181">
        <f t="shared" si="38"/>
        <v>1546483.4275182514</v>
      </c>
    </row>
    <row r="226" spans="1:20" ht="16" thickBot="1" x14ac:dyDescent="0.4">
      <c r="C226" s="22" t="s">
        <v>169</v>
      </c>
      <c r="E226" s="240">
        <f>SUM(E224:E225)</f>
        <v>-2257500</v>
      </c>
      <c r="F226" s="240">
        <f t="shared" ref="F226:J226" si="39">SUM(F224:F225)</f>
        <v>1282622.6369863013</v>
      </c>
      <c r="G226" s="240">
        <f t="shared" si="39"/>
        <v>1168207.7397260275</v>
      </c>
      <c r="H226" s="240">
        <f t="shared" si="39"/>
        <v>1262049.5217465754</v>
      </c>
      <c r="I226" s="240">
        <f t="shared" si="39"/>
        <v>524054.07029058272</v>
      </c>
      <c r="J226" s="240">
        <f t="shared" si="39"/>
        <v>1546483.4275182514</v>
      </c>
    </row>
    <row r="227" spans="1:20" ht="16" thickBot="1" x14ac:dyDescent="0.4">
      <c r="C227" s="22" t="s">
        <v>170</v>
      </c>
      <c r="E227" s="127">
        <f>IRR(E226:J226)</f>
        <v>0.43739538216781515</v>
      </c>
    </row>
    <row r="229" spans="1:20" s="162" customFormat="1" x14ac:dyDescent="0.35">
      <c r="A229" s="274"/>
      <c r="B229" s="274"/>
      <c r="C229" s="566" t="s">
        <v>171</v>
      </c>
      <c r="D229" s="566"/>
      <c r="E229" s="566"/>
      <c r="N229" s="22"/>
      <c r="O229" s="22"/>
      <c r="P229" s="22"/>
      <c r="Q229" s="22"/>
      <c r="R229" s="22"/>
      <c r="S229" s="22"/>
      <c r="T229" s="22"/>
    </row>
    <row r="230" spans="1:20" ht="16" thickBot="1" x14ac:dyDescent="0.4">
      <c r="N230" s="162"/>
      <c r="O230" s="162"/>
      <c r="P230" s="162"/>
      <c r="Q230" s="162"/>
      <c r="R230" s="162"/>
      <c r="S230" s="162"/>
      <c r="T230" s="162"/>
    </row>
    <row r="231" spans="1:20" ht="16" thickBot="1" x14ac:dyDescent="0.4">
      <c r="C231" s="22" t="s">
        <v>172</v>
      </c>
      <c r="E231" s="64">
        <f>E227</f>
        <v>0.43739538216781515</v>
      </c>
    </row>
    <row r="232" spans="1:20" x14ac:dyDescent="0.35">
      <c r="C232" s="50" t="s">
        <v>173</v>
      </c>
      <c r="D232" s="356"/>
    </row>
    <row r="233" spans="1:20" x14ac:dyDescent="0.35">
      <c r="C233" s="22" t="s">
        <v>46</v>
      </c>
      <c r="E233" s="128">
        <f>'A-INSTRUCTIONS'!D76</f>
        <v>8.0000000000000002E-3</v>
      </c>
    </row>
    <row r="234" spans="1:20" x14ac:dyDescent="0.35">
      <c r="C234" s="22" t="s">
        <v>174</v>
      </c>
      <c r="E234" s="128">
        <f>'A-INSTRUCTIONS'!D77</f>
        <v>5.7000000000000002E-2</v>
      </c>
    </row>
    <row r="235" spans="1:20" ht="16" thickBot="1" x14ac:dyDescent="0.4">
      <c r="C235" s="22" t="s">
        <v>175</v>
      </c>
      <c r="E235" s="129">
        <f>'A-INSTRUCTIONS'!D78</f>
        <v>2</v>
      </c>
    </row>
    <row r="236" spans="1:20" ht="16" thickBot="1" x14ac:dyDescent="0.4">
      <c r="C236" s="30" t="s">
        <v>176</v>
      </c>
      <c r="D236" s="356"/>
      <c r="E236" s="127">
        <f>(E233+(E235*E234))</f>
        <v>0.122</v>
      </c>
    </row>
    <row r="237" spans="1:20" x14ac:dyDescent="0.35">
      <c r="C237" s="30"/>
      <c r="D237" s="356"/>
      <c r="E237" s="130"/>
    </row>
    <row r="238" spans="1:20" x14ac:dyDescent="0.35">
      <c r="C238" s="30"/>
      <c r="D238" s="356"/>
      <c r="E238" s="130"/>
    </row>
    <row r="239" spans="1:20" x14ac:dyDescent="0.35">
      <c r="C239" s="30"/>
      <c r="D239" s="356"/>
      <c r="E239" s="130"/>
    </row>
    <row r="240" spans="1:20" x14ac:dyDescent="0.35">
      <c r="C240" s="30"/>
      <c r="D240" s="356"/>
      <c r="E240" s="130"/>
    </row>
    <row r="241" spans="1:20" x14ac:dyDescent="0.35">
      <c r="C241" s="30"/>
      <c r="D241" s="356"/>
      <c r="E241" s="130"/>
    </row>
    <row r="242" spans="1:20" x14ac:dyDescent="0.35">
      <c r="C242" s="30"/>
      <c r="D242" s="356"/>
      <c r="E242" s="130"/>
    </row>
    <row r="243" spans="1:20" ht="23" x14ac:dyDescent="0.35">
      <c r="B243" s="346" t="s">
        <v>258</v>
      </c>
      <c r="C243" s="30"/>
      <c r="D243" s="356"/>
      <c r="E243" s="130"/>
    </row>
    <row r="244" spans="1:20" x14ac:dyDescent="0.35">
      <c r="C244" s="30"/>
      <c r="D244" s="356"/>
      <c r="E244" s="130"/>
    </row>
    <row r="245" spans="1:20" x14ac:dyDescent="0.35">
      <c r="C245" s="30"/>
      <c r="D245" s="356"/>
      <c r="E245" s="130"/>
    </row>
    <row r="246" spans="1:20" x14ac:dyDescent="0.35">
      <c r="C246" s="30"/>
      <c r="D246" s="356"/>
      <c r="E246" s="130"/>
    </row>
    <row r="247" spans="1:20" x14ac:dyDescent="0.35">
      <c r="C247" s="30"/>
      <c r="D247" s="356"/>
      <c r="E247" s="130"/>
    </row>
    <row r="248" spans="1:20" x14ac:dyDescent="0.35">
      <c r="C248" s="30"/>
      <c r="D248" s="356"/>
      <c r="E248" s="130"/>
    </row>
    <row r="249" spans="1:20" x14ac:dyDescent="0.35">
      <c r="C249" s="30"/>
      <c r="D249" s="356"/>
      <c r="E249" s="130"/>
    </row>
    <row r="250" spans="1:20" x14ac:dyDescent="0.35">
      <c r="C250" s="30"/>
      <c r="D250" s="356"/>
      <c r="E250" s="130"/>
    </row>
    <row r="251" spans="1:20" x14ac:dyDescent="0.35">
      <c r="C251" s="30"/>
      <c r="D251" s="356"/>
      <c r="E251" s="130"/>
    </row>
    <row r="252" spans="1:20" x14ac:dyDescent="0.35">
      <c r="C252" s="30"/>
      <c r="D252" s="356"/>
      <c r="E252" s="130"/>
    </row>
    <row r="254" spans="1:20" s="114" customFormat="1" ht="21" x14ac:dyDescent="0.5">
      <c r="A254" s="232">
        <v>3</v>
      </c>
      <c r="B254" s="232"/>
      <c r="C254" s="232" t="s">
        <v>177</v>
      </c>
      <c r="D254" s="231"/>
      <c r="E254" s="232" t="s">
        <v>178</v>
      </c>
      <c r="F254" s="232"/>
      <c r="G254" s="232"/>
      <c r="H254" s="232"/>
      <c r="I254" s="232"/>
      <c r="J254" s="232"/>
      <c r="K254" s="232"/>
      <c r="N254" s="22"/>
      <c r="O254" s="22"/>
      <c r="P254" s="22"/>
      <c r="Q254" s="22"/>
      <c r="R254" s="22"/>
      <c r="S254" s="22"/>
      <c r="T254" s="22"/>
    </row>
    <row r="255" spans="1:20" ht="21" outlineLevel="1" x14ac:dyDescent="0.5">
      <c r="N255" s="114"/>
      <c r="O255" s="114"/>
      <c r="P255" s="114"/>
      <c r="Q255" s="114"/>
      <c r="R255" s="114"/>
      <c r="S255" s="114"/>
      <c r="T255" s="114"/>
    </row>
    <row r="256" spans="1:20" outlineLevel="1" x14ac:dyDescent="0.35">
      <c r="C256" s="50" t="s">
        <v>179</v>
      </c>
      <c r="D256" s="364"/>
      <c r="E256" s="50">
        <f>'C-SCENARIOS'!E223</f>
        <v>0</v>
      </c>
      <c r="F256" s="50">
        <f>'C-SCENARIOS'!F222</f>
        <v>0</v>
      </c>
      <c r="G256" s="50">
        <f>'C-SCENARIOS'!G223</f>
        <v>2</v>
      </c>
      <c r="H256" s="50">
        <f>'C-SCENARIOS'!H223</f>
        <v>3</v>
      </c>
      <c r="I256" s="50">
        <f>'C-SCENARIOS'!I223</f>
        <v>4</v>
      </c>
      <c r="J256" s="50">
        <f>'C-SCENARIOS'!J223</f>
        <v>5</v>
      </c>
    </row>
    <row r="257" spans="1:20" outlineLevel="1" x14ac:dyDescent="0.35">
      <c r="K257" s="62"/>
    </row>
    <row r="258" spans="1:20" outlineLevel="1" x14ac:dyDescent="0.35">
      <c r="C258" s="22" t="s">
        <v>180</v>
      </c>
      <c r="E258" s="10"/>
      <c r="F258" s="176">
        <f>IF(F89/F84&lt;0,0,F89/F84)</f>
        <v>0.21000000000000008</v>
      </c>
      <c r="G258" s="177">
        <f>IF(G89/G84&lt;0,0,G89/G84)</f>
        <v>0.23253968253968255</v>
      </c>
      <c r="H258" s="177">
        <f>IF(H89/H84&lt;0,0,H89/H84)</f>
        <v>0.2535851377588072</v>
      </c>
      <c r="I258" s="177">
        <f>IF(I89/I84&lt;0,0,I89/I84)</f>
        <v>0.27323542274398444</v>
      </c>
      <c r="J258" s="177">
        <f>IF(J89/J84&lt;0,0,J89/J84)</f>
        <v>0.29158302777216094</v>
      </c>
      <c r="K258" s="62"/>
    </row>
    <row r="259" spans="1:20" outlineLevel="1" x14ac:dyDescent="0.35">
      <c r="C259" s="22" t="s">
        <v>181</v>
      </c>
      <c r="F259" s="178">
        <f>IF(F89/F214&lt;0,0,F89/F214)</f>
        <v>2.8897756983624614</v>
      </c>
      <c r="G259" s="178">
        <f>IF(G89/G214&lt;0,0,G89/G214)</f>
        <v>3.4271363698912896</v>
      </c>
      <c r="H259" s="178">
        <f>IF(H89/H214&lt;0,0,H89/H214)</f>
        <v>4.0026496490986654</v>
      </c>
      <c r="I259" s="178">
        <f>IF(I89/I214&lt;0,0,I89/I214)</f>
        <v>4.6190243711297665</v>
      </c>
      <c r="J259" s="178">
        <f>IF(J89/J214&lt;0,0,J89/J214)</f>
        <v>6.5989521230313422</v>
      </c>
      <c r="K259" s="62"/>
    </row>
    <row r="260" spans="1:20" outlineLevel="1" x14ac:dyDescent="0.35">
      <c r="C260" s="22" t="s">
        <v>182</v>
      </c>
      <c r="F260" s="178">
        <f>F212/F218</f>
        <v>8.8444269344605058</v>
      </c>
      <c r="G260" s="179">
        <f>G212/G218</f>
        <v>8.1446737288872217</v>
      </c>
      <c r="H260" s="179">
        <f>H212/H218</f>
        <v>8.7186032551814154</v>
      </c>
      <c r="I260" s="179">
        <f>I212/I218</f>
        <v>1.5230041394805756</v>
      </c>
      <c r="J260" s="179">
        <f>J212/J218</f>
        <v>1.4437789155316685</v>
      </c>
    </row>
    <row r="261" spans="1:20" s="30" customFormat="1" outlineLevel="1" x14ac:dyDescent="0.35">
      <c r="A261" s="39"/>
      <c r="B261" s="39"/>
      <c r="C261" s="22"/>
      <c r="D261" s="344"/>
      <c r="E261" s="22"/>
      <c r="F261" s="22"/>
      <c r="G261" s="22"/>
      <c r="H261" s="22"/>
      <c r="I261" s="22"/>
      <c r="J261" s="22"/>
      <c r="K261" s="22"/>
      <c r="L261" s="22"/>
      <c r="M261" s="22"/>
      <c r="N261" s="22"/>
      <c r="O261" s="22"/>
      <c r="P261" s="22"/>
      <c r="Q261" s="22"/>
      <c r="R261" s="22"/>
      <c r="S261" s="22"/>
      <c r="T261" s="22"/>
    </row>
    <row r="262" spans="1:20" outlineLevel="1" x14ac:dyDescent="0.35">
      <c r="C262" s="50" t="s">
        <v>183</v>
      </c>
      <c r="D262" s="364"/>
      <c r="E262" s="50">
        <f>'C-SCENARIOS'!E256</f>
        <v>0</v>
      </c>
      <c r="F262" s="50">
        <f>'C-SCENARIOS'!F256</f>
        <v>0</v>
      </c>
      <c r="G262" s="50">
        <f>'C-SCENARIOS'!G256</f>
        <v>2</v>
      </c>
      <c r="H262" s="50">
        <f>'C-SCENARIOS'!H256</f>
        <v>3</v>
      </c>
      <c r="I262" s="50">
        <f>'C-SCENARIOS'!I256</f>
        <v>4</v>
      </c>
      <c r="J262" s="50">
        <f>'C-SCENARIOS'!J256</f>
        <v>5</v>
      </c>
      <c r="O262" s="30"/>
      <c r="P262" s="30"/>
      <c r="Q262" s="30"/>
      <c r="R262" s="30"/>
      <c r="S262" s="30"/>
      <c r="T262" s="30"/>
    </row>
    <row r="263" spans="1:20" outlineLevel="1" x14ac:dyDescent="0.35">
      <c r="C263" s="65" t="s">
        <v>184</v>
      </c>
      <c r="D263" s="356"/>
      <c r="E263" s="30"/>
      <c r="F263" s="30"/>
      <c r="G263" s="30"/>
      <c r="H263" s="30"/>
      <c r="I263" s="30"/>
      <c r="J263" s="30"/>
    </row>
    <row r="264" spans="1:20" outlineLevel="1" x14ac:dyDescent="0.35">
      <c r="C264" s="59" t="s">
        <v>185</v>
      </c>
      <c r="E264" s="66"/>
      <c r="F264" s="180">
        <f>'C-SCENARIOS'!F84</f>
        <v>3750000</v>
      </c>
      <c r="G264" s="181">
        <f>'C-SCENARIOS'!G84</f>
        <v>4016250</v>
      </c>
      <c r="H264" s="181">
        <f>'C-SCENARIOS'!H84</f>
        <v>4301403.75</v>
      </c>
      <c r="I264" s="181">
        <f>'C-SCENARIOS'!I84</f>
        <v>4606803.4162500007</v>
      </c>
      <c r="J264" s="181">
        <f>'C-SCENARIOS'!J84</f>
        <v>4933886.4588037506</v>
      </c>
    </row>
    <row r="265" spans="1:20" outlineLevel="1" x14ac:dyDescent="0.35">
      <c r="C265" s="59" t="s">
        <v>186</v>
      </c>
      <c r="E265" s="66"/>
      <c r="F265" s="180">
        <f>'C-SCENARIOS'!F85</f>
        <v>-1687499.9999999998</v>
      </c>
      <c r="G265" s="181">
        <f>'C-SCENARIOS'!G85</f>
        <v>-1807312.4999999998</v>
      </c>
      <c r="H265" s="181">
        <f>'C-SCENARIOS'!H85</f>
        <v>-1935631.6874999998</v>
      </c>
      <c r="I265" s="181">
        <f>'C-SCENARIOS'!I85</f>
        <v>-2073061.5373125002</v>
      </c>
      <c r="J265" s="181">
        <f>'C-SCENARIOS'!J85</f>
        <v>-2220248.9064616878</v>
      </c>
    </row>
    <row r="266" spans="1:20" outlineLevel="1" x14ac:dyDescent="0.35">
      <c r="C266" s="59" t="s">
        <v>187</v>
      </c>
      <c r="E266" s="66"/>
      <c r="F266" s="180">
        <f>F87+F88</f>
        <v>-1275000</v>
      </c>
      <c r="G266" s="181">
        <f>G87+G88</f>
        <v>-1275000</v>
      </c>
      <c r="H266" s="181">
        <f>H87+H88</f>
        <v>-1275000</v>
      </c>
      <c r="I266" s="181">
        <f>I87+I88</f>
        <v>-1275000</v>
      </c>
      <c r="J266" s="181">
        <f>J87+J88</f>
        <v>-1275000</v>
      </c>
    </row>
    <row r="267" spans="1:20" s="30" customFormat="1" outlineLevel="1" x14ac:dyDescent="0.35">
      <c r="A267" s="39"/>
      <c r="B267" s="39"/>
      <c r="C267" s="54" t="s">
        <v>188</v>
      </c>
      <c r="D267" s="67"/>
      <c r="E267" s="67" t="s">
        <v>189</v>
      </c>
      <c r="F267" s="182">
        <f>F264+F265</f>
        <v>2062500.0000000002</v>
      </c>
      <c r="G267" s="182">
        <f t="shared" ref="G267:J267" si="40">G264+G265</f>
        <v>2208937.5</v>
      </c>
      <c r="H267" s="182">
        <f t="shared" si="40"/>
        <v>2365772.0625</v>
      </c>
      <c r="I267" s="182">
        <f t="shared" si="40"/>
        <v>2533741.8789375005</v>
      </c>
      <c r="J267" s="182">
        <f t="shared" si="40"/>
        <v>2713637.5523420628</v>
      </c>
      <c r="N267" s="22"/>
      <c r="O267" s="22"/>
      <c r="P267" s="22"/>
      <c r="Q267" s="22"/>
      <c r="R267" s="22"/>
      <c r="S267" s="22"/>
      <c r="T267" s="22"/>
    </row>
    <row r="268" spans="1:20" s="30" customFormat="1" outlineLevel="1" x14ac:dyDescent="0.35">
      <c r="A268" s="39"/>
      <c r="B268" s="39"/>
      <c r="C268" s="54" t="s">
        <v>190</v>
      </c>
      <c r="D268" s="67"/>
      <c r="E268" s="67" t="s">
        <v>191</v>
      </c>
      <c r="F268" s="182">
        <f>SUM(F264:F266)</f>
        <v>787500.00000000023</v>
      </c>
      <c r="G268" s="182">
        <f t="shared" ref="G268:J268" si="41">SUM(G264:G266)</f>
        <v>933937.5</v>
      </c>
      <c r="H268" s="182">
        <f t="shared" si="41"/>
        <v>1090772.0625</v>
      </c>
      <c r="I268" s="182">
        <f t="shared" si="41"/>
        <v>1258741.8789375005</v>
      </c>
      <c r="J268" s="182">
        <f t="shared" si="41"/>
        <v>1438637.5523420628</v>
      </c>
    </row>
    <row r="269" spans="1:20" outlineLevel="1" x14ac:dyDescent="0.35">
      <c r="C269" s="30" t="s">
        <v>192</v>
      </c>
      <c r="D269" s="356"/>
      <c r="E269" s="30" t="s">
        <v>193</v>
      </c>
      <c r="F269" s="183">
        <f>F268/F267</f>
        <v>0.38181818181818189</v>
      </c>
      <c r="G269" s="184">
        <f t="shared" ref="G269:J269" si="42">G268/G267</f>
        <v>0.42279942279942279</v>
      </c>
      <c r="H269" s="184">
        <f t="shared" si="42"/>
        <v>0.46106388683419497</v>
      </c>
      <c r="I269" s="184">
        <f t="shared" si="42"/>
        <v>0.49679167771633526</v>
      </c>
      <c r="J269" s="185">
        <f t="shared" si="42"/>
        <v>0.53015095958574721</v>
      </c>
      <c r="N269" s="30"/>
      <c r="O269" s="30"/>
      <c r="P269" s="30"/>
      <c r="Q269" s="30"/>
      <c r="R269" s="30"/>
      <c r="S269" s="30"/>
      <c r="T269" s="30"/>
    </row>
    <row r="270" spans="1:20" outlineLevel="1" x14ac:dyDescent="0.35">
      <c r="C270" s="65" t="s">
        <v>194</v>
      </c>
      <c r="D270" s="356"/>
      <c r="E270" s="30"/>
      <c r="F270" s="30"/>
      <c r="G270" s="30"/>
      <c r="H270" s="30"/>
      <c r="I270" s="30"/>
      <c r="J270" s="30"/>
    </row>
    <row r="271" spans="1:20" s="30" customFormat="1" outlineLevel="1" x14ac:dyDescent="0.35">
      <c r="A271" s="39"/>
      <c r="B271" s="39"/>
      <c r="C271" s="54" t="s">
        <v>195</v>
      </c>
      <c r="D271" s="67"/>
      <c r="E271" s="67" t="s">
        <v>196</v>
      </c>
      <c r="F271" s="186">
        <f>'C-SCENARIOS'!F89</f>
        <v>787500.00000000023</v>
      </c>
      <c r="G271" s="186">
        <f>'C-SCENARIOS'!G89</f>
        <v>933937.5</v>
      </c>
      <c r="H271" s="186">
        <f>'C-SCENARIOS'!H89</f>
        <v>1090772.0625</v>
      </c>
      <c r="I271" s="186">
        <f>'C-SCENARIOS'!I89</f>
        <v>1258741.8789375005</v>
      </c>
      <c r="J271" s="186">
        <f>'C-SCENARIOS'!J89</f>
        <v>1438637.5523420628</v>
      </c>
      <c r="N271" s="22"/>
      <c r="O271" s="22"/>
      <c r="P271" s="22"/>
      <c r="Q271" s="22"/>
      <c r="R271" s="22"/>
      <c r="S271" s="22"/>
      <c r="T271" s="22"/>
    </row>
    <row r="272" spans="1:20" s="30" customFormat="1" outlineLevel="1" x14ac:dyDescent="0.35">
      <c r="A272" s="39"/>
      <c r="B272" s="39"/>
      <c r="C272" s="54" t="s">
        <v>197</v>
      </c>
      <c r="D272" s="67"/>
      <c r="E272" s="67" t="s">
        <v>198</v>
      </c>
      <c r="F272" s="186">
        <f>F89-F214</f>
        <v>514987.50000000023</v>
      </c>
      <c r="G272" s="186">
        <f>G89-G214</f>
        <v>661425</v>
      </c>
      <c r="H272" s="186">
        <f>H89-H214</f>
        <v>818259.5625</v>
      </c>
      <c r="I272" s="186">
        <f>I89-I214</f>
        <v>986229.37893750053</v>
      </c>
      <c r="J272" s="186">
        <f>J89-J214</f>
        <v>1220627.5523420628</v>
      </c>
    </row>
    <row r="273" spans="3:20" ht="16" outlineLevel="1" thickBot="1" x14ac:dyDescent="0.4">
      <c r="C273" s="30" t="s">
        <v>199</v>
      </c>
      <c r="D273" s="356"/>
      <c r="E273" s="30" t="s">
        <v>200</v>
      </c>
      <c r="F273" s="183">
        <f>F272/F271</f>
        <v>0.65395238095238106</v>
      </c>
      <c r="G273" s="184">
        <f t="shared" ref="G273:J273" si="43">G272/G271</f>
        <v>0.70821120256976511</v>
      </c>
      <c r="H273" s="184">
        <f t="shared" si="43"/>
        <v>0.75016549344377803</v>
      </c>
      <c r="I273" s="184">
        <f t="shared" si="43"/>
        <v>0.78350406500336123</v>
      </c>
      <c r="J273" s="185">
        <f t="shared" si="43"/>
        <v>0.84846078871979558</v>
      </c>
      <c r="N273" s="30"/>
      <c r="O273" s="30"/>
      <c r="P273" s="30"/>
      <c r="Q273" s="30"/>
      <c r="R273" s="30"/>
      <c r="S273" s="30"/>
      <c r="T273" s="30"/>
    </row>
    <row r="274" spans="3:20" ht="16" outlineLevel="1" thickBot="1" x14ac:dyDescent="0.4">
      <c r="C274" s="30"/>
      <c r="D274" s="356"/>
      <c r="E274" s="30"/>
      <c r="F274" s="11"/>
      <c r="G274" s="11"/>
      <c r="H274" s="30"/>
      <c r="I274" s="30"/>
      <c r="J274" s="30"/>
    </row>
    <row r="275" spans="3:20" ht="16" outlineLevel="1" thickBot="1" x14ac:dyDescent="0.4">
      <c r="C275" s="68" t="s">
        <v>201</v>
      </c>
      <c r="D275" s="365"/>
      <c r="E275" s="69" t="s">
        <v>202</v>
      </c>
      <c r="F275" s="187">
        <f>F269*F273</f>
        <v>0.24969090909090919</v>
      </c>
      <c r="G275" s="187">
        <f>G269*G273</f>
        <v>0.29943128766658178</v>
      </c>
      <c r="H275" s="187">
        <f>H269*H273</f>
        <v>0.34587421817608011</v>
      </c>
      <c r="I275" s="187">
        <f>I269*I273</f>
        <v>0.38923829895058842</v>
      </c>
      <c r="J275" s="188">
        <f>J269*J273</f>
        <v>0.44981230131067956</v>
      </c>
    </row>
    <row r="276" spans="3:20" outlineLevel="1" x14ac:dyDescent="0.35"/>
    <row r="277" spans="3:20" outlineLevel="1" x14ac:dyDescent="0.35">
      <c r="C277" s="50" t="s">
        <v>203</v>
      </c>
      <c r="D277" s="364"/>
      <c r="E277" s="50">
        <v>0</v>
      </c>
      <c r="F277" s="50">
        <v>1</v>
      </c>
      <c r="G277" s="50">
        <v>2</v>
      </c>
      <c r="H277" s="50">
        <v>3</v>
      </c>
      <c r="I277" s="50">
        <v>4</v>
      </c>
      <c r="J277" s="50">
        <v>5</v>
      </c>
    </row>
    <row r="278" spans="3:20" outlineLevel="1" x14ac:dyDescent="0.35">
      <c r="C278" s="30"/>
      <c r="D278" s="356"/>
      <c r="E278" s="30"/>
      <c r="F278" s="30"/>
      <c r="G278" s="30"/>
      <c r="H278" s="30"/>
      <c r="I278" s="30"/>
      <c r="J278" s="30"/>
    </row>
    <row r="279" spans="3:20" outlineLevel="1" x14ac:dyDescent="0.35">
      <c r="C279" s="30"/>
      <c r="D279" s="356"/>
      <c r="E279" s="30"/>
      <c r="F279" s="30"/>
      <c r="G279" s="30"/>
      <c r="H279" s="30"/>
      <c r="I279" s="30"/>
      <c r="J279" s="30"/>
    </row>
    <row r="280" spans="3:20" outlineLevel="1" x14ac:dyDescent="0.35">
      <c r="C280" s="30"/>
      <c r="D280" s="356"/>
      <c r="E280" s="30"/>
      <c r="F280" s="30"/>
      <c r="G280" s="30"/>
      <c r="H280" s="30"/>
      <c r="I280" s="30"/>
      <c r="J280" s="30"/>
    </row>
    <row r="281" spans="3:20" outlineLevel="1" x14ac:dyDescent="0.35">
      <c r="C281" s="30"/>
      <c r="D281" s="356"/>
      <c r="E281" s="30"/>
      <c r="F281" s="30"/>
      <c r="G281" s="30"/>
      <c r="H281" s="30"/>
      <c r="I281" s="30"/>
      <c r="J281" s="30"/>
    </row>
    <row r="282" spans="3:20" outlineLevel="1" x14ac:dyDescent="0.35">
      <c r="C282" s="30"/>
      <c r="D282" s="356"/>
      <c r="E282" s="30"/>
      <c r="F282" s="30"/>
      <c r="G282" s="30"/>
      <c r="H282" s="30"/>
      <c r="I282" s="30"/>
      <c r="J282" s="30"/>
    </row>
    <row r="283" spans="3:20" outlineLevel="1" x14ac:dyDescent="0.35">
      <c r="C283" s="30"/>
      <c r="D283" s="356"/>
      <c r="E283" s="30"/>
      <c r="F283" s="30"/>
      <c r="G283" s="30"/>
      <c r="H283" s="30"/>
      <c r="I283" s="30"/>
      <c r="J283" s="30"/>
    </row>
    <row r="284" spans="3:20" outlineLevel="1" x14ac:dyDescent="0.35">
      <c r="C284" s="22" t="s">
        <v>204</v>
      </c>
      <c r="F284" s="189">
        <f>F24</f>
        <v>3000000</v>
      </c>
      <c r="G284" s="189">
        <f>G24</f>
        <v>3060000</v>
      </c>
      <c r="H284" s="189">
        <f>H24</f>
        <v>3121200</v>
      </c>
      <c r="I284" s="189">
        <f>I24</f>
        <v>3183624</v>
      </c>
      <c r="J284" s="189">
        <f>J24</f>
        <v>3247296.48</v>
      </c>
    </row>
    <row r="285" spans="3:20" outlineLevel="1" x14ac:dyDescent="0.35">
      <c r="C285" s="22" t="s">
        <v>205</v>
      </c>
      <c r="F285" s="190">
        <f>F26</f>
        <v>1.25</v>
      </c>
      <c r="G285" s="190">
        <f>G26</f>
        <v>1.3125</v>
      </c>
      <c r="H285" s="190">
        <f>H26</f>
        <v>1.378125</v>
      </c>
      <c r="I285" s="190">
        <f>I26</f>
        <v>1.4470312500000002</v>
      </c>
      <c r="J285" s="190">
        <f>J26</f>
        <v>1.5193828125000002</v>
      </c>
    </row>
    <row r="286" spans="3:20" outlineLevel="1" x14ac:dyDescent="0.35">
      <c r="C286" s="22" t="s">
        <v>206</v>
      </c>
      <c r="F286" s="190">
        <f>F26*$F$32</f>
        <v>0.5625</v>
      </c>
      <c r="G286" s="190">
        <f>G26*$F$32</f>
        <v>0.59062499999999996</v>
      </c>
      <c r="H286" s="190">
        <f>H26*$F$32</f>
        <v>0.62015624999999996</v>
      </c>
      <c r="I286" s="190">
        <f>I26*$F$32</f>
        <v>0.65116406250000003</v>
      </c>
      <c r="J286" s="190">
        <f>J26*$F$32</f>
        <v>0.68372226562500005</v>
      </c>
    </row>
    <row r="287" spans="3:20" outlineLevel="1" x14ac:dyDescent="0.35">
      <c r="C287" s="22" t="s">
        <v>75</v>
      </c>
      <c r="F287" s="191">
        <f>-F266</f>
        <v>1275000</v>
      </c>
      <c r="G287" s="191">
        <f t="shared" ref="G287:J287" si="44">-G266</f>
        <v>1275000</v>
      </c>
      <c r="H287" s="191">
        <f t="shared" si="44"/>
        <v>1275000</v>
      </c>
      <c r="I287" s="191">
        <f t="shared" si="44"/>
        <v>1275000</v>
      </c>
      <c r="J287" s="191">
        <f t="shared" si="44"/>
        <v>1275000</v>
      </c>
    </row>
    <row r="288" spans="3:20" outlineLevel="1" x14ac:dyDescent="0.35">
      <c r="C288" s="22" t="s">
        <v>207</v>
      </c>
      <c r="F288" s="191">
        <f>F214</f>
        <v>272512.5</v>
      </c>
      <c r="G288" s="191">
        <f>G214</f>
        <v>272512.5</v>
      </c>
      <c r="H288" s="191">
        <f>H214</f>
        <v>272512.5</v>
      </c>
      <c r="I288" s="191">
        <f>I214</f>
        <v>272512.5</v>
      </c>
      <c r="J288" s="191">
        <f>J214</f>
        <v>218010</v>
      </c>
    </row>
    <row r="289" spans="3:10" outlineLevel="1" x14ac:dyDescent="0.35">
      <c r="C289" s="22" t="s">
        <v>208</v>
      </c>
      <c r="F289" s="192">
        <f>(F287+F288)/(F285-F286)</f>
        <v>2250927.2727272729</v>
      </c>
      <c r="G289" s="193">
        <f>(G287+G288)/(G285-G286)</f>
        <v>2143740.2597402595</v>
      </c>
      <c r="H289" s="193">
        <f>(H287+H288)/(H285-H286)</f>
        <v>2041657.3902288186</v>
      </c>
      <c r="I289" s="193">
        <f>(I287+I288)/(I285-I286)</f>
        <v>1944435.6097417318</v>
      </c>
      <c r="J289" s="193">
        <f>(J287+J288)/(J285-J286)</f>
        <v>1786622.577293131</v>
      </c>
    </row>
    <row r="290" spans="3:10" outlineLevel="1" x14ac:dyDescent="0.35">
      <c r="C290" s="22" t="s">
        <v>209</v>
      </c>
      <c r="F290" s="194">
        <f>((F284-F289)/F289)</f>
        <v>0.33278406474907296</v>
      </c>
      <c r="G290" s="194">
        <f t="shared" ref="G290:J290" si="45">((G284-G289)/G289)</f>
        <v>0.42741173334625748</v>
      </c>
      <c r="H290" s="194">
        <f t="shared" si="45"/>
        <v>0.52875796641384165</v>
      </c>
      <c r="I290" s="194">
        <f t="shared" si="45"/>
        <v>0.63729978202922466</v>
      </c>
      <c r="J290" s="194">
        <f t="shared" si="45"/>
        <v>0.8175615383299929</v>
      </c>
    </row>
    <row r="291" spans="3:10" outlineLevel="1" x14ac:dyDescent="0.35"/>
    <row r="292" spans="3:10" outlineLevel="1" x14ac:dyDescent="0.35"/>
    <row r="293" spans="3:10" outlineLevel="1" x14ac:dyDescent="0.35"/>
    <row r="294" spans="3:10" outlineLevel="1" x14ac:dyDescent="0.35"/>
    <row r="295" spans="3:10" outlineLevel="1" x14ac:dyDescent="0.35"/>
    <row r="296" spans="3:10" outlineLevel="1" x14ac:dyDescent="0.35"/>
    <row r="297" spans="3:10" outlineLevel="1" x14ac:dyDescent="0.35"/>
    <row r="298" spans="3:10" outlineLevel="1" x14ac:dyDescent="0.35"/>
    <row r="299" spans="3:10" outlineLevel="1" x14ac:dyDescent="0.35"/>
    <row r="300" spans="3:10" outlineLevel="1" x14ac:dyDescent="0.35"/>
    <row r="305" spans="1:20" s="114" customFormat="1" ht="21" x14ac:dyDescent="0.5">
      <c r="A305" s="232">
        <v>4</v>
      </c>
      <c r="B305" s="232" t="s">
        <v>210</v>
      </c>
      <c r="C305" s="232" t="s">
        <v>211</v>
      </c>
      <c r="D305" s="231"/>
      <c r="E305" s="232" t="s">
        <v>212</v>
      </c>
      <c r="F305" s="232"/>
      <c r="G305" s="232"/>
      <c r="H305" s="232"/>
      <c r="I305" s="232"/>
      <c r="J305" s="232"/>
      <c r="K305" s="232"/>
      <c r="L305" s="232"/>
      <c r="M305" s="232"/>
      <c r="N305" s="232"/>
      <c r="O305" s="232"/>
      <c r="P305" s="22"/>
      <c r="Q305" s="22"/>
      <c r="R305" s="22"/>
      <c r="S305" s="22"/>
      <c r="T305" s="22"/>
    </row>
    <row r="306" spans="1:20" s="41" customFormat="1" ht="21" outlineLevel="1" x14ac:dyDescent="0.5">
      <c r="A306" s="131"/>
      <c r="B306" s="131"/>
      <c r="D306" s="279"/>
      <c r="P306" s="114"/>
      <c r="Q306" s="114"/>
      <c r="R306" s="114"/>
      <c r="S306" s="114"/>
      <c r="T306" s="114"/>
    </row>
    <row r="307" spans="1:20" s="41" customFormat="1" ht="14" outlineLevel="1" x14ac:dyDescent="0.3">
      <c r="A307" s="131"/>
      <c r="B307" s="131"/>
      <c r="D307" s="279"/>
    </row>
    <row r="308" spans="1:20" s="41" customFormat="1" ht="14" outlineLevel="1" x14ac:dyDescent="0.3">
      <c r="A308" s="131"/>
      <c r="B308" s="131"/>
      <c r="C308" s="132"/>
      <c r="D308" s="279"/>
    </row>
    <row r="309" spans="1:20" s="41" customFormat="1" ht="14" outlineLevel="1" x14ac:dyDescent="0.3">
      <c r="A309" s="131"/>
      <c r="B309" s="131"/>
      <c r="C309" s="132"/>
      <c r="D309" s="279"/>
    </row>
    <row r="310" spans="1:20" s="41" customFormat="1" ht="14" outlineLevel="1" x14ac:dyDescent="0.3">
      <c r="A310" s="131"/>
      <c r="B310" s="131"/>
      <c r="C310" s="132"/>
      <c r="D310" s="279"/>
      <c r="E310" s="312" t="s">
        <v>213</v>
      </c>
      <c r="F310" s="313"/>
      <c r="G310" s="314"/>
      <c r="H310" s="133"/>
      <c r="I310" s="312" t="s">
        <v>214</v>
      </c>
      <c r="J310" s="313"/>
      <c r="K310" s="314"/>
    </row>
    <row r="311" spans="1:20" s="41" customFormat="1" ht="14" outlineLevel="1" x14ac:dyDescent="0.3">
      <c r="A311" s="131"/>
      <c r="B311" s="131"/>
      <c r="C311" s="132"/>
      <c r="D311" s="279"/>
      <c r="E311" s="315"/>
      <c r="F311" s="316"/>
      <c r="G311" s="317"/>
      <c r="H311" s="133"/>
      <c r="I311" s="315"/>
      <c r="J311" s="316"/>
      <c r="K311" s="317"/>
    </row>
    <row r="312" spans="1:20" s="41" customFormat="1" ht="14" outlineLevel="1" x14ac:dyDescent="0.3">
      <c r="A312" s="131"/>
      <c r="B312" s="131"/>
      <c r="C312" s="132"/>
      <c r="D312" s="279"/>
      <c r="E312" s="315" t="s">
        <v>215</v>
      </c>
      <c r="F312" s="316"/>
      <c r="G312" s="317">
        <f>I342</f>
        <v>2.8574681396255497</v>
      </c>
      <c r="H312" s="133"/>
      <c r="I312" s="315" t="s">
        <v>215</v>
      </c>
      <c r="J312" s="316"/>
      <c r="K312" s="317">
        <f>K342</f>
        <v>1.5540351202599949</v>
      </c>
    </row>
    <row r="313" spans="1:20" s="41" customFormat="1" ht="14" outlineLevel="1" x14ac:dyDescent="0.3">
      <c r="A313" s="131"/>
      <c r="B313" s="131"/>
      <c r="C313" s="132"/>
      <c r="D313" s="279"/>
      <c r="E313" s="315" t="s">
        <v>216</v>
      </c>
      <c r="F313" s="318"/>
      <c r="G313" s="317">
        <f>I350</f>
        <v>2.8574681396255559</v>
      </c>
      <c r="H313" s="133"/>
      <c r="I313" s="315" t="s">
        <v>216</v>
      </c>
      <c r="J313" s="318"/>
      <c r="K313" s="317">
        <f>K350</f>
        <v>1.5505846650755599</v>
      </c>
    </row>
    <row r="314" spans="1:20" s="41" customFormat="1" ht="14" outlineLevel="1" x14ac:dyDescent="0.3">
      <c r="A314" s="131"/>
      <c r="B314" s="131"/>
      <c r="C314" s="132"/>
      <c r="D314" s="279"/>
      <c r="E314" s="315" t="s">
        <v>217</v>
      </c>
      <c r="F314" s="319"/>
      <c r="G314" s="317"/>
      <c r="H314" s="133"/>
      <c r="I314" s="315" t="s">
        <v>217</v>
      </c>
      <c r="J314" s="319"/>
      <c r="K314" s="317"/>
    </row>
    <row r="315" spans="1:20" s="41" customFormat="1" ht="14" outlineLevel="1" x14ac:dyDescent="0.3">
      <c r="A315" s="131"/>
      <c r="B315" s="131"/>
      <c r="C315" s="132"/>
      <c r="D315" s="279"/>
      <c r="E315" s="315" t="s">
        <v>218</v>
      </c>
      <c r="F315" s="316"/>
      <c r="G315" s="317"/>
      <c r="H315" s="133"/>
      <c r="I315" s="315" t="s">
        <v>218</v>
      </c>
      <c r="J315" s="316"/>
      <c r="K315" s="317"/>
    </row>
    <row r="316" spans="1:20" s="41" customFormat="1" ht="14" outlineLevel="1" x14ac:dyDescent="0.3">
      <c r="A316" s="131"/>
      <c r="B316" s="131"/>
      <c r="C316" s="132"/>
      <c r="D316" s="279"/>
      <c r="E316" s="315" t="s">
        <v>219</v>
      </c>
      <c r="F316" s="316"/>
      <c r="G316" s="317"/>
      <c r="H316" s="133"/>
      <c r="I316" s="315" t="s">
        <v>219</v>
      </c>
      <c r="J316" s="316"/>
      <c r="K316" s="317"/>
    </row>
    <row r="317" spans="1:20" s="41" customFormat="1" ht="14" outlineLevel="1" x14ac:dyDescent="0.3">
      <c r="A317" s="131"/>
      <c r="B317" s="131"/>
      <c r="C317" s="132"/>
      <c r="D317" s="279"/>
      <c r="E317" s="315" t="s">
        <v>220</v>
      </c>
      <c r="F317" s="316"/>
      <c r="G317" s="317">
        <f>I332</f>
        <v>-2.3428788675369807</v>
      </c>
      <c r="H317" s="133"/>
      <c r="I317" s="315" t="s">
        <v>220</v>
      </c>
      <c r="J317" s="316"/>
      <c r="K317" s="317">
        <f>K332</f>
        <v>-1.30031033891184</v>
      </c>
    </row>
    <row r="318" spans="1:20" s="41" customFormat="1" ht="14" outlineLevel="1" x14ac:dyDescent="0.3">
      <c r="A318" s="131"/>
      <c r="B318" s="131"/>
      <c r="C318" s="132"/>
      <c r="D318" s="279"/>
      <c r="H318" s="133"/>
    </row>
    <row r="319" spans="1:20" s="41" customFormat="1" ht="14" outlineLevel="1" x14ac:dyDescent="0.3">
      <c r="A319" s="131"/>
      <c r="B319" s="131"/>
      <c r="C319" s="132"/>
      <c r="D319" s="279"/>
    </row>
    <row r="320" spans="1:20" s="41" customFormat="1" ht="14" outlineLevel="1" x14ac:dyDescent="0.3">
      <c r="A320" s="131"/>
      <c r="B320" s="131"/>
      <c r="C320" s="132"/>
      <c r="D320" s="279"/>
    </row>
    <row r="321" spans="1:12" s="41" customFormat="1" ht="14" outlineLevel="1" x14ac:dyDescent="0.3">
      <c r="A321" s="131"/>
      <c r="B321" s="131"/>
      <c r="C321" s="132"/>
      <c r="D321" s="279"/>
    </row>
    <row r="322" spans="1:12" s="41" customFormat="1" ht="14" outlineLevel="1" x14ac:dyDescent="0.3">
      <c r="A322" s="131"/>
      <c r="B322" s="131"/>
      <c r="C322" s="132"/>
      <c r="D322" s="279"/>
    </row>
    <row r="323" spans="1:12" s="41" customFormat="1" ht="14" outlineLevel="1" x14ac:dyDescent="0.3">
      <c r="A323" s="131"/>
      <c r="B323" s="131"/>
      <c r="C323" s="132"/>
      <c r="D323" s="279"/>
    </row>
    <row r="324" spans="1:12" s="41" customFormat="1" ht="14" outlineLevel="1" x14ac:dyDescent="0.3">
      <c r="A324" s="131"/>
      <c r="B324" s="131"/>
      <c r="C324" s="132"/>
      <c r="D324" s="279"/>
    </row>
    <row r="325" spans="1:12" s="41" customFormat="1" ht="14" outlineLevel="1" x14ac:dyDescent="0.3">
      <c r="A325" s="131"/>
      <c r="B325" s="131"/>
      <c r="C325" s="132"/>
      <c r="D325" s="279"/>
    </row>
    <row r="326" spans="1:12" s="41" customFormat="1" ht="23" outlineLevel="1" x14ac:dyDescent="0.5">
      <c r="A326" s="131"/>
      <c r="B326" s="131"/>
      <c r="C326" s="132"/>
      <c r="D326" s="279"/>
      <c r="E326" s="277" t="s">
        <v>221</v>
      </c>
    </row>
    <row r="327" spans="1:12" s="41" customFormat="1" ht="14" outlineLevel="1" x14ac:dyDescent="0.3">
      <c r="A327" s="131"/>
      <c r="B327" s="131"/>
      <c r="C327" s="132"/>
      <c r="D327" s="279"/>
      <c r="E327" s="57"/>
    </row>
    <row r="328" spans="1:12" s="41" customFormat="1" ht="14" outlineLevel="1" x14ac:dyDescent="0.3">
      <c r="A328" s="131"/>
      <c r="B328" s="131"/>
      <c r="C328" s="132"/>
      <c r="D328" s="279"/>
    </row>
    <row r="329" spans="1:12" s="41" customFormat="1" ht="14" outlineLevel="1" x14ac:dyDescent="0.3">
      <c r="A329" s="131"/>
      <c r="B329" s="131"/>
      <c r="C329" s="132"/>
      <c r="D329" s="279"/>
      <c r="E329" s="279" t="s">
        <v>222</v>
      </c>
      <c r="F329" s="278">
        <v>0.05</v>
      </c>
    </row>
    <row r="330" spans="1:12" s="41" customFormat="1" ht="14" outlineLevel="1" x14ac:dyDescent="0.3">
      <c r="A330" s="131"/>
      <c r="B330" s="131"/>
      <c r="C330" s="132"/>
      <c r="D330" s="279"/>
      <c r="E330" s="57" t="s">
        <v>223</v>
      </c>
      <c r="F330" s="256" t="s">
        <v>224</v>
      </c>
      <c r="G330" s="256" t="s">
        <v>225</v>
      </c>
    </row>
    <row r="331" spans="1:12" s="41" customFormat="1" ht="14" outlineLevel="1" x14ac:dyDescent="0.3">
      <c r="A331" s="131"/>
      <c r="B331" s="131"/>
      <c r="C331" s="132"/>
      <c r="D331" s="279"/>
      <c r="E331" s="309">
        <v>0.45</v>
      </c>
      <c r="F331" s="310">
        <f>E126</f>
        <v>2034336.0432598356</v>
      </c>
      <c r="G331" s="311">
        <f>IRR</f>
        <v>0.15664680703888556</v>
      </c>
      <c r="I331" s="306" t="s">
        <v>226</v>
      </c>
      <c r="J331" s="307"/>
      <c r="K331" s="306" t="s">
        <v>227</v>
      </c>
      <c r="L331" s="307"/>
    </row>
    <row r="332" spans="1:12" s="41" customFormat="1" ht="14" outlineLevel="1" x14ac:dyDescent="0.3">
      <c r="A332" s="131"/>
      <c r="B332" s="131"/>
      <c r="C332" s="132"/>
      <c r="D332" s="279"/>
      <c r="E332" s="278">
        <v>0.3</v>
      </c>
      <c r="F332" s="281">
        <f t="dataTable" ref="F332:G337" dt2D="0" dtr="0" r1="F32" ca="1"/>
        <v>3623070.3516672552</v>
      </c>
      <c r="G332" s="280">
        <v>0.22299657667449302</v>
      </c>
      <c r="I332" s="308">
        <f>((F336-F335)/F335)/((E336-E335)/E335)</f>
        <v>-2.3428788675369807</v>
      </c>
      <c r="J332" s="307"/>
      <c r="K332" s="308">
        <f>((G336-G335)/G335)/((E336-E335)/E335)</f>
        <v>-1.30031033891184</v>
      </c>
      <c r="L332" s="307"/>
    </row>
    <row r="333" spans="1:12" s="41" customFormat="1" ht="14" outlineLevel="1" x14ac:dyDescent="0.3">
      <c r="A333" s="131"/>
      <c r="B333" s="131"/>
      <c r="C333" s="132"/>
      <c r="D333" s="279"/>
      <c r="E333" s="278">
        <f>E332+$F$329</f>
        <v>0.35</v>
      </c>
      <c r="F333" s="281">
        <v>3093492.2488647825</v>
      </c>
      <c r="G333" s="280">
        <v>0.20112022256731832</v>
      </c>
      <c r="I333" s="308">
        <f>(F337/F335-1)/(E337/E335-1)</f>
        <v>-2.342878867536982</v>
      </c>
      <c r="J333" s="308"/>
      <c r="K333" s="308">
        <f>(G337/G335-1)/(E337/E335-1)</f>
        <v>-1.3086360006205087</v>
      </c>
      <c r="L333" s="308"/>
    </row>
    <row r="334" spans="1:12" s="41" customFormat="1" ht="14" outlineLevel="1" x14ac:dyDescent="0.3">
      <c r="A334" s="131"/>
      <c r="B334" s="131"/>
      <c r="C334" s="132"/>
      <c r="D334" s="279"/>
      <c r="E334" s="278">
        <f>E333+$F$329</f>
        <v>0.39999999999999997</v>
      </c>
      <c r="F334" s="281">
        <v>2563914.1460623089</v>
      </c>
      <c r="G334" s="280">
        <v>0.17900922257252261</v>
      </c>
    </row>
    <row r="335" spans="1:12" s="41" customFormat="1" ht="14" outlineLevel="1" x14ac:dyDescent="0.3">
      <c r="A335" s="131"/>
      <c r="B335" s="131"/>
      <c r="C335" s="132"/>
      <c r="D335" s="279"/>
      <c r="E335" s="278">
        <f>E334+$F$329</f>
        <v>0.44999999999999996</v>
      </c>
      <c r="F335" s="281">
        <v>2034336.0432598356</v>
      </c>
      <c r="G335" s="280">
        <v>0.15664680703888556</v>
      </c>
    </row>
    <row r="336" spans="1:12" s="41" customFormat="1" ht="14" outlineLevel="1" x14ac:dyDescent="0.3">
      <c r="A336" s="131"/>
      <c r="B336" s="131"/>
      <c r="C336" s="132"/>
      <c r="D336" s="279"/>
      <c r="E336" s="278">
        <f>E335+$F$329</f>
        <v>0.49999999999999994</v>
      </c>
      <c r="F336" s="281">
        <v>1504757.9404573618</v>
      </c>
      <c r="G336" s="280">
        <v>0.13401464451108658</v>
      </c>
    </row>
    <row r="337" spans="1:12" s="41" customFormat="1" ht="14" outlineLevel="1" x14ac:dyDescent="0.3">
      <c r="A337" s="131"/>
      <c r="B337" s="131"/>
      <c r="C337" s="132"/>
      <c r="D337" s="279"/>
      <c r="E337" s="278">
        <f>E336+$F$329</f>
        <v>0.54999999999999993</v>
      </c>
      <c r="F337" s="281">
        <v>975179.8376548877</v>
      </c>
      <c r="G337" s="280">
        <v>0.11109266235592119</v>
      </c>
    </row>
    <row r="338" spans="1:12" s="41" customFormat="1" ht="14" outlineLevel="1" x14ac:dyDescent="0.3">
      <c r="A338" s="131"/>
      <c r="B338" s="131"/>
      <c r="C338" s="132"/>
      <c r="D338" s="279"/>
    </row>
    <row r="339" spans="1:12" s="41" customFormat="1" ht="14" outlineLevel="1" x14ac:dyDescent="0.3">
      <c r="A339" s="131"/>
      <c r="B339" s="131"/>
      <c r="C339" s="132"/>
      <c r="D339" s="279"/>
      <c r="E339" s="279" t="s">
        <v>222</v>
      </c>
      <c r="F339" s="281">
        <v>500000</v>
      </c>
    </row>
    <row r="340" spans="1:12" s="41" customFormat="1" ht="14" outlineLevel="1" x14ac:dyDescent="0.3">
      <c r="A340" s="131"/>
      <c r="B340" s="131"/>
      <c r="C340" s="132"/>
      <c r="D340" s="279"/>
      <c r="E340" s="256" t="s">
        <v>261</v>
      </c>
      <c r="F340" s="256" t="s">
        <v>224</v>
      </c>
      <c r="G340" s="256" t="s">
        <v>225</v>
      </c>
    </row>
    <row r="341" spans="1:12" s="41" customFormat="1" ht="14" outlineLevel="1" x14ac:dyDescent="0.3">
      <c r="A341" s="131"/>
      <c r="B341" s="131"/>
      <c r="C341" s="132"/>
      <c r="D341" s="279"/>
      <c r="E341" s="369">
        <f>F24</f>
        <v>3000000</v>
      </c>
      <c r="F341" s="310">
        <f>E126</f>
        <v>2034336.0432598356</v>
      </c>
      <c r="G341" s="311">
        <f>IRR</f>
        <v>0.15664680703888556</v>
      </c>
      <c r="I341" s="306" t="s">
        <v>262</v>
      </c>
      <c r="J341" s="307"/>
      <c r="K341" s="306" t="s">
        <v>263</v>
      </c>
      <c r="L341" s="307"/>
    </row>
    <row r="342" spans="1:12" s="41" customFormat="1" ht="14" outlineLevel="1" x14ac:dyDescent="0.3">
      <c r="A342" s="131"/>
      <c r="B342" s="131"/>
      <c r="C342" s="132"/>
      <c r="D342" s="279"/>
      <c r="E342" s="281">
        <v>2500000</v>
      </c>
      <c r="F342" s="281">
        <f t="dataTable" ref="F342:G345" dt2D="0" dtr="0" r1="F24" ca="1"/>
        <v>1065494.3051086869</v>
      </c>
      <c r="G342" s="280">
        <v>0.11508153734167426</v>
      </c>
      <c r="I342" s="308">
        <f>(F344/F343-1)/(E344/E343-1)</f>
        <v>2.8574681396255497</v>
      </c>
      <c r="J342" s="307"/>
      <c r="K342" s="308">
        <f>(G344/G343-1)/(E344/E343-1)</f>
        <v>1.5540351202599949</v>
      </c>
      <c r="L342" s="307"/>
    </row>
    <row r="343" spans="1:12" s="41" customFormat="1" ht="14" outlineLevel="1" x14ac:dyDescent="0.3">
      <c r="A343" s="131"/>
      <c r="B343" s="131"/>
      <c r="C343" s="132"/>
      <c r="D343" s="279"/>
      <c r="E343" s="281">
        <f>E342+$F$339</f>
        <v>3000000</v>
      </c>
      <c r="F343" s="281">
        <v>2034336.0432598356</v>
      </c>
      <c r="G343" s="280">
        <v>0.15664680703888556</v>
      </c>
    </row>
    <row r="344" spans="1:12" s="41" customFormat="1" ht="14" outlineLevel="1" x14ac:dyDescent="0.3">
      <c r="A344" s="131"/>
      <c r="B344" s="131"/>
      <c r="C344" s="132"/>
      <c r="D344" s="279"/>
      <c r="E344" s="281">
        <f>E343+$F$339</f>
        <v>3500000</v>
      </c>
      <c r="F344" s="281">
        <v>3003177.7814109833</v>
      </c>
      <c r="G344" s="280">
        <v>0.19721924697472204</v>
      </c>
    </row>
    <row r="345" spans="1:12" s="41" customFormat="1" ht="14" outlineLevel="1" x14ac:dyDescent="0.3">
      <c r="A345" s="131"/>
      <c r="B345" s="131"/>
      <c r="C345" s="132"/>
      <c r="D345" s="279"/>
      <c r="E345" s="281">
        <f>E344+$F$339</f>
        <v>4000000</v>
      </c>
      <c r="F345" s="281">
        <v>3972019.5195621327</v>
      </c>
      <c r="G345" s="280">
        <v>0.23692026995686866</v>
      </c>
    </row>
    <row r="346" spans="1:12" s="41" customFormat="1" ht="14" outlineLevel="1" x14ac:dyDescent="0.3">
      <c r="A346" s="131"/>
      <c r="B346" s="131"/>
      <c r="C346" s="132"/>
      <c r="D346" s="279"/>
    </row>
    <row r="347" spans="1:12" s="41" customFormat="1" ht="14" outlineLevel="1" x14ac:dyDescent="0.3">
      <c r="A347" s="131"/>
      <c r="B347" s="131"/>
      <c r="C347" s="132"/>
      <c r="D347" s="279"/>
      <c r="E347" s="279" t="s">
        <v>222</v>
      </c>
      <c r="F347" s="371">
        <v>0.25</v>
      </c>
    </row>
    <row r="348" spans="1:12" s="41" customFormat="1" ht="14" outlineLevel="1" x14ac:dyDescent="0.3">
      <c r="A348" s="131"/>
      <c r="B348" s="131"/>
      <c r="C348" s="132"/>
      <c r="D348" s="279"/>
      <c r="E348" s="256" t="s">
        <v>264</v>
      </c>
      <c r="F348" s="256" t="s">
        <v>224</v>
      </c>
      <c r="G348" s="256" t="s">
        <v>225</v>
      </c>
    </row>
    <row r="349" spans="1:12" s="41" customFormat="1" ht="14" outlineLevel="1" x14ac:dyDescent="0.3">
      <c r="A349" s="131"/>
      <c r="B349" s="131"/>
      <c r="C349" s="132"/>
      <c r="D349" s="279"/>
      <c r="E349" s="370">
        <f>F26</f>
        <v>1.25</v>
      </c>
      <c r="F349" s="310">
        <f>E126</f>
        <v>2034336.0432598356</v>
      </c>
      <c r="G349" s="311">
        <f>IRR</f>
        <v>0.15664680703888556</v>
      </c>
      <c r="I349" s="306" t="s">
        <v>265</v>
      </c>
      <c r="J349" s="307"/>
      <c r="K349" s="306" t="s">
        <v>266</v>
      </c>
      <c r="L349" s="307"/>
    </row>
    <row r="350" spans="1:12" s="41" customFormat="1" ht="14" outlineLevel="1" x14ac:dyDescent="0.3">
      <c r="A350" s="131"/>
      <c r="B350" s="131"/>
      <c r="C350" s="132"/>
      <c r="D350" s="279"/>
      <c r="E350" s="371">
        <v>1</v>
      </c>
      <c r="F350" s="281">
        <f t="dataTable" ref="F350:G353" dt2D="0" dtr="0" r1="F26" ca="1"/>
        <v>871725.9574784562</v>
      </c>
      <c r="G350" s="280">
        <v>0.10663708583074882</v>
      </c>
      <c r="I350" s="308">
        <f>(F352/$F$351-1)/(E352/$E$351-1)</f>
        <v>2.8574681396255559</v>
      </c>
      <c r="J350" s="307"/>
      <c r="K350" s="308">
        <f>(G352/$G$351-1)/(E352/$E$351-1)</f>
        <v>1.5505846650755599</v>
      </c>
      <c r="L350" s="307"/>
    </row>
    <row r="351" spans="1:12" s="41" customFormat="1" ht="14" outlineLevel="1" x14ac:dyDescent="0.3">
      <c r="A351" s="131"/>
      <c r="B351" s="131"/>
      <c r="C351" s="132"/>
      <c r="D351" s="279"/>
      <c r="E351" s="371">
        <f>E350+$F$347</f>
        <v>1.25</v>
      </c>
      <c r="F351" s="281">
        <v>2034336.0432598356</v>
      </c>
      <c r="G351" s="280">
        <v>0.15664680703888556</v>
      </c>
      <c r="I351" s="308">
        <f>(F353/$F$351-1)/(E353/$E$351-1)</f>
        <v>2.8574681396255537</v>
      </c>
      <c r="J351" s="307"/>
      <c r="K351" s="308">
        <f>(G353/$G$351-1)/(E353/$E$351-1)</f>
        <v>1.5310464578114762</v>
      </c>
      <c r="L351" s="307"/>
    </row>
    <row r="352" spans="1:12" s="41" customFormat="1" ht="14" outlineLevel="1" x14ac:dyDescent="0.3">
      <c r="A352" s="131"/>
      <c r="B352" s="131"/>
      <c r="C352" s="132"/>
      <c r="D352" s="279"/>
      <c r="E352" s="371">
        <f>E351+$F$347</f>
        <v>1.5</v>
      </c>
      <c r="F352" s="281">
        <v>3196946.1290412145</v>
      </c>
      <c r="G352" s="280">
        <v>0.20522563440439479</v>
      </c>
    </row>
    <row r="353" spans="1:21" s="41" customFormat="1" ht="14" outlineLevel="1" x14ac:dyDescent="0.3">
      <c r="A353" s="131"/>
      <c r="B353" s="131"/>
      <c r="C353" s="132"/>
      <c r="D353" s="279"/>
      <c r="E353" s="371">
        <f>E352+$F$347</f>
        <v>1.75</v>
      </c>
      <c r="F353" s="281">
        <v>4359556.2148225922</v>
      </c>
      <c r="G353" s="280">
        <v>0.25258022265663094</v>
      </c>
    </row>
    <row r="354" spans="1:21" s="41" customFormat="1" ht="14" outlineLevel="1" x14ac:dyDescent="0.3">
      <c r="A354" s="131"/>
      <c r="B354" s="131"/>
      <c r="D354" s="279"/>
    </row>
    <row r="355" spans="1:21" s="41" customFormat="1" ht="14" outlineLevel="1" x14ac:dyDescent="0.3">
      <c r="A355" s="131"/>
      <c r="B355" s="131"/>
      <c r="D355" s="279"/>
      <c r="U355" s="134"/>
    </row>
    <row r="356" spans="1:21" s="41" customFormat="1" ht="14" outlineLevel="1" x14ac:dyDescent="0.3">
      <c r="A356" s="131"/>
      <c r="B356" s="131"/>
      <c r="D356" s="279"/>
      <c r="T356" s="161"/>
      <c r="U356" s="134"/>
    </row>
    <row r="357" spans="1:21" s="41" customFormat="1" ht="14" outlineLevel="1" x14ac:dyDescent="0.3">
      <c r="A357" s="131"/>
      <c r="B357" s="131"/>
      <c r="D357" s="279"/>
      <c r="T357" s="161"/>
      <c r="U357" s="134"/>
    </row>
    <row r="358" spans="1:21" s="41" customFormat="1" ht="14" outlineLevel="1" x14ac:dyDescent="0.3">
      <c r="A358" s="131"/>
      <c r="B358" s="131"/>
      <c r="D358" s="279"/>
      <c r="T358" s="161"/>
      <c r="U358" s="134"/>
    </row>
    <row r="359" spans="1:21" s="41" customFormat="1" ht="14" outlineLevel="1" x14ac:dyDescent="0.3">
      <c r="A359" s="131"/>
      <c r="B359" s="131"/>
      <c r="D359" s="279"/>
      <c r="T359" s="161"/>
    </row>
    <row r="360" spans="1:21" s="41" customFormat="1" ht="14" outlineLevel="1" x14ac:dyDescent="0.3">
      <c r="A360" s="131"/>
      <c r="B360" s="131"/>
      <c r="D360" s="279"/>
    </row>
    <row r="361" spans="1:21" s="41" customFormat="1" ht="14" outlineLevel="1" x14ac:dyDescent="0.3">
      <c r="A361" s="131"/>
      <c r="B361" s="131"/>
      <c r="D361" s="279"/>
      <c r="E361" s="41" t="s">
        <v>228</v>
      </c>
    </row>
    <row r="362" spans="1:21" s="41" customFormat="1" ht="14" outlineLevel="1" x14ac:dyDescent="0.3">
      <c r="A362" s="131"/>
      <c r="B362" s="131"/>
      <c r="D362" s="279"/>
    </row>
    <row r="363" spans="1:21" s="41" customFormat="1" ht="14" outlineLevel="1" x14ac:dyDescent="0.3">
      <c r="A363" s="131"/>
      <c r="B363" s="131"/>
      <c r="D363" s="279"/>
    </row>
    <row r="364" spans="1:21" s="41" customFormat="1" ht="14" outlineLevel="1" x14ac:dyDescent="0.3">
      <c r="A364" s="131"/>
      <c r="B364" s="131"/>
      <c r="D364" s="279"/>
    </row>
    <row r="365" spans="1:21" s="41" customFormat="1" ht="14" outlineLevel="1" x14ac:dyDescent="0.3">
      <c r="A365" s="131"/>
      <c r="B365" s="131"/>
      <c r="D365" s="279"/>
      <c r="E365" s="41" t="s">
        <v>229</v>
      </c>
    </row>
    <row r="366" spans="1:21" s="41" customFormat="1" ht="14" outlineLevel="1" x14ac:dyDescent="0.3">
      <c r="A366" s="131"/>
      <c r="B366" s="131"/>
      <c r="D366" s="279"/>
      <c r="F366" s="41" t="s">
        <v>230</v>
      </c>
      <c r="G366" s="41" t="s">
        <v>224</v>
      </c>
    </row>
    <row r="367" spans="1:21" s="41" customFormat="1" ht="14" outlineLevel="1" x14ac:dyDescent="0.3">
      <c r="A367" s="131"/>
      <c r="B367" s="131"/>
      <c r="D367" s="279"/>
      <c r="F367" s="41" t="s">
        <v>231</v>
      </c>
      <c r="G367" s="52">
        <v>0</v>
      </c>
    </row>
    <row r="368" spans="1:21" s="41" customFormat="1" ht="14" outlineLevel="1" x14ac:dyDescent="0.3">
      <c r="A368" s="131"/>
      <c r="B368" s="131"/>
      <c r="D368" s="279"/>
      <c r="F368" s="41" t="s">
        <v>232</v>
      </c>
      <c r="G368" s="41" t="s">
        <v>233</v>
      </c>
    </row>
    <row r="369" spans="1:16" s="41" customFormat="1" ht="14" outlineLevel="1" x14ac:dyDescent="0.3">
      <c r="A369" s="131"/>
      <c r="B369" s="131"/>
      <c r="D369" s="279"/>
    </row>
    <row r="370" spans="1:16" s="41" customFormat="1" ht="14" outlineLevel="1" x14ac:dyDescent="0.3">
      <c r="A370" s="131"/>
      <c r="B370" s="131"/>
      <c r="D370" s="279"/>
    </row>
    <row r="371" spans="1:16" s="41" customFormat="1" ht="14" outlineLevel="1" x14ac:dyDescent="0.3">
      <c r="A371" s="131"/>
      <c r="B371" s="131"/>
      <c r="D371" s="279"/>
      <c r="E371" s="41" t="s">
        <v>234</v>
      </c>
      <c r="F371" s="135"/>
      <c r="G371" s="41" t="s">
        <v>6</v>
      </c>
    </row>
    <row r="372" spans="1:16" s="41" customFormat="1" ht="14" outlineLevel="1" x14ac:dyDescent="0.3">
      <c r="A372" s="131"/>
      <c r="B372" s="131"/>
      <c r="D372" s="279"/>
    </row>
    <row r="373" spans="1:16" s="41" customFormat="1" outlineLevel="1" x14ac:dyDescent="0.35">
      <c r="A373" s="131"/>
      <c r="B373" s="131"/>
      <c r="C373" s="22"/>
      <c r="D373" s="344"/>
      <c r="E373" s="22"/>
      <c r="F373" s="22"/>
      <c r="G373" s="22"/>
      <c r="H373" s="22"/>
      <c r="I373" s="22"/>
      <c r="J373" s="22"/>
      <c r="K373" s="22"/>
      <c r="L373" s="22"/>
      <c r="M373" s="22"/>
    </row>
    <row r="374" spans="1:16" s="41" customFormat="1" outlineLevel="1" x14ac:dyDescent="0.35">
      <c r="A374" s="131"/>
      <c r="B374" s="131"/>
      <c r="C374" s="22"/>
      <c r="D374" s="344"/>
      <c r="E374" s="22"/>
      <c r="F374" s="22"/>
      <c r="G374" s="22"/>
      <c r="H374" s="22"/>
      <c r="I374" s="22"/>
      <c r="J374" s="22"/>
      <c r="K374" s="22"/>
      <c r="L374" s="22"/>
      <c r="M374" s="22"/>
      <c r="N374" s="22"/>
      <c r="O374" s="22"/>
      <c r="P374" s="22"/>
    </row>
    <row r="375" spans="1:16" s="41" customFormat="1" outlineLevel="1" x14ac:dyDescent="0.35">
      <c r="A375" s="131"/>
      <c r="B375" s="131"/>
      <c r="C375" s="22"/>
      <c r="D375" s="344"/>
      <c r="E375" s="22"/>
      <c r="F375" s="22"/>
      <c r="G375" s="22"/>
      <c r="H375" s="22"/>
      <c r="I375" s="22"/>
      <c r="J375" s="22"/>
      <c r="K375" s="22"/>
      <c r="L375" s="22"/>
      <c r="M375" s="22"/>
      <c r="N375" s="22"/>
      <c r="O375" s="22"/>
      <c r="P375" s="22"/>
    </row>
    <row r="376" spans="1:16" s="41" customFormat="1" outlineLevel="1" x14ac:dyDescent="0.35">
      <c r="A376" s="131"/>
      <c r="B376" s="131"/>
      <c r="C376" s="22"/>
      <c r="D376" s="344"/>
      <c r="E376" s="22"/>
      <c r="F376" s="22"/>
      <c r="G376" s="22"/>
      <c r="H376" s="22"/>
      <c r="I376" s="22"/>
      <c r="J376" s="22"/>
      <c r="K376" s="22"/>
      <c r="L376" s="22"/>
      <c r="M376" s="22"/>
      <c r="N376" s="22"/>
      <c r="O376" s="22"/>
      <c r="P376" s="22"/>
    </row>
    <row r="377" spans="1:16" s="41" customFormat="1" outlineLevel="1" x14ac:dyDescent="0.35">
      <c r="A377" s="131"/>
      <c r="B377" s="131"/>
      <c r="C377" s="22"/>
      <c r="D377" s="344"/>
      <c r="E377" s="22"/>
      <c r="F377" s="22"/>
      <c r="G377" s="22"/>
      <c r="H377" s="22"/>
      <c r="I377" s="22"/>
      <c r="J377" s="22"/>
      <c r="K377" s="22"/>
      <c r="L377" s="22"/>
      <c r="M377" s="22"/>
      <c r="N377" s="22"/>
      <c r="O377" s="22"/>
      <c r="P377" s="22"/>
    </row>
    <row r="378" spans="1:16" s="41" customFormat="1" outlineLevel="1" x14ac:dyDescent="0.35">
      <c r="A378" s="131"/>
      <c r="B378" s="131"/>
      <c r="C378" s="22"/>
      <c r="D378" s="344"/>
      <c r="E378" s="22"/>
      <c r="F378" s="22"/>
      <c r="G378" s="22"/>
      <c r="H378" s="22"/>
      <c r="I378" s="22"/>
      <c r="J378" s="22"/>
      <c r="K378" s="22"/>
      <c r="L378" s="22"/>
      <c r="M378" s="22"/>
      <c r="N378" s="22"/>
      <c r="O378" s="22"/>
      <c r="P378" s="22"/>
    </row>
    <row r="379" spans="1:16" s="41" customFormat="1" outlineLevel="1" x14ac:dyDescent="0.35">
      <c r="A379" s="131"/>
      <c r="B379" s="131"/>
      <c r="C379" s="22"/>
      <c r="D379" s="344"/>
      <c r="E379" s="22"/>
      <c r="F379" s="22"/>
      <c r="G379" s="22"/>
      <c r="H379" s="22"/>
      <c r="I379" s="22"/>
      <c r="J379" s="22"/>
      <c r="K379" s="22"/>
      <c r="L379" s="22"/>
      <c r="M379" s="22"/>
      <c r="N379" s="22"/>
      <c r="O379" s="22"/>
      <c r="P379" s="22"/>
    </row>
    <row r="380" spans="1:16" s="41" customFormat="1" outlineLevel="1" x14ac:dyDescent="0.35">
      <c r="A380" s="131"/>
      <c r="B380" s="131"/>
      <c r="C380" s="22"/>
      <c r="D380" s="344"/>
      <c r="E380" s="22"/>
      <c r="F380" s="22"/>
      <c r="G380" s="22"/>
      <c r="H380" s="22"/>
      <c r="I380" s="22"/>
      <c r="J380" s="22"/>
      <c r="K380" s="22"/>
      <c r="L380" s="22"/>
      <c r="M380" s="22"/>
      <c r="N380" s="22"/>
      <c r="O380" s="22"/>
      <c r="P380" s="22"/>
    </row>
    <row r="381" spans="1:16" s="41" customFormat="1" outlineLevel="1" x14ac:dyDescent="0.35">
      <c r="A381" s="131"/>
      <c r="B381" s="131"/>
      <c r="C381" s="22"/>
      <c r="D381" s="344"/>
      <c r="E381" s="22"/>
      <c r="F381" s="22"/>
      <c r="G381" s="22"/>
      <c r="H381" s="22"/>
      <c r="I381" s="22"/>
      <c r="J381" s="22"/>
      <c r="K381" s="22"/>
      <c r="L381" s="22"/>
      <c r="M381" s="22"/>
      <c r="N381" s="22"/>
      <c r="O381" s="22"/>
      <c r="P381" s="22"/>
    </row>
    <row r="382" spans="1:16" s="41" customFormat="1" outlineLevel="1" x14ac:dyDescent="0.35">
      <c r="A382" s="131"/>
      <c r="B382" s="131"/>
      <c r="C382" s="22"/>
      <c r="D382" s="344"/>
      <c r="E382" s="22"/>
      <c r="F382" s="22"/>
      <c r="G382" s="22"/>
      <c r="H382" s="22"/>
      <c r="I382" s="22"/>
      <c r="J382" s="22"/>
      <c r="K382" s="22"/>
      <c r="L382" s="22"/>
      <c r="M382" s="22"/>
      <c r="N382" s="22"/>
      <c r="O382" s="22"/>
      <c r="P382" s="22"/>
    </row>
    <row r="383" spans="1:16" s="41" customFormat="1" outlineLevel="1" x14ac:dyDescent="0.35">
      <c r="A383" s="131"/>
      <c r="B383" s="131"/>
      <c r="C383" s="22"/>
      <c r="D383" s="344"/>
      <c r="E383" s="22"/>
      <c r="F383" s="22"/>
      <c r="G383" s="22"/>
      <c r="H383" s="22"/>
      <c r="I383" s="22"/>
      <c r="J383" s="22"/>
      <c r="K383" s="22"/>
      <c r="L383" s="22"/>
      <c r="M383" s="22"/>
      <c r="N383" s="22"/>
      <c r="O383" s="22"/>
      <c r="P383" s="22"/>
    </row>
    <row r="384" spans="1:16" s="41" customFormat="1" outlineLevel="1" x14ac:dyDescent="0.35">
      <c r="A384" s="131"/>
      <c r="B384" s="131"/>
      <c r="C384" s="22"/>
      <c r="D384" s="344"/>
      <c r="E384" s="22"/>
      <c r="F384" s="22"/>
      <c r="G384" s="22"/>
      <c r="H384" s="22"/>
      <c r="I384" s="22"/>
      <c r="J384" s="22"/>
      <c r="K384" s="22"/>
      <c r="L384" s="22"/>
      <c r="M384" s="22"/>
      <c r="N384" s="22"/>
      <c r="O384" s="22"/>
      <c r="P384" s="22"/>
    </row>
    <row r="385" spans="1:20" s="41" customFormat="1" outlineLevel="1" x14ac:dyDescent="0.35">
      <c r="A385" s="131"/>
      <c r="B385" s="131"/>
      <c r="C385" s="22"/>
      <c r="D385" s="344"/>
      <c r="E385" s="22"/>
      <c r="F385" s="22"/>
      <c r="G385" s="22"/>
      <c r="H385" s="22"/>
      <c r="I385" s="22"/>
      <c r="J385" s="22"/>
      <c r="K385" s="22"/>
      <c r="L385" s="22"/>
      <c r="M385" s="22"/>
      <c r="N385" s="22"/>
      <c r="O385" s="22"/>
      <c r="P385" s="22"/>
    </row>
    <row r="386" spans="1:20" s="41" customFormat="1" outlineLevel="1" x14ac:dyDescent="0.35">
      <c r="A386" s="131"/>
      <c r="B386" s="131"/>
      <c r="C386" s="22"/>
      <c r="D386" s="344"/>
      <c r="E386" s="22"/>
      <c r="F386" s="22"/>
      <c r="G386" s="22"/>
      <c r="H386" s="22"/>
      <c r="I386" s="22"/>
      <c r="J386" s="22"/>
      <c r="K386" s="22"/>
      <c r="L386" s="22"/>
      <c r="M386" s="22"/>
      <c r="N386" s="22"/>
      <c r="O386" s="22"/>
      <c r="P386" s="22"/>
    </row>
    <row r="387" spans="1:20" s="41" customFormat="1" outlineLevel="1" x14ac:dyDescent="0.35">
      <c r="A387" s="131"/>
      <c r="B387" s="131"/>
      <c r="C387" s="22"/>
      <c r="D387" s="344"/>
      <c r="E387" s="22"/>
      <c r="F387" s="22"/>
      <c r="G387" s="22"/>
      <c r="H387" s="22"/>
      <c r="I387" s="22"/>
      <c r="J387" s="22"/>
      <c r="K387" s="22"/>
      <c r="L387" s="22"/>
      <c r="M387" s="22"/>
      <c r="N387" s="22"/>
      <c r="O387" s="22"/>
      <c r="P387" s="22"/>
    </row>
    <row r="388" spans="1:20" s="41" customFormat="1" outlineLevel="1" x14ac:dyDescent="0.35">
      <c r="A388" s="131"/>
      <c r="B388" s="131"/>
      <c r="C388" s="22"/>
      <c r="D388" s="344"/>
      <c r="E388" s="22"/>
      <c r="F388" s="22"/>
      <c r="G388" s="22"/>
      <c r="H388" s="22"/>
      <c r="I388" s="22"/>
      <c r="J388" s="22"/>
      <c r="K388" s="22"/>
      <c r="L388" s="22"/>
      <c r="M388" s="22"/>
      <c r="N388" s="22"/>
      <c r="O388" s="22"/>
      <c r="P388" s="22"/>
    </row>
    <row r="389" spans="1:20" s="41" customFormat="1" outlineLevel="1" x14ac:dyDescent="0.35">
      <c r="A389" s="131"/>
      <c r="B389" s="131"/>
      <c r="C389" s="22"/>
      <c r="D389" s="344"/>
      <c r="E389" s="22"/>
      <c r="F389" s="22"/>
      <c r="G389" s="22"/>
      <c r="H389" s="22"/>
      <c r="I389" s="22"/>
      <c r="J389" s="22"/>
      <c r="K389" s="22"/>
      <c r="L389" s="22"/>
      <c r="M389" s="22"/>
      <c r="N389" s="22"/>
      <c r="O389" s="22"/>
      <c r="P389" s="22"/>
    </row>
    <row r="390" spans="1:20" s="41" customFormat="1" outlineLevel="1" x14ac:dyDescent="0.35">
      <c r="A390" s="131"/>
      <c r="B390" s="131"/>
      <c r="C390" s="22"/>
      <c r="D390" s="344"/>
      <c r="E390" s="22"/>
      <c r="F390" s="22"/>
      <c r="G390" s="22"/>
      <c r="H390" s="22"/>
      <c r="I390" s="22"/>
      <c r="J390" s="22"/>
      <c r="K390" s="22"/>
      <c r="L390" s="22"/>
      <c r="M390" s="22"/>
      <c r="N390" s="22"/>
      <c r="O390" s="22"/>
      <c r="P390" s="22"/>
    </row>
    <row r="391" spans="1:20" s="41" customFormat="1" outlineLevel="1" x14ac:dyDescent="0.35">
      <c r="A391" s="131"/>
      <c r="B391" s="131"/>
      <c r="C391" s="22"/>
      <c r="D391" s="344"/>
      <c r="E391" s="22"/>
      <c r="F391" s="22"/>
      <c r="G391" s="22"/>
      <c r="H391" s="22"/>
      <c r="I391" s="22"/>
      <c r="J391" s="22"/>
      <c r="K391" s="22"/>
      <c r="L391" s="22"/>
      <c r="M391" s="22"/>
      <c r="N391" s="22"/>
      <c r="O391" s="22"/>
      <c r="P391" s="22"/>
    </row>
    <row r="392" spans="1:20" s="41" customFormat="1" outlineLevel="1" x14ac:dyDescent="0.35">
      <c r="A392" s="131"/>
      <c r="B392" s="131"/>
      <c r="C392" s="22"/>
      <c r="D392" s="344"/>
      <c r="E392" s="22"/>
      <c r="F392" s="22"/>
      <c r="G392" s="22"/>
      <c r="H392" s="22"/>
      <c r="I392" s="22"/>
      <c r="J392" s="22"/>
      <c r="K392" s="22"/>
      <c r="L392" s="22"/>
      <c r="M392" s="22"/>
      <c r="N392" s="22"/>
      <c r="O392" s="22"/>
      <c r="P392" s="22"/>
    </row>
    <row r="393" spans="1:20" s="41" customFormat="1" outlineLevel="1" x14ac:dyDescent="0.35">
      <c r="A393" s="131"/>
      <c r="B393" s="131"/>
      <c r="C393" s="22"/>
      <c r="D393" s="344"/>
      <c r="E393" s="22"/>
      <c r="F393" s="22"/>
      <c r="G393" s="22"/>
      <c r="H393" s="22"/>
      <c r="I393" s="22"/>
      <c r="J393" s="22"/>
      <c r="K393" s="22"/>
      <c r="L393" s="22"/>
      <c r="M393" s="22"/>
      <c r="N393" s="22"/>
      <c r="O393" s="22"/>
      <c r="P393" s="22"/>
    </row>
    <row r="394" spans="1:20" s="41" customFormat="1" outlineLevel="1" x14ac:dyDescent="0.35">
      <c r="A394" s="131"/>
      <c r="B394" s="131"/>
      <c r="C394" s="22"/>
      <c r="D394" s="344"/>
      <c r="E394" s="22"/>
      <c r="F394" s="22"/>
      <c r="G394" s="22"/>
      <c r="H394" s="22"/>
      <c r="I394" s="22"/>
      <c r="J394" s="22"/>
      <c r="K394" s="22"/>
      <c r="L394" s="22"/>
      <c r="M394" s="22"/>
      <c r="N394" s="22"/>
      <c r="O394" s="22"/>
      <c r="P394" s="22"/>
    </row>
    <row r="395" spans="1:20" x14ac:dyDescent="0.35">
      <c r="Q395" s="41"/>
      <c r="R395" s="41"/>
      <c r="S395" s="41"/>
      <c r="T395" s="41"/>
    </row>
  </sheetData>
  <mergeCells count="1">
    <mergeCell ref="C229:E229"/>
  </mergeCells>
  <conditionalFormatting sqref="A119:B119 E119:L119 W119:XFD119">
    <cfRule type="containsText" dxfId="43" priority="50" operator="containsText" text="FALSE">
      <formula>NOT(ISERROR(SEARCH("FALSE",A119)))</formula>
    </cfRule>
    <cfRule type="cellIs" dxfId="42" priority="51" operator="equal">
      <formula>TRUE</formula>
    </cfRule>
  </conditionalFormatting>
  <conditionalFormatting sqref="A188:J198">
    <cfRule type="containsText" dxfId="41" priority="56" operator="containsText" text="FALSE">
      <formula>NOT(ISERROR(SEARCH("FALSE",A188)))</formula>
    </cfRule>
    <cfRule type="cellIs" dxfId="40" priority="57" operator="equal">
      <formula>TRUE</formula>
    </cfRule>
  </conditionalFormatting>
  <conditionalFormatting sqref="A28:M41">
    <cfRule type="containsText" dxfId="39" priority="5" operator="containsText" text="FALSE">
      <formula>NOT(ISERROR(SEARCH("FALSE",A28)))</formula>
    </cfRule>
    <cfRule type="cellIs" dxfId="38" priority="6" operator="equal">
      <formula>TRUE</formula>
    </cfRule>
  </conditionalFormatting>
  <conditionalFormatting sqref="A224:M228">
    <cfRule type="containsText" dxfId="37" priority="54" operator="containsText" text="FALSE">
      <formula>NOT(ISERROR(SEARCH("FALSE",A224)))</formula>
    </cfRule>
    <cfRule type="cellIs" dxfId="36" priority="55" operator="equal">
      <formula>TRUE</formula>
    </cfRule>
  </conditionalFormatting>
  <conditionalFormatting sqref="A230:M307">
    <cfRule type="containsText" dxfId="35" priority="43" operator="containsText" text="FALSE">
      <formula>NOT(ISERROR(SEARCH("FALSE",A230)))</formula>
    </cfRule>
    <cfRule type="cellIs" dxfId="34" priority="44" operator="equal">
      <formula>TRUE</formula>
    </cfRule>
  </conditionalFormatting>
  <conditionalFormatting sqref="B1:B2 E1:J2 A3:B3 E3:G3 I3:XFD3 A4:XFD4 A5:L9 Y5:XFD21 M6:M19 A10:I10 K10:L10 A11:L21 U22:XFD24 A22:M26 X25:XFD29 A27:F27 H27:M27 U30:XFD41 N30:T42 A43:M43 U43:XFD43 N44:T44 A45:M55 U45:XFD55 N46:T56 A58:M58 U58:XFD58 N59:T59 A71:K74 L71:M92 U71:XFD118 N72:T119 A75:C76 E75:K76 A77:K106 L99:M105 A107:M118 A120:M121 U120:XFD220 N121:T221 A122:D122 K122:M122 A123:J123 L123:M123 A124:M129 A130:J140 L130:M140 K132:K133 A141:M142 L143:M143 A143:J151 L144:L148 M144:M150 L150 K151:M151 A152:M152 A153:J154 M153:M154 A155:M165 A166 C166:M173 A174:M174 A175:J175 L175:M175 A176:M182 F183:K184 A183:E186 L183:M198 A187:D187 A199:M220 G222:J222 A222:F223 U222:XFD354 G223:M223 A229:D229 F229:M229 C308:M316 A308:B1048576 Q309:T355 N309:P1048576 E317:M317 C317:D318 H318 L318:M318 C319:M321 C322:D323 F322:M323 C324:M327 C328:D328 F328:M328 C329:M329 C330:H330 M330 C331:I331 K331:M331 C332:M337 F338:M338 C338:D353 H339:H340 M339:M340 E339:G345 H341:M345 M346:M353 E347:G353 C354:M1048576 V355:XFD358 Q356:Q359 U359:XFD1048576 Q360:T1048576 N307:T308 P306:T306 N223:T305 F68:J69">
    <cfRule type="cellIs" dxfId="33" priority="59" operator="equal">
      <formula>TRUE</formula>
    </cfRule>
  </conditionalFormatting>
  <conditionalFormatting sqref="C10:D12">
    <cfRule type="containsText" dxfId="32" priority="45" operator="containsText" text="FALSE">
      <formula>NOT(ISERROR(SEARCH("FALSE",C10)))</formula>
    </cfRule>
    <cfRule type="cellIs" dxfId="31" priority="46" operator="equal">
      <formula>TRUE</formula>
    </cfRule>
  </conditionalFormatting>
  <conditionalFormatting sqref="C308:M316 E317:M317 A10:I10 A11:L21 H341:M345 B1:B2 E1:J2 A3:B3 E3:G3 I3:XFD3 A4:XFD4 A5:L9 Y5:XFD21 M6:M19 K10:L10 U22:XFD24 A22:M26 X25:XFD29 A27:F27 H27:M27 U30:XFD41 N30:T42 A43:M43 U43:XFD43 N44:T44 A45:M55 U45:XFD55 N46:T56 A58:M58 U58:XFD58 N59:T59 A71:K74 L71:M92 U71:XFD118 N72:T119 A75:C76 E75:K76 A77:K106 L99:M105 A107:M118 A120:M121 U120:XFD220 N121:T221 A122:D122 K122:M122 A123:J123 L123:M123 A124:M129 A130:J140 L130:M140 K132:K133 A141:M142 L143:M143 A143:J151 L144:L148 M144:M150 L150 K151:M151 A152:M152 A153:J154 M153:M154 A155:M165 A166 C166:M173 A174:M174 A175:J175 L175:M175 A176:M182 F183:K184 A183:E186 L183:M198 A187:D187 A199:M220 G222:J222 A222:F223 U222:XFD354 G223:M223 A229:D229 F229:M229 A308:B1048576 Q309:T355 N309:P1048576 C317:D318 H318 L318:M318 C319:M321 C322:D323 F322:M323 C324:M327 C328:D328 F328:M328 C329:M329 C330:H330 M330 C331:I331 K331:M331 C332:M337 F338:M338 C338:D353 H339:H340 M339:M340 E339:G345 M346:M353 E347:G353 C354:M1048576 V355:XFD358 Q356:Q359 U359:XFD1048576 Q360:T1048576 N307:T308 P306:T306 N223:T305 F68:J69">
    <cfRule type="containsText" dxfId="30" priority="58" operator="containsText" text="FALSE">
      <formula>NOT(ISERROR(SEARCH("FALSE",A1)))</formula>
    </cfRule>
  </conditionalFormatting>
  <conditionalFormatting sqref="D14:D16">
    <cfRule type="containsText" dxfId="29" priority="23" operator="containsText" text="FALSE">
      <formula>NOT(ISERROR(SEARCH("FALSE",D14)))</formula>
    </cfRule>
    <cfRule type="cellIs" dxfId="28" priority="24" operator="equal">
      <formula>TRUE</formula>
    </cfRule>
  </conditionalFormatting>
  <conditionalFormatting sqref="F316:F317 J316:J317">
    <cfRule type="containsText" dxfId="27" priority="49" stopIfTrue="1" operator="containsText" text="FALSE">
      <formula>NOT(ISERROR(SEARCH("FALSE",F316)))</formula>
    </cfRule>
    <cfRule type="cellIs" dxfId="26" priority="60" stopIfTrue="1" operator="equal">
      <formula>$F$26</formula>
    </cfRule>
  </conditionalFormatting>
  <conditionalFormatting sqref="F63:J63">
    <cfRule type="containsText" dxfId="25" priority="29" operator="containsText" text="FALSE">
      <formula>NOT(ISERROR(SEARCH("FALSE",F63)))</formula>
    </cfRule>
    <cfRule type="cellIs" dxfId="24" priority="30" operator="equal">
      <formula>TRUE</formula>
    </cfRule>
  </conditionalFormatting>
  <conditionalFormatting sqref="F346:L346 H347:H348 H349:L353">
    <cfRule type="cellIs" dxfId="23" priority="20" operator="equal">
      <formula>TRUE</formula>
    </cfRule>
  </conditionalFormatting>
  <conditionalFormatting sqref="H349:L353 F346:L346 H347:H348">
    <cfRule type="containsText" dxfId="22" priority="19" operator="containsText" text="FALSE">
      <formula>NOT(ISERROR(SEARCH("FALSE",F346)))</formula>
    </cfRule>
  </conditionalFormatting>
  <conditionalFormatting sqref="I310">
    <cfRule type="containsText" dxfId="21" priority="47" operator="containsText" text="FALSE">
      <formula>NOT(ISERROR(SEARCH("FALSE",I310)))</formula>
    </cfRule>
    <cfRule type="cellIs" dxfId="20" priority="48" operator="equal">
      <formula>TRUE</formula>
    </cfRule>
  </conditionalFormatting>
  <conditionalFormatting sqref="I341 K341:L341 I342:L342">
    <cfRule type="containsText" dxfId="19" priority="21" operator="containsText" text="FALSE">
      <formula>NOT(ISERROR(SEARCH("FALSE",I341)))</formula>
    </cfRule>
    <cfRule type="cellIs" dxfId="18" priority="22" operator="equal">
      <formula>TRUE</formula>
    </cfRule>
  </conditionalFormatting>
  <conditionalFormatting sqref="I349 K349:L349 I350:L351">
    <cfRule type="containsText" dxfId="17" priority="17" operator="containsText" text="FALSE">
      <formula>NOT(ISERROR(SEARCH("FALSE",I349)))</formula>
    </cfRule>
    <cfRule type="cellIs" dxfId="16" priority="18" operator="equal">
      <formula>TRUE</formula>
    </cfRule>
  </conditionalFormatting>
  <conditionalFormatting sqref="M5:X5">
    <cfRule type="containsText" dxfId="15" priority="11" operator="containsText" text="FALSE">
      <formula>NOT(ISERROR(SEARCH("FALSE",M5)))</formula>
    </cfRule>
    <cfRule type="cellIs" dxfId="14" priority="12" operator="equal">
      <formula>TRUE</formula>
    </cfRule>
  </conditionalFormatting>
  <conditionalFormatting sqref="V17:W21">
    <cfRule type="containsText" dxfId="13" priority="7" operator="containsText" text="FALSE">
      <formula>NOT(ISERROR(SEARCH("FALSE",V17)))</formula>
    </cfRule>
    <cfRule type="cellIs" dxfId="12" priority="8" operator="equal">
      <formula>TRUE</formula>
    </cfRule>
  </conditionalFormatting>
  <conditionalFormatting sqref="W6:X14 N9 O10 U12:V12">
    <cfRule type="containsText" dxfId="11" priority="13" operator="containsText" text="FALSE">
      <formula>NOT(ISERROR(SEARCH("FALSE",N6)))</formula>
    </cfRule>
    <cfRule type="cellIs" dxfId="10" priority="14" operator="equal">
      <formula>TRUE</formula>
    </cfRule>
  </conditionalFormatting>
  <conditionalFormatting sqref="F67:J67">
    <cfRule type="containsText" dxfId="9" priority="3" operator="containsText" text="FALSE">
      <formula>NOT(ISERROR(SEARCH("FALSE",F67)))</formula>
    </cfRule>
    <cfRule type="cellIs" dxfId="8" priority="4" operator="equal">
      <formula>TRUE</formula>
    </cfRule>
  </conditionalFormatting>
  <conditionalFormatting sqref="F70:J70">
    <cfRule type="containsText" dxfId="7" priority="1" operator="containsText" text="FALSE">
      <formula>NOT(ISERROR(SEARCH("FALSE",F70)))</formula>
    </cfRule>
    <cfRule type="cellIs" dxfId="6" priority="2" operator="equal">
      <formula>TRUE</formula>
    </cfRule>
  </conditionalFormatting>
  <pageMargins left="0.39370078740157483" right="0.39370078740157483" top="0.39370078740157483" bottom="0.39370078740157483" header="0.51181102362204722" footer="0.51181102362204722"/>
  <pageSetup paperSize="9" orientation="landscape" horizontalDpi="4294967294" r:id="rId1"/>
  <headerFooter alignWithMargins="0"/>
  <drawing r:id="rId2"/>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E0C56DD-6910-482E-9D47-262A14B3A17D}">
          <x14:formula1>
            <xm:f>'A-INSTRUCTIONS'!$G$64:$G$68</xm:f>
          </x14:formula1>
          <xm:sqref>I178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02FCB-5F02-4FF9-A3FA-AA2B1ABE31AE}">
  <sheetPr>
    <tabColor theme="7" tint="0.59999389629810485"/>
  </sheetPr>
  <dimension ref="A2:R97"/>
  <sheetViews>
    <sheetView showGridLines="0" topLeftCell="A16" zoomScale="120" zoomScaleNormal="120" workbookViewId="0">
      <selection activeCell="C29" sqref="C29"/>
    </sheetView>
  </sheetViews>
  <sheetFormatPr defaultColWidth="11.453125" defaultRowHeight="15.5" x14ac:dyDescent="0.35"/>
  <cols>
    <col min="1" max="1" width="6.453125" style="22" customWidth="1"/>
    <col min="2" max="2" width="19.453125" style="22" customWidth="1"/>
    <col min="3" max="3" width="36.453125" style="22" customWidth="1"/>
    <col min="4" max="4" width="19.453125" style="22" customWidth="1"/>
    <col min="5" max="5" width="17" style="22" customWidth="1"/>
    <col min="6" max="6" width="35.453125" style="22" customWidth="1"/>
    <col min="7" max="7" width="19.453125" style="22" customWidth="1"/>
    <col min="8" max="8" width="20.453125" style="22" customWidth="1"/>
    <col min="9" max="9" width="23" style="22" customWidth="1"/>
    <col min="10" max="10" width="11.453125" style="22"/>
    <col min="11" max="11" width="15" style="22" customWidth="1"/>
    <col min="12" max="13" width="19.453125" style="22" customWidth="1"/>
    <col min="14" max="16384" width="11.453125" style="22"/>
  </cols>
  <sheetData>
    <row r="2" spans="1:16" x14ac:dyDescent="0.35">
      <c r="A2" s="21"/>
      <c r="B2" s="21"/>
      <c r="C2" s="21"/>
      <c r="D2" s="84"/>
      <c r="E2" s="85"/>
      <c r="G2" s="567"/>
      <c r="H2" s="567"/>
      <c r="I2" s="567"/>
    </row>
    <row r="3" spans="1:16" ht="8.25" customHeight="1" x14ac:dyDescent="0.35">
      <c r="A3" s="21"/>
      <c r="B3" s="21"/>
      <c r="C3" s="21"/>
    </row>
    <row r="4" spans="1:16" s="113" customFormat="1" ht="20" x14ac:dyDescent="0.4">
      <c r="A4" s="152"/>
      <c r="B4" s="232">
        <v>5</v>
      </c>
      <c r="C4" s="232" t="s">
        <v>235</v>
      </c>
      <c r="D4" s="232"/>
      <c r="E4" s="232"/>
      <c r="F4" s="232"/>
      <c r="G4" s="232"/>
      <c r="H4" s="232"/>
      <c r="I4" s="232"/>
      <c r="J4" s="232"/>
      <c r="K4" s="232"/>
      <c r="L4" s="232"/>
      <c r="M4" s="232"/>
    </row>
    <row r="5" spans="1:16" x14ac:dyDescent="0.35">
      <c r="A5" s="21"/>
      <c r="B5" s="21"/>
      <c r="C5" s="21"/>
    </row>
    <row r="6" spans="1:16" ht="20.5" x14ac:dyDescent="0.45">
      <c r="A6" s="21"/>
      <c r="B6" s="21"/>
      <c r="D6" s="140"/>
      <c r="E6" s="140"/>
      <c r="F6" s="140"/>
      <c r="G6" s="140"/>
      <c r="H6" s="140"/>
      <c r="I6" s="140"/>
      <c r="J6" s="140"/>
      <c r="K6" s="140"/>
    </row>
    <row r="7" spans="1:16" ht="20.5" x14ac:dyDescent="0.45">
      <c r="A7" s="21"/>
      <c r="B7" s="21"/>
      <c r="D7" s="140"/>
      <c r="E7" s="140"/>
      <c r="F7" s="140"/>
      <c r="G7" s="140"/>
      <c r="H7" s="140"/>
      <c r="I7" s="140"/>
      <c r="J7" s="140"/>
      <c r="K7" s="140"/>
    </row>
    <row r="8" spans="1:16" ht="20.5" x14ac:dyDescent="0.45">
      <c r="A8" s="21"/>
      <c r="B8" s="21"/>
      <c r="D8" s="140"/>
      <c r="E8" s="140"/>
      <c r="F8" s="140"/>
      <c r="G8" s="140"/>
      <c r="H8" s="140"/>
      <c r="I8" s="140"/>
      <c r="J8" s="140"/>
      <c r="K8" s="140"/>
    </row>
    <row r="9" spans="1:16" ht="20.5" x14ac:dyDescent="0.45">
      <c r="A9" s="21"/>
      <c r="B9" s="21"/>
      <c r="D9" s="140"/>
      <c r="E9" s="140"/>
      <c r="F9" s="140"/>
      <c r="G9" s="140"/>
      <c r="H9" s="140"/>
      <c r="I9" s="140"/>
      <c r="J9" s="140"/>
      <c r="K9" s="140"/>
    </row>
    <row r="10" spans="1:16" ht="20.5" x14ac:dyDescent="0.45">
      <c r="A10" s="21"/>
      <c r="B10" s="21"/>
      <c r="D10" s="140"/>
      <c r="E10" s="140"/>
      <c r="F10" s="140"/>
      <c r="G10" s="140"/>
      <c r="H10" s="140"/>
      <c r="I10" s="140"/>
      <c r="J10" s="140"/>
      <c r="K10" s="140"/>
    </row>
    <row r="11" spans="1:16" ht="20.5" x14ac:dyDescent="0.45">
      <c r="A11" s="21"/>
      <c r="B11" s="21"/>
      <c r="D11" s="140"/>
      <c r="E11" s="140"/>
      <c r="F11" s="140"/>
      <c r="G11" s="140"/>
      <c r="H11" s="140"/>
      <c r="I11" s="140"/>
      <c r="J11" s="140"/>
      <c r="K11" s="140"/>
    </row>
    <row r="12" spans="1:16" ht="20.5" x14ac:dyDescent="0.45">
      <c r="A12" s="21"/>
      <c r="B12" s="21"/>
      <c r="D12" s="140"/>
      <c r="E12" s="140"/>
      <c r="F12" s="140"/>
      <c r="G12" s="140"/>
      <c r="H12" s="140"/>
      <c r="I12" s="140"/>
      <c r="J12" s="140"/>
      <c r="K12" s="140"/>
    </row>
    <row r="13" spans="1:16" ht="20.5" x14ac:dyDescent="0.45">
      <c r="A13" s="21"/>
      <c r="B13" s="21"/>
      <c r="D13" s="140"/>
      <c r="E13" s="140"/>
      <c r="F13" s="140"/>
      <c r="G13" s="140"/>
      <c r="H13" s="140"/>
      <c r="I13" s="140"/>
      <c r="J13" s="140"/>
      <c r="K13" s="140"/>
    </row>
    <row r="14" spans="1:16" ht="20.5" x14ac:dyDescent="0.45">
      <c r="A14" s="21"/>
      <c r="B14" s="21"/>
      <c r="D14" s="140"/>
      <c r="E14" s="140"/>
      <c r="F14" s="140"/>
      <c r="G14" s="140"/>
      <c r="H14" s="140"/>
      <c r="I14" s="140"/>
      <c r="J14" s="140"/>
      <c r="K14" s="140"/>
    </row>
    <row r="15" spans="1:16" s="30" customFormat="1" ht="20.5" x14ac:dyDescent="0.45">
      <c r="A15" s="21"/>
      <c r="B15" s="21"/>
      <c r="C15" s="22"/>
      <c r="D15" s="140"/>
      <c r="E15" s="140"/>
      <c r="F15" s="140"/>
      <c r="G15" s="140"/>
      <c r="H15" s="140"/>
      <c r="I15" s="140"/>
      <c r="J15" s="140"/>
      <c r="K15" s="140"/>
      <c r="L15" s="22"/>
      <c r="M15" s="22"/>
      <c r="N15" s="22"/>
      <c r="O15" s="22"/>
      <c r="P15" s="22"/>
    </row>
    <row r="16" spans="1:16" ht="20.5" x14ac:dyDescent="0.45">
      <c r="A16" s="21"/>
      <c r="B16" s="21"/>
      <c r="D16" s="140"/>
      <c r="E16" s="140"/>
      <c r="F16" s="140"/>
      <c r="G16" s="140"/>
      <c r="H16" s="140"/>
      <c r="I16" s="140"/>
      <c r="J16" s="140"/>
      <c r="K16" s="140"/>
    </row>
    <row r="17" spans="1:16" ht="20.5" x14ac:dyDescent="0.45">
      <c r="A17" s="21"/>
      <c r="B17" s="21"/>
      <c r="D17" s="140"/>
      <c r="E17" s="140"/>
      <c r="F17" s="140"/>
      <c r="G17" s="140"/>
      <c r="H17" s="140"/>
      <c r="I17" s="140"/>
      <c r="J17" s="140"/>
      <c r="K17" s="140"/>
    </row>
    <row r="18" spans="1:16" ht="20.5" x14ac:dyDescent="0.45">
      <c r="A18" s="21"/>
      <c r="B18" s="21"/>
      <c r="D18" s="140"/>
      <c r="E18" s="140"/>
      <c r="F18" s="140"/>
      <c r="G18" s="140"/>
      <c r="H18" s="140"/>
      <c r="I18" s="140"/>
      <c r="J18" s="140"/>
      <c r="K18" s="140"/>
    </row>
    <row r="19" spans="1:16" ht="20.5" x14ac:dyDescent="0.45">
      <c r="A19" s="21"/>
      <c r="B19" s="21"/>
      <c r="D19" s="140"/>
      <c r="E19" s="140"/>
      <c r="F19" s="140"/>
      <c r="G19" s="140"/>
      <c r="H19" s="140"/>
      <c r="I19" s="140"/>
      <c r="J19" s="140"/>
      <c r="K19" s="140"/>
    </row>
    <row r="20" spans="1:16" ht="20.5" x14ac:dyDescent="0.45">
      <c r="A20" s="21"/>
      <c r="B20" s="21"/>
      <c r="D20" s="140"/>
      <c r="E20" s="140"/>
      <c r="F20" s="140"/>
      <c r="G20" s="140"/>
      <c r="H20" s="140"/>
      <c r="I20" s="140"/>
      <c r="J20" s="140"/>
      <c r="K20" s="140"/>
    </row>
    <row r="21" spans="1:16" ht="20.5" x14ac:dyDescent="0.45">
      <c r="A21" s="21"/>
      <c r="B21" s="21"/>
      <c r="D21" s="140"/>
      <c r="E21" s="140"/>
      <c r="F21" s="140"/>
      <c r="G21" s="140"/>
      <c r="H21" s="140"/>
      <c r="I21" s="140"/>
      <c r="J21" s="140"/>
      <c r="K21" s="140"/>
    </row>
    <row r="22" spans="1:16" ht="20.5" x14ac:dyDescent="0.45">
      <c r="A22" s="21"/>
      <c r="B22" s="21"/>
      <c r="D22" s="140"/>
      <c r="E22" s="140"/>
      <c r="F22" s="140"/>
      <c r="G22" s="140"/>
      <c r="H22" s="140"/>
      <c r="I22" s="140"/>
      <c r="J22" s="140"/>
      <c r="K22" s="140"/>
    </row>
    <row r="23" spans="1:16" ht="20.5" x14ac:dyDescent="0.45">
      <c r="A23" s="21"/>
      <c r="B23" s="21"/>
      <c r="D23" s="140"/>
      <c r="E23" s="140"/>
      <c r="F23" s="140"/>
      <c r="G23" s="140"/>
      <c r="H23" s="140"/>
      <c r="I23" s="140"/>
      <c r="J23" s="140"/>
      <c r="K23" s="140"/>
    </row>
    <row r="24" spans="1:16" x14ac:dyDescent="0.35">
      <c r="B24" s="86"/>
      <c r="C24" s="43"/>
      <c r="D24" s="43"/>
      <c r="E24" s="43"/>
      <c r="F24" s="43"/>
      <c r="G24" s="43"/>
      <c r="H24" s="43"/>
      <c r="I24" s="43"/>
      <c r="J24" s="43"/>
      <c r="K24" s="43"/>
      <c r="L24" s="43"/>
      <c r="M24" s="43"/>
      <c r="N24" s="43"/>
      <c r="O24" s="43"/>
    </row>
    <row r="25" spans="1:16" x14ac:dyDescent="0.35">
      <c r="B25" s="86"/>
      <c r="C25" s="43"/>
      <c r="D25" s="43"/>
      <c r="E25" s="43"/>
      <c r="F25" s="43"/>
      <c r="G25" s="43"/>
      <c r="H25" s="43"/>
      <c r="I25" s="43"/>
      <c r="J25" s="43"/>
      <c r="K25" s="43"/>
      <c r="L25" s="43"/>
      <c r="M25" s="43"/>
      <c r="N25" s="43"/>
      <c r="O25" s="43"/>
    </row>
    <row r="26" spans="1:16" x14ac:dyDescent="0.35">
      <c r="B26" s="86"/>
      <c r="C26" s="43"/>
      <c r="D26" s="43"/>
      <c r="E26" s="43"/>
      <c r="F26" s="43"/>
      <c r="G26" s="43"/>
      <c r="H26" s="43"/>
      <c r="I26" s="43"/>
      <c r="J26" s="43"/>
      <c r="K26" s="43"/>
      <c r="L26" s="43"/>
      <c r="M26" s="43"/>
      <c r="N26" s="43"/>
      <c r="O26" s="43"/>
    </row>
    <row r="27" spans="1:16" x14ac:dyDescent="0.35">
      <c r="B27" s="86"/>
      <c r="C27" s="43"/>
      <c r="D27" s="43"/>
      <c r="E27" s="43"/>
      <c r="F27" s="43"/>
      <c r="G27" s="43"/>
      <c r="H27" s="43"/>
      <c r="I27" s="43"/>
      <c r="J27" s="43"/>
      <c r="K27" s="43"/>
      <c r="L27" s="43"/>
      <c r="M27" s="43"/>
      <c r="N27" s="43"/>
      <c r="O27" s="43"/>
    </row>
    <row r="28" spans="1:16" s="43" customFormat="1" ht="21" x14ac:dyDescent="0.5">
      <c r="A28" s="153"/>
      <c r="C28" s="147"/>
      <c r="O28" s="22"/>
      <c r="P28" s="22"/>
    </row>
    <row r="29" spans="1:16" s="43" customFormat="1" ht="20" x14ac:dyDescent="0.35">
      <c r="A29" s="153"/>
      <c r="B29" s="232">
        <v>6</v>
      </c>
      <c r="C29" s="232" t="s">
        <v>250</v>
      </c>
      <c r="D29" s="232"/>
      <c r="E29" s="232"/>
      <c r="F29" s="232"/>
      <c r="G29" s="232"/>
      <c r="H29" s="232"/>
      <c r="I29" s="232"/>
      <c r="J29" s="232"/>
      <c r="K29" s="232"/>
      <c r="L29" s="232"/>
      <c r="M29" s="232"/>
      <c r="O29" s="22"/>
      <c r="P29" s="22"/>
    </row>
    <row r="30" spans="1:16" s="43" customFormat="1" x14ac:dyDescent="0.35">
      <c r="A30" s="22"/>
      <c r="O30" s="22"/>
      <c r="P30" s="22"/>
    </row>
    <row r="31" spans="1:16" s="43" customFormat="1" x14ac:dyDescent="0.35">
      <c r="A31" s="22"/>
      <c r="N31" s="22"/>
      <c r="O31" s="22"/>
      <c r="P31" s="22"/>
    </row>
    <row r="32" spans="1:16" s="43" customFormat="1" x14ac:dyDescent="0.35">
      <c r="A32" s="22"/>
      <c r="N32" s="22"/>
      <c r="O32" s="22"/>
      <c r="P32" s="22"/>
    </row>
    <row r="33" spans="1:16" s="43" customFormat="1" x14ac:dyDescent="0.35">
      <c r="A33" s="22"/>
      <c r="N33" s="22"/>
      <c r="O33" s="22"/>
      <c r="P33" s="22"/>
    </row>
    <row r="34" spans="1:16" s="43" customFormat="1" x14ac:dyDescent="0.35">
      <c r="A34" s="22"/>
      <c r="B34" s="44"/>
      <c r="N34" s="22"/>
      <c r="O34" s="22"/>
      <c r="P34" s="22"/>
    </row>
    <row r="35" spans="1:16" s="43" customFormat="1" x14ac:dyDescent="0.35">
      <c r="A35" s="22"/>
      <c r="B35" s="29"/>
      <c r="N35" s="22"/>
      <c r="O35" s="22"/>
      <c r="P35" s="22"/>
    </row>
    <row r="36" spans="1:16" s="43" customFormat="1" x14ac:dyDescent="0.35">
      <c r="A36" s="22"/>
      <c r="B36" s="44"/>
      <c r="N36" s="22"/>
      <c r="O36" s="22"/>
      <c r="P36" s="22"/>
    </row>
    <row r="37" spans="1:16" s="43" customFormat="1" x14ac:dyDescent="0.35">
      <c r="B37" s="21"/>
      <c r="N37" s="22"/>
    </row>
    <row r="38" spans="1:16" s="43" customFormat="1" x14ac:dyDescent="0.35">
      <c r="B38" s="30"/>
      <c r="M38" s="22"/>
      <c r="N38" s="22"/>
    </row>
    <row r="39" spans="1:16" s="43" customFormat="1" x14ac:dyDescent="0.35">
      <c r="A39" s="31"/>
      <c r="M39" s="22"/>
      <c r="N39" s="22"/>
      <c r="O39" s="30"/>
      <c r="P39" s="30"/>
    </row>
    <row r="40" spans="1:16" s="43" customFormat="1" x14ac:dyDescent="0.35">
      <c r="B40" s="22"/>
      <c r="C40" s="22"/>
      <c r="D40" s="22"/>
      <c r="E40" s="22"/>
      <c r="F40" s="22"/>
      <c r="G40" s="22"/>
      <c r="H40" s="22"/>
      <c r="I40" s="22"/>
      <c r="J40" s="22"/>
      <c r="K40" s="22"/>
      <c r="L40" s="22"/>
      <c r="M40" s="22"/>
      <c r="N40" s="22"/>
    </row>
    <row r="41" spans="1:16" s="43" customFormat="1" x14ac:dyDescent="0.35">
      <c r="B41" s="22"/>
      <c r="C41" s="22"/>
      <c r="D41" s="22"/>
      <c r="E41" s="22"/>
      <c r="F41" s="22"/>
      <c r="G41" s="22"/>
      <c r="H41" s="22"/>
      <c r="I41" s="22"/>
      <c r="J41" s="22"/>
      <c r="K41" s="22"/>
      <c r="L41" s="22"/>
      <c r="M41" s="22"/>
      <c r="N41" s="22"/>
    </row>
    <row r="42" spans="1:16" s="43" customFormat="1" x14ac:dyDescent="0.35">
      <c r="B42" s="22"/>
      <c r="C42" s="22"/>
      <c r="D42" s="22"/>
      <c r="E42" s="22"/>
      <c r="F42" s="22"/>
      <c r="G42" s="22"/>
      <c r="H42" s="22"/>
      <c r="I42" s="22"/>
      <c r="J42" s="22"/>
      <c r="K42" s="22"/>
      <c r="L42" s="22"/>
      <c r="M42" s="22"/>
      <c r="N42" s="22"/>
    </row>
    <row r="43" spans="1:16" s="43" customFormat="1" x14ac:dyDescent="0.35"/>
    <row r="44" spans="1:16" s="43" customFormat="1" x14ac:dyDescent="0.35">
      <c r="E44" s="155" t="s">
        <v>251</v>
      </c>
    </row>
    <row r="45" spans="1:16" s="43" customFormat="1" x14ac:dyDescent="0.35">
      <c r="B45" s="83"/>
      <c r="C45" s="71"/>
      <c r="D45" s="71"/>
      <c r="E45" s="71"/>
      <c r="F45" s="71"/>
      <c r="G45" s="71"/>
      <c r="H45" s="71"/>
      <c r="I45" s="71"/>
      <c r="J45" s="30"/>
      <c r="K45" s="30"/>
      <c r="L45" s="30"/>
      <c r="M45" s="30"/>
    </row>
    <row r="46" spans="1:16" s="43" customFormat="1" x14ac:dyDescent="0.35"/>
    <row r="47" spans="1:16" s="43" customFormat="1" x14ac:dyDescent="0.35"/>
    <row r="48" spans="1:16" s="43" customFormat="1" x14ac:dyDescent="0.35"/>
    <row r="49" spans="1:18" s="44" customFormat="1" ht="16.5" customHeight="1" x14ac:dyDescent="0.35">
      <c r="A49" s="43"/>
      <c r="B49" s="43"/>
      <c r="C49" s="43"/>
      <c r="D49" s="43"/>
      <c r="E49" s="43"/>
      <c r="F49" s="43"/>
      <c r="G49" s="43"/>
      <c r="H49" s="43"/>
      <c r="I49" s="43"/>
      <c r="J49" s="43"/>
      <c r="K49" s="43"/>
      <c r="L49" s="43"/>
      <c r="M49" s="43"/>
      <c r="N49" s="43"/>
      <c r="O49" s="43"/>
      <c r="P49" s="43"/>
      <c r="Q49" s="43"/>
      <c r="R49" s="43"/>
    </row>
    <row r="50" spans="1:18" s="43" customFormat="1" ht="21.75" customHeight="1" x14ac:dyDescent="0.35"/>
    <row r="51" spans="1:18" s="43" customFormat="1" ht="21.75" customHeight="1" x14ac:dyDescent="0.35"/>
    <row r="52" spans="1:18" s="43" customFormat="1" x14ac:dyDescent="0.35"/>
    <row r="53" spans="1:18" x14ac:dyDescent="0.35">
      <c r="A53" s="30"/>
      <c r="C53" s="30"/>
      <c r="D53" s="30"/>
      <c r="E53" s="30"/>
      <c r="F53" s="30"/>
      <c r="G53" s="30"/>
      <c r="H53" s="30"/>
      <c r="I53" s="30"/>
      <c r="J53" s="30"/>
      <c r="K53" s="30"/>
      <c r="L53" s="30"/>
      <c r="M53" s="30"/>
      <c r="N53" s="30"/>
      <c r="Q53" s="126"/>
      <c r="R53" s="126"/>
    </row>
    <row r="54" spans="1:18" x14ac:dyDescent="0.35">
      <c r="C54" s="30"/>
      <c r="D54" s="30"/>
      <c r="E54" s="30"/>
      <c r="F54" s="30"/>
      <c r="G54" s="30"/>
      <c r="H54" s="30"/>
      <c r="I54" s="30"/>
      <c r="J54" s="30"/>
      <c r="K54" s="30"/>
      <c r="L54" s="30"/>
      <c r="M54" s="30"/>
      <c r="Q54" s="126"/>
      <c r="R54" s="126"/>
    </row>
    <row r="55" spans="1:18" x14ac:dyDescent="0.35">
      <c r="C55" s="30"/>
      <c r="D55" s="30"/>
      <c r="E55" s="30"/>
      <c r="F55" s="30"/>
      <c r="G55" s="30"/>
      <c r="H55" s="30"/>
      <c r="I55" s="30"/>
      <c r="J55" s="30"/>
      <c r="K55" s="30"/>
      <c r="L55" s="30"/>
      <c r="M55" s="30"/>
      <c r="N55" s="30"/>
      <c r="O55" s="30"/>
      <c r="P55" s="30"/>
    </row>
    <row r="56" spans="1:18" x14ac:dyDescent="0.35">
      <c r="A56" s="30"/>
      <c r="C56" s="30"/>
      <c r="D56" s="30"/>
      <c r="E56" s="30"/>
      <c r="F56" s="30"/>
      <c r="G56" s="30"/>
      <c r="H56" s="30"/>
      <c r="I56" s="30"/>
      <c r="J56" s="30"/>
      <c r="K56" s="30"/>
      <c r="L56" s="30"/>
      <c r="M56" s="30"/>
      <c r="O56" s="57"/>
      <c r="P56" s="57"/>
    </row>
    <row r="57" spans="1:18" x14ac:dyDescent="0.35">
      <c r="A57" s="57"/>
      <c r="C57" s="30"/>
      <c r="D57" s="30"/>
      <c r="E57" s="30"/>
      <c r="F57" s="30"/>
      <c r="G57" s="30"/>
      <c r="H57" s="30"/>
      <c r="I57" s="30"/>
      <c r="J57" s="30"/>
      <c r="K57" s="30"/>
      <c r="L57" s="30"/>
      <c r="M57" s="30"/>
      <c r="N57" s="30"/>
      <c r="O57" s="60"/>
      <c r="P57" s="60"/>
      <c r="Q57" s="30"/>
      <c r="R57" s="30"/>
    </row>
    <row r="58" spans="1:18" x14ac:dyDescent="0.35">
      <c r="A58" s="60"/>
      <c r="C58" s="30"/>
      <c r="D58" s="30"/>
      <c r="E58" s="30"/>
      <c r="F58" s="30"/>
      <c r="G58" s="30"/>
      <c r="H58" s="30"/>
      <c r="I58" s="30"/>
      <c r="J58" s="30"/>
      <c r="K58" s="30"/>
      <c r="L58" s="30"/>
      <c r="M58" s="30"/>
      <c r="N58" s="54"/>
      <c r="O58" s="61"/>
      <c r="P58" s="61"/>
    </row>
    <row r="59" spans="1:18" x14ac:dyDescent="0.35">
      <c r="A59" s="88"/>
      <c r="B59" s="30"/>
      <c r="C59" s="30"/>
      <c r="D59" s="30"/>
      <c r="E59" s="30"/>
      <c r="F59" s="30"/>
      <c r="G59" s="30"/>
      <c r="H59" s="30"/>
      <c r="I59" s="30"/>
      <c r="J59" s="30"/>
      <c r="K59" s="30"/>
      <c r="L59" s="30"/>
      <c r="M59" s="30"/>
      <c r="N59" s="54"/>
      <c r="O59" s="126"/>
      <c r="P59" s="126"/>
    </row>
    <row r="60" spans="1:18" x14ac:dyDescent="0.35">
      <c r="A60" s="88"/>
      <c r="B60" s="30"/>
      <c r="N60" s="30"/>
      <c r="O60" s="126"/>
      <c r="P60" s="126"/>
    </row>
    <row r="61" spans="1:18" x14ac:dyDescent="0.35">
      <c r="A61" s="88"/>
      <c r="C61" s="30"/>
      <c r="D61" s="30"/>
      <c r="E61" s="30"/>
      <c r="F61" s="30"/>
      <c r="G61" s="30"/>
      <c r="H61" s="30"/>
      <c r="I61" s="30"/>
      <c r="J61" s="30"/>
      <c r="K61" s="30"/>
      <c r="L61" s="30"/>
      <c r="M61" s="30"/>
      <c r="O61" s="126"/>
      <c r="P61" s="126"/>
    </row>
    <row r="62" spans="1:18" x14ac:dyDescent="0.35">
      <c r="A62" s="88"/>
      <c r="B62" s="30"/>
      <c r="O62" s="126"/>
      <c r="P62" s="126"/>
    </row>
    <row r="63" spans="1:18" x14ac:dyDescent="0.35">
      <c r="A63" s="88"/>
      <c r="C63" s="30"/>
      <c r="D63" s="30"/>
      <c r="E63" s="30"/>
      <c r="F63" s="30"/>
      <c r="G63" s="30"/>
      <c r="H63" s="30"/>
      <c r="I63" s="30"/>
      <c r="J63" s="30"/>
      <c r="K63" s="30"/>
      <c r="L63" s="30"/>
      <c r="M63" s="30"/>
      <c r="N63" s="30"/>
      <c r="O63" s="126"/>
      <c r="P63" s="126"/>
    </row>
    <row r="64" spans="1:18" x14ac:dyDescent="0.35">
      <c r="B64" s="30"/>
      <c r="C64" s="54"/>
      <c r="D64" s="54"/>
      <c r="E64" s="54"/>
      <c r="F64" s="54"/>
      <c r="G64" s="54"/>
      <c r="H64" s="54"/>
      <c r="I64" s="54"/>
      <c r="J64" s="54"/>
      <c r="K64" s="54"/>
      <c r="L64" s="54"/>
      <c r="M64" s="54"/>
      <c r="N64" s="57"/>
    </row>
    <row r="65" spans="1:18" x14ac:dyDescent="0.35">
      <c r="A65" s="70"/>
      <c r="B65" s="54"/>
      <c r="C65" s="54"/>
      <c r="D65" s="54"/>
      <c r="E65" s="54"/>
      <c r="F65" s="54"/>
      <c r="G65" s="54"/>
      <c r="H65" s="54"/>
      <c r="I65" s="54"/>
      <c r="J65" s="54"/>
      <c r="K65" s="54"/>
      <c r="L65" s="54"/>
      <c r="M65" s="54"/>
      <c r="N65" s="60"/>
    </row>
    <row r="66" spans="1:18" x14ac:dyDescent="0.35">
      <c r="B66" s="54"/>
      <c r="C66" s="30"/>
      <c r="D66" s="30"/>
      <c r="E66" s="30"/>
      <c r="F66" s="30"/>
      <c r="G66" s="30"/>
      <c r="H66" s="30"/>
      <c r="I66" s="30"/>
      <c r="J66" s="30"/>
      <c r="K66" s="30"/>
      <c r="L66" s="30"/>
      <c r="M66" s="30"/>
      <c r="N66" s="61"/>
      <c r="O66" s="30"/>
      <c r="P66" s="30"/>
    </row>
    <row r="67" spans="1:18" x14ac:dyDescent="0.35">
      <c r="B67" s="30"/>
      <c r="N67" s="126"/>
    </row>
    <row r="68" spans="1:18" x14ac:dyDescent="0.35">
      <c r="N68" s="126"/>
    </row>
    <row r="69" spans="1:18" x14ac:dyDescent="0.35">
      <c r="C69" s="30"/>
      <c r="D69" s="30"/>
      <c r="E69" s="30"/>
      <c r="F69" s="30"/>
      <c r="G69" s="30"/>
      <c r="H69" s="30"/>
      <c r="I69" s="30"/>
      <c r="J69" s="30"/>
      <c r="K69" s="30"/>
      <c r="L69" s="30"/>
      <c r="M69" s="30"/>
      <c r="N69" s="126"/>
    </row>
    <row r="70" spans="1:18" x14ac:dyDescent="0.35">
      <c r="A70" s="63"/>
      <c r="B70" s="30"/>
      <c r="C70" s="57"/>
      <c r="D70" s="57"/>
      <c r="E70" s="57"/>
      <c r="F70" s="57"/>
      <c r="G70" s="57"/>
      <c r="H70" s="57"/>
      <c r="I70" s="57"/>
      <c r="J70" s="57"/>
      <c r="K70" s="57"/>
      <c r="L70" s="57"/>
      <c r="M70" s="57"/>
      <c r="N70" s="126"/>
    </row>
    <row r="71" spans="1:18" x14ac:dyDescent="0.35">
      <c r="B71" s="57"/>
      <c r="C71" s="60"/>
      <c r="D71" s="60"/>
      <c r="E71" s="60"/>
      <c r="F71" s="60"/>
      <c r="G71" s="60"/>
      <c r="H71" s="60"/>
      <c r="I71" s="60"/>
      <c r="J71" s="60"/>
      <c r="K71" s="60"/>
      <c r="L71" s="60"/>
      <c r="M71" s="60"/>
      <c r="N71" s="126"/>
    </row>
    <row r="72" spans="1:18" x14ac:dyDescent="0.35">
      <c r="B72" s="60"/>
      <c r="C72" s="61"/>
      <c r="D72" s="61"/>
      <c r="E72" s="61"/>
      <c r="F72" s="61"/>
      <c r="G72" s="61"/>
      <c r="H72" s="61"/>
      <c r="I72" s="61"/>
      <c r="J72" s="61"/>
      <c r="K72" s="61"/>
      <c r="L72" s="61"/>
      <c r="M72" s="61"/>
    </row>
    <row r="73" spans="1:18" x14ac:dyDescent="0.35">
      <c r="B73" s="88"/>
      <c r="C73" s="126"/>
      <c r="D73" s="126"/>
      <c r="E73" s="126"/>
      <c r="F73" s="126"/>
      <c r="G73" s="126"/>
      <c r="H73" s="126"/>
      <c r="I73" s="126"/>
      <c r="J73" s="126"/>
      <c r="K73" s="126"/>
      <c r="L73" s="126"/>
      <c r="M73" s="126"/>
    </row>
    <row r="74" spans="1:18" x14ac:dyDescent="0.35">
      <c r="B74" s="41"/>
      <c r="C74" s="41"/>
      <c r="D74" s="41"/>
      <c r="E74" s="41"/>
      <c r="F74" s="41"/>
      <c r="G74" s="41"/>
      <c r="H74" s="41"/>
      <c r="I74" s="41"/>
      <c r="J74" s="41"/>
      <c r="K74" s="41"/>
      <c r="L74" s="41"/>
      <c r="M74" s="41"/>
      <c r="N74" s="41"/>
      <c r="O74" s="41"/>
      <c r="P74" s="41"/>
      <c r="Q74" s="41"/>
      <c r="R74" s="41"/>
    </row>
    <row r="75" spans="1:18" x14ac:dyDescent="0.35">
      <c r="B75" s="41"/>
      <c r="C75" s="41"/>
      <c r="D75" s="41"/>
      <c r="E75" s="41"/>
      <c r="F75" s="41"/>
      <c r="G75" s="41"/>
      <c r="H75" s="41"/>
      <c r="I75" s="41"/>
      <c r="J75" s="41"/>
      <c r="K75" s="41"/>
      <c r="L75" s="41"/>
      <c r="M75" s="41"/>
      <c r="N75" s="41"/>
      <c r="O75" s="41"/>
      <c r="P75" s="41"/>
    </row>
    <row r="76" spans="1:18" x14ac:dyDescent="0.35">
      <c r="B76" s="41"/>
      <c r="C76" s="41"/>
      <c r="D76" s="41"/>
      <c r="E76" s="41"/>
      <c r="F76" s="41"/>
      <c r="G76" s="41"/>
      <c r="H76" s="41"/>
      <c r="I76" s="41"/>
      <c r="J76" s="41"/>
      <c r="K76" s="41"/>
      <c r="L76" s="41"/>
      <c r="M76" s="41"/>
      <c r="N76" s="41"/>
      <c r="O76" s="41"/>
      <c r="P76" s="41"/>
    </row>
    <row r="77" spans="1:18" x14ac:dyDescent="0.35">
      <c r="B77" s="41"/>
      <c r="C77" s="41"/>
      <c r="D77" s="41"/>
      <c r="E77" s="41"/>
      <c r="F77" s="41"/>
      <c r="G77" s="41"/>
      <c r="H77" s="41"/>
      <c r="I77" s="41"/>
      <c r="J77" s="41"/>
      <c r="K77" s="41"/>
      <c r="L77" s="41"/>
      <c r="M77" s="41"/>
      <c r="N77" s="41"/>
      <c r="O77" s="41"/>
      <c r="P77" s="41"/>
    </row>
    <row r="78" spans="1:18" x14ac:dyDescent="0.35">
      <c r="B78" s="41"/>
      <c r="C78" s="41"/>
      <c r="D78" s="41"/>
      <c r="E78" s="41"/>
      <c r="F78" s="41"/>
      <c r="G78" s="41"/>
      <c r="H78" s="41"/>
      <c r="I78" s="41"/>
      <c r="J78" s="41"/>
      <c r="K78" s="41"/>
      <c r="L78" s="41"/>
      <c r="M78" s="41"/>
      <c r="N78" s="41"/>
      <c r="O78" s="41"/>
      <c r="P78" s="41"/>
    </row>
    <row r="79" spans="1:18" x14ac:dyDescent="0.35">
      <c r="B79" s="41"/>
      <c r="C79" s="41"/>
      <c r="D79" s="41"/>
      <c r="E79" s="41"/>
      <c r="F79" s="41"/>
      <c r="G79" s="41"/>
      <c r="H79" s="41"/>
      <c r="I79" s="41"/>
      <c r="J79" s="41"/>
      <c r="K79" s="41"/>
      <c r="L79" s="41"/>
      <c r="M79" s="41"/>
      <c r="N79" s="41"/>
      <c r="O79" s="41"/>
      <c r="P79" s="41"/>
    </row>
    <row r="80" spans="1:18" x14ac:dyDescent="0.35">
      <c r="B80" s="41"/>
      <c r="C80" s="41"/>
      <c r="D80" s="41"/>
      <c r="E80" s="41"/>
      <c r="F80" s="41"/>
      <c r="G80" s="41"/>
      <c r="H80" s="41"/>
      <c r="I80" s="41"/>
      <c r="J80" s="41"/>
      <c r="K80" s="41"/>
      <c r="L80" s="41"/>
      <c r="M80" s="41"/>
      <c r="N80" s="41"/>
      <c r="O80" s="41"/>
      <c r="P80" s="41"/>
    </row>
    <row r="81" spans="2:16" x14ac:dyDescent="0.35">
      <c r="B81" s="41"/>
      <c r="C81" s="41"/>
      <c r="D81" s="41"/>
      <c r="E81" s="41"/>
      <c r="F81" s="41"/>
      <c r="G81" s="41"/>
      <c r="H81" s="41"/>
      <c r="I81" s="41"/>
      <c r="J81" s="41"/>
      <c r="K81" s="41"/>
      <c r="L81" s="41"/>
      <c r="M81" s="41"/>
      <c r="N81" s="41"/>
      <c r="O81" s="41"/>
      <c r="P81" s="41"/>
    </row>
    <row r="82" spans="2:16" x14ac:dyDescent="0.35">
      <c r="B82" s="41"/>
      <c r="C82" s="41"/>
      <c r="D82" s="41"/>
      <c r="E82" s="41"/>
      <c r="F82" s="41"/>
      <c r="G82" s="41"/>
      <c r="H82" s="41"/>
      <c r="I82" s="41"/>
      <c r="J82" s="41"/>
      <c r="K82" s="41"/>
      <c r="L82" s="41"/>
      <c r="M82" s="41"/>
      <c r="N82" s="41"/>
      <c r="O82" s="41"/>
      <c r="P82" s="41"/>
    </row>
    <row r="83" spans="2:16" x14ac:dyDescent="0.35">
      <c r="B83" s="41"/>
      <c r="C83" s="41"/>
      <c r="D83" s="41"/>
      <c r="E83" s="41"/>
      <c r="F83" s="41"/>
      <c r="G83" s="41"/>
      <c r="H83" s="41"/>
      <c r="I83" s="41"/>
      <c r="J83" s="41"/>
      <c r="K83" s="41"/>
      <c r="L83" s="41"/>
      <c r="M83" s="41"/>
      <c r="N83" s="41"/>
      <c r="O83" s="41"/>
      <c r="P83" s="41"/>
    </row>
    <row r="84" spans="2:16" x14ac:dyDescent="0.35">
      <c r="B84" s="41"/>
      <c r="C84" s="41"/>
      <c r="D84" s="41"/>
      <c r="E84" s="41"/>
      <c r="F84" s="41"/>
      <c r="G84" s="41"/>
      <c r="H84" s="41"/>
      <c r="I84" s="41"/>
      <c r="J84" s="41"/>
      <c r="K84" s="41"/>
      <c r="L84" s="41"/>
      <c r="M84" s="41"/>
      <c r="N84" s="41"/>
    </row>
    <row r="85" spans="2:16" x14ac:dyDescent="0.35">
      <c r="J85" s="41"/>
      <c r="K85" s="41"/>
      <c r="L85" s="41"/>
      <c r="M85" s="41"/>
      <c r="N85" s="41"/>
    </row>
    <row r="86" spans="2:16" x14ac:dyDescent="0.35">
      <c r="J86" s="41"/>
      <c r="K86" s="41"/>
      <c r="L86" s="41"/>
      <c r="M86" s="41"/>
      <c r="N86" s="41"/>
    </row>
    <row r="87" spans="2:16" x14ac:dyDescent="0.35">
      <c r="J87" s="41"/>
      <c r="K87" s="41"/>
      <c r="L87" s="41"/>
      <c r="M87" s="41"/>
      <c r="N87" s="41"/>
    </row>
    <row r="88" spans="2:16" x14ac:dyDescent="0.35">
      <c r="J88" s="41"/>
      <c r="K88" s="41"/>
      <c r="L88" s="41"/>
      <c r="M88" s="41"/>
      <c r="N88" s="41"/>
    </row>
    <row r="89" spans="2:16" x14ac:dyDescent="0.35">
      <c r="J89" s="41"/>
      <c r="K89" s="41"/>
      <c r="L89" s="41"/>
      <c r="M89" s="41"/>
      <c r="N89" s="41"/>
    </row>
    <row r="90" spans="2:16" x14ac:dyDescent="0.35">
      <c r="J90" s="41"/>
      <c r="K90" s="41"/>
      <c r="L90" s="41"/>
      <c r="M90" s="41"/>
      <c r="N90" s="41"/>
    </row>
    <row r="91" spans="2:16" x14ac:dyDescent="0.35">
      <c r="J91" s="41"/>
      <c r="K91" s="41"/>
      <c r="L91" s="41"/>
      <c r="M91" s="41"/>
      <c r="N91" s="41"/>
    </row>
    <row r="92" spans="2:16" x14ac:dyDescent="0.35">
      <c r="J92" s="41"/>
      <c r="K92" s="41"/>
      <c r="L92" s="41"/>
      <c r="M92" s="41"/>
    </row>
    <row r="93" spans="2:16" x14ac:dyDescent="0.35">
      <c r="J93" s="41"/>
      <c r="K93" s="41"/>
      <c r="L93" s="41"/>
      <c r="M93" s="41"/>
    </row>
    <row r="94" spans="2:16" x14ac:dyDescent="0.35">
      <c r="J94" s="41"/>
      <c r="K94" s="41"/>
      <c r="L94" s="41"/>
      <c r="M94" s="41"/>
    </row>
    <row r="95" spans="2:16" x14ac:dyDescent="0.35">
      <c r="J95" s="41"/>
      <c r="K95" s="41"/>
      <c r="L95" s="41"/>
      <c r="M95" s="41"/>
    </row>
    <row r="96" spans="2:16" x14ac:dyDescent="0.35">
      <c r="J96" s="41"/>
      <c r="K96" s="41"/>
      <c r="L96" s="41"/>
      <c r="M96" s="41"/>
    </row>
    <row r="97" spans="10:13" x14ac:dyDescent="0.35">
      <c r="J97" s="41"/>
      <c r="K97" s="41"/>
      <c r="L97" s="41"/>
      <c r="M97" s="41"/>
    </row>
  </sheetData>
  <mergeCells count="1">
    <mergeCell ref="G2:I2"/>
  </mergeCells>
  <conditionalFormatting sqref="A2:B3 L2:XFD3 A5:B27 L5:XFD27 B28 E28:M28 A28:A29 N28:XFD1048576 A31:A38 B33:M44 A40:A66 J45:M45 B53:M1048576 A69:A1048576">
    <cfRule type="containsText" dxfId="5" priority="60" operator="containsText" text="FALSE">
      <formula>NOT(ISERROR(SEARCH("FALSE",A2)))</formula>
    </cfRule>
    <cfRule type="cellIs" dxfId="4" priority="61" operator="equal">
      <formula>TRUE</formula>
    </cfRule>
  </conditionalFormatting>
  <conditionalFormatting sqref="A4:XFD4">
    <cfRule type="containsText" dxfId="3" priority="3" operator="containsText" text="FALSE">
      <formula>NOT(ISERROR(SEARCH("FALSE",A4)))</formula>
    </cfRule>
    <cfRule type="cellIs" dxfId="2" priority="4" operator="equal">
      <formula>TRUE</formula>
    </cfRule>
  </conditionalFormatting>
  <conditionalFormatting sqref="B29:M31">
    <cfRule type="containsText" dxfId="1" priority="1" operator="containsText" text="FALSE">
      <formula>NOT(ISERROR(SEARCH("FALSE",B29)))</formula>
    </cfRule>
    <cfRule type="cellIs" dxfId="0" priority="2" operator="equal">
      <formula>TRUE</formula>
    </cfRule>
  </conditionalFormatting>
  <pageMargins left="0.39370078740157483" right="0.39370078740157483" top="0.39370078740157483" bottom="0.39370078740157483" header="0.51181102362204722" footer="0.51181102362204722"/>
  <pageSetup paperSize="9" orientation="landscape" horizontalDpi="4294967294"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7CF54-D9D3-45C9-A957-B2179DD4D4BD}">
  <sheetPr>
    <tabColor theme="7" tint="0.59999389629810485"/>
  </sheetPr>
  <dimension ref="B2:B12"/>
  <sheetViews>
    <sheetView showGridLines="0" zoomScale="120" zoomScaleNormal="120" workbookViewId="0">
      <selection activeCell="B2" sqref="B2"/>
    </sheetView>
  </sheetViews>
  <sheetFormatPr defaultColWidth="8.81640625" defaultRowHeight="12.5" x14ac:dyDescent="0.25"/>
  <cols>
    <col min="1" max="1" width="4.453125" customWidth="1"/>
    <col min="2" max="2" width="110" customWidth="1"/>
  </cols>
  <sheetData>
    <row r="2" spans="2:2" ht="146.25" customHeight="1" x14ac:dyDescent="0.25">
      <c r="B2" s="368" t="s">
        <v>252</v>
      </c>
    </row>
    <row r="3" spans="2:2" ht="30.75" customHeight="1" x14ac:dyDescent="0.25"/>
    <row r="4" spans="2:2" ht="112.5" customHeight="1" x14ac:dyDescent="0.25">
      <c r="B4" s="368" t="s">
        <v>253</v>
      </c>
    </row>
    <row r="5" spans="2:2" ht="30.75" customHeight="1" x14ac:dyDescent="0.25"/>
    <row r="6" spans="2:2" ht="72" customHeight="1" x14ac:dyDescent="0.25">
      <c r="B6" s="368" t="s">
        <v>254</v>
      </c>
    </row>
    <row r="7" spans="2:2" ht="30.75" customHeight="1" x14ac:dyDescent="0.25"/>
    <row r="8" spans="2:2" ht="13" x14ac:dyDescent="0.3">
      <c r="B8" s="275" t="s">
        <v>255</v>
      </c>
    </row>
    <row r="9" spans="2:2" ht="13" x14ac:dyDescent="0.3">
      <c r="B9" s="276" t="s">
        <v>256</v>
      </c>
    </row>
    <row r="12" spans="2:2" ht="13" x14ac:dyDescent="0.3">
      <c r="B12" s="275" t="s">
        <v>257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2D46DFCC1CB940AE35D6404023CFEF" ma:contentTypeVersion="18" ma:contentTypeDescription="Crée un document." ma:contentTypeScope="" ma:versionID="57c81002134b6b58cac0ff43bcf0a254">
  <xsd:schema xmlns:xsd="http://www.w3.org/2001/XMLSchema" xmlns:xs="http://www.w3.org/2001/XMLSchema" xmlns:p="http://schemas.microsoft.com/office/2006/metadata/properties" xmlns:ns3="375accfd-1386-4e79-9b46-dd3aa418e0c2" xmlns:ns4="0219ad6e-57f2-430b-a3c2-15fca8b8ee2e" targetNamespace="http://schemas.microsoft.com/office/2006/metadata/properties" ma:root="true" ma:fieldsID="5995c254f60df7d724aed17b20906724" ns3:_="" ns4:_="">
    <xsd:import namespace="375accfd-1386-4e79-9b46-dd3aa418e0c2"/>
    <xsd:import namespace="0219ad6e-57f2-430b-a3c2-15fca8b8ee2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Locatio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5accfd-1386-4e79-9b46-dd3aa418e0c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219ad6e-57f2-430b-a3c2-15fca8b8ee2e"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75accfd-1386-4e79-9b46-dd3aa418e0c2" xsi:nil="true"/>
  </documentManagement>
</p:properties>
</file>

<file path=customXml/itemProps1.xml><?xml version="1.0" encoding="utf-8"?>
<ds:datastoreItem xmlns:ds="http://schemas.openxmlformats.org/officeDocument/2006/customXml" ds:itemID="{F1A2CD01-F905-48BB-993F-B39F3B653E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5accfd-1386-4e79-9b46-dd3aa418e0c2"/>
    <ds:schemaRef ds:uri="0219ad6e-57f2-430b-a3c2-15fca8b8ee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7599C0-F50D-4F17-979B-049A6CC480F0}">
  <ds:schemaRefs>
    <ds:schemaRef ds:uri="http://schemas.microsoft.com/sharepoint/v3/contenttype/forms"/>
  </ds:schemaRefs>
</ds:datastoreItem>
</file>

<file path=customXml/itemProps3.xml><?xml version="1.0" encoding="utf-8"?>
<ds:datastoreItem xmlns:ds="http://schemas.openxmlformats.org/officeDocument/2006/customXml" ds:itemID="{23284604-8F96-4E40-A7B2-07675F963527}">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0219ad6e-57f2-430b-a3c2-15fca8b8ee2e"/>
    <ds:schemaRef ds:uri="http://purl.org/dc/elements/1.1/"/>
    <ds:schemaRef ds:uri="http://purl.org/dc/terms/"/>
    <ds:schemaRef ds:uri="375accfd-1386-4e79-9b46-dd3aa418e0c2"/>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CASE</vt:lpstr>
      <vt:lpstr>A-INSTRUCTIONS</vt:lpstr>
      <vt:lpstr>B-CAPITAL BUDGETING CASE</vt:lpstr>
      <vt:lpstr>C-SCENARIOS</vt:lpstr>
      <vt:lpstr>D-SCENARIO INSTRUCTIONS</vt:lpstr>
      <vt:lpstr>Appendix - definitions</vt:lpstr>
      <vt:lpstr>'C-SCENARIOS'!ANALYSIS</vt:lpstr>
      <vt:lpstr>ANALYSIS</vt:lpstr>
      <vt:lpstr>'C-SCENARIOS'!EIRR</vt:lpstr>
      <vt:lpstr>EIRR</vt:lpstr>
      <vt:lpstr>FCFEDEF</vt:lpstr>
      <vt:lpstr>'C-SCENARIOS'!FINANCING</vt:lpstr>
      <vt:lpstr>FINANCING</vt:lpstr>
      <vt:lpstr>'C-SCENARIOS'!INVESTING</vt:lpstr>
      <vt:lpstr>INVESTING</vt:lpstr>
      <vt:lpstr>'C-SCENARIOS'!IRR</vt:lpstr>
      <vt:lpstr>IRR</vt:lpstr>
      <vt:lpstr>'C-SCENARIOS'!NPV</vt:lpstr>
      <vt:lpstr>NPV</vt:lpstr>
      <vt:lpstr>SCENARIOS</vt:lpstr>
      <vt:lpstr>'C-SCENARIOS'!SENSITIVITY</vt:lpstr>
      <vt:lpstr>SENSITIVITY</vt:lpstr>
      <vt:lpstr>'C-SCENARIOS'!tax</vt:lpstr>
      <vt:lpstr>tax</vt:lpstr>
      <vt:lpstr>TORNADO</vt:lpstr>
    </vt:vector>
  </TitlesOfParts>
  <Manager/>
  <Company>HOME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CELESTE</dc:creator>
  <cp:keywords/>
  <dc:description/>
  <cp:lastModifiedBy>Maria RUIZ</cp:lastModifiedBy>
  <cp:revision/>
  <dcterms:created xsi:type="dcterms:W3CDTF">2015-09-19T14:02:53Z</dcterms:created>
  <dcterms:modified xsi:type="dcterms:W3CDTF">2024-11-05T12:10:31Z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0x010100BF2D46DFCC1CB940AE35D6404023CFEF</vt:lpwstr>
  </property>
</Properties>
</file>